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tabRatio="717"/>
  </bookViews>
  <sheets>
    <sheet name="进度款" sheetId="18" r:id="rId1"/>
    <sheet name="汇总表" sheetId="9" r:id="rId2"/>
    <sheet name="硬质铺装" sheetId="1" r:id="rId3"/>
    <sheet name="软装" sheetId="10" r:id="rId4"/>
    <sheet name="绿植乔木" sheetId="16" r:id="rId5"/>
    <sheet name="绿植灌木" sheetId="17" r:id="rId6"/>
    <sheet name="景观水电" sheetId="13" r:id="rId7"/>
    <sheet name="外网雨污水" sheetId="14" r:id="rId8"/>
    <sheet name="备选类" sheetId="15" r:id="rId9"/>
  </sheets>
  <externalReferences>
    <externalReference r:id="rId11"/>
    <externalReference r:id="rId12"/>
  </externalReferences>
  <definedNames>
    <definedName name="_xlnm._FilterDatabase" localSheetId="2" hidden="1">硬质铺装!$3:$774</definedName>
    <definedName name="_xlnm._FilterDatabase" localSheetId="4" hidden="1">绿植乔木!$A$3:$S$63</definedName>
    <definedName name="_xlnm._FilterDatabase" localSheetId="6" hidden="1">景观水电!$A$4:$N$130</definedName>
    <definedName name="_xlnm.Print_Area" localSheetId="8">备选类!$A$1:$G$7</definedName>
    <definedName name="_xlnm.Print_Area" localSheetId="2">硬质铺装!$A$1:$N$746</definedName>
  </definedNames>
  <calcPr calcId="144525"/>
</workbook>
</file>

<file path=xl/sharedStrings.xml><?xml version="1.0" encoding="utf-8"?>
<sst xmlns="http://schemas.openxmlformats.org/spreadsheetml/2006/main" count="3526" uniqueCount="1301">
  <si>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</si>
  <si>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</si>
  <si>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</si>
  <si>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</si>
  <si>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</si>
  <si>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</si>
  <si>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</si>
  <si>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</si>
  <si>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</si>
  <si>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</si>
  <si>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</si>
  <si>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</si>
  <si>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</si>
  <si>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</si>
  <si>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</si>
  <si>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</si>
  <si>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</si>
  <si>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</si>
  <si>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</si>
  <si>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</si>
  <si>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</si>
  <si>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</si>
  <si>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</si>
  <si>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</si>
  <si>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</si>
  <si>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</si>
  <si>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</si>
  <si>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</si>
  <si>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</si>
  <si>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</si>
  <si>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</si>
  <si>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3#、5#、8#、9#、11#楼雨污水</t>
  </si>
  <si>
    <t>3#5#8#9#11#楼门前路基工程8#次入口景墙基础、及围墙工程（2#-11#楼之间）</t>
  </si>
  <si>
    <t>绿植部分</t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</si>
  <si>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</si>
  <si>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</si>
  <si>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</si>
  <si>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</si>
  <si>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</si>
  <si>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</si>
  <si>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</si>
  <si>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</si>
  <si>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</si>
  <si>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>栾川山水文苑S1地块景观及雨污水工程造价汇总表
（单位：元）</t>
  </si>
  <si>
    <t>序 号</t>
  </si>
  <si>
    <t>项目名称</t>
  </si>
  <si>
    <t>单位</t>
  </si>
  <si>
    <t>工程量</t>
  </si>
  <si>
    <t>金额 
(元)</t>
  </si>
  <si>
    <t>备注</t>
  </si>
  <si>
    <t>硬质铺装</t>
  </si>
  <si>
    <t>项</t>
  </si>
  <si>
    <t>软装</t>
  </si>
  <si>
    <t>绿植乔木</t>
  </si>
  <si>
    <t>绿植灌木</t>
  </si>
  <si>
    <t>景观水电</t>
  </si>
  <si>
    <t>外网雨污水</t>
  </si>
  <si>
    <t>合计(元)</t>
  </si>
  <si>
    <t>栾川山水文苑项目硬质景观清单及计价表</t>
  </si>
  <si>
    <t>项目特征描述</t>
  </si>
  <si>
    <t>计量
单位</t>
  </si>
  <si>
    <t>其中：各子项构成（元）</t>
  </si>
  <si>
    <t>含税综合单价(元)
f=(a+b+c+d+e)</t>
  </si>
  <si>
    <t>合价(元)=g*f</t>
  </si>
  <si>
    <t>主要材料品牌</t>
  </si>
  <si>
    <t>人工费
a</t>
  </si>
  <si>
    <t>主材费
b</t>
  </si>
  <si>
    <t>机械、辅材及其他c</t>
  </si>
  <si>
    <t>管理费、利润、措施、规费等一切费用
d=(a+b+c)*费率</t>
  </si>
  <si>
    <t>税金
e=(a+b+c+d)*费率</t>
  </si>
  <si>
    <t>原合同值</t>
  </si>
  <si>
    <t>一</t>
  </si>
  <si>
    <t>道路标准段</t>
  </si>
  <si>
    <t>挖土方</t>
  </si>
  <si>
    <t>1.土壤类别：综合
2.挖土深度：详设计
3.开挖方式：人工、机械综合考虑   
4.多余土方运送场内指定位置
5.其它满足规范和设计图纸要求</t>
  </si>
  <si>
    <t>m3</t>
  </si>
  <si>
    <t>素土夯实</t>
  </si>
  <si>
    <t>1.素土夯实，密实度≥0.93
2、其它满足规范和设计图纸要求</t>
  </si>
  <si>
    <t>m2</t>
  </si>
  <si>
    <t>碎石垫层</t>
  </si>
  <si>
    <t>1.200厚级配碎石垫层，密实度≥0.93
2.其它说明：其它满足规范和设计图纸要求</t>
  </si>
  <si>
    <t>砼垫层</t>
  </si>
  <si>
    <t>1.混凝土强度等级:200厚C20砼垫层
2.混凝土拌合料要求：符合规范要求
3.模板安拆费用计入综合单价，支模方式综合考虑
4.其它满足规范和设计图纸要求</t>
  </si>
  <si>
    <t>仿芝麻黑荔枝面石英砖面层</t>
  </si>
  <si>
    <t>1.18厚200*200仿芝麻黑荔枝面石英砖
2.30厚1：3干硬性水泥砂浆粘结层
3.其它满足规范和设计图纸要求</t>
  </si>
  <si>
    <t>透水沥青砼路面面层</t>
  </si>
  <si>
    <t>1.50厚5-10mm细粒式透水沥青层
2.具体做法详见图纸设计
3.其它满足规范和设计图纸要求</t>
  </si>
  <si>
    <t>不锈钢带</t>
  </si>
  <si>
    <t>1.3厚30宽304#不锈钢，原色拉丝面
2.具体做法详见图纸设计
3.其它满足规范和设计图纸要求</t>
  </si>
  <si>
    <t>m</t>
  </si>
  <si>
    <t>星路发光颗粒面层</t>
  </si>
  <si>
    <t>1.30厚100宽STARPATH星路发光颗粒（粒径3-5）胶粘石，荧光蓝，掺彩色透水地坪添加剂满铺压实
2、.20厚1：3干硬性水泥砂浆找平
3.具体做法详见图纸设计
4.其它满足规范和设计图纸要求</t>
  </si>
  <si>
    <t>通体彩色混凝土面层</t>
  </si>
  <si>
    <t>1.无色透明密封（双聚氨酯密封处理固体份&gt;40%,进口固化剂）
2、50厚露骨料透水混泥土面层（粒径6-7mm）
2.具体做法详见图纸设计
3.其它满足规范和设计图纸要求</t>
  </si>
  <si>
    <t>二</t>
  </si>
  <si>
    <t>5#楼前园路铺装</t>
  </si>
  <si>
    <t>1、100厚级配碎石垫层，密实度≥0.93
2.其它说明：其它满足规范和设计图纸要求</t>
  </si>
  <si>
    <t>1.混凝土强度等级:100厚C20砼垫层
2.混凝土拌合料要求：符合规范要求
3.模板安拆费用计入综合单价，支模方式综合考虑
4.其它满足规范和设计图纸要求</t>
  </si>
  <si>
    <t>仿芝麻灰荔枝面石英砖面层</t>
  </si>
  <si>
    <t>1.15厚600x200 仿芝麻灰荔枝面石英砖
2.30厚1：3干硬性水泥砂浆粘结层
3.其它满足规范和设计图纸要求</t>
  </si>
  <si>
    <t>三</t>
  </si>
  <si>
    <t>1#楼前园路铺装</t>
  </si>
  <si>
    <t>四</t>
  </si>
  <si>
    <t>9#、11#楼前园路铺装</t>
  </si>
  <si>
    <t>1.素土夯实，密实度≥0.93
2、.其它满足规范和设计图纸要求</t>
  </si>
  <si>
    <t>五</t>
  </si>
  <si>
    <t>10#楼前园路铺装</t>
  </si>
  <si>
    <t>六</t>
  </si>
  <si>
    <t>8#楼前园路铺装</t>
  </si>
  <si>
    <t>1.素土夯实，密实度≥0.93
2.其它满足规范和设计图纸要求</t>
  </si>
  <si>
    <t>芝麻黑荔枝面面层</t>
  </si>
  <si>
    <t>1.30厚600x200 芝麻黑荔枝面石材
2.30厚1：3干硬性水泥砂浆粘结层
4.其它满足规范和设计图纸要求</t>
  </si>
  <si>
    <t>景石</t>
  </si>
  <si>
    <t>1、1300x700x500 中国黑自然面景石
2、1400x650x450 中国黑自然面景石
3、1200x600x450 中国黑自然面景石
4、1200x600x400 中国黑自然面景石
5、1200x700x450 中国黑自然面景石
6、2000x600x450 中国黑自然面景石
7、1500x500x400 中国黑自然面景石
8、1800x800x500 中国黑自然面景石
9、1500x700x300 中国黑自然面景石
10.其它满足规范和设计图纸要求</t>
  </si>
  <si>
    <t>块</t>
  </si>
  <si>
    <t>七</t>
  </si>
  <si>
    <t>13#-15#楼前园路铺装</t>
  </si>
  <si>
    <t>1.15厚600x200 仿芝麻黑荔枝面石英砖
2.30厚1：3干硬性水泥砂浆粘结层
3.其它满足规范和设计图纸要求</t>
  </si>
  <si>
    <t>小青砖面层</t>
  </si>
  <si>
    <t>1.200*40*27厚小青砖面层
2.30厚1：3干硬性水泥砂浆粘结层
4.其它满足规范和设计图纸要求</t>
  </si>
  <si>
    <t>1.15厚200x200 仿芝麻黑荔枝面石英砖
2.30厚1：3干硬性水泥砂浆粘结层
3.其它满足规范和设计图纸要求</t>
  </si>
  <si>
    <t>园路楼梯踏步 芝麻黑花岗岩火烧面</t>
  </si>
  <si>
    <t>1、100厚100*600 芝麻黑花岗岩火烧面、按形定制（含抹角、刻缝）
2.30厚1：3干硬性水泥砂浆粘结层
3.其它满足规范和设计图纸要求</t>
  </si>
  <si>
    <t>1、25厚220*600 芝麻黑花岗岩火烧面
2.30厚1：3干硬性水泥砂浆粘结层
3.其它满足规范和设计图纸要求</t>
  </si>
  <si>
    <t>园路楼梯踏步梯板面 芝麻黑花岗岩火烧面</t>
  </si>
  <si>
    <t>1、25厚70*300 芝麻黑花岗岩火烧面
2.30厚1：3干硬性水泥砂浆粘结层
3.其它满足规范和设计图纸要求</t>
  </si>
  <si>
    <t>八</t>
  </si>
  <si>
    <t>6#楼前园路铺装</t>
  </si>
  <si>
    <t>仿芝福鼎黑水洗面英砖面层</t>
  </si>
  <si>
    <t>1.15厚100x100 仿芝福鼎黑水洗面英砖面层
2.30厚1：3干硬性水泥砂浆粘结层
3.其它满足规范和设计图纸要求</t>
  </si>
  <si>
    <t>九</t>
  </si>
  <si>
    <t>17#-18#楼前园路铺装</t>
  </si>
  <si>
    <t>1、200厚级配碎石垫层，密实度≥0.93
2.其它说明：其它满足规范和设计图纸要求</t>
  </si>
  <si>
    <t>1.18厚200x200 仿芝麻黑荔枝面石英砖
2.30厚1：3干硬性水泥砂浆粘结层
3.其它满足规范和设计图纸要求</t>
  </si>
  <si>
    <t>成品混泥土植草砖面层</t>
  </si>
  <si>
    <t>1、80mm厚330*330成品混泥土植草砖面层
2.50厚粗砂找平压实
3.其它满足规范和设计图纸要求</t>
  </si>
  <si>
    <t>机切面芝麻灰花岗岩边带</t>
  </si>
  <si>
    <t>1.50厚600x150 机切面芝麻灰花岗岩边带
2.30厚1：3干硬性水泥砂浆粘结层
3、50厚c20细石混凝土
4.其它满足规范和设计图纸要求</t>
  </si>
  <si>
    <t>钢筋</t>
  </si>
  <si>
    <t>1、直径10mm三级钢，双层双向钢筋 间距150
2、跨地库边2m范围内
3、其它满足规范和设计图纸要求</t>
  </si>
  <si>
    <t>t</t>
  </si>
  <si>
    <t>十</t>
  </si>
  <si>
    <t>17#-20#楼北侧园路铺装</t>
  </si>
  <si>
    <t>细粒式透水沥青</t>
  </si>
  <si>
    <t>1.50厚5-10mm细粒式透水沥青
2.其它满足规范和设计图纸要求</t>
  </si>
  <si>
    <t>地面道牙铺装</t>
  </si>
  <si>
    <t>1.150厚600*170芝麻灰光面路缘石
2.30厚1:3水泥砂浆粘接层,1:3水泥砂浆卧牢
3.其他说明：其它满足规范和设计图纸要求</t>
  </si>
  <si>
    <t>灰色透水砖</t>
  </si>
  <si>
    <t>1.200x100x30厚灰色透水砖
2.30厚1：3干硬性水泥砂浆粘结层
3.其它满足规范和设计图纸要求</t>
  </si>
  <si>
    <t>十一</t>
  </si>
  <si>
    <t>19#与20#楼中间园路</t>
  </si>
  <si>
    <t>十二</t>
  </si>
  <si>
    <t>20#东侧园路</t>
  </si>
  <si>
    <t>仿芝麻灰荔枝面石英砖</t>
  </si>
  <si>
    <t>十三</t>
  </si>
  <si>
    <t>2#、3#、6#、10#、13#楼东单元、16#楼栋单元、17#、18#、19#、20#入户平台</t>
  </si>
  <si>
    <t>1.15厚600*200仿芝麻灰荔枝面石英砖
2.30厚1：3干硬性水泥砂浆粘结层
3.其它满足规范和设计图纸要求</t>
  </si>
  <si>
    <t>仿福鼎黑水洗面石英砖</t>
  </si>
  <si>
    <t>1.15厚100*100 仿福鼎黑水洗面石英砖
2.30厚1：3干硬性水泥砂浆粘结层
3.其它满足规范和设计图纸要求</t>
  </si>
  <si>
    <t>1.15厚300*300 仿芝麻灰荔枝面石英砖
2.30厚1：3干硬性水泥砂浆粘结层
3.其它满足规范和设计图纸要求</t>
  </si>
  <si>
    <t>十四</t>
  </si>
  <si>
    <t>2#、3#、10#东单元、13#东单元坡道、台阶</t>
  </si>
  <si>
    <t>回填土方</t>
  </si>
  <si>
    <t>1.密实度要求：满足设计要求 
2.填方材料品种：满足设计要求的合格土方 
3.填方粒径要求：符合设计要求
4.填方来源、运距：投标人根据现场实际情况自行考虑
5.其它满足规范和设计图纸要求</t>
  </si>
  <si>
    <t>1.混凝土强度等级:100厚C20混凝土
2.混凝土拌合料要求：符合规范要求
3.模板安拆费用计入综合单价，支模方式综合考虑
4.其它满足规范和设计图纸要求</t>
  </si>
  <si>
    <t>混凝土踏步垫层</t>
  </si>
  <si>
    <t>砖基础</t>
  </si>
  <si>
    <t>1.砖品种、规格、强度等级：MU10页岩砖
2.基础类型：砖基础
3.砂浆强度等级：M7.5水泥砂浆
4.其它说明：其他满足规范和图纸设计要求</t>
  </si>
  <si>
    <t>1.150厚级配碎石垫层，密实度≥0.93
2.其它说明：其它满足规范和设计图纸要求</t>
  </si>
  <si>
    <t>1.15厚150*150 仿芝麻黑荔枝面石英砖
2.30厚1：3干硬性水泥砂浆粘结层
3.其它满足规范和设计图纸要求</t>
  </si>
  <si>
    <t>1.15厚600*200 仿芝麻黑荔枝面石英砖
2.30厚1：3干硬性水泥砂浆粘结层
3.其它满足规范和设计图纸要求</t>
  </si>
  <si>
    <t>坡道栏杆</t>
  </si>
  <si>
    <t>1、2厚50*30热镀锌矩管扶手面饰深咖色金属氟碳喷砂面
2、3厚50*40热镀锌矩管扶手面饰深咖色金属氟碳喷砂面
3、2厚50*50热镀锌矩管立柱面饰深咖色金属氟碳喷砂面
4、5厚100*100 镀锌钢板预埋件 4直径8钢筋 L=80
5.其它满足规范和设计图纸要求</t>
  </si>
  <si>
    <t>M</t>
  </si>
  <si>
    <t>入户平台踏步 芝麻黑花岗岩火烧面</t>
  </si>
  <si>
    <t>入户平台踏步梯板面 芝麻黑花岗岩火烧面</t>
  </si>
  <si>
    <t>1、直径10mm三级钢、单层双向钢筋 间距150
2、跨地库边2m范围内
3、其它满足规范和设计图纸要求</t>
  </si>
  <si>
    <t>十五</t>
  </si>
  <si>
    <t>1#、7#、8#、9#、11#、12#、13#楼西单元、15#楼、16#西单元入户平台</t>
  </si>
  <si>
    <t>5#平台不在此次招标范围内</t>
  </si>
  <si>
    <t>十六</t>
  </si>
  <si>
    <t>拖布池</t>
  </si>
  <si>
    <t>10个</t>
  </si>
  <si>
    <t>1.混凝土强度等级:100厚C20混凝土
2.混凝土拌合料要求：符合规范要求
3.模板安拆费用计入综合单价，支模方式综合考虑
4、包含三面挡水反坎
5.其它满足规范和设计图纸要求</t>
  </si>
  <si>
    <t>零星砌体</t>
  </si>
  <si>
    <t>1、mu10页岩砖，M7.5水泥砂浆砌筑
2.其它说明：其它满足规范和设计图纸要求</t>
  </si>
  <si>
    <t>混凝土拖把池</t>
  </si>
  <si>
    <t>防滑亚光灰色瓷砖</t>
  </si>
  <si>
    <t>1.12厚700*60、700*100、600*200、300*100防滑亚光灰色瓷砖
2.30厚1：3干硬性水泥砂浆粘结层
3.其它满足规范和设计图纸要求</t>
  </si>
  <si>
    <t>水砂浆粉刷</t>
  </si>
  <si>
    <t>1、20厚1:2.5水泥砂浆粉刷
2、部位：拖把池壁内侧、池底
3、其它满足规范和设计图纸要求</t>
  </si>
  <si>
    <t>盖板</t>
  </si>
  <si>
    <t>1、2厚304不锈钢板折弯成型盖板 尺寸 500*500
2、3厚镀锌钢条底盖支持
3、其它满足规范和设计图纸要求</t>
  </si>
  <si>
    <t>个</t>
  </si>
  <si>
    <t>十七</t>
  </si>
  <si>
    <t>汀步</t>
  </si>
  <si>
    <t>1.素土夯实，密实度≥0.93
2.其它满足规范和设计图纸要求
3、其它满足规范和设计图纸要求</t>
  </si>
  <si>
    <t>面层：仿芝麻灰荔枝面石英砖</t>
  </si>
  <si>
    <t>1、15厚600*200仿芝麻灰荔枝面石英砖
2、30厚1:3干硬性水泥砂浆粘接层
3、其它满足规范和设计图纸要求</t>
  </si>
  <si>
    <t>十八</t>
  </si>
  <si>
    <t>围墙</t>
  </si>
  <si>
    <t>1、150厚级配碎石垫层，密实度≥0.93
2.其它说明：其它满足规范和设计图纸要求</t>
  </si>
  <si>
    <t>1.混凝土强度等级:100厚C20混凝土
2.混凝土拌合料要求：符合规范要求
3.模板安拆费用计入综合单价，支模方式综合考虑
4、其它满足规范和设计图纸要求</t>
  </si>
  <si>
    <t>挡墙基础</t>
  </si>
  <si>
    <t>1.混凝土强度等级:c30混凝土
2.混凝土拌合料要求：符合规范要求
3.模板安拆费用计入综合单价，支模方式综合考虑
4、其它满足规范和设计图纸要求</t>
  </si>
  <si>
    <t>砼挡墙</t>
  </si>
  <si>
    <t>混凝土柱子</t>
  </si>
  <si>
    <t>1.混凝土强度等级:c25混凝土
2.混凝土拌合料要求：符合规范要求
3.模板安拆费用计入综合单价，支模方式综合考虑
4、其它满足规范和设计图纸要求</t>
  </si>
  <si>
    <t>现浇构件钢筋</t>
  </si>
  <si>
    <t>1.现浇构件带肋钢筋HPB300  带肋钢筋HRB400 
2.含钢筋搭接
3.其它说明：其它满足规范和设计图纸要求</t>
  </si>
  <si>
    <r>
      <rPr>
        <sz val="8"/>
        <rFont val="宋体"/>
        <charset val="134"/>
      </rPr>
      <t>砖基础</t>
    </r>
    <r>
      <rPr>
        <sz val="8"/>
        <rFont val="Arial"/>
        <charset val="134"/>
      </rPr>
      <t xml:space="preserve">
</t>
    </r>
  </si>
  <si>
    <t>1、MU10页岩砖，M7.5水泥砂浆砌筑
2、15厚1:3水泥砂浆防潮层（掺5%防水剂）
3.其它说明：其它满足规范和设计图纸要求</t>
  </si>
  <si>
    <t>圈梁</t>
  </si>
  <si>
    <r>
      <rPr>
        <sz val="8"/>
        <rFont val="Arial"/>
        <charset val="134"/>
      </rPr>
      <t xml:space="preserve">
1</t>
    </r>
    <r>
      <rPr>
        <sz val="8"/>
        <rFont val="宋体"/>
        <charset val="134"/>
      </rPr>
      <t>、c25混凝土圈梁</t>
    </r>
    <r>
      <rPr>
        <sz val="8"/>
        <rFont val="Arial"/>
        <charset val="134"/>
      </rPr>
      <t xml:space="preserve">
2.</t>
    </r>
    <r>
      <rPr>
        <sz val="8"/>
        <rFont val="宋体"/>
        <charset val="134"/>
      </rPr>
      <t>混凝土拌合料要求：符合规范要求</t>
    </r>
    <r>
      <rPr>
        <sz val="8"/>
        <rFont val="Arial"/>
        <charset val="134"/>
      </rPr>
      <t xml:space="preserve">
3.</t>
    </r>
    <r>
      <rPr>
        <sz val="8"/>
        <rFont val="宋体"/>
        <charset val="134"/>
      </rPr>
      <t>模板安拆费用计入综合单价，支模方式综合考虑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、其它满足规范和设计图纸要求</t>
    </r>
  </si>
  <si>
    <t xml:space="preserve">柱子基础 </t>
  </si>
  <si>
    <r>
      <rPr>
        <sz val="8"/>
        <rFont val="Arial"/>
        <charset val="134"/>
      </rPr>
      <t xml:space="preserve">
1</t>
    </r>
    <r>
      <rPr>
        <sz val="8"/>
        <rFont val="宋体"/>
        <charset val="134"/>
      </rPr>
      <t>、c25混凝土柱子</t>
    </r>
    <r>
      <rPr>
        <sz val="8"/>
        <rFont val="Arial"/>
        <charset val="134"/>
      </rPr>
      <t xml:space="preserve">
2.</t>
    </r>
    <r>
      <rPr>
        <sz val="8"/>
        <rFont val="宋体"/>
        <charset val="134"/>
      </rPr>
      <t>混凝土拌合料要求：符合规范要求</t>
    </r>
    <r>
      <rPr>
        <sz val="8"/>
        <rFont val="Arial"/>
        <charset val="134"/>
      </rPr>
      <t xml:space="preserve">
3.</t>
    </r>
    <r>
      <rPr>
        <sz val="8"/>
        <rFont val="宋体"/>
        <charset val="134"/>
      </rPr>
      <t>模板安拆费用计入综合单价，支模方式综合考虑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、其它满足规范和设计图纸要求</t>
    </r>
  </si>
  <si>
    <t>外墙仿石材漆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</si>
  <si>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、外喷米白色水包沙仿石材漆
2、刮外墙腻子</t>
    </r>
    <r>
      <rPr>
        <sz val="8"/>
        <rFont val="Arial"/>
        <charset val="134"/>
      </rPr>
      <t>2-3</t>
    </r>
    <r>
      <rPr>
        <sz val="8"/>
        <rFont val="宋体"/>
        <charset val="134"/>
      </rPr>
      <t>遍，干后砂平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</t>
    </r>
    <r>
      <rPr>
        <sz val="8"/>
        <rFont val="Arial"/>
        <charset val="134"/>
      </rPr>
      <t>10</t>
    </r>
    <r>
      <rPr>
        <sz val="8"/>
        <rFont val="宋体"/>
        <charset val="134"/>
      </rPr>
      <t>厚</t>
    </r>
    <r>
      <rPr>
        <sz val="8"/>
        <rFont val="Arial"/>
        <charset val="134"/>
      </rPr>
      <t>1</t>
    </r>
    <r>
      <rPr>
        <sz val="8"/>
        <rFont val="宋体"/>
        <charset val="134"/>
      </rPr>
      <t>：</t>
    </r>
    <r>
      <rPr>
        <sz val="8"/>
        <rFont val="Arial"/>
        <charset val="134"/>
      </rPr>
      <t>2</t>
    </r>
    <r>
      <rPr>
        <sz val="8"/>
        <rFont val="宋体"/>
        <charset val="134"/>
      </rPr>
      <t>水泥砂浆找平铁模压光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</t>
    </r>
    <r>
      <rPr>
        <sz val="8"/>
        <rFont val="Arial"/>
        <charset val="134"/>
      </rPr>
      <t>15</t>
    </r>
    <r>
      <rPr>
        <sz val="8"/>
        <rFont val="宋体"/>
        <charset val="134"/>
      </rPr>
      <t>厚</t>
    </r>
    <r>
      <rPr>
        <sz val="8"/>
        <rFont val="Arial"/>
        <charset val="134"/>
      </rPr>
      <t>1:3</t>
    </r>
    <r>
      <rPr>
        <sz val="8"/>
        <rFont val="宋体"/>
        <charset val="134"/>
      </rPr>
      <t>水泥砂浆打底扫光或划出纹道（掺</t>
    </r>
    <r>
      <rPr>
        <sz val="8"/>
        <rFont val="Arial"/>
        <charset val="134"/>
      </rPr>
      <t>5%</t>
    </r>
    <r>
      <rPr>
        <sz val="8"/>
        <rFont val="宋体"/>
        <charset val="134"/>
      </rPr>
      <t>防水剂）</t>
    </r>
    <r>
      <rPr>
        <sz val="8"/>
        <rFont val="Arial"/>
        <charset val="134"/>
      </rPr>
      <t xml:space="preserve">
5</t>
    </r>
    <r>
      <rPr>
        <sz val="8"/>
        <rFont val="宋体"/>
        <charset val="134"/>
      </rPr>
      <t>、其它满足规范和设计图纸要求</t>
    </r>
  </si>
  <si>
    <t>围墙柱顶石材装饰</t>
  </si>
  <si>
    <t>1.围墙顶面：30厚240*540、100*600芝麻灰烧面石材，下端拉10深20宽槽
2.具体做法详见图纸设计
3.其他说明：其它满足规范和设计图纸要求</t>
  </si>
  <si>
    <t>墙上压顶</t>
  </si>
  <si>
    <t xml:space="preserve">
1、30厚600*300芝麻白荔枝面面 滴水线 下拉槽5*5
2.具体做法详见图纸设计
3.其他说明：其它满足规范和设计图纸要求
</t>
  </si>
  <si>
    <t>围墙钢栏杆</t>
  </si>
  <si>
    <t>1.尺寸：1.8m高
1、3厚60*30 镀锌钢管横管，面饰深咖色金属氟碳漆喷砂面
2、3厚60*60 镀锌钢管立管，面饰深咖色金属氟碳漆喷砂面
3、4厚60*60 镀锌钢管横管，面饰深咖色金属氟碳漆喷砂面 预埋件：6厚100*100镀锌钢板@1000 2直径10 U型预埋件固定  L=400 
4.其他说明：其它满足规范和设计图纸要求</t>
  </si>
  <si>
    <t>山水文图案制作安装</t>
  </si>
  <si>
    <t>1、1.5厚304#不锈钢LOGO，电镀浅咖色凸出墙面20mm，
2、其他说明：其它满足规范和设计图纸要求</t>
  </si>
  <si>
    <t>十九</t>
  </si>
  <si>
    <t>北侧非机动入口及北侧消防入口</t>
  </si>
  <si>
    <r>
      <rPr>
        <sz val="8"/>
        <rFont val="宋体"/>
        <charset val="134"/>
      </rPr>
      <t>砖砌体</t>
    </r>
    <r>
      <rPr>
        <sz val="8"/>
        <rFont val="Arial"/>
        <charset val="134"/>
      </rPr>
      <t xml:space="preserve">
</t>
    </r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</si>
  <si>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、外喷米白色仿石材漆，
2、刮外墙腻子</t>
    </r>
    <r>
      <rPr>
        <sz val="8"/>
        <rFont val="Arial"/>
        <charset val="134"/>
      </rPr>
      <t>2-3</t>
    </r>
    <r>
      <rPr>
        <sz val="8"/>
        <rFont val="宋体"/>
        <charset val="134"/>
      </rPr>
      <t>遍，干后砂平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</t>
    </r>
    <r>
      <rPr>
        <sz val="8"/>
        <rFont val="Arial"/>
        <charset val="134"/>
      </rPr>
      <t>10</t>
    </r>
    <r>
      <rPr>
        <sz val="8"/>
        <rFont val="宋体"/>
        <charset val="134"/>
      </rPr>
      <t>厚</t>
    </r>
    <r>
      <rPr>
        <sz val="8"/>
        <rFont val="Arial"/>
        <charset val="134"/>
      </rPr>
      <t>1</t>
    </r>
    <r>
      <rPr>
        <sz val="8"/>
        <rFont val="宋体"/>
        <charset val="134"/>
      </rPr>
      <t>：</t>
    </r>
    <r>
      <rPr>
        <sz val="8"/>
        <rFont val="Arial"/>
        <charset val="134"/>
      </rPr>
      <t>2</t>
    </r>
    <r>
      <rPr>
        <sz val="8"/>
        <rFont val="宋体"/>
        <charset val="134"/>
      </rPr>
      <t>水泥砂浆找平铁模压光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</t>
    </r>
    <r>
      <rPr>
        <sz val="8"/>
        <rFont val="Arial"/>
        <charset val="134"/>
      </rPr>
      <t>15</t>
    </r>
    <r>
      <rPr>
        <sz val="8"/>
        <rFont val="宋体"/>
        <charset val="134"/>
      </rPr>
      <t>厚</t>
    </r>
    <r>
      <rPr>
        <sz val="8"/>
        <rFont val="Arial"/>
        <charset val="134"/>
      </rPr>
      <t>1:3</t>
    </r>
    <r>
      <rPr>
        <sz val="8"/>
        <rFont val="宋体"/>
        <charset val="134"/>
      </rPr>
      <t>水泥砂浆打底扫光或划出纹道（掺</t>
    </r>
    <r>
      <rPr>
        <sz val="8"/>
        <rFont val="Arial"/>
        <charset val="134"/>
      </rPr>
      <t>5%</t>
    </r>
    <r>
      <rPr>
        <sz val="8"/>
        <rFont val="宋体"/>
        <charset val="134"/>
      </rPr>
      <t>防水剂）</t>
    </r>
    <r>
      <rPr>
        <sz val="8"/>
        <rFont val="Arial"/>
        <charset val="134"/>
      </rPr>
      <t xml:space="preserve">
5</t>
    </r>
    <r>
      <rPr>
        <sz val="8"/>
        <rFont val="宋体"/>
        <charset val="134"/>
      </rPr>
      <t>、其它满足规范和设计图纸要求</t>
    </r>
  </si>
  <si>
    <t>湿贴石材</t>
  </si>
  <si>
    <t xml:space="preserve">
1、25厚130*120芝麻白花岗岩荔枝面 表面拉5*5槽@100
2、25厚1:2.5水泥砂浆粘贴
3、其它满足规范和设计图纸要求</t>
  </si>
  <si>
    <t>干挂石材</t>
  </si>
  <si>
    <t xml:space="preserve">
1、25厚芝麻白花钢岩荔枝面干挂，表面拉5*5槽@100
2、5厚50*50等边角钢 M8膨胀螺栓固定@600
3、304不锈钢成品干挂件
4、其它满足规范和设计图纸要求</t>
  </si>
  <si>
    <t>“山水文苑”</t>
  </si>
  <si>
    <t>1、2厚热镀锌钢板按形折弯面饰深咖色金属氟碳漆喷砂面
2、1厚304#拉丝面不锈钢，电镀深咖色突出墙面15mm，由专业厂家制作安装（山水文苑）
3、其它满足规范和设计图纸要求</t>
  </si>
  <si>
    <t>北侧非机动车入口大门</t>
  </si>
  <si>
    <r>
      <rPr>
        <sz val="8"/>
        <rFont val="Arial"/>
        <charset val="134"/>
      </rPr>
      <t xml:space="preserve">
1</t>
    </r>
    <r>
      <rPr>
        <sz val="8"/>
        <rFont val="宋体"/>
        <charset val="134"/>
      </rPr>
      <t>、</t>
    </r>
    <r>
      <rPr>
        <sz val="8"/>
        <rFont val="Arial"/>
        <charset val="134"/>
      </rPr>
      <t>5</t>
    </r>
    <r>
      <rPr>
        <sz val="8"/>
        <rFont val="宋体"/>
        <charset val="134"/>
      </rPr>
      <t>厚</t>
    </r>
    <r>
      <rPr>
        <sz val="8"/>
        <rFont val="Arial"/>
        <charset val="134"/>
      </rPr>
      <t>120*120</t>
    </r>
    <r>
      <rPr>
        <sz val="8"/>
        <rFont val="宋体"/>
        <charset val="134"/>
      </rPr>
      <t>热镀锌矩管，立柱面饰深咖色金属氟碳漆喷砂面</t>
    </r>
    <r>
      <rPr>
        <sz val="8"/>
        <rFont val="Arial"/>
        <charset val="134"/>
      </rPr>
      <t xml:space="preserve">
2</t>
    </r>
    <r>
      <rPr>
        <sz val="8"/>
        <rFont val="宋体"/>
        <charset val="134"/>
      </rPr>
      <t>、</t>
    </r>
    <r>
      <rPr>
        <sz val="8"/>
        <rFont val="Arial"/>
        <charset val="134"/>
      </rPr>
      <t>1.5</t>
    </r>
    <r>
      <rPr>
        <sz val="8"/>
        <rFont val="宋体"/>
        <charset val="134"/>
      </rPr>
      <t>厚</t>
    </r>
    <r>
      <rPr>
        <sz val="8"/>
        <rFont val="Arial"/>
        <charset val="134"/>
      </rPr>
      <t>20*400</t>
    </r>
    <r>
      <rPr>
        <sz val="8"/>
        <rFont val="宋体"/>
        <charset val="134"/>
      </rPr>
      <t>热镀锌矩管，面饰深咖色金属氟碳漆喷砂面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</t>
    </r>
    <r>
      <rPr>
        <sz val="8"/>
        <rFont val="Arial"/>
        <charset val="134"/>
      </rPr>
      <t>1.5</t>
    </r>
    <r>
      <rPr>
        <sz val="8"/>
        <rFont val="宋体"/>
        <charset val="134"/>
      </rPr>
      <t>厚热镀锌钢板，面饰深咖色金属氟碳漆喷砂面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</t>
    </r>
    <r>
      <rPr>
        <sz val="8"/>
        <rFont val="Arial"/>
        <charset val="134"/>
      </rPr>
      <t>3</t>
    </r>
    <r>
      <rPr>
        <sz val="8"/>
        <rFont val="宋体"/>
        <charset val="134"/>
      </rPr>
      <t>厚</t>
    </r>
    <r>
      <rPr>
        <sz val="8"/>
        <rFont val="Arial"/>
        <charset val="134"/>
      </rPr>
      <t>40*50</t>
    </r>
    <r>
      <rPr>
        <sz val="8"/>
        <rFont val="宋体"/>
        <charset val="134"/>
      </rPr>
      <t>热镀锌矩管，面饰深咖色金属氟碳漆喷砂面</t>
    </r>
    <r>
      <rPr>
        <sz val="8"/>
        <rFont val="Arial"/>
        <charset val="134"/>
      </rPr>
      <t xml:space="preserve">
5</t>
    </r>
    <r>
      <rPr>
        <sz val="8"/>
        <rFont val="宋体"/>
        <charset val="134"/>
      </rPr>
      <t>、广告灯箱（二次厂家深化设计制作安装）</t>
    </r>
    <r>
      <rPr>
        <sz val="8"/>
        <rFont val="Arial"/>
        <charset val="134"/>
      </rPr>
      <t xml:space="preserve">
6</t>
    </r>
    <r>
      <rPr>
        <sz val="8"/>
        <rFont val="宋体"/>
        <charset val="134"/>
      </rPr>
      <t>、预埋件：</t>
    </r>
    <r>
      <rPr>
        <sz val="8"/>
        <rFont val="Arial"/>
        <charset val="134"/>
      </rPr>
      <t>6</t>
    </r>
    <r>
      <rPr>
        <sz val="8"/>
        <rFont val="宋体"/>
        <charset val="134"/>
      </rPr>
      <t>厚</t>
    </r>
    <r>
      <rPr>
        <sz val="8"/>
        <rFont val="Arial"/>
        <charset val="134"/>
      </rPr>
      <t>150*150</t>
    </r>
    <r>
      <rPr>
        <sz val="8"/>
        <rFont val="宋体"/>
        <charset val="134"/>
      </rPr>
      <t>热镀锌钢板</t>
    </r>
    <r>
      <rPr>
        <sz val="8"/>
        <rFont val="Arial"/>
        <charset val="134"/>
      </rPr>
      <t xml:space="preserve"> 2</t>
    </r>
    <r>
      <rPr>
        <sz val="8"/>
        <rFont val="宋体"/>
        <charset val="134"/>
      </rPr>
      <t>直径</t>
    </r>
    <r>
      <rPr>
        <sz val="8"/>
        <rFont val="Arial"/>
        <charset val="134"/>
      </rPr>
      <t>10 u</t>
    </r>
    <r>
      <rPr>
        <sz val="8"/>
        <rFont val="宋体"/>
        <charset val="134"/>
      </rPr>
      <t>型预埋筋固定</t>
    </r>
    <r>
      <rPr>
        <sz val="8"/>
        <rFont val="Arial"/>
        <charset val="134"/>
      </rPr>
      <t xml:space="preserve"> l=150 
7</t>
    </r>
    <r>
      <rPr>
        <sz val="8"/>
        <rFont val="宋体"/>
        <charset val="134"/>
      </rPr>
      <t>、</t>
    </r>
    <r>
      <rPr>
        <sz val="8"/>
        <rFont val="Arial"/>
        <charset val="134"/>
      </rPr>
      <t>5</t>
    </r>
    <r>
      <rPr>
        <sz val="8"/>
        <rFont val="宋体"/>
        <charset val="134"/>
      </rPr>
      <t>厚</t>
    </r>
    <r>
      <rPr>
        <sz val="8"/>
        <rFont val="Arial"/>
        <charset val="134"/>
      </rPr>
      <t>40*100</t>
    </r>
    <r>
      <rPr>
        <sz val="8"/>
        <rFont val="宋体"/>
        <charset val="134"/>
      </rPr>
      <t>热镀锌矩管@500
8、其它满足规范和设计图纸要求</t>
    </r>
  </si>
  <si>
    <t>机动车消防门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</si>
  <si>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</t>
    </r>
    <r>
      <rPr>
        <sz val="8"/>
        <rFont val="Arial"/>
        <charset val="134"/>
      </rPr>
      <t>5</t>
    </r>
    <r>
      <rPr>
        <sz val="8"/>
        <rFont val="宋体"/>
        <charset val="134"/>
      </rPr>
      <t>厚</t>
    </r>
    <r>
      <rPr>
        <sz val="8"/>
        <rFont val="Arial"/>
        <charset val="134"/>
      </rPr>
      <t>50*80</t>
    </r>
    <r>
      <rPr>
        <sz val="8"/>
        <rFont val="宋体"/>
        <charset val="134"/>
      </rPr>
      <t>热镀锌矩管，立柱面饰深咖色金属氟碳漆喷砂面</t>
    </r>
    <r>
      <rPr>
        <sz val="8"/>
        <rFont val="Arial"/>
        <charset val="134"/>
      </rPr>
      <t xml:space="preserve">
2</t>
    </r>
    <r>
      <rPr>
        <sz val="8"/>
        <rFont val="宋体"/>
        <charset val="134"/>
      </rPr>
      <t>、</t>
    </r>
    <r>
      <rPr>
        <sz val="8"/>
        <rFont val="Arial"/>
        <charset val="134"/>
      </rPr>
      <t>1.5</t>
    </r>
    <r>
      <rPr>
        <sz val="8"/>
        <rFont val="宋体"/>
        <charset val="134"/>
      </rPr>
      <t>厚</t>
    </r>
    <r>
      <rPr>
        <sz val="8"/>
        <rFont val="Arial"/>
        <charset val="134"/>
      </rPr>
      <t>20*30</t>
    </r>
    <r>
      <rPr>
        <sz val="8"/>
        <rFont val="宋体"/>
        <charset val="134"/>
      </rPr>
      <t>热镀锌矩管，面饰深咖色金属氟碳漆喷砂面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</t>
    </r>
    <r>
      <rPr>
        <sz val="8"/>
        <rFont val="Arial"/>
        <charset val="134"/>
      </rPr>
      <t>2</t>
    </r>
    <r>
      <rPr>
        <sz val="8"/>
        <rFont val="宋体"/>
        <charset val="134"/>
      </rPr>
      <t>厚热镀锌钢板按形弯折面饰深咖色金属氟碳漆喷砂面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、预埋件：</t>
    </r>
    <r>
      <rPr>
        <sz val="8"/>
        <rFont val="Arial"/>
        <charset val="134"/>
      </rPr>
      <t>8</t>
    </r>
    <r>
      <rPr>
        <sz val="8"/>
        <rFont val="宋体"/>
        <charset val="134"/>
      </rPr>
      <t>厚</t>
    </r>
    <r>
      <rPr>
        <sz val="8"/>
        <rFont val="Arial"/>
        <charset val="134"/>
      </rPr>
      <t>150*150</t>
    </r>
    <r>
      <rPr>
        <sz val="8"/>
        <rFont val="宋体"/>
        <charset val="134"/>
      </rPr>
      <t>热镀锌钢板</t>
    </r>
    <r>
      <rPr>
        <sz val="8"/>
        <rFont val="Arial"/>
        <charset val="134"/>
      </rPr>
      <t xml:space="preserve"> 4M8</t>
    </r>
    <r>
      <rPr>
        <sz val="8"/>
        <rFont val="宋体"/>
        <charset val="134"/>
      </rPr>
      <t>膨胀螺栓</t>
    </r>
    <r>
      <rPr>
        <sz val="8"/>
        <rFont val="Arial"/>
        <charset val="134"/>
      </rPr>
      <t xml:space="preserve">
5</t>
    </r>
    <r>
      <rPr>
        <sz val="8"/>
        <rFont val="宋体"/>
        <charset val="134"/>
      </rPr>
      <t>、其它满足规范和设计图纸要求</t>
    </r>
  </si>
  <si>
    <t>金属压顶</t>
  </si>
  <si>
    <r>
      <rPr>
        <sz val="8"/>
        <rFont val="Arial"/>
        <charset val="134"/>
      </rPr>
      <t xml:space="preserve">
1</t>
    </r>
    <r>
      <rPr>
        <sz val="8"/>
        <rFont val="宋体"/>
        <charset val="134"/>
      </rPr>
      <t>、</t>
    </r>
    <r>
      <rPr>
        <sz val="8"/>
        <rFont val="Arial"/>
        <charset val="134"/>
      </rPr>
      <t>20</t>
    </r>
    <r>
      <rPr>
        <sz val="8"/>
        <rFont val="宋体"/>
        <charset val="134"/>
      </rPr>
      <t>厚</t>
    </r>
    <r>
      <rPr>
        <sz val="8"/>
        <rFont val="Arial"/>
        <charset val="134"/>
      </rPr>
      <t>1:2.5</t>
    </r>
    <r>
      <rPr>
        <sz val="8"/>
        <rFont val="宋体"/>
        <charset val="134"/>
      </rPr>
      <t>水泥砂浆找平</t>
    </r>
    <r>
      <rPr>
        <sz val="8"/>
        <rFont val="Arial"/>
        <charset val="134"/>
      </rPr>
      <t xml:space="preserve">
2</t>
    </r>
    <r>
      <rPr>
        <sz val="8"/>
        <rFont val="宋体"/>
        <charset val="134"/>
      </rPr>
      <t>、</t>
    </r>
    <r>
      <rPr>
        <sz val="8"/>
        <rFont val="Arial"/>
        <charset val="134"/>
      </rPr>
      <t>2</t>
    </r>
    <r>
      <rPr>
        <sz val="8"/>
        <rFont val="宋体"/>
        <charset val="134"/>
      </rPr>
      <t>厚热镀锌钢板按形弯折面饰深咖色金属氟碳漆喷砂面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、其它满足规范和设计图纸要求</t>
    </r>
  </si>
  <si>
    <t>二十</t>
  </si>
  <si>
    <t>挡墙围墙</t>
  </si>
  <si>
    <t>挡土墙围墙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</si>
  <si>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</t>
    </r>
    <r>
      <rPr>
        <sz val="8"/>
        <rFont val="Arial"/>
        <charset val="134"/>
      </rPr>
      <t>1100mm</t>
    </r>
    <r>
      <rPr>
        <sz val="8"/>
        <rFont val="宋体"/>
        <charset val="134"/>
      </rPr>
      <t>高围墙</t>
    </r>
    <r>
      <rPr>
        <sz val="8"/>
        <rFont val="Arial"/>
        <charset val="134"/>
      </rPr>
      <t xml:space="preserve">
2</t>
    </r>
    <r>
      <rPr>
        <sz val="8"/>
        <rFont val="宋体"/>
        <charset val="134"/>
      </rPr>
      <t>、其它满足规范和设计图纸要求</t>
    </r>
  </si>
  <si>
    <t xml:space="preserve">
1、30厚600*300芝麻白荔枝面面 滴水线 下拉槽5*5
2、、20厚1:2.5水泥砂浆找平
3、其它满足规范和设计图纸要求
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</si>
  <si>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、外喷米白色水包沙仿石材（水包砂），
2、刮外墙腻子</t>
    </r>
    <r>
      <rPr>
        <sz val="8"/>
        <rFont val="Arial"/>
        <charset val="134"/>
      </rPr>
      <t>2-3</t>
    </r>
    <r>
      <rPr>
        <sz val="8"/>
        <rFont val="宋体"/>
        <charset val="134"/>
      </rPr>
      <t>遍，干后砂平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</t>
    </r>
    <r>
      <rPr>
        <sz val="8"/>
        <rFont val="Arial"/>
        <charset val="134"/>
      </rPr>
      <t>10</t>
    </r>
    <r>
      <rPr>
        <sz val="8"/>
        <rFont val="宋体"/>
        <charset val="134"/>
      </rPr>
      <t>厚</t>
    </r>
    <r>
      <rPr>
        <sz val="8"/>
        <rFont val="Arial"/>
        <charset val="134"/>
      </rPr>
      <t>1</t>
    </r>
    <r>
      <rPr>
        <sz val="8"/>
        <rFont val="宋体"/>
        <charset val="134"/>
      </rPr>
      <t>：</t>
    </r>
    <r>
      <rPr>
        <sz val="8"/>
        <rFont val="Arial"/>
        <charset val="134"/>
      </rPr>
      <t>2</t>
    </r>
    <r>
      <rPr>
        <sz val="8"/>
        <rFont val="宋体"/>
        <charset val="134"/>
      </rPr>
      <t>水泥砂浆找平铁模压光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</t>
    </r>
    <r>
      <rPr>
        <sz val="8"/>
        <rFont val="Arial"/>
        <charset val="134"/>
      </rPr>
      <t>15</t>
    </r>
    <r>
      <rPr>
        <sz val="8"/>
        <rFont val="宋体"/>
        <charset val="134"/>
      </rPr>
      <t>厚</t>
    </r>
    <r>
      <rPr>
        <sz val="8"/>
        <rFont val="Arial"/>
        <charset val="134"/>
      </rPr>
      <t>1:3</t>
    </r>
    <r>
      <rPr>
        <sz val="8"/>
        <rFont val="宋体"/>
        <charset val="134"/>
      </rPr>
      <t>水泥砂浆打底扫光或划出纹道（掺</t>
    </r>
    <r>
      <rPr>
        <sz val="8"/>
        <rFont val="Arial"/>
        <charset val="134"/>
      </rPr>
      <t>5%</t>
    </r>
    <r>
      <rPr>
        <sz val="8"/>
        <rFont val="宋体"/>
        <charset val="134"/>
      </rPr>
      <t>防水剂）</t>
    </r>
    <r>
      <rPr>
        <sz val="8"/>
        <rFont val="Arial"/>
        <charset val="134"/>
      </rPr>
      <t xml:space="preserve">
5</t>
    </r>
    <r>
      <rPr>
        <sz val="8"/>
        <rFont val="宋体"/>
        <charset val="134"/>
      </rPr>
      <t>、其它满足规范和设计图纸要求</t>
    </r>
  </si>
  <si>
    <t>二十一</t>
  </si>
  <si>
    <t>园区私家花园挡墙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</si>
  <si>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、外喷米白色水包沙仿石材漆（水包砂），
2、刮外墙腻子</t>
    </r>
    <r>
      <rPr>
        <sz val="8"/>
        <rFont val="Arial"/>
        <charset val="134"/>
      </rPr>
      <t>2-3</t>
    </r>
    <r>
      <rPr>
        <sz val="8"/>
        <rFont val="宋体"/>
        <charset val="134"/>
      </rPr>
      <t>遍，干后砂平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</t>
    </r>
    <r>
      <rPr>
        <sz val="8"/>
        <rFont val="Arial"/>
        <charset val="134"/>
      </rPr>
      <t>10</t>
    </r>
    <r>
      <rPr>
        <sz val="8"/>
        <rFont val="宋体"/>
        <charset val="134"/>
      </rPr>
      <t>厚</t>
    </r>
    <r>
      <rPr>
        <sz val="8"/>
        <rFont val="Arial"/>
        <charset val="134"/>
      </rPr>
      <t>1</t>
    </r>
    <r>
      <rPr>
        <sz val="8"/>
        <rFont val="宋体"/>
        <charset val="134"/>
      </rPr>
      <t>：</t>
    </r>
    <r>
      <rPr>
        <sz val="8"/>
        <rFont val="Arial"/>
        <charset val="134"/>
      </rPr>
      <t>2</t>
    </r>
    <r>
      <rPr>
        <sz val="8"/>
        <rFont val="宋体"/>
        <charset val="134"/>
      </rPr>
      <t>水泥砂浆找平铁模压光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</t>
    </r>
    <r>
      <rPr>
        <sz val="8"/>
        <rFont val="Arial"/>
        <charset val="134"/>
      </rPr>
      <t>15</t>
    </r>
    <r>
      <rPr>
        <sz val="8"/>
        <rFont val="宋体"/>
        <charset val="134"/>
      </rPr>
      <t>厚</t>
    </r>
    <r>
      <rPr>
        <sz val="8"/>
        <rFont val="Arial"/>
        <charset val="134"/>
      </rPr>
      <t>1:3</t>
    </r>
    <r>
      <rPr>
        <sz val="8"/>
        <rFont val="宋体"/>
        <charset val="134"/>
      </rPr>
      <t>水泥砂浆打底扫光或划出纹道（掺</t>
    </r>
    <r>
      <rPr>
        <sz val="8"/>
        <rFont val="Arial"/>
        <charset val="134"/>
      </rPr>
      <t>5%</t>
    </r>
    <r>
      <rPr>
        <sz val="8"/>
        <rFont val="宋体"/>
        <charset val="134"/>
      </rPr>
      <t>防水剂）</t>
    </r>
    <r>
      <rPr>
        <sz val="8"/>
        <rFont val="Arial"/>
        <charset val="134"/>
      </rPr>
      <t xml:space="preserve">
5</t>
    </r>
    <r>
      <rPr>
        <sz val="8"/>
        <rFont val="宋体"/>
        <charset val="134"/>
      </rPr>
      <t>、其它满足规范和设计图纸要求</t>
    </r>
  </si>
  <si>
    <t>二十二</t>
  </si>
  <si>
    <t>采光井、泄爆口</t>
  </si>
  <si>
    <t>百叶及玻璃顶棚不在招标范围内，</t>
  </si>
  <si>
    <t>仿石漆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</si>
  <si>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、外喷米白色仿石漆</t>
    </r>
    <r>
      <rPr>
        <sz val="8"/>
        <rFont val="Arial"/>
        <charset val="134"/>
      </rPr>
      <t xml:space="preserve">
2</t>
    </r>
    <r>
      <rPr>
        <sz val="8"/>
        <rFont val="宋体"/>
        <charset val="134"/>
      </rPr>
      <t>、刮外墙腻子</t>
    </r>
    <r>
      <rPr>
        <sz val="8"/>
        <rFont val="Arial"/>
        <charset val="134"/>
      </rPr>
      <t>2-3</t>
    </r>
    <r>
      <rPr>
        <sz val="8"/>
        <rFont val="宋体"/>
        <charset val="134"/>
      </rPr>
      <t>遍，干后砂平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、其它满足规范和设计图纸要求</t>
    </r>
  </si>
  <si>
    <t>二十三</t>
  </si>
  <si>
    <t>车库出入口</t>
  </si>
  <si>
    <t>钢架、玻璃不在此次招标范围内</t>
  </si>
  <si>
    <t>压顶</t>
  </si>
  <si>
    <t>1、70厚600*160芝麻黑花岗石烧面按形定制侧边斜倒角10*10，下拉槽20*20 水泥砂浆粘接
2、其它满足规范和设计图纸要求</t>
  </si>
  <si>
    <t>1、外喷米白色仿石漆 拉5*5槽@100
2、刮外墙腻子2-3遍，干后砂平
3、其它满足规范和设计图纸要求</t>
  </si>
  <si>
    <t>二十四</t>
  </si>
  <si>
    <t>人防出入口</t>
  </si>
  <si>
    <t>仿芝麻黑花岗岩仿石材火烧面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</si>
  <si>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</t>
    </r>
    <r>
      <rPr>
        <sz val="8"/>
        <rFont val="Arial"/>
        <charset val="134"/>
      </rPr>
      <t>30</t>
    </r>
    <r>
      <rPr>
        <sz val="8"/>
        <rFont val="宋体"/>
        <charset val="134"/>
      </rPr>
      <t>厚</t>
    </r>
    <r>
      <rPr>
        <sz val="8"/>
        <rFont val="Arial"/>
        <charset val="134"/>
      </rPr>
      <t>1:2</t>
    </r>
    <r>
      <rPr>
        <sz val="8"/>
        <rFont val="宋体"/>
        <charset val="134"/>
      </rPr>
      <t>水泥砂浆粘接层</t>
    </r>
    <r>
      <rPr>
        <sz val="8"/>
        <rFont val="Arial"/>
        <charset val="134"/>
      </rPr>
      <t xml:space="preserve">
2</t>
    </r>
    <r>
      <rPr>
        <sz val="8"/>
        <rFont val="宋体"/>
        <charset val="134"/>
      </rPr>
      <t>、</t>
    </r>
    <r>
      <rPr>
        <sz val="8"/>
        <rFont val="Arial"/>
        <charset val="134"/>
      </rPr>
      <t>15</t>
    </r>
    <r>
      <rPr>
        <sz val="8"/>
        <rFont val="宋体"/>
        <charset val="134"/>
      </rPr>
      <t>厚</t>
    </r>
    <r>
      <rPr>
        <sz val="8"/>
        <rFont val="Arial"/>
        <charset val="134"/>
      </rPr>
      <t>600*300</t>
    </r>
    <r>
      <rPr>
        <sz val="8"/>
        <rFont val="宋体"/>
        <charset val="134"/>
      </rPr>
      <t>仿芝麻黑花岗岩仿石材火烧面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、其它满足规范和设计图纸要求</t>
    </r>
  </si>
  <si>
    <t>1、50厚550*100、50厚600*380 50厚375*525 芝麻黑花岗岩火烧面
2.30厚1：3干硬性水泥砂浆粘结层
3.其它满足规范和设计图纸要求</t>
  </si>
  <si>
    <t>1、20厚200*600 、20厚65*550、20厚75*525芝麻黑花岗岩火烧面
2.30厚1：3干硬性水泥砂浆粘结层
3.其它满足规范和设计图纸要求</t>
  </si>
  <si>
    <t>1、植筋直径10mm三级钢间距120 采用A、B胶
2、其它满足规范和设计图纸要求</t>
  </si>
  <si>
    <t>二十五</t>
  </si>
  <si>
    <t>中心水景景观</t>
  </si>
  <si>
    <t>中心水景景观基础做法</t>
  </si>
  <si>
    <t>挖一般土方</t>
  </si>
  <si>
    <t>1.土壤类别：综合
2.挖土深度：详设计
3.开挖方式：人工、机械综合考虑    
4.多余土方运送场内指定位置
5.其它满足规范和设计图纸要求</t>
  </si>
  <si>
    <t>1.素土夯实
2.压实度不小于94%
3.其它满足规范和设计图纸要求</t>
  </si>
  <si>
    <t>1.150厚级配碎石垫层
2.压实度不小于94%
3.其它说明：其它满足规范和设计图纸要求</t>
  </si>
  <si>
    <t>1.混凝土强度等级:100厚C20混凝土垫层
2.混凝土拌合料要求：符合规范要求
3.模板安拆费用计入综合单价，支模方式综合考虑
4.其它满足规范和设计图纸要求</t>
  </si>
  <si>
    <t>水池池底、泵坑</t>
  </si>
  <si>
    <t>1.混凝土强度等级:150厚C25混凝土，抗渗等级＞P6
2.混凝土拌合料要求：符合规范要求
3.模板安拆费用计入综合单价，支模方式综合考虑
4.其它满足规范和设计图纸要求</t>
  </si>
  <si>
    <t>水池池壁</t>
  </si>
  <si>
    <t>排水沟</t>
  </si>
  <si>
    <t>栈桥独立基础</t>
  </si>
  <si>
    <t>1.混凝土强度等级:C30混凝土
2.混凝土拌合料要求：符合规范要求
3.模板安拆费用计入综合单价，支模方式综合考虑
4.其它满足规范和设计图纸要求</t>
  </si>
  <si>
    <t>栈桥基础剪力墙</t>
  </si>
  <si>
    <t>1.混凝土强度等级:300厚C30混凝土
2.混凝土拌合料要求：符合规范要求
3.模板安拆费用计入综合单价，支模方式综合考虑
4.其它满足规范和设计图纸要求</t>
  </si>
  <si>
    <t>栈桥桥面楼板</t>
  </si>
  <si>
    <t>1.混凝土强度等级:200厚C30混凝土
2.混凝土拌合料要求：符合规范要求
3.模板安拆费用计入综合单价，支模方式综合考虑
4.其它满足规范和设计图纸要求</t>
  </si>
  <si>
    <t>1.现浇构件带肋钢筋HPB300以内  直径≤10mm
2.含钢筋搭接
3.其它说明：其它满足规范和设计图纸要求</t>
  </si>
  <si>
    <t>1.现浇构件带肋钢筋HRB400以内  直径≤10mm
2.含钢筋搭接
3.其它说明：其它满足规范和设计图纸要求</t>
  </si>
  <si>
    <t>1.现浇构件带肋钢筋HRB400以内  直径＞10mm
2.含钢筋搭接
3.其它说明：其它满足规范和设计图纸要求</t>
  </si>
  <si>
    <t>砖砌支墩</t>
  </si>
  <si>
    <t>1.砖品种、规格、强度等级：MU10页岩砖
2.砂浆强度等级：M7.5水泥砂浆
3.其它说明：其他满足规范和图纸设计要求</t>
  </si>
  <si>
    <t>砖砌基础</t>
  </si>
  <si>
    <t>中心水景景观水池装饰做法</t>
  </si>
  <si>
    <t>平面砂浆找平层</t>
  </si>
  <si>
    <t>1.20厚1:2.5无碱水泥砂浆找平层
2.其他说明：详见相关设计图纸、相关要求及规范
3.部位：水池池底、排水沟做法</t>
  </si>
  <si>
    <t>平面卷材防水</t>
  </si>
  <si>
    <t>1.4厚SBS防水卷材
2.其他说明：详见相关设计图纸、相关要求及规范
3.部位：水池池底、排水沟做法</t>
  </si>
  <si>
    <t>平面砂浆保护</t>
  </si>
  <si>
    <t>立面砂浆找平层</t>
  </si>
  <si>
    <t>1.20厚1:2.5无碱水泥砂浆找平层
2.其他说明：详见相关设计图纸、相关要求及规范
3.部位：池壁标准做法一、池壁标准做法二、泵坑防水</t>
  </si>
  <si>
    <t>立面卷材防水</t>
  </si>
  <si>
    <t>1.4厚SBS防水卷材
2.其他说明：详见相关设计图纸、相关要求及规范
3.部位：池壁标准做法一、池壁标准做法二、泵坑防水</t>
  </si>
  <si>
    <t>立面砂浆保护</t>
  </si>
  <si>
    <t>瓷砖楼地面</t>
  </si>
  <si>
    <t>1.12厚600*600仿中国黑瓷砖
2.石材粘接剂粘结
3.其他说明：详见相关设计图纸、相关要求及规范
4.部位：池底标准做法</t>
  </si>
  <si>
    <t>排水沟盖板</t>
  </si>
  <si>
    <t>1.30厚300*600中国黑光面花岗岩，按形开孔
2.其他说明：详见相关设计图纸、相关要求及规范</t>
  </si>
  <si>
    <t>泵坑盖板</t>
  </si>
  <si>
    <t>1.30厚600*600中国黑光面花岗岩，按形开孔
2.其他说明：详见相关设计图纸、相关要求及规范</t>
  </si>
  <si>
    <t>瓷砖墙面</t>
  </si>
  <si>
    <t>1.12厚600*h仿中国黑瓷砖
2.石材粘接剂粘结
3.其他说明：详见相关设计图纸、相关要求及规范
4.部位：池壁标准做法一</t>
  </si>
  <si>
    <t>石材墙面</t>
  </si>
  <si>
    <t>1.30厚600宽芝麻黑花岗岩流水面
2.石材粘接剂粘结
3.其他说明：详见相关设计图纸、相关要求及规范
4.部位：池壁标准做法二</t>
  </si>
  <si>
    <t>1.30厚300*250芝麻黑花岗岩烧面
2.石材粘接剂粘结
3.其他说明：详见相关设计图纸、相关要求及规范
4.部位：711.3标高平台侧壁防水面</t>
  </si>
  <si>
    <t>水景异形石材收边条</t>
  </si>
  <si>
    <t>1.60厚600*200中国黑光面花岗岩光面按形定制
2.石材粘接剂粘结
3.其他说明：详见相关设计图纸、相关要求及规范</t>
  </si>
  <si>
    <t>水景跌级水瀑立面石材</t>
  </si>
  <si>
    <t>1.55厚150*600中国黑花岗岩光面按形定制
2.石材粘接剂粘结
3.其他说明：详见相关设计图纸、相关要求及规范</t>
  </si>
  <si>
    <t>1.50厚55*600中国黑花岗岩光面按形定制
2.石材粘接剂粘结
3.其他说明：详见相关设计图纸、相关要求及规范</t>
  </si>
  <si>
    <t>385mm高热镀锌钢板止水带</t>
  </si>
  <si>
    <t>1.5厚热镀锌钢板止水带385mm高
2.其他说明：详见相关设计图纸、相关要求及规范</t>
  </si>
  <si>
    <t>285mm高热镀锌钢板止水带</t>
  </si>
  <si>
    <t>1.5厚热镀锌钢板止水带285mm高
2.其他说明：详见相关设计图纸、相关要求及规范</t>
  </si>
  <si>
    <t>1.4厚SBS防水卷材
2.其他说明：详见相关设计图纸、相关要求及规范
3.部位：黑镜不锈钢装饰池壁</t>
  </si>
  <si>
    <t>250mm高黑镜不锈钢装饰池壁</t>
  </si>
  <si>
    <t>1.1.2厚304黑镜不锈钢折弯成型，展开高度350mm
2.内填充PVC发泡板
3.其他说明：详见相关设计图纸、相关要求及规范</t>
  </si>
  <si>
    <t>150mm高黑镜不锈钢装饰池壁</t>
  </si>
  <si>
    <t>1.1.2厚304黑镜不锈钢折弯成型，展开高度250mm
2.内填充PVC发泡板
3.其他说明：详见相关设计图纸、相关要求及规范</t>
  </si>
  <si>
    <t>1.15厚830*200仿芝麻灰荔枝面石英砖
2.30厚1:2.5无碱水泥砂浆结合层
3.其他说明：详见相关设计图纸、相关要求及规范
4.部位：栈桥桥面装饰</t>
  </si>
  <si>
    <t>栈桥热镀锌钢板收边</t>
  </si>
  <si>
    <t>1.2厚热镀锌钢板外喷黑色氟碳漆
2.40*40*3热镀锌角钢@500龙骨，M6膨胀螺丝@500与混凝土桥体连接
3.40厚C25细石砼灌浆
4.其他说明：详见相关设计图纸、相关要求及规范
5.部位：栈桥桥面装饰</t>
  </si>
  <si>
    <t>预埋件</t>
  </si>
  <si>
    <t>1.栏杆预埋件
2.其他说明：详见相关设计图纸、相关要求及规范</t>
  </si>
  <si>
    <t>栈桥栏杆</t>
  </si>
  <si>
    <t>1.30*30*2mm镀锌方管横杆，外喷咖啡色氟碳漆
2.20*20*3mm镀锌方管立杆，外喷咖啡色氟碳漆
3.其他说明：详见相关设计图纸、相关要求及规范</t>
  </si>
  <si>
    <t>水景西池边栏杆</t>
  </si>
  <si>
    <t>1.3mm镀锌钢板按形定制横杆，外喷咖啡色氟碳漆，左右倒R1圆角，上下倒R2圆角
2.上部30*30*3，下部60*60*3镀锌矩形管按形定制，外喷咖啡色氟碳漆
3.其他说明：详见相关设计图纸、相关要求及规范</t>
  </si>
  <si>
    <t>景观置石</t>
  </si>
  <si>
    <t>1.中国黑自然面景观置石，按形开槽
2.采购、安装
3.其他说明：详见相关设计图纸、相关要求及规范</t>
  </si>
  <si>
    <t>中心水景景观周边铺装做法</t>
  </si>
  <si>
    <t>1.素土夯实
2.压实度不小于93%
3.其它满足规范和设计图纸要求</t>
  </si>
  <si>
    <t>1.100厚级配碎石垫层
2.压实度不小于93%
3.其它说明：其它满足规范和设计图纸要求</t>
  </si>
  <si>
    <t>1.混凝土强度等级:50厚C20混凝土垫层
2.混凝土拌合料要求：符合规范要求
3.模板安拆费用计入综合单价，支模方式综合考虑
4.其它满足规范和设计图纸要求</t>
  </si>
  <si>
    <t>地面铺装</t>
  </si>
  <si>
    <t>1.15厚100X100仿福鼎黑水洗面石英砖
2.30厚1:3干硬性水泥砂浆结合层
3.其他说明：详见相关设计图纸、相关要求及规范</t>
  </si>
  <si>
    <t>1.15厚200x200仿芝麻黑荔枝面石英砖
2.30厚1:3干硬性水泥砂浆结合层
3.其他说明：详见相关设计图纸、相关要求及规范</t>
  </si>
  <si>
    <t>1.200x40x27厚小青砖
2.30厚1:3干硬性水泥砂浆结合层
3.其他说明：详见相关设计图纸、相关要求及规范</t>
  </si>
  <si>
    <t>1.15厚300X300仿芝麻灰荔枝面石英砖
2.30厚1:3干硬性水泥砂浆结合层
3.其他说明：详见相关设计图纸、相关要求及规范</t>
  </si>
  <si>
    <t>1.18厚600x1200/900仿雪浪石水洗面石英砖
2.30厚1:3干硬性水泥砂浆结合层
3.其他说明：详见相关设计图纸、相关要求及规范</t>
  </si>
  <si>
    <t>1.15厚600x200仿芝麻灰荔枝面石英砖
2.30厚1:3干硬性水泥砂浆结合层
3.其他说明：详见相关设计图纸、相关要求及规范</t>
  </si>
  <si>
    <t>地面铺装（汀步区域）</t>
  </si>
  <si>
    <t>1.15厚仿芝麻黑荔枝面石英砖异形切割
2.30厚1:3干硬性水泥砂浆结合层
3.其他说明：详见相关设计图纸、相关要求及规范</t>
  </si>
  <si>
    <t>1.15厚200x200仿芝麻黑荔枝面石英砖
弧形加工
2.30厚1:3干硬性水泥砂浆结合层
3.其他说明：详见相关设计图纸、相关要求及规范</t>
  </si>
  <si>
    <t>1.50厚5~10mm细粒式深灰色透水沥青混凝土
2.其他说明：详见相关设计图纸、相关要求及规范</t>
  </si>
  <si>
    <t>1.50厚5~10mm细粒式深灰色透水沥青混凝土/25厚50x100芝麻黑光面弧形加工，30厚1:3干硬性水泥砂浆结合层
2.其他说明：详见相关设计图纸、相关要求及规范</t>
  </si>
  <si>
    <t>金属收边条</t>
  </si>
  <si>
    <t>1.5厚50宽304不锈钢拉丝面，本色金属收边条
2.3厚L30*30角钢，M6金属膨胀螺栓@600与混凝土基层连接
3.其他说明：详见相关设计图纸、相关要求及规范
4.部位：枯山水区域绿化收边条</t>
  </si>
  <si>
    <t>中心廊架</t>
  </si>
  <si>
    <t>中心廊架基础做法</t>
  </si>
  <si>
    <t>挖基坑</t>
  </si>
  <si>
    <t>独立基础</t>
  </si>
  <si>
    <t>1.混凝土强度等级:C30混凝土独立基础
2.混凝土拌合料要求：符合规范要求
3.模板安拆费用计入综合单价，支模方式综合考虑
4.其它满足规范和设计图纸要求</t>
  </si>
  <si>
    <t>矩形柱</t>
  </si>
  <si>
    <t>1.混凝土强度等级:C30混凝土矩形柱
2.规格尺寸：360*360mm
2.混凝土拌合料要求：符合规范要求
3.模板安拆费用计入综合单价，支模方式综合考虑
4.其它满足规范和设计图纸要求</t>
  </si>
  <si>
    <t>柱顶灌浆</t>
  </si>
  <si>
    <t>1.混凝土强度等级:C40无收缩混凝土二次灌浆
2.灌浆厚度：50mm
3.其它满足规范和设计图纸要求</t>
  </si>
  <si>
    <t>中心廊架钢结构做法</t>
  </si>
  <si>
    <t>预埋件/连接板</t>
  </si>
  <si>
    <t>1.预埋件/连接板，防锈漆两遍，面饰氟碳漆喷涂
2.其他说明：详见相关设计图纸、相关要求及规范</t>
  </si>
  <si>
    <t>地脚螺栓</t>
  </si>
  <si>
    <t>1.规格种类：M24地脚螺栓
2.长度：0.92m
3.制作安装
4.其它说明：其他满足规范和图纸设计要求</t>
  </si>
  <si>
    <t>套</t>
  </si>
  <si>
    <t>钢柱</t>
  </si>
  <si>
    <t>1.规格种类：□200*200*8镀锌方钢管，面饰深灰色金属氟碳漆喷砂面
2.制作安装
3.其它说明：其他满足规范和图纸设计要求</t>
  </si>
  <si>
    <t>钢柱插芯</t>
  </si>
  <si>
    <t>1.规格种类：10#镀锌工字钢，防锈漆两遍，面饰氟碳漆喷涂
3.其它说明：其他满足规范和图纸设计要求</t>
  </si>
  <si>
    <t>钢梁</t>
  </si>
  <si>
    <t>1.规格种类：□300x200x6镀锌矩管，面饰氟碳漆喷涂
2.制作安装
3.其它说明：其他满足规范和图纸设计要求</t>
  </si>
  <si>
    <t>1.规格种类：□200x100x6镀锌矩管，面饰氟碳漆喷涂
2.制作安装
3.其它说明：其他满足规范和图纸设计要求</t>
  </si>
  <si>
    <t>钢屋架</t>
  </si>
  <si>
    <t>1.规格种类：□100x4镀锌矩管，面饰氟碳漆喷涂
2.制作安装
3.其它说明：其他满足规范和图纸设计要求</t>
  </si>
  <si>
    <t>1.规格种类：□50x50x3镀锌矩管，面饰氟碳漆喷涂
2.制作安装
3.其它说明：其他满足规范和图纸设计要求</t>
  </si>
  <si>
    <t>屋面板</t>
  </si>
  <si>
    <t>1.铝合金抗风夹
2.屋面板：1.0mm厚铝镁锰合金直立锁边板（矮立边咬合系统65/430型）
3.防水层：0.49mm厚聚乙烯防水透气膜
4.降噪层：6mm通风降噪丝网
5.找平层：0.8mm镀锌钢板
6.保温层：60mm厚，16kg/m3
7.憎水玻璃纤维吸音棉下铺无纺布
8.钢丝网：1.0*25*25
9.底板：0.5mm厚彩色镀锌穿孔吸音压型钢板
10.其它说明：其他满足规范和图纸设计要求</t>
  </si>
  <si>
    <t>屋檐装饰铝板</t>
  </si>
  <si>
    <t>1.3厚铝板面饰深灰色金属氟碳漆喷砂面
2.成品铝扣件连接，密封胶填缝
3.制作安装
4.其它说明：其他满足规范和图纸设计要求</t>
  </si>
  <si>
    <t>亭内装饰铝板</t>
  </si>
  <si>
    <t>1.3厚铝板面饰转印木纹漆
2.成品铝扣件连接，密封胶填缝
3.制作安装
4.其它说明：其他满足规范和图纸设计要求</t>
  </si>
  <si>
    <t>装饰格栅连接件</t>
  </si>
  <si>
    <t>装饰格栅</t>
  </si>
  <si>
    <t>1.规格种类：外框□50x50x3镀锌矩管，内格栅□30x20x2镀锌矩管，面饰氟碳漆喷涂
2.制作安装
3.其它说明：其他满足规范和图纸设计要求</t>
  </si>
  <si>
    <t>牌匾（栖凤亭）</t>
  </si>
  <si>
    <t>1.1.5厚镀锌钢板折弯成型背板，面饰深咖色金属氟碳漆喷砂面
2.1.5厚镀锌钢板折弯成型LOGO，面饰深咖色金属氟碳漆喷砂面
3.10厚*10宽镀锌钢条面饰深咖色金属氟碳漆喷砂面
4.制作安装
5.其它说明：其他满足规范和图纸设计要求</t>
  </si>
  <si>
    <t>中心廊架及台阶平台地面装饰</t>
  </si>
  <si>
    <t>地面铺装（收边）</t>
  </si>
  <si>
    <t>1.25厚200x200芝麻黑花岗岩荔枝面
2.30厚1:3干硬性水泥砂浆结合层
3.其他说明：详见相关设计图纸、相关要求及规范</t>
  </si>
  <si>
    <t>1.15厚600X600仿芝麻灰荔枝面石英砖
2.30厚1:3干硬性水泥砂浆结合层
3.其他说明：详见相关设计图纸、相关要求及规范</t>
  </si>
  <si>
    <t>1.15厚600X200仿芝麻灰荔枝面石英砖
2.30厚1:3干硬性水泥砂浆结合层
3.其他说明：详见相关设计图纸、相关要求及规范</t>
  </si>
  <si>
    <t>中心廊架周边砖砌花池</t>
  </si>
  <si>
    <t>挖沟槽</t>
  </si>
  <si>
    <t>1.150厚级配碎石垫层
2.压实度不小于93%
3.其它说明：其它满足规范和设计图纸要求</t>
  </si>
  <si>
    <t>砖砌花池</t>
  </si>
  <si>
    <t>砖墙面抹灰</t>
  </si>
  <si>
    <t>1.20厚1:2.5防水水泥砂浆掺5%防水剂
2.其它说明：其他满足规范和图纸设计要求
3.部位：砖砌花池内壁粉刷</t>
  </si>
  <si>
    <t>1.30厚600宽芝麻黑花岗岩流水面
2.20厚1:2.5防水水泥砂浆粘接层
3.其他说明：详见相关设计图纸、相关要求及规范
4.部位：砖砌花池池壁</t>
  </si>
  <si>
    <t>1.30厚300*250芝麻黑花岗岩烧面
2.30厚1:2.5防水水泥砂浆粘接层
3.其他说明：详见相关设计图纸、相关要求及规范
4.部位：711.3标高平台侧壁砖砌墙面</t>
  </si>
  <si>
    <t>石材楼地面</t>
  </si>
  <si>
    <t>1.30厚600*300芝麻黑花岗岩烧面
2.30厚1:3干硬性水泥砂浆粘接层
3.其他说明：详见相关设计图纸、相关要求及规范
4.部位：711.3标高平台</t>
  </si>
  <si>
    <t>石材压顶</t>
  </si>
  <si>
    <t>1.50厚600*200芝麻黑花岗岩烧面，侧边倒斜角10*10
2.20厚1:2.5干水泥砂浆粘接层
3.其他说明：详见相关设计图纸、相关要求及规范
4.部位：砖砌花池、混凝土花池</t>
  </si>
  <si>
    <t>中心廊架周边台阶及相邻平台</t>
  </si>
  <si>
    <t>砼台阶</t>
  </si>
  <si>
    <t>1.混凝土强度等级:C20混凝土
2.混凝土拌合料要求：符合规范要求
3.模板安拆费用计入综合单价，支模方式综合考虑
4.其它满足规范和设计图纸要求</t>
  </si>
  <si>
    <t>台阶铺装（平面）</t>
  </si>
  <si>
    <t>1.25厚220/245*600芝麻黑花岗岩烧面
2.30厚1:3干硬性水泥砂浆结合层
3.其他说明：详见相关设计图纸、相关要求及规范</t>
  </si>
  <si>
    <t>台阶铺装（踢面）</t>
  </si>
  <si>
    <t>1.25厚70*300芝麻黑花岗岩烧面
2.30厚1:3干硬性水泥砂浆结合层
3.其他说明：详见相关设计图纸、相关要求及规范</t>
  </si>
  <si>
    <t>台阶踏步压顶</t>
  </si>
  <si>
    <t>1.100厚100*600芝麻黑花岗岩烧面，按形定制
2.30厚1:3干硬性水泥砂浆结合层
3.其他说明：详见相关设计图纸、相关要求及规范</t>
  </si>
  <si>
    <t>中心水景平台至跑到连接处铺装</t>
  </si>
  <si>
    <t>1.15厚200*200 仿芝麻黑荔枝面石英砖
2.30厚1：3干硬性水泥砂浆粘结层
3.其它满足规范和设计图纸要求</t>
  </si>
  <si>
    <t>二十六</t>
  </si>
  <si>
    <t>游园赏景区G-1.01~G-1.04</t>
  </si>
  <si>
    <t>1.素土夯实，夯实度≥93%
2.其它说明：其它满足规范和设计图纸要求</t>
  </si>
  <si>
    <t>1.100厚级配碎石垫层
2.其它说明：其它满足规范和设计图纸要求</t>
  </si>
  <si>
    <t>1.混凝土强度等级:100厚C20混凝土
2.混凝土拌合料要求：符合规范要求
3.模板安拆费用计入综合单价，支模方式综合考虑
4.其它说明：其它满足规范和设计图纸要求</t>
  </si>
  <si>
    <t>1.15厚仿芝麻灰荔枝面石英砖
2.30厚1:3干硬性水泥砂浆粘结层
3.其他说明：其它满足规范和设计图纸要求</t>
  </si>
  <si>
    <t>1.200x40x27厚小青砖
2.30厚1:3干硬性水泥砂浆粘结层
3.其他说明：其它满足规范和设计图纸要求</t>
  </si>
  <si>
    <t>1.18厚仿木纹防滑地砖
2.30厚1:3干硬性水泥砂浆粘结层
3.其他说明：其它满足规范和设计图纸要求</t>
  </si>
  <si>
    <t>1.15厚600*200仿芝麻灰荔枝面石英砖弧形加工/按型加工
2.30厚1:3干硬性水泥砂浆粘结层
3.其他说明：其它满足规范和设计图纸要求</t>
  </si>
  <si>
    <t>1.中国黑自然面景石1500*800*400mm
2.含运输、安装、埋件固定等所有与之相关的费用
3.其他说明：详见相关设计图纸、相关要求及规范</t>
  </si>
  <si>
    <t>1.中国黑自然面景石1300*700*350mm
2.含运输、安装、埋件固定等所有与之相关的费用
3.其他说明：详见相关设计图纸、相关要求及规范</t>
  </si>
  <si>
    <t>台阶石材线条</t>
  </si>
  <si>
    <t>1.100厚芝麻黑花岗岩烧面，按形定制
2.30厚1:3干硬性水泥砂浆粘结层
3.其他说明：其它满足规范和设计图纸要求</t>
  </si>
  <si>
    <t>台阶踏面铺装</t>
  </si>
  <si>
    <t>1.踏面20厚芝麻黑花岗岩烧面
2.30厚1:3干硬性水泥砂浆粘结层
3.其他说明：其它满足规范和设计图纸要求</t>
  </si>
  <si>
    <t>台阶梯踢面铺装</t>
  </si>
  <si>
    <t>1.踢面20厚芝麻黑花岗岩烧面
2.30厚1:3干硬性水泥砂浆粘结层
3.其他说明：其它满足规范和设计图纸要求</t>
  </si>
  <si>
    <t>二十七</t>
  </si>
  <si>
    <t>老年活动区域H-1.01~H-1.05</t>
  </si>
  <si>
    <t>1.15厚仿芝麻黑荔枝面石英砖
2.30厚1:3干硬性水泥砂浆粘结层
3.其他说明：其它满足规范和设计图纸要求</t>
  </si>
  <si>
    <t>枯山水一</t>
  </si>
  <si>
    <t>1.50厚彩色透水混凝土
2.25厚芝麻黑荔枝面
3.25厚1:3水泥砂浆粘结层
4.其他说明：其它满足规范和设计图纸要求</t>
  </si>
  <si>
    <t>不锈钢金属条</t>
  </si>
  <si>
    <t>1.不锈钢收边，5厚50宽304不锈钢拉丝面，本色
2.其他说明：其它满足规范和设计图纸要求</t>
  </si>
  <si>
    <t>坐凳防腐木面层</t>
  </si>
  <si>
    <t>1.95*40厚樟子松防腐木条,倒圆角R=20，间隔3mm
2.3厚50*30镀锌角钢，M8膨胀螺栓固定
3.专用金属扣件，高强自攻螺丝固定
4.5厚50*50方钢管龙骨@230，与角钢焊接
5.其他说明：其它满足规范和设计图纸要求</t>
  </si>
  <si>
    <t>坐凳平面饰面</t>
  </si>
  <si>
    <t>1.30厚芝麻灰花岗石光面
2.20厚1:2.5水泥砂浆粘结层
3.其他说明：其它满足规范和设计图纸要求</t>
  </si>
  <si>
    <t>坐凳立面饰面</t>
  </si>
  <si>
    <t>坐凳砖砌</t>
  </si>
  <si>
    <t>1.Mu10页岩砖，M7.5水泥砂浆砌筑
2.其他说明：其它满足规范和设计图纸要求</t>
  </si>
  <si>
    <t>中国黑自然面景石</t>
  </si>
  <si>
    <t>1.中国黑自然面景石2400*1200*800 mm
2.含运输、安装、埋件固定等所有与之相关的费用
3.其他说明：详见相关设计图纸、相关要求及规范</t>
  </si>
  <si>
    <t>1.中国黑自然面景石1900*700*450mm
2.含运输、安装、埋件固定等所有与之相关的费用
3.其他说明：详见相关设计图纸、相关要求及规范</t>
  </si>
  <si>
    <t>1.中国黑自然面景石1800*900*600 mm
2.含运输、安装、埋件固定等所有与之相关的费用
3.其他说明：详见相关设计图纸、相关要求及规范</t>
  </si>
  <si>
    <t>1.中国黑自然面景石1500*800*350mm
2.含运输、安装、埋件固定等所有与之相关的费用
3.其他说明：详见相关设计图纸、相关要求及规范</t>
  </si>
  <si>
    <t>1.中国黑自然面景石2000*1200*500mm
2.含运输、安装、埋件固定等所有与之相关的费用
3.其他说明：详见相关设计图纸、相关要求及规范</t>
  </si>
  <si>
    <t>1.中国黑自然面景石1800*1200*600mm
2.含运输、安装、埋件固定等所有与之相关的费用
3.其他说明：详见相关设计图纸、相关要求及规范</t>
  </si>
  <si>
    <t>二十八</t>
  </si>
  <si>
    <t>儿童活动区域I-1.01~1.04</t>
  </si>
  <si>
    <t>1.150厚级配碎石垫层
2.其它说明：其它满足规范和设计图纸要求</t>
  </si>
  <si>
    <t>1.混凝土强度等级:100厚C25钢筋砼层，内配三级钢φ10@200单层双向(原浆找平)
2.混凝土拌合料要求：符合规范要求
3.模板安拆费用计入综合单价，支模方式综合考虑
4.其它说明：其它满足规范和设计图纸要求</t>
  </si>
  <si>
    <t>EPDM塑胶地垫</t>
  </si>
  <si>
    <t>1.13厚彩色EPDM塑胶地垫，颜色详见图纸
2.其它说明：其它满足规范和设计图纸要求</t>
  </si>
  <si>
    <t>1.18厚仿芝麻灰荔枝面石英砖
2.30厚1:3干硬性水泥砂浆粘结层
3.其它说明：其它满足规范和设计图纸要求</t>
  </si>
  <si>
    <t>1.中国黑自然面景石1000*700*350mm
2.含运输、安装、埋件固定等所有与之相关的费用
3.其他说明：详见相关设计图纸、相关要求及规范</t>
  </si>
  <si>
    <t>1.30厚芝麻灰花岗石光面(弧段弧形加工)
2.20厚1:2.5水泥砂浆粘结层
3.其他说明：其它满足规范和设计图纸要求</t>
  </si>
  <si>
    <t>二十九</t>
  </si>
  <si>
    <t>健身运动区域J-1.01~1.04、J2.01~2.05</t>
  </si>
  <si>
    <t>1.200厚级配碎石垫层
2.其它说明：其它满足规范和设计图纸要求</t>
  </si>
  <si>
    <t>1.混凝土强度等级:200厚C25混凝土
2.混凝土拌合料要求：符合规范要求
3.模板安拆费用计入综合单价，支模方式综合考虑
4.其它说明：其它满足规范和设计图纸要求</t>
  </si>
  <si>
    <t>彩色混凝土面层</t>
  </si>
  <si>
    <t>1.50厚彩色透水混凝土面层(各色，粒径φ6-7mm)，无色透明密封（双丙聚氨酯密封处理固体份＞40%，进口固化剂）
2.其它说明：其它满足规范和设计图纸要求</t>
  </si>
  <si>
    <t>白色热熔画线漆</t>
  </si>
  <si>
    <t>1.白色热熔画线漆
2.其它说明：其它满足规范和设计图纸要求</t>
  </si>
  <si>
    <t>大样图一</t>
  </si>
  <si>
    <t>1.热熔画线漆涂料(各色)
2.其它满足规范和设计图纸要求</t>
  </si>
  <si>
    <t>组</t>
  </si>
  <si>
    <t>大样图二</t>
  </si>
  <si>
    <t>大样图三</t>
  </si>
  <si>
    <t>大样图四</t>
  </si>
  <si>
    <t>大样图五</t>
  </si>
  <si>
    <t>大样图六</t>
  </si>
  <si>
    <t>大样图七</t>
  </si>
  <si>
    <t>大样图八</t>
  </si>
  <si>
    <t>大样图九</t>
  </si>
  <si>
    <t>大样图十</t>
  </si>
  <si>
    <t>大样图十一</t>
  </si>
  <si>
    <t>大样图十二</t>
  </si>
  <si>
    <t>大样图十三</t>
  </si>
  <si>
    <t>大样图十四</t>
  </si>
  <si>
    <t>大样图十五</t>
  </si>
  <si>
    <t>大样图十六</t>
  </si>
  <si>
    <t>三十</t>
  </si>
  <si>
    <t>休闲康养区区域K1.01~1.04</t>
  </si>
  <si>
    <t>黑色热熔画线漆</t>
  </si>
  <si>
    <t>1.黑色热熔画线漆
2.其它说明：其它满足规范和设计图纸要求</t>
  </si>
  <si>
    <t>1.18厚仿福鼎黑水洗面石英砖
2.30厚1:3干硬性水泥砂浆粘结层
3.其它说明：其它满足规范和设计图纸要求</t>
  </si>
  <si>
    <t>1.18厚仿芝麻黑荔枝面石英砖
2.30厚1:3干硬性水泥砂浆粘结层
3.其它说明：其它满足规范和设计图纸要求</t>
  </si>
  <si>
    <t>成品玻璃钢象棋字</t>
  </si>
  <si>
    <t>1.成品玻璃钢象棋字(各色)，直径650mm，高度300mm
2.含运输、安装、埋件固定等所有与之相关的费用
3.其他说明：详见相关设计图纸、相关要求及规范</t>
  </si>
  <si>
    <t>成品玻璃钢围棋子</t>
  </si>
  <si>
    <t>1.成品玻璃钢围棋子(各色)，直径800mm，中间厚度为250mm，边缘厚度为100mm
2.含运输、安装、埋件固定等所有与之相关的费用
3.其他说明：详见相关设计图纸、相关要求及规范</t>
  </si>
  <si>
    <t>三十一</t>
  </si>
  <si>
    <t>户外会客区区域L1.01~1.04</t>
  </si>
  <si>
    <t>枯山水二</t>
  </si>
  <si>
    <t>1.50厚彩色透水混凝土
2.50x25x3厚镀锌等边角钢，间距@600，M6膨胀螺丝固定
3.1.2厚50x30 304#不锈钢U形槽，本色
4.其他说明：其它满足规范和设计图纸要求</t>
  </si>
  <si>
    <t>1.中国黑自然面景石1000*750*300mm
2.含运输、安装、埋件固定等所有与之相关的费用
3.其他说明：详见相关设计图纸、相关要求及规范</t>
  </si>
  <si>
    <t>1.中国黑自然面景石650*500*300mm
2.含运输、安装、埋件固定等所有与之相关的费用
3.其他说明：详见相关设计图纸、相关要求及规范</t>
  </si>
  <si>
    <t>1.中国黑自然面景石650*250*600mm
2.含运输、安装、埋件固定等所有与之相关的费用
3.其他说明：详见相关设计图纸、相关要求及规范</t>
  </si>
  <si>
    <t>三十二</t>
  </si>
  <si>
    <t>亲子休闲区域M-1.01~1.04、M-2.01~M-2.04</t>
  </si>
  <si>
    <t>三十三</t>
  </si>
  <si>
    <t>东侧次入口区域</t>
  </si>
  <si>
    <t>D-1.01~1.07次入口台地种植池</t>
  </si>
  <si>
    <t>D-1.01~1.03次入口台地区域地面铺装</t>
  </si>
  <si>
    <t>仿雪浪石水洗面石英砖</t>
  </si>
  <si>
    <t>1.18厚900*600/900*500仿雪浪石水洗面石英砖
2.30厚1：3干硬性水泥砂浆结合层
3.其它满足规范和设计图纸要求</t>
  </si>
  <si>
    <t>1.18厚100*100仿福鼎黑水洗面石英砖
2.30厚1：3干硬性水泥砂浆结合层
3.其它满足规范和设计图纸要求</t>
  </si>
  <si>
    <t>仿芝麻黑荔枝面石英砖</t>
  </si>
  <si>
    <t>1.18厚200*200仿芝麻黑荔枝面石英砖
2.30厚1：3干硬性水泥砂浆结合层
3.其它满足规范和设计图纸要求</t>
  </si>
  <si>
    <t>1.18厚900*300仿芝麻灰荔枝面石英砖
2.30厚1：3干硬性水泥砂浆结合层
3.其它满足规范和设计图纸要求</t>
  </si>
  <si>
    <t>黑色机制砾石</t>
  </si>
  <si>
    <t>1.50厚Φ8-10黑色机制砾石粘结固定
2.30厚1：3干硬性水泥砂浆结合层
3.其它满足规范和设计图纸要求</t>
  </si>
  <si>
    <t>D-1.04~1.06种植池</t>
  </si>
  <si>
    <t>1.土壤类别：综合
2.挖土深度：详见图纸设计 
3.弃土运距：自行考虑</t>
  </si>
  <si>
    <t>花池邻土侧</t>
  </si>
  <si>
    <t>1.20厚1:2.5防水水泥砂浆（掺5%防水剂）
2.其它满足规范和设计图纸要求</t>
  </si>
  <si>
    <t>种植池顶面铺装</t>
  </si>
  <si>
    <t>1.压顶70厚芝麻黑花岗石烧面侧边倒斜角10*10，下拉槽20*20
2.20厚1：2.5水泥砂浆结合层
3.其它满足规范和设计图纸要求</t>
  </si>
  <si>
    <t>种植池侧面铺装</t>
  </si>
  <si>
    <t>1.30mm厚芝麻黑花岗石流水面
2.20厚1：2.5水泥砂浆粘结层
3.其它满足规范和设计图纸要求</t>
  </si>
  <si>
    <t>D-1.07挡墙</t>
  </si>
  <si>
    <t>钢筋砼基础</t>
  </si>
  <si>
    <t>1.混凝土强度等级:条形基础，C25混凝土
2.混凝土拌合料要求：符合规范要求
3.模板安拆费用计入综合单价，支模方式综合考虑
4.其它说明：其它满足规范和设计图纸要求</t>
  </si>
  <si>
    <t>钢筋砼挡墙</t>
  </si>
  <si>
    <t>1.混凝土强度等级:240mm厚C25混凝土
2.混凝土拌合料要求：符合规范要求
3.模板安拆费用计入综合单价，支模方式综合考虑
4.其它说明：其它满足规范和设计图纸要求</t>
  </si>
  <si>
    <t>1.混凝土强度等级:240*240厚C25混凝土
2.混凝土拌合料要求：符合规范要求
3.模板安拆费用计入综合单价，支模方式综合考虑
4.其它说明：其它满足规范和设计图纸要求</t>
  </si>
  <si>
    <t>1.现浇构件带肋钢筋HPB300  直径≤10mm
2.含钢筋搭接
3.其它说明：其它满足规范和设计图纸要求</t>
  </si>
  <si>
    <t>1.现浇构件带肋钢筋HRB400  直径=12mm
2.含钢筋搭接
3.其它说明：其它满足规范和设计图纸要求</t>
  </si>
  <si>
    <t>钢栏杆</t>
  </si>
  <si>
    <t>1.栏杆高度：1.1m
2.材质：3厚30*60矩形管横管+3厚60*60矩形管立管+2.5厚30*30矩形管，面饰深咖色金属氟碳漆喷砂面。
3.含预埋件6厚150*150镀锌钢板@610,2Φ10,L=150
4.其它说明：其它满足规范和设计图纸要求</t>
  </si>
  <si>
    <t>挡土墙两侧侧面装饰</t>
  </si>
  <si>
    <t>1.米白色仿石漆饰面，拉槽5*5@100
2.其它满足规范和设计图纸要求</t>
  </si>
  <si>
    <t>挡土墙顶面铺装</t>
  </si>
  <si>
    <t>三十四</t>
  </si>
  <si>
    <t>E-1.01~E1.03/E-2.01~2.09/E-3.01-3.04次入口对景景墙区域</t>
  </si>
  <si>
    <t>E-1.01~1.03次入口对景景墙区域地面铺装</t>
  </si>
  <si>
    <t>1.18厚600*1000仿雪浪石水洗面石英砖
2.30厚1：3干硬性水泥砂浆结合层
3.其它满足规范和设计图纸要求</t>
  </si>
  <si>
    <t>1.18厚300*300仿芝麻灰荔枝面石英砖
2.30厚1：3干硬性水泥砂浆结合层
3.其它满足规范和设计图纸要求</t>
  </si>
  <si>
    <t>E-2.01~2.09次入口对景景墙</t>
  </si>
  <si>
    <t>景墙结构</t>
  </si>
  <si>
    <t>挖沟槽土方</t>
  </si>
  <si>
    <t>条形基础</t>
  </si>
  <si>
    <t>1.混凝土强度等级:C25钢筋混凝土
2.混凝土拌合料要求：符合规范要求
3.模板安拆费用计入综合单价，支模方式综合考虑
4.其它满足规范和设计图纸要求</t>
  </si>
  <si>
    <t>构造柱</t>
  </si>
  <si>
    <t>1.c25钢筋混凝土构造柱，尺寸370mm*370mm
2.混凝土拌合料要求：符合规范要求
3.模板安拆费用计入综合单价，支模方式综合考虑
4.其它满足规范和设计图纸要求</t>
  </si>
  <si>
    <t>砼圈梁及压顶</t>
  </si>
  <si>
    <t>1.c25钢筋混凝土圈梁及压顶，尺寸370*240,370*180,370*250
2.混凝土拌合料要求：符合规范要求
3.模板安拆费用计入综合单价，支模方式综合考虑
4.其它满足规范和设计图纸要求</t>
  </si>
  <si>
    <t>砖砌体</t>
  </si>
  <si>
    <t>1.砖品种、规格、强度等级：MU10页岩砖，宽370mm
2.基础类型：砖墙
3.砂浆强度等级：M7.5水泥砂浆
4.其它说明：其他满足规范和图纸设计要求</t>
  </si>
  <si>
    <t>景墙墙面装饰</t>
  </si>
  <si>
    <t>仿石漆饰面</t>
  </si>
  <si>
    <t>1.部位：景墙背面，外喷米白色仿石漆饰面
2.外墙刮腻子2-3遍，干后砂平
3.20厚1：2.5水泥砂浆找平
4.其它满足规范和设计图纸要求</t>
  </si>
  <si>
    <t>镀锌钢板</t>
  </si>
  <si>
    <t>1.部位：景墙顶面+侧面
2.2厚镀锌钢板按形折弯，面饰深咖啡色金属氟碳漆喷砂面
3.做法详见大样图1、4、5
4.其它满足规范和设计图纸要求</t>
  </si>
  <si>
    <t>山水造型镀锌钢板</t>
  </si>
  <si>
    <t>1.部位：景墙正面，2厚镀锌钢板按型加工，面饰金属氟碳漆喷砂面
2.5厚50*50热镀锌角钢，M8膨胀螺栓固定@600,3厚热镀锌肋板@600
3.做法详见大样图10
4.其它满足规范和设计图纸要求</t>
  </si>
  <si>
    <t>1.部位：景墙正面
2.2厚镀锌钢板按形折弯，面饰深咖啡色金属氟碳漆喷砂面
3.做法详见大样图2、8
4.其它满足规范和设计图纸要求</t>
  </si>
  <si>
    <t>圆月造型</t>
  </si>
  <si>
    <t>1.部位：景墙正面
2.5厚米黄色透光云石板，专业胶粘固定；3厚热镀锌钢板U型盒子，M8膨胀螺栓固定；2厚镀锌钢板按形折弯，面饰深咖啡色金属氟碳漆喷砂面
3.做法详见大样图3、9
4.其它满足规范和设计图纸要求</t>
  </si>
  <si>
    <t>条形壁灯</t>
  </si>
  <si>
    <t>1.部位：景墙正面
2.5厚米黄色亚克力透光板+2厚镀锌钢板回纹固定；3厚热镀锌钢板U型盒子，M8膨胀螺栓固定；2厚镀锌钢板面饰深咖啡色金属氟碳漆喷砂面
3.做法详见E-2.07节点6条形壁灯大样图
4.其它满足规范和设计图纸要求</t>
  </si>
  <si>
    <t>1.部位：景墙正面
2.25厚400*600芝麻白花岗石荔枝面干挂，表面拉5*5槽间距100；5厚50*50热镀锌角钢，M8膨胀螺栓固定@600。
3.做法详见图纸设计
4.其它满足规范和设计图纸要求</t>
  </si>
  <si>
    <t>1.部位：景墙正面
2.25厚400*600芝麻白花岗石荔枝面（铜丝缠挂），表面拉5*5槽间距100。
3.做法详见图纸设计
4.其它满足规范和设计图纸要求</t>
  </si>
  <si>
    <t>LOGO字体</t>
  </si>
  <si>
    <t>1.部位：景墙正面LOGO字体：明月松间照，清泉石上流，中浩德
2.1厚304#拉丝面不锈钢，电镀深咖色凸出墙面20mm、电镀红色凸出墙面10mm，由专业厂家制作安装。
3.其它满足规范和设计图纸要求</t>
  </si>
  <si>
    <t>花池结构及装饰</t>
  </si>
  <si>
    <t>1.150厚级配碎石垫层，密实度≥0.93
2.其它满足规范和设计图纸要求</t>
  </si>
  <si>
    <t>花池顶面饰面</t>
  </si>
  <si>
    <t>1.面层：50厚600*300芝麻黑花岗石烧面侧边斜倒角10*10
2.30厚1:2.5水泥砂浆粘结层
3.其它满足规范和设计图纸要求</t>
  </si>
  <si>
    <t>花池侧面饰面</t>
  </si>
  <si>
    <t>1.面层：30厚600*920、600*770芝麻黑花岗石流水面
2.30厚1:2.5水泥砂浆粘结层
3.其它满足规范和设计图纸要求</t>
  </si>
  <si>
    <t>E-3.01-3.04台阶挡墙详图</t>
  </si>
  <si>
    <t>1.部位：台阶平台+踏步
2.素土夯实，密实度≥0.93
3.其它满足规范和设计图纸要求</t>
  </si>
  <si>
    <t>1.部位：台阶平台+踏步
2.混凝土强度等级:100厚C20混凝土
3.混凝土拌合料要求：符合规范要求
4.模板安拆费用计入综合单价，支模方式综合考虑
5.其它满足规范和设计图纸要求</t>
  </si>
  <si>
    <t>1.部位：台阶平台+踏步
2.150厚级配碎石垫层，密实度≥0.93
3.其它满足规范和设计图纸要求</t>
  </si>
  <si>
    <t>1.15厚600*200仿芝麻黑荔枝面石英砖
2.30厚1：3干硬性水泥砂浆粘结层
3.其它满足规范和设计图纸要求</t>
  </si>
  <si>
    <t>1.25厚245*600芝麻黑花岗岩烧面
2.30厚1：3干硬性水泥砂浆粘结层
3.其它满足规范和设计图纸要求</t>
  </si>
  <si>
    <t>台阶踢面铺装</t>
  </si>
  <si>
    <t>1.25厚70*300芝麻黑花岗岩烧面
2.30厚1：3干硬性水泥砂浆粘结层
3.其它满足规范和设计图纸要求</t>
  </si>
  <si>
    <t>台阶防滑条</t>
  </si>
  <si>
    <t>1.100厚100*600芝麻黑花岗岩烧面，按型定制
2.30厚1：3干硬性水泥砂浆粘结层
3.其它满足规范和设计图纸要求</t>
  </si>
  <si>
    <t>1.部位：外喷深灰色仿石漆饰面
2.外墙刮腻子2-3遍，干后砂平
3.其它满足规范和设计图纸要求</t>
  </si>
  <si>
    <t>挡墙顶面</t>
  </si>
  <si>
    <t>1.面层：70厚600*200芝麻黑花岗石烧面下拉槽20*20
2.30厚1:2.5水泥砂浆粘结层
3.其它满足规范和设计图纸要求</t>
  </si>
  <si>
    <t>三十五</t>
  </si>
  <si>
    <t>主入口铺装</t>
  </si>
  <si>
    <t>芝麻黑花岗石荔枝面</t>
  </si>
  <si>
    <t>1、25厚200x200 芝麻黑花岗石荔枝面
2.30厚1：3干硬性水泥砂浆粘结层
3.其它满足规范和设计图纸要求</t>
  </si>
  <si>
    <t>福鼎黑花岗石水洗面</t>
  </si>
  <si>
    <t>1、25厚100x100 福鼎黑花岗石水洗面
2.30厚1：3干硬性水泥砂浆粘结层
3.其它满足规范和设计图纸要求</t>
  </si>
  <si>
    <t>芝麻灰花岗石荔枝面</t>
  </si>
  <si>
    <t>1、30厚900x300 芝麻灰花岗石荔枝面
2.30厚1：3干硬性水泥砂浆粘结层
3.其它满足规范和设计图纸要求</t>
  </si>
  <si>
    <t>雪浪石花岗石水洗面</t>
  </si>
  <si>
    <t>1、30厚600x900 雪浪石花岗石水洗面
2.30厚1：3干硬性水泥砂浆粘结层
3.其它满足规范和设计图纸要求</t>
  </si>
  <si>
    <t>1、16厚600x300 仿芝麻灰荔枝面石英砖
2.30厚1：3干硬性水泥砂浆粘结层
3.其它满足规范和设计图纸要求</t>
  </si>
  <si>
    <t>芝麻黑花岗岩烧面</t>
  </si>
  <si>
    <t>1、50厚600X750芝麻黑花岗岩烧面
2.30厚1：3干硬性水泥砂浆粘结层
3.其它满足规范和设计图纸要求</t>
  </si>
  <si>
    <t>1、50厚600X200芝麻黑花岗岩烧面
2.30厚1：3干硬性水泥砂浆粘结层
3.其它满足规范和设计图纸要求</t>
  </si>
  <si>
    <t>1、踏面：100厚375x900芝麻黑花岗岩烧面
2.30厚1：3干硬性水泥砂浆粘结层
3.其它满足规范和设计图纸要求</t>
  </si>
  <si>
    <t>1、踏面：100厚400x900芝麻黑花岗岩烧面
2.30厚1：3干硬性水泥砂浆粘结层
3.其它满足规范和设计图纸要求</t>
  </si>
  <si>
    <t>1、25厚300x300 芝麻灰花岗石荔枝面
2.30厚1：3干硬性水泥砂浆粘结层
3.其它满足规范和设计图纸要求</t>
  </si>
  <si>
    <t>1、25厚200x200 芝麻灰花岗石荔枝面
2.30厚1：3干硬性水泥砂浆粘结层
3.其它满足规范和设计图纸要求</t>
  </si>
  <si>
    <t>1.30厚AC-10细粒式沥青混凝土层，pc-3乳化沥青沾层（0.3-0.6L/M）
2、50厚AC-15 中粒式透水沥青砼层，聚酯纤维布 热沥青粘油层（后期加铺）
2.具体做法详见图纸设计
3.其它满足规范和设计图纸要求</t>
  </si>
  <si>
    <t>路沿石</t>
  </si>
  <si>
    <t>1、路沿石：600X150X170 芝麻灰花岗石光面
2.30厚1:3水泥砂浆粘接层,1:3水泥砂浆卧牢
3.其他说明：其它满足规范和设计图纸要求</t>
  </si>
  <si>
    <t>1.混凝土强度等级:200厚C25砼垫层
2.混凝土拌合料要求：符合规范要求
3.模板安拆费用计入综合单价，支模方式综合考虑
4.其它满足规范和设计图纸要求</t>
  </si>
  <si>
    <t>三十六</t>
  </si>
  <si>
    <t>主人口台阶</t>
  </si>
  <si>
    <t>芝麻黑花岗石烧面</t>
  </si>
  <si>
    <t>1、25厚900x530芝麻黑花岗石烧面
2.30厚1：3干硬性水泥砂浆粘结层
3.其它满足规范和设计图纸要求</t>
  </si>
  <si>
    <t>芝麻黑花岗石烧面台阶</t>
  </si>
  <si>
    <t>1、170厚100x600芝麻黑花岗石烧面,按形定制
2.30厚1：3干硬性水泥砂浆粘结层
3.其它满足规范和设计图纸要求</t>
  </si>
  <si>
    <t>黑花岗石喷砂面</t>
  </si>
  <si>
    <t>1、30厚900X600芝麻黑花岗石喷砂面
2.30厚1：3干硬性水泥砂浆粘结层
3.其它满足规范和设计图纸要求</t>
  </si>
  <si>
    <t>1、50厚900X350芝麻黑花岗岩烧面
2.30厚1：3干硬性水泥砂浆粘结层
3.其它满足规范和设计图纸要求</t>
  </si>
  <si>
    <t>成品灯具</t>
  </si>
  <si>
    <t>成品灯具（1200*1200*540）详见图纸N-6.03</t>
  </si>
  <si>
    <t>1、25厚900X300芝麻黑花岗岩烧面（按型切割）
2.30厚1：3干硬性水泥砂浆粘结层
3.其它满足规范和设计图纸要求</t>
  </si>
  <si>
    <t>镀锌钢板花纹</t>
  </si>
  <si>
    <t>镀锌钢板花纹
1、1.5厚镀锌钢板激光镂空雕刻花纹，面饰浅咖色金属氟碳漆喷砂面喷砂面与金属背板胶粘固定（未填充部分为镂空部分）
2、2厚镀锌钢板，面饰深咖啡色金属氟碳漆喷砂面</t>
  </si>
  <si>
    <t>雕刻浮雕云纹</t>
  </si>
  <si>
    <t>1、50厚芝麻白花岗石光面机器雕刻浮雕云纹
2.30厚1：3干硬性水泥砂浆粘结层
3.其它满足规范和设计图纸要求</t>
  </si>
  <si>
    <t>1、25厚200x200芝麻黑花岗石荔枝面
2.30厚1：3干硬性水泥砂浆粘结层
3.其它满足规范和设计图纸要求</t>
  </si>
  <si>
    <t>c20砼垫层100厚</t>
  </si>
  <si>
    <t>100厚级配碎石垫层（密度≥93%）</t>
  </si>
  <si>
    <t>1、直径10mm三级钢，单层双向钢筋 间距150
2、跨地库边2m范围内
3、其它满足规范和设计图纸要求</t>
  </si>
  <si>
    <t>三十七</t>
  </si>
  <si>
    <t>主入口景墙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</si>
  <si>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、外喷米白色仿石材漆，拉</t>
    </r>
    <r>
      <rPr>
        <sz val="8"/>
        <rFont val="Arial"/>
        <charset val="134"/>
      </rPr>
      <t>5*5</t>
    </r>
    <r>
      <rPr>
        <sz val="8"/>
        <rFont val="宋体"/>
        <charset val="134"/>
      </rPr>
      <t>槽@100
2、刮外墙腻子</t>
    </r>
    <r>
      <rPr>
        <sz val="8"/>
        <rFont val="Arial"/>
        <charset val="134"/>
      </rPr>
      <t>2-3</t>
    </r>
    <r>
      <rPr>
        <sz val="8"/>
        <rFont val="宋体"/>
        <charset val="134"/>
      </rPr>
      <t>遍，干后砂平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</t>
    </r>
    <r>
      <rPr>
        <sz val="8"/>
        <rFont val="Arial"/>
        <charset val="134"/>
      </rPr>
      <t>10</t>
    </r>
    <r>
      <rPr>
        <sz val="8"/>
        <rFont val="宋体"/>
        <charset val="134"/>
      </rPr>
      <t>厚</t>
    </r>
    <r>
      <rPr>
        <sz val="8"/>
        <rFont val="Arial"/>
        <charset val="134"/>
      </rPr>
      <t>1</t>
    </r>
    <r>
      <rPr>
        <sz val="8"/>
        <rFont val="宋体"/>
        <charset val="134"/>
      </rPr>
      <t>：</t>
    </r>
    <r>
      <rPr>
        <sz val="8"/>
        <rFont val="Arial"/>
        <charset val="134"/>
      </rPr>
      <t>2</t>
    </r>
    <r>
      <rPr>
        <sz val="8"/>
        <rFont val="宋体"/>
        <charset val="134"/>
      </rPr>
      <t>水泥砂浆找平铁模压光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</t>
    </r>
    <r>
      <rPr>
        <sz val="8"/>
        <rFont val="Arial"/>
        <charset val="134"/>
      </rPr>
      <t>15</t>
    </r>
    <r>
      <rPr>
        <sz val="8"/>
        <rFont val="宋体"/>
        <charset val="134"/>
      </rPr>
      <t>厚</t>
    </r>
    <r>
      <rPr>
        <sz val="8"/>
        <rFont val="Arial"/>
        <charset val="134"/>
      </rPr>
      <t>1:3</t>
    </r>
    <r>
      <rPr>
        <sz val="8"/>
        <rFont val="宋体"/>
        <charset val="134"/>
      </rPr>
      <t>水泥砂浆打底扫光或划出纹道（掺</t>
    </r>
    <r>
      <rPr>
        <sz val="8"/>
        <rFont val="Arial"/>
        <charset val="134"/>
      </rPr>
      <t>5%</t>
    </r>
    <r>
      <rPr>
        <sz val="8"/>
        <rFont val="宋体"/>
        <charset val="134"/>
      </rPr>
      <t>防水剂）</t>
    </r>
    <r>
      <rPr>
        <sz val="8"/>
        <rFont val="Arial"/>
        <charset val="134"/>
      </rPr>
      <t xml:space="preserve">
5</t>
    </r>
    <r>
      <rPr>
        <sz val="8"/>
        <rFont val="宋体"/>
        <charset val="134"/>
      </rPr>
      <t>、其它满足规范和设计图纸要求</t>
    </r>
  </si>
  <si>
    <t>混凝土台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</si>
  <si>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</t>
    </r>
    <r>
      <rPr>
        <sz val="8"/>
        <rFont val="Arial"/>
        <charset val="134"/>
      </rPr>
      <t>C20</t>
    </r>
    <r>
      <rPr>
        <sz val="8"/>
        <rFont val="宋体"/>
        <charset val="134"/>
      </rPr>
      <t>细石混凝土台</t>
    </r>
    <r>
      <rPr>
        <sz val="8"/>
        <rFont val="Arial"/>
        <charset val="134"/>
      </rPr>
      <t xml:space="preserve">
2.</t>
    </r>
    <r>
      <rPr>
        <sz val="8"/>
        <rFont val="宋体"/>
        <charset val="134"/>
      </rPr>
      <t>混凝土拌合料要求：符合规范要求</t>
    </r>
    <r>
      <rPr>
        <sz val="8"/>
        <rFont val="Arial"/>
        <charset val="134"/>
      </rPr>
      <t xml:space="preserve">
3.</t>
    </r>
    <r>
      <rPr>
        <sz val="8"/>
        <rFont val="宋体"/>
        <charset val="134"/>
      </rPr>
      <t>模板安拆费用计入综合单价，支模方式综合考虑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、其它满足规范和设计图纸要求</t>
    </r>
  </si>
  <si>
    <t>钢格栅</t>
  </si>
  <si>
    <t>1、3厚100x100热镀锌矩管，面饰深咖啡色金属氟碳漆喷砂面
2、3厚50x50热镀锌矩管，面饰深咖啡色金属氟碳漆喷砂面
3、10厚200*200钢板@600 预埋直径4钢筋L=100
4、其它满足规范和设计图纸要求</t>
  </si>
  <si>
    <t>钢格栅 半圆形造型</t>
  </si>
  <si>
    <t>1、定制4厚240x120镀锌矩管，面饰深咖啡色金属氟碳漆喷砂面
2、3厚镀锌钢板按形折弯，面饰深咖啡色金属氟碳漆喷砂面
3、2厚30x30热镀锌矩管，面饰深咖啡色金属氟碳漆喷砂面
4、其它满足规范和设计图纸要求</t>
  </si>
  <si>
    <t>金属墙面</t>
  </si>
  <si>
    <t>1、3厚镀锌钢板按形折弯，面饰深咖啡色金属氟碳漆喷砂面
2、其它满足规范和设计图纸要求</t>
  </si>
  <si>
    <t>鸾鸟造型压顶</t>
  </si>
  <si>
    <t>1、3厚镀锌钢板按形折弯，面饰深咖啡色金属氟碳漆喷砂面，墙顶造型，长4525，高380
2、其它满足规范和设计图纸要求</t>
  </si>
  <si>
    <t>格栅展示墙灯具</t>
  </si>
  <si>
    <t>1、格栅展示墙灯具总高度2550mm，详见图纸N-5.02
2、其它满足规范和设计图纸要求</t>
  </si>
  <si>
    <t>三十八</t>
  </si>
  <si>
    <t>入口种植池</t>
  </si>
  <si>
    <t>1、MU10页岩砖，M7.5水泥砂浆砌筑
2、15厚1:3水泥砂浆防潮层（掺5%防水剂）
3、20厚1:2.5防水水泥砂浆（掺2%防水剂）
4.其它说明：其它满足规范和设计图纸要求</t>
  </si>
  <si>
    <t>芝麻黑花岗岩面层</t>
  </si>
  <si>
    <t>1、25厚600宽 芝麻黑花岗岩烧面上拉10x20凹槽
2、25厚1:2.5水泥砂浆粘结层
3、其它说明：其它满足规范和设计图纸要求</t>
  </si>
  <si>
    <t>三十九</t>
  </si>
  <si>
    <t>主入口装饰</t>
  </si>
  <si>
    <t>雪浪石花岗岩水洗面 地面</t>
  </si>
  <si>
    <t>1、30厚250*600 雪浪石花岗岩水洗面 地面
2、25厚1:2.5水泥砂浆粘结层
3、3.其它说明：其它满足规范和设计图纸要求</t>
  </si>
  <si>
    <t>芝麻黑花岗岩喷砂面 地面</t>
  </si>
  <si>
    <t>1、30厚1200*600 芝麻黑花岗岩喷砂面 地面
2、25厚1:2.5水泥砂浆粘结层
3、其它说明：其它满足规范和设计图纸要求</t>
  </si>
  <si>
    <t>接待台</t>
  </si>
  <si>
    <t>1、黑色火烧岩仿古砖接待台（含logo字体）
2、其它说明：其它满足规范和设计图纸要求</t>
  </si>
  <si>
    <t>夹绢钢化玻璃屏风</t>
  </si>
  <si>
    <t>1、20宽2厚304#不锈钢拉丝面深咖色、
2、12+1.52PVB+12夹绢钢化玻璃屏风（含埋件）
3、其它说明：其它满足规范和设计图纸要求</t>
  </si>
  <si>
    <t>成品电动门</t>
  </si>
  <si>
    <t>1、成品电动门，玻璃内侧贴石材纹理磨砂膜
2、其它说明：其它满足规范和设计图纸要求</t>
  </si>
  <si>
    <t>人口钢格栅  大样四详图4/O-1.13</t>
  </si>
  <si>
    <t>1、3厚20x20热镀锌矩管,面饰浅咖色金属氟碳漆@40
2、2厚热镀锌钢板 面饰浅咖色金属氟碳漆
3、5厚60x120热镀锌矩管 入口格栅（含不锈钢成品装饰花雕）
4、40*5厚镀锌角钢@500
5、2厚304不锈钢板拉丝面电镀深咖色
6、其它说明：其它满足规范和设计图纸要求</t>
  </si>
  <si>
    <t>M2</t>
  </si>
  <si>
    <t>钢格栅  （电动门处格栅） 大样二详图2/O-1.13</t>
  </si>
  <si>
    <t>1、5厚镀锌钢板弯折面饰浅咖色金属氟碳漆喷砂面
2、2厚30X20镀锌矩管@70面饰浅咖色金属氟碳漆喷砂面
3、格栅内部：8+1.14PVB+8夹胶钢化玻璃
4、5厚50*100镀锌矩管面饰浅咖色金属氟碳漆喷砂面
5、2厚30X20镀锌矩管面饰浅咖色金属氟碳漆喷砂面
6、100*5厚热镀锌矩管、2厚304不锈钢拉丝面电镀深咖色按形折
7、其它说明：其它满足规范和设计图纸要求</t>
  </si>
  <si>
    <t>钢格栅（东西山墙）大样2详图9/O-1.13</t>
  </si>
  <si>
    <t>1、5厚镀锌钢板弯折面饰浅咖色金属氟碳漆喷砂面
2、2厚30X20镀锌矩管@70面饰浅咖色金属氟碳漆喷砂面
3、格栅内部：8+1.14PVB+8夹胶钢化玻璃（大样详图九）
4、5厚50*100镀锌矩管面饰浅咖色金属氟碳漆喷砂面
5、2厚30X20镀锌矩管面饰浅咖色金属氟碳漆喷砂面
6、5厚热镀锌矩管按形折面饰浅咖色金属氟碳漆喷砂面
7、其它说明：其它满足规范和设计图纸要求</t>
  </si>
  <si>
    <t>吊顶</t>
  </si>
  <si>
    <t>1、20宽2厚304#不锈钢装饰条拉丝面电镀深咖色结构胶粘接
2、2厚304#不锈钢板镜面电镀深褐色
3、白色石膏板吊顶
4、3厚转印木纹深咖色铝板,按型折。%%c10吊杆
5、其它说明：其它满足规范和设计图纸要求</t>
  </si>
  <si>
    <t>屋顶</t>
  </si>
  <si>
    <t>1、2.5厚铝板,面饰深灰色金属氟碳漆喷砂面
按型折       
2、其它说明：其它满足规范和设计图纸要求</t>
  </si>
  <si>
    <t>屋脊</t>
  </si>
  <si>
    <t>1、深灰色铝镁锰屋脊板
2、其它说明：其它满足规范和设计图纸要求</t>
  </si>
  <si>
    <t>天沟</t>
  </si>
  <si>
    <t>1、天沟：2厚304#不锈钢深咖色
2、含钢架及预埋件
3、其它说明：其它满足规范和设计图纸要求</t>
  </si>
  <si>
    <t>挑檐</t>
  </si>
  <si>
    <t>1、2.5厚铝板,面饰深咖色金属氟碳漆喷砂面（含20宽2厚304#不锈钢装饰条拉丝面电镀深咖色）
2、含钢架及预埋件
3、其它说明：其它满足规范和设计图纸要求</t>
  </si>
  <si>
    <t>檐口矩形钢管造型</t>
  </si>
  <si>
    <t>1、2厚30x30热镀锌矩管 面饰浅咖色金属氟碳漆@80
2、其它说明：其它满足规范和设计图纸要求</t>
  </si>
  <si>
    <t>檐口饰物 见详图4/O-1.16、5/O-1.16</t>
  </si>
  <si>
    <t>1、2厚304#不锈钢拉丝面电镀深咖色，檐口饰物，尺寸1000*188*80
2、其它说明：其它满足规范和设计图纸要求</t>
  </si>
  <si>
    <t>檐口饰物 见详图6/O-1.16、7/O-1.16</t>
  </si>
  <si>
    <t>1、2厚304#不锈钢拉丝面电镀深咖色,按型折，檐口饰物，尺寸1100*493*200
2、其它说明：其它满足规范和设计图纸要求</t>
  </si>
  <si>
    <t>牌匾   见详图3/O-1.16</t>
  </si>
  <si>
    <t>1、不锈钢字体LOGO电镀黄铜，1.2厚不锈钢板电镀紫铜
2、其它说明：其它满足规范和设计图纸要求</t>
  </si>
  <si>
    <t>1、20厚1:2.5低碱水泥砂浆，内挂A3钢丝网
2、25厚600x600芝麻白花岗石荔枝面
3、其它说明：其它满足规范和设计图纸要求</t>
  </si>
  <si>
    <t>不锈钢金属条 门卫室外墙装饰线条</t>
  </si>
  <si>
    <t>1、2厚304#不锈钢拉丝面电镀深咖色 按形弯折
2、其它说明：其它满足规范和设计图纸要求</t>
  </si>
  <si>
    <t>真石漆</t>
  </si>
  <si>
    <t>1、仿芝麻白真石漆
2、其它说明：其它满足规范和设计图纸要求</t>
  </si>
  <si>
    <t>墙面装饰</t>
  </si>
  <si>
    <t>1、12+1.52PVB+12夹胶钢化玻璃、
2、2厚304#不锈钢拉丝面电镀深咖色格栅
3、其它说明：其它满足规范和设计图纸要求</t>
  </si>
  <si>
    <t>干挂大理石瓷砖</t>
  </si>
  <si>
    <t>1、40x5厚镀锌角钢成品干挂件、
2、600x900x10厚仿爵士白大理石瓷砖、20宽30宽2厚304#不锈钢装饰条拉丝面电镀深咖色胶粘于墙上
3、其它说明：其它满足规范和设计图纸要求</t>
  </si>
  <si>
    <t>内墙不锈钢装饰</t>
  </si>
  <si>
    <t>1、2厚304#不锈钢拉丝面深咖色
2、20x3厚镀锌角钢@500 M6膨胀螺栓固定@500
3、其它说明：其它满足规范和设计图纸要求</t>
  </si>
  <si>
    <t>干挂仿爵士白大理石瓷砖（内墙）</t>
  </si>
  <si>
    <t>1、40x5厚镀锌角钢
2、600x900x10厚仿爵士白大理石瓷砖成品干挂件
3、40x5厚镀锌角钢 M6膨胀螺栓固定@500
4、其它说明：其它满足规范和设计图纸要求</t>
  </si>
  <si>
    <t>乳胶漆</t>
  </si>
  <si>
    <t xml:space="preserve">1、20厚1:2.5低碱水泥砂浆面饰白色乳胶漆涂料
2、其它说明：其它满足规范和设计图纸要求
</t>
  </si>
  <si>
    <t>铝合金门窗</t>
  </si>
  <si>
    <t>1、断桥铝合金
2、玻璃为5+12+5中空玻璃
3、其它说明：其它满足规范和设计图纸要求</t>
  </si>
  <si>
    <t>四十</t>
  </si>
  <si>
    <t>迎宾水景</t>
  </si>
  <si>
    <t>水景部分</t>
  </si>
  <si>
    <t>水池壁+水池底砼</t>
  </si>
  <si>
    <t>1、150厚P6 C25抗渗钢筋混凝土
2.混凝土拌合料要求：符合规范要求
3.模板安拆费用计入综合单价，支模方式综合考虑
4、其它满足规范和设计图纸要求</t>
  </si>
  <si>
    <t>防水砂浆找平层</t>
  </si>
  <si>
    <t xml:space="preserve">1.20厚1:2.5水泥砂浆找平层
2.其他说明：详见相关设计图纸、相关要求及规范
3.部位：池壁、池底做法
</t>
  </si>
  <si>
    <t>卷材防水</t>
  </si>
  <si>
    <t>1.4厚SBS防水卷材
2.其他说明：详见相关设计图纸、相关要求及规范
3.部位：池壁、池底做法</t>
  </si>
  <si>
    <t>防水砂浆保护</t>
  </si>
  <si>
    <t xml:space="preserve">1.20厚1:2.5水泥砂浆找平层
2.其他说明：详见相关设计图纸、相关要求及规范
</t>
  </si>
  <si>
    <t>砌体</t>
  </si>
  <si>
    <t>1、Mu10页岩砖M7.5水泥砂浆砌筑
2、其它说明：其它满足规范和设计图纸要求</t>
  </si>
  <si>
    <t>砖墙面粉刷</t>
  </si>
  <si>
    <t>1、20厚1:2.5水泥砂浆内掺5%防水剂
2、其它说明：其它满足规范和设计图纸要求</t>
  </si>
  <si>
    <t>中国黑瓷砖面层</t>
  </si>
  <si>
    <t>1、10厚600X600仿中国黑瓷砖，万能支撑器
2、其它说明：其它满足规范和设计图纸要求</t>
  </si>
  <si>
    <t>跌水石材 P-2.02/3，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</si>
  <si>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</t>
    </r>
    <r>
      <rPr>
        <sz val="8"/>
        <rFont val="Arial"/>
        <charset val="134"/>
      </rPr>
      <t>50</t>
    </r>
    <r>
      <rPr>
        <sz val="8"/>
        <rFont val="宋体"/>
        <charset val="134"/>
      </rPr>
      <t>厚中国黑花岗光面石按形定制</t>
    </r>
    <r>
      <rPr>
        <sz val="8"/>
        <rFont val="Arial"/>
        <charset val="134"/>
      </rPr>
      <t xml:space="preserve">
2</t>
    </r>
    <r>
      <rPr>
        <sz val="8"/>
        <rFont val="宋体"/>
        <charset val="134"/>
      </rPr>
      <t>、其它说明：其它满足规范和设计图纸要求</t>
    </r>
  </si>
  <si>
    <t>跌水石材 P-2.02/4，</t>
  </si>
  <si>
    <t>泵坑部分</t>
  </si>
  <si>
    <t>池壁+池底砼+池顶</t>
  </si>
  <si>
    <t>1.150厚级配碎石垫层
2.素土夯实，密实度≥93%%%
3.其它说明：其它满足规范和设计图纸要求</t>
  </si>
  <si>
    <t>排水沟壁+排水沟底砼</t>
  </si>
  <si>
    <t>砾石散铺</t>
  </si>
  <si>
    <t>1、40厚粒径c5~10黑色机制砾石散置
2、直径4不锈钢丝网一层
3、其他说明：详见相关设计图纸、相关要求及规范</t>
  </si>
  <si>
    <t>高分子篦子</t>
  </si>
  <si>
    <t>1、30厚600X600高分子篦子
2、其他说明：详见相关设计图纸、相关要求及规范</t>
  </si>
  <si>
    <t>水景后面基础</t>
  </si>
  <si>
    <t>水泥砂浆保护层</t>
  </si>
  <si>
    <t xml:space="preserve">1.20厚1:2.5水泥砂浆抹光
2.其他说明：详见相关设计图纸、相关要求及规范
</t>
  </si>
  <si>
    <t>灯下基础</t>
  </si>
  <si>
    <t>砼基础</t>
  </si>
  <si>
    <t>预埋管</t>
  </si>
  <si>
    <t>1、110PVC连通管
2.其他说明：详见相关设计图纸、相关要求及规范</t>
  </si>
  <si>
    <t>回形纹</t>
  </si>
  <si>
    <t>1、2厚镀锌钢板面饰深咖色金属氟碳漆喷砂面
2、1.5m厚镀锌钢板激光镂空雕刻回纹
3、回纹 P-2.05/7
4、其他说明：详见相关设计图纸、相关要求及规范</t>
  </si>
  <si>
    <t>中国黑光面</t>
  </si>
  <si>
    <t>1.20厚60X600中国黑光面
2.30厚1:3干硬性水泥砂浆粘结层
3.其它说明：其它满足规范和设计图纸要求</t>
  </si>
  <si>
    <t>芝麻灰烧面</t>
  </si>
  <si>
    <t>1.50厚300X600芝麻灰烧面
2.30厚1:3干硬性水泥砂浆粘结层
3.其它说明：其它满足规范和设计图纸要求</t>
  </si>
  <si>
    <t>芝麻灰烧面按形定制</t>
  </si>
  <si>
    <t>1.50厚600X300芝麻灰烧面按形定制
2.30厚1:3干硬性水泥砂浆粘结层
3.其它说明：其它满足规范和设计图纸要求</t>
  </si>
  <si>
    <t>芝麻灰花岗石烧面</t>
  </si>
  <si>
    <t>1.20厚350X600芝麻灰花岗石烧面
2.30厚1:3干硬性水泥砂浆粘结层
3.其它说明：其它满足规范和设计图纸要求</t>
  </si>
  <si>
    <t>1.50厚150X600芝麻灰花岗石烧面
2.30厚1:3干硬性水泥砂浆粘结层
3.其它说明：其它满足规范和设计图纸要求</t>
  </si>
  <si>
    <t>格栅灯架</t>
  </si>
  <si>
    <t>1、包含灯架、灯具、灯架内相应钢骨架及骨架外装饰装修做法详见P-2.03~2.05
2、其它说明：其它满足规范和设计图纸要求</t>
  </si>
  <si>
    <t>迎宾景墙</t>
  </si>
  <si>
    <t>钢柱砼基础</t>
  </si>
  <si>
    <t>1、c25混凝土钢柱基础
2.混凝土拌合料要求：符合规范要求
3.模板安拆费用计入综合单价，支模方式综合考虑
4、其它满足规范和设计图纸要求</t>
  </si>
  <si>
    <t xml:space="preserve">1.20厚1:2.5水泥砂浆，内掺5%防水剂
2.其他说明：详见相关设计图纸、相关要求及规范
</t>
  </si>
  <si>
    <t>混凝土保护层</t>
  </si>
  <si>
    <t>1、16厚400*350镀锌钢板
2、8厚加劲板、5厚200*150镀锌钢管、5厚100*100镀锌钢管
3、其它满足规范和设计图纸要求</t>
  </si>
  <si>
    <t>芝麻白花岗石荔枝面干挂</t>
  </si>
  <si>
    <t>1、30厚900x600芝麻白花岗石荔枝面，表面拉5x5槽@100成品不锈钢干挂件
2、其它满足规范和设计图纸要求</t>
  </si>
  <si>
    <t>1、30厚600x300芝麻白花岗石荔枝面
2、其它满足规范和设计图纸要求</t>
  </si>
  <si>
    <t>镀锌钢板压顶</t>
  </si>
  <si>
    <t>1、2厚镀锌钢板按形弯折，面饰深咖啡色金属氟碳漆喷砂面
2、其它满足规范和设计图纸要求</t>
  </si>
  <si>
    <t>1、2厚镀锌钢板，按形定制面饰深咖啡色金属氟碳漆喷砂面
2、其它满足规范和设计图纸要求</t>
  </si>
  <si>
    <t>1、20厚600X50芝麻灰烧面
2、其它满足规范和设计图纸要求</t>
  </si>
  <si>
    <t>镀锌钢板通长</t>
  </si>
  <si>
    <t>1、5厚240宽镀锌钢板通长
2、其它满足规范和设计图纸要求</t>
  </si>
  <si>
    <t>1、2厚30X260镀矩管按形定制面饰深咖啡色金属氟碳漆喷砂面
2、其它满足规范和设计图纸要求</t>
  </si>
  <si>
    <t>1、20厚600X350芝麻灰烧面
2、其它满足规范和设计图纸要求</t>
  </si>
  <si>
    <t>1、30厚600X350芝麻灰烧面
2、其它满足规范和设计图纸要求</t>
  </si>
  <si>
    <t>迎宾水景铺装</t>
  </si>
  <si>
    <t>芝麻灰花岗岩荔枝面</t>
  </si>
  <si>
    <t>1、30厚900x300 芝麻灰花岗岩荔枝面
2.30厚1：3水泥砂浆粘结层
3.其它满足规范和设计图纸要求</t>
  </si>
  <si>
    <t>1、25厚100x100 福鼎黑花岗石水洗面
2.30厚1：3水泥砂浆粘结层
3.其它满足规范和设计图纸要求</t>
  </si>
  <si>
    <t>芝麻黑花岗岩荔枝面</t>
  </si>
  <si>
    <t>1、25厚200x200 芝麻黑花岗岩荔枝面
2.30厚1：3水泥砂浆粘结层
3.其它满足规范和设计图纸要求</t>
  </si>
  <si>
    <t>1、25厚300x300 芝麻灰花岗岩荔枝面
2.30厚1：3水泥砂浆粘结层
3.其它满足规范和设计图纸要求</t>
  </si>
  <si>
    <t>雪浪石水洗面</t>
  </si>
  <si>
    <t>1、25厚900x900 雪浪石水洗面
2.30厚1：3水泥砂浆粘结层
3.其它满足规范和设计图纸要求</t>
  </si>
  <si>
    <t>山水景墙</t>
  </si>
  <si>
    <t>柱基础</t>
  </si>
  <si>
    <t>1.c25钢筋混凝土构造柱及基础
2.混凝土拌合料要求：符合规范要求
3.模板安拆费用计入综合单价，支模方式综合考虑
4.其它满足规范和设计图纸要求</t>
  </si>
  <si>
    <t>砼圈梁、横梁、压顶</t>
  </si>
  <si>
    <t>1.c25钢筋混凝土圈梁及压顶
2.混凝土拌合料要求：符合规范要求
3.模板安拆费用计入综合单价，支模方式综合考虑
4.其它满足规范和设计图纸要求</t>
  </si>
  <si>
    <t>1.砖品种、规格、强度等级：MU10页岩砖，
2.基础类型：砖墙
3.砂浆强度等级：M7.5水泥砂浆
4.其它说明：其他满足规范和图纸设计要求</t>
  </si>
  <si>
    <t>1.现浇构件带肋钢筋HPB300、带肋钢筋HRB400 
2.含钢筋搭接
3.其它说明：其它满足规范和设计图纸要求</t>
  </si>
  <si>
    <t>水泥砂浆抹灰层</t>
  </si>
  <si>
    <t xml:space="preserve">1.20厚1:2.5水泥砂浆（掺5%防水剂）
2.其他说明：详见相关设计图纸、相关要求及规范
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</si>
  <si>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、外喷米白色仿石材漆
2、刮外墙腻子</t>
    </r>
    <r>
      <rPr>
        <sz val="8"/>
        <rFont val="Arial"/>
        <charset val="134"/>
      </rPr>
      <t>2-3</t>
    </r>
    <r>
      <rPr>
        <sz val="8"/>
        <rFont val="宋体"/>
        <charset val="134"/>
      </rPr>
      <t>遍，干后砂平</t>
    </r>
    <r>
      <rPr>
        <sz val="8"/>
        <rFont val="Arial"/>
        <charset val="134"/>
      </rPr>
      <t xml:space="preserve">
3</t>
    </r>
    <r>
      <rPr>
        <sz val="8"/>
        <rFont val="宋体"/>
        <charset val="134"/>
      </rPr>
      <t>、</t>
    </r>
    <r>
      <rPr>
        <sz val="8"/>
        <rFont val="Arial"/>
        <charset val="134"/>
      </rPr>
      <t>20</t>
    </r>
    <r>
      <rPr>
        <sz val="8"/>
        <rFont val="宋体"/>
        <charset val="134"/>
      </rPr>
      <t>厚</t>
    </r>
    <r>
      <rPr>
        <sz val="8"/>
        <rFont val="Arial"/>
        <charset val="134"/>
      </rPr>
      <t>1</t>
    </r>
    <r>
      <rPr>
        <sz val="8"/>
        <rFont val="宋体"/>
        <charset val="134"/>
      </rPr>
      <t>：</t>
    </r>
    <r>
      <rPr>
        <sz val="8"/>
        <rFont val="Arial"/>
        <charset val="134"/>
      </rPr>
      <t>2.5</t>
    </r>
    <r>
      <rPr>
        <sz val="8"/>
        <rFont val="宋体"/>
        <charset val="134"/>
      </rPr>
      <t>水泥砂浆找平</t>
    </r>
    <r>
      <rPr>
        <sz val="8"/>
        <rFont val="Arial"/>
        <charset val="134"/>
      </rPr>
      <t xml:space="preserve">
4</t>
    </r>
    <r>
      <rPr>
        <sz val="8"/>
        <rFont val="宋体"/>
        <charset val="134"/>
      </rPr>
      <t>、其它满足规范和设计图纸要求</t>
    </r>
  </si>
  <si>
    <r>
      <rPr>
        <sz val="8"/>
        <rFont val="Arial"/>
        <charset val="134"/>
      </rPr>
      <t xml:space="preserve">
1</t>
    </r>
    <r>
      <rPr>
        <sz val="8"/>
        <rFont val="宋体"/>
        <charset val="134"/>
      </rPr>
      <t>、</t>
    </r>
    <r>
      <rPr>
        <sz val="8"/>
        <rFont val="Arial"/>
        <charset val="134"/>
      </rPr>
      <t>2</t>
    </r>
    <r>
      <rPr>
        <sz val="8"/>
        <rFont val="宋体"/>
        <charset val="134"/>
      </rPr>
      <t>厚热镀锌钢板按形弯折面饰深咖色金属氟碳漆喷砂面</t>
    </r>
    <r>
      <rPr>
        <sz val="8"/>
        <rFont val="Arial"/>
        <charset val="134"/>
      </rPr>
      <t xml:space="preserve">
2</t>
    </r>
    <r>
      <rPr>
        <sz val="8"/>
        <rFont val="宋体"/>
        <charset val="134"/>
      </rPr>
      <t>、其它满足规范和设计图纸要求</t>
    </r>
  </si>
  <si>
    <t xml:space="preserve">
1、25厚500x600芝麻白花岗石荔枝面
2、20厚1:2.5水泥砂浆粘结，铜丝缠挂
3、其它满足规范和设计图纸要求</t>
  </si>
  <si>
    <t>定制灯具</t>
  </si>
  <si>
    <t>1、条形壁灯，含回纹大样图一
2、其它满足规范和设计图纸要求</t>
  </si>
  <si>
    <t xml:space="preserve">
1、25厚900x250芝麻白花岗石荔枝面干挂
2、5厚50*50等边角钢 M8膨胀螺栓固定@600
3、304不锈钢成品干挂件
4、其它满足规范和设计图纸要求</t>
  </si>
  <si>
    <t xml:space="preserve">
1、25厚400x600芝麻白花岗石荔枝面干挂
2、5厚50*50等边角钢 M8膨胀螺栓固定@600
3、304不锈钢成品干挂件
4、其它满足规范和设计图纸要求</t>
  </si>
  <si>
    <t>金属边框</t>
  </si>
  <si>
    <t>1、镂空板背板：2厚镀锌钢板，面饰浅咖啡色金属氟碳漆喷砂面
2、2厚镀锌钢板激光镂空雕刻花纹，面饰深咖色金属氟碳漆喷砂面与金属背板胶粘固定
3、回形纹大样图二
3、其它满足规范和设计图纸要求</t>
  </si>
  <si>
    <t>夹娟玻璃金属矩管</t>
  </si>
  <si>
    <t xml:space="preserve">1、3厚20X30镀锌矩管,面饰深咖啡色金属氟碳漆喷砂面(竖向)
2、其它满足规范和设计图纸要求
</t>
  </si>
  <si>
    <t>夹娟玻璃</t>
  </si>
  <si>
    <t>1、6厚双层钢化夹绢玻璃，娟画效果参照方案效果图
2、其它满足规范和设计图纸要求</t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</si>
  <si>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</t>
    </r>
    <r>
      <rPr>
        <sz val="8"/>
        <rFont val="Arial"/>
        <charset val="134"/>
      </rPr>
      <t>18</t>
    </r>
    <r>
      <rPr>
        <sz val="8"/>
        <rFont val="宋体"/>
        <charset val="134"/>
      </rPr>
      <t>厚</t>
    </r>
    <r>
      <rPr>
        <sz val="8"/>
        <rFont val="Arial"/>
        <charset val="134"/>
      </rPr>
      <t xml:space="preserve">300x300 </t>
    </r>
    <r>
      <rPr>
        <sz val="8"/>
        <rFont val="宋体"/>
        <charset val="134"/>
      </rPr>
      <t>仿芝麻灰荔枝面石英砖</t>
    </r>
    <r>
      <rPr>
        <sz val="8"/>
        <rFont val="Arial"/>
        <charset val="134"/>
      </rPr>
      <t xml:space="preserve">
2.30</t>
    </r>
    <r>
      <rPr>
        <sz val="8"/>
        <rFont val="宋体"/>
        <charset val="134"/>
      </rPr>
      <t>厚</t>
    </r>
    <r>
      <rPr>
        <sz val="8"/>
        <rFont val="Arial"/>
        <charset val="134"/>
      </rPr>
      <t>1:3</t>
    </r>
    <r>
      <rPr>
        <sz val="8"/>
        <rFont val="宋体"/>
        <charset val="134"/>
      </rPr>
      <t>干硬性水泥砂浆粘结层</t>
    </r>
    <r>
      <rPr>
        <sz val="8"/>
        <rFont val="Arial"/>
        <charset val="134"/>
      </rPr>
      <t xml:space="preserve">
3.</t>
    </r>
    <r>
      <rPr>
        <sz val="8"/>
        <rFont val="宋体"/>
        <charset val="134"/>
      </rPr>
      <t>其它说明：其它满足规范和设计图纸要求</t>
    </r>
  </si>
  <si>
    <r>
      <rPr>
        <sz val="8"/>
        <rFont val="Arial"/>
        <charset val="134"/>
      </rPr>
      <t>1</t>
    </r>
    <r>
      <rPr>
        <sz val="8"/>
        <rFont val="宋体"/>
        <charset val="134"/>
      </rPr>
      <t>、</t>
    </r>
    <r>
      <rPr>
        <sz val="8"/>
        <rFont val="Arial"/>
        <charset val="134"/>
      </rPr>
      <t>18</t>
    </r>
    <r>
      <rPr>
        <sz val="8"/>
        <rFont val="宋体"/>
        <charset val="134"/>
      </rPr>
      <t>厚</t>
    </r>
    <r>
      <rPr>
        <sz val="8"/>
        <rFont val="Arial"/>
        <charset val="134"/>
      </rPr>
      <t xml:space="preserve">600x1000 </t>
    </r>
    <r>
      <rPr>
        <sz val="8"/>
        <rFont val="宋体"/>
        <charset val="134"/>
      </rPr>
      <t>仿雪浪石水洗面石英砖</t>
    </r>
    <r>
      <rPr>
        <sz val="8"/>
        <rFont val="Arial"/>
        <charset val="134"/>
      </rPr>
      <t xml:space="preserve">
2.30</t>
    </r>
    <r>
      <rPr>
        <sz val="8"/>
        <rFont val="宋体"/>
        <charset val="134"/>
      </rPr>
      <t>厚</t>
    </r>
    <r>
      <rPr>
        <sz val="8"/>
        <rFont val="Arial"/>
        <charset val="134"/>
      </rPr>
      <t>1:3</t>
    </r>
    <r>
      <rPr>
        <sz val="8"/>
        <rFont val="宋体"/>
        <charset val="134"/>
      </rPr>
      <t>干硬性水泥砂浆粘结层</t>
    </r>
    <r>
      <rPr>
        <sz val="8"/>
        <rFont val="Arial"/>
        <charset val="134"/>
      </rPr>
      <t xml:space="preserve">
3.</t>
    </r>
    <r>
      <rPr>
        <sz val="8"/>
        <rFont val="宋体"/>
        <charset val="134"/>
      </rPr>
      <t>其它说明：其它满足规范和设计图纸要求</t>
    </r>
  </si>
  <si>
    <t>1、18厚100x100 仿福鼎黑水洗面石英砖
2.30厚1:3干硬性水泥砂浆粘结层
3.其它说明：其它满足规范和设计图纸要求</t>
  </si>
  <si>
    <t>1、18厚200x200 仿芝麻黑荔枝面石英砖
2.30厚1:3干硬性水泥砂浆粘结层
3.其它说明：其它满足规范和设计图纸要求</t>
  </si>
  <si>
    <t>四十一</t>
  </si>
  <si>
    <t>元</t>
  </si>
  <si>
    <r>
      <rPr>
        <sz val="8"/>
        <rFont val="宋体"/>
        <charset val="134"/>
      </rPr>
      <t>备注：</t>
    </r>
    <r>
      <rPr>
        <sz val="8"/>
        <rFont val="Arial"/>
        <charset val="134"/>
      </rPr>
      <t>1.</t>
    </r>
    <r>
      <rPr>
        <sz val="8"/>
        <rFont val="宋体"/>
        <charset val="134"/>
      </rPr>
      <t>综合单价包括且不限于人工、材料、机械、措施、检验检测、规费、管理费、利润、税金</t>
    </r>
    <r>
      <rPr>
        <sz val="8"/>
        <rFont val="Arial"/>
        <charset val="134"/>
      </rPr>
      <t>(</t>
    </r>
    <r>
      <rPr>
        <sz val="8"/>
        <rFont val="宋体"/>
        <charset val="134"/>
      </rPr>
      <t>增值税专用发票</t>
    </r>
    <r>
      <rPr>
        <sz val="8"/>
        <rFont val="Arial"/>
        <charset val="134"/>
      </rPr>
      <t>)</t>
    </r>
    <r>
      <rPr>
        <sz val="8"/>
        <rFont val="宋体"/>
        <charset val="134"/>
      </rPr>
      <t>、赶工措施、安全防护、现场文明施工措施、风险等全部费用。</t>
    </r>
    <r>
      <rPr>
        <sz val="8"/>
        <rFont val="Arial"/>
        <charset val="134"/>
      </rPr>
      <t xml:space="preserve">
     2.</t>
    </r>
    <r>
      <rPr>
        <sz val="8"/>
        <rFont val="宋体"/>
        <charset val="134"/>
      </rPr>
      <t>本工程清单，无论是否存在缺项、漏项、工程量偏差，均视为乙方已综合考虑在固定合同总价内。</t>
    </r>
  </si>
  <si>
    <t>栾川山水文苑项目软装清单及计价表</t>
  </si>
  <si>
    <t>合同原值</t>
  </si>
  <si>
    <t>多人组合沙发</t>
  </si>
  <si>
    <r>
      <rPr>
        <sz val="10"/>
        <rFont val="宋体"/>
        <charset val="134"/>
      </rPr>
      <t>材料材质：木材，布艺沙发垫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参考尺寸：沙发：</t>
    </r>
    <r>
      <rPr>
        <sz val="10"/>
        <rFont val="Arial"/>
        <charset val="134"/>
      </rPr>
      <t xml:space="preserve">L 1.5mxW 0.9mxH 0.8m  </t>
    </r>
    <r>
      <rPr>
        <sz val="10"/>
        <rFont val="宋体"/>
        <charset val="134"/>
      </rPr>
      <t>圆桌：直径</t>
    </r>
    <r>
      <rPr>
        <sz val="10"/>
        <rFont val="Arial"/>
        <charset val="134"/>
      </rPr>
      <t>0.6m</t>
    </r>
    <r>
      <rPr>
        <sz val="10"/>
        <rFont val="宋体"/>
        <charset val="134"/>
      </rPr>
      <t>，高</t>
    </r>
    <r>
      <rPr>
        <sz val="10"/>
        <rFont val="Arial"/>
        <charset val="134"/>
      </rPr>
      <t xml:space="preserve">0.45m
</t>
    </r>
    <r>
      <rPr>
        <sz val="10"/>
        <rFont val="宋体"/>
        <charset val="134"/>
      </rPr>
      <t>（</t>
    </r>
    <r>
      <rPr>
        <sz val="10"/>
        <rFont val="Arial"/>
        <charset val="134"/>
      </rPr>
      <t>2</t>
    </r>
    <r>
      <rPr>
        <sz val="10"/>
        <rFont val="宋体"/>
        <charset val="134"/>
      </rPr>
      <t>个沙发，</t>
    </r>
    <r>
      <rPr>
        <sz val="10"/>
        <rFont val="Arial"/>
        <charset val="134"/>
      </rPr>
      <t>1</t>
    </r>
    <r>
      <rPr>
        <sz val="10"/>
        <rFont val="宋体"/>
        <charset val="134"/>
      </rPr>
      <t>个圆桌为一组）</t>
    </r>
  </si>
  <si>
    <t>单人组合沙发</t>
  </si>
  <si>
    <r>
      <rPr>
        <sz val="10"/>
        <rFont val="宋体"/>
        <charset val="134"/>
      </rPr>
      <t>材料材质：不锈钢电镀仿古铜色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参考尺寸：厂家按型二次深化设计并制作安装或购买成品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Arial"/>
        <charset val="134"/>
      </rPr>
      <t>2</t>
    </r>
    <r>
      <rPr>
        <sz val="10"/>
        <rFont val="宋体"/>
        <charset val="134"/>
      </rPr>
      <t>个座椅</t>
    </r>
    <r>
      <rPr>
        <sz val="10"/>
        <rFont val="Arial"/>
        <charset val="134"/>
      </rPr>
      <t>1</t>
    </r>
    <r>
      <rPr>
        <sz val="10"/>
        <rFont val="宋体"/>
        <charset val="134"/>
      </rPr>
      <t>个茶几为一组）（摆放形式详平面）</t>
    </r>
  </si>
  <si>
    <t>整石坐凳</t>
  </si>
  <si>
    <r>
      <rPr>
        <sz val="10"/>
        <rFont val="宋体"/>
        <charset val="134"/>
      </rPr>
      <t>材料材质：中国黑（侧面为自然面，座面为光面）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规格：石桌：台面长</t>
    </r>
    <r>
      <rPr>
        <sz val="10"/>
        <rFont val="Arial"/>
        <charset val="134"/>
      </rPr>
      <t>1.4m</t>
    </r>
    <r>
      <rPr>
        <sz val="10"/>
        <rFont val="宋体"/>
        <charset val="134"/>
      </rPr>
      <t>，宽</t>
    </r>
    <r>
      <rPr>
        <sz val="10"/>
        <rFont val="Arial"/>
        <charset val="134"/>
      </rPr>
      <t>1.2m</t>
    </r>
    <r>
      <rPr>
        <sz val="10"/>
        <rFont val="宋体"/>
        <charset val="134"/>
      </rPr>
      <t>；底面长</t>
    </r>
    <r>
      <rPr>
        <sz val="10"/>
        <rFont val="Arial"/>
        <charset val="134"/>
      </rPr>
      <t>1m</t>
    </r>
    <r>
      <rPr>
        <sz val="10"/>
        <rFont val="宋体"/>
        <charset val="134"/>
      </rPr>
      <t>，宽</t>
    </r>
    <r>
      <rPr>
        <sz val="10"/>
        <rFont val="Arial"/>
        <charset val="134"/>
      </rPr>
      <t>0.8m</t>
    </r>
    <r>
      <rPr>
        <sz val="10"/>
        <rFont val="宋体"/>
        <charset val="134"/>
      </rPr>
      <t>；高</t>
    </r>
    <r>
      <rPr>
        <sz val="10"/>
        <rFont val="Arial"/>
        <charset val="134"/>
      </rPr>
      <t>0.75m</t>
    </r>
    <r>
      <rPr>
        <sz val="10"/>
        <rFont val="宋体"/>
        <charset val="134"/>
      </rPr>
      <t>；</t>
    </r>
    <r>
      <rPr>
        <sz val="10"/>
        <rFont val="Arial"/>
        <charset val="134"/>
      </rPr>
      <t xml:space="preserve">
      </t>
    </r>
    <r>
      <rPr>
        <sz val="10"/>
        <rFont val="宋体"/>
        <charset val="134"/>
      </rPr>
      <t>石凳：座面宽约</t>
    </r>
    <r>
      <rPr>
        <sz val="10"/>
        <rFont val="Arial"/>
        <charset val="134"/>
      </rPr>
      <t>0.6m</t>
    </r>
    <r>
      <rPr>
        <sz val="10"/>
        <rFont val="宋体"/>
        <charset val="134"/>
      </rPr>
      <t>，底面约</t>
    </r>
    <r>
      <rPr>
        <sz val="10"/>
        <rFont val="Arial"/>
        <charset val="134"/>
      </rPr>
      <t>0.4m</t>
    </r>
    <r>
      <rPr>
        <sz val="10"/>
        <rFont val="宋体"/>
        <charset val="134"/>
      </rPr>
      <t>，高</t>
    </r>
    <r>
      <rPr>
        <sz val="10"/>
        <rFont val="Arial"/>
        <charset val="134"/>
      </rPr>
      <t>0.40m</t>
    </r>
  </si>
  <si>
    <t>生活垃圾桶</t>
  </si>
  <si>
    <r>
      <rPr>
        <sz val="10"/>
        <rFont val="宋体"/>
        <charset val="134"/>
      </rPr>
      <t>购买成品分类垃圾桶，一个图标表示一套垃圾桶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（一组为四个垃圾桶）</t>
    </r>
  </si>
  <si>
    <t>果皮箱</t>
  </si>
  <si>
    <r>
      <rPr>
        <sz val="10"/>
        <rFont val="宋体"/>
        <charset val="134"/>
      </rPr>
      <t>材料材质：不锈钢拉丝面，电镀深咖、浅咖色 LOGO，蚀刻，浅咖色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参考尺寸：</t>
    </r>
    <r>
      <rPr>
        <sz val="10"/>
        <rFont val="Arial"/>
        <charset val="134"/>
      </rPr>
      <t xml:space="preserve">W0.4m  D0.4m H 0.9m
</t>
    </r>
    <r>
      <rPr>
        <sz val="10"/>
        <rFont val="宋体"/>
        <charset val="134"/>
      </rPr>
      <t>由专业厂家二次深化设计并制作安装</t>
    </r>
  </si>
  <si>
    <t>鹿雕塑</t>
  </si>
  <si>
    <r>
      <rPr>
        <sz val="10"/>
        <rFont val="宋体"/>
        <charset val="134"/>
      </rPr>
      <t>材料材质：不锈钢，镜面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参考尺寸：详左图（三个一组）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成品购买或由专业厂家深化设计并制作安装（摆放形式详平面）
高2m高1.35m高0.85m</t>
    </r>
  </si>
  <si>
    <t>成品洗手池</t>
  </si>
  <si>
    <r>
      <rPr>
        <sz val="10"/>
        <rFont val="宋体"/>
        <charset val="134"/>
      </rPr>
      <t>材料材质：不锈钢原色，喷砂面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参考尺寸：</t>
    </r>
    <r>
      <rPr>
        <sz val="10"/>
        <rFont val="Arial"/>
        <charset val="134"/>
      </rPr>
      <t xml:space="preserve">900\U+00D7500\U+00D7900mm
</t>
    </r>
    <r>
      <rPr>
        <sz val="10"/>
        <rFont val="宋体"/>
        <charset val="134"/>
      </rPr>
      <t>成品购买或由专业厂家深化设计并制作安装（摆放位置详平面）</t>
    </r>
  </si>
  <si>
    <t>滑梯</t>
  </si>
  <si>
    <t>1、尺寸：长6m，宽4m，高3.5m
2、PE板、钢板，造型需要甲方确认
3、具体需根据最终设计图进行细化</t>
  </si>
  <si>
    <t>摇摇乐</t>
  </si>
  <si>
    <t>1、尺寸：长1m，宽0.2m，高1m
2、PE板、钢板，造型需要甲方确认
3、具体需根据最终设计图进行细化</t>
  </si>
  <si>
    <t>太极推手器</t>
  </si>
  <si>
    <t>1.材料材质：镀锌钢管，成品器械，专业厂家制作、安装，造型需要甲方确认
2.含运输、预埋、安装等
3.其他说明：其它满足规范和设计图纸要求</t>
  </si>
  <si>
    <t>互动式腰背按摩器</t>
  </si>
  <si>
    <t>乒乓球台</t>
  </si>
  <si>
    <t>1.成品乒乓球台，长：2.7M，宽：1.5M，高：0.75M，材质：钢板
2.含运输、安装、埋件固定等所有与之相关的费用
3.其他说明：详见相关设计图纸、相关要求及规范</t>
  </si>
  <si>
    <t>乔木配置表</t>
  </si>
  <si>
    <t>名称</t>
  </si>
  <si>
    <t>规格</t>
  </si>
  <si>
    <t>数量</t>
  </si>
  <si>
    <t>单
位</t>
  </si>
  <si>
    <t>综合单价</t>
  </si>
  <si>
    <t>合价</t>
  </si>
  <si>
    <t>胸径(cm)</t>
  </si>
  <si>
    <t>树高(m)</t>
  </si>
  <si>
    <t>冠径(m)</t>
  </si>
  <si>
    <t>分支点（m）</t>
  </si>
  <si>
    <t>移栽乔木</t>
  </si>
  <si>
    <t>移栽桂花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</si>
  <si>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10</t>
    </r>
  </si>
  <si>
    <t>3-3.5</t>
  </si>
  <si>
    <t>2.5-3</t>
  </si>
  <si>
    <t>1-1.2</t>
  </si>
  <si>
    <t>株</t>
  </si>
  <si>
    <t>全冠假植苗，冠型均匀完整，枝繁叶茂，修剪成型</t>
  </si>
  <si>
    <t>移栽大叶女贞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</si>
  <si>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12</t>
    </r>
  </si>
  <si>
    <t>4-5</t>
  </si>
  <si>
    <t>1.2-1.5</t>
  </si>
  <si>
    <t>低分枝，全冠假植苗，冠型均匀完整，枝繁叶茂</t>
  </si>
  <si>
    <t>移栽丛生朴树</t>
  </si>
  <si>
    <t>折算后∅≥40</t>
  </si>
  <si>
    <t>10-11</t>
  </si>
  <si>
    <t>6-6.5</t>
  </si>
  <si>
    <t>0-0.5</t>
  </si>
  <si>
    <t>自然丛生/低分枝，四杆及以上，主杆≥22cm，其它每杆≥15cm，冠型均匀完整，枝繁叶茂</t>
  </si>
  <si>
    <t>移栽国槐</t>
  </si>
  <si>
    <t>∅30</t>
  </si>
  <si>
    <t>11-12</t>
  </si>
  <si>
    <t>2-2.5</t>
  </si>
  <si>
    <t>全冠假植苗，主杆挺直，冠型开展，枝繁叶茂，树型统一</t>
  </si>
  <si>
    <t>移栽红叶李A</t>
  </si>
  <si>
    <t>D20</t>
  </si>
  <si>
    <t>5-5.5</t>
  </si>
  <si>
    <t>4-4.5</t>
  </si>
  <si>
    <t>0.3-0.8</t>
  </si>
  <si>
    <t>低分枝，主杆四分叉以上，全冠假植苗，冠型开展、均匀完整，枝繁叶茂</t>
  </si>
  <si>
    <t>移栽红叶李B</t>
  </si>
  <si>
    <t>∅12</t>
  </si>
  <si>
    <t>移栽山杏</t>
  </si>
  <si>
    <t>4.5-5</t>
  </si>
  <si>
    <t>0.2-0.6</t>
  </si>
  <si>
    <t>移栽水杉A</t>
  </si>
  <si>
    <t>∅18</t>
  </si>
  <si>
    <t>3.5-4</t>
  </si>
  <si>
    <t>1.5-2</t>
  </si>
  <si>
    <t>全冠假植苗，冠型饱满完整，枝繁叶茂，主杆挺直，不断尖</t>
  </si>
  <si>
    <t>移栽水杉B</t>
  </si>
  <si>
    <t>∅15</t>
  </si>
  <si>
    <t>9-10</t>
  </si>
  <si>
    <t>移栽红枫AT</t>
  </si>
  <si>
    <t>D15</t>
  </si>
  <si>
    <t>冠型开展，冠型均匀完整，枝繁叶茂，特选</t>
  </si>
  <si>
    <t>移栽碧桃</t>
  </si>
  <si>
    <t>D12</t>
  </si>
  <si>
    <t>常绿乔木</t>
  </si>
  <si>
    <t>造型油松PT</t>
  </si>
  <si>
    <t/>
  </si>
  <si>
    <t>长3宽1.2m</t>
  </si>
  <si>
    <t>姿态优美</t>
  </si>
  <si>
    <t>造型罗汉松PP</t>
  </si>
  <si>
    <t>造型树，选型参照ZS-4.0苗木选型图，具体三方现场选定</t>
  </si>
  <si>
    <t>桂花OF ∅15</t>
  </si>
  <si>
    <t>3.8-4.2</t>
  </si>
  <si>
    <t>1.8-2</t>
  </si>
  <si>
    <t>全冠假植苗，冠型均匀完整，枝繁叶茂，修剪成型，特选</t>
  </si>
  <si>
    <t>桂花OF</t>
  </si>
  <si>
    <t>笼桂GH</t>
  </si>
  <si>
    <t>--</t>
  </si>
  <si>
    <t>0-0.3</t>
  </si>
  <si>
    <t>丛生/低分枝，全冠假植苗，冠型均匀完整，枝繁叶茂，修剪成椭球型</t>
  </si>
  <si>
    <r>
      <rPr>
        <sz val="10"/>
        <rFont val="新宋体"/>
        <charset val="134"/>
      </rPr>
      <t xml:space="preserve">大叶女贞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18</t>
    </r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</si>
  <si>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18</t>
    </r>
  </si>
  <si>
    <t>7-8</t>
  </si>
  <si>
    <t>大叶女贞LC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</si>
  <si>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15</t>
    </r>
  </si>
  <si>
    <t>5-6</t>
  </si>
  <si>
    <t>广玉兰MG</t>
  </si>
  <si>
    <t>全冠假植苗，冠型饱满完整，枝繁叶茂</t>
  </si>
  <si>
    <t>红叶石楠球PF</t>
  </si>
  <si>
    <t>3-3.2</t>
  </si>
  <si>
    <t>全冠假植苗，冠型均匀完整，枝繁叶茂，修剪成椭球型</t>
  </si>
  <si>
    <t>枇杷EJ</t>
  </si>
  <si>
    <t>刚竹</t>
  </si>
  <si>
    <t>1-2</t>
  </si>
  <si>
    <t>16株/㎡，枝梢不截顶</t>
  </si>
  <si>
    <t>落叶乔木</t>
  </si>
  <si>
    <t>银杏GB</t>
  </si>
  <si>
    <t>∅22</t>
  </si>
  <si>
    <t>全冠假植苗，实生苗，主杆挺直，冠型开展，枝繁叶茂，树型统一</t>
  </si>
  <si>
    <t>国槐SL-A</t>
  </si>
  <si>
    <t>∅28</t>
  </si>
  <si>
    <t>5.5-6</t>
  </si>
  <si>
    <t>国槐SL-C</t>
  </si>
  <si>
    <t>∅20</t>
  </si>
  <si>
    <t>8-9</t>
  </si>
  <si>
    <r>
      <rPr>
        <sz val="10"/>
        <rFont val="新宋体"/>
        <charset val="134"/>
      </rPr>
      <t xml:space="preserve">国槐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25</t>
    </r>
  </si>
  <si>
    <t>∅25</t>
  </si>
  <si>
    <t>丛生乌桕SR-A</t>
  </si>
  <si>
    <t>折算后∅≥35</t>
  </si>
  <si>
    <t>自然丛生/低分枝，四杆及以上，主杆≥18cm，其它每杆≥15cm，冠型均匀完整，枝繁叶茂</t>
  </si>
  <si>
    <t>丛生乌桕SR</t>
  </si>
  <si>
    <t>折算后∅≥32</t>
  </si>
  <si>
    <t>自然丛生/低分枝，三杆及以上，主杆≥20cm，其它每杆≥15cm，冠型均匀完整，枝繁叶茂</t>
  </si>
  <si>
    <t>乌桕SR-A</t>
  </si>
  <si>
    <t>1-1.5</t>
  </si>
  <si>
    <t>全冠假植苗，主杆弯曲，冠型饱满完整，枝繁叶茂</t>
  </si>
  <si>
    <t>乌桕SR-B</t>
  </si>
  <si>
    <t>栾树KL</t>
  </si>
  <si>
    <t>白蜡FC</t>
  </si>
  <si>
    <t>全冠假植苗，主杆挺直，冠型开展，枝繁叶茂，特选</t>
  </si>
  <si>
    <t>法国梧桐 ∅20</t>
  </si>
  <si>
    <t>特选弯杆朴树CP</t>
  </si>
  <si>
    <t>18-20</t>
  </si>
  <si>
    <t>0.8-1.2</t>
  </si>
  <si>
    <t>全冠假植苗，弯杆树，冠型开展，姿态优美</t>
  </si>
  <si>
    <t>丛生元宝枫AB</t>
  </si>
  <si>
    <t>折算后基径≥20</t>
  </si>
  <si>
    <t>丛生/低分枝，三杆及以上，主杆〉12cm，其它每杆〉10cm，冠型均匀完整，枝繁叶茂</t>
  </si>
  <si>
    <t>日本晚樱CS-A</t>
  </si>
  <si>
    <t>日本晚樱CS-B</t>
  </si>
  <si>
    <t>丛生紫薇LI</t>
  </si>
  <si>
    <t>D≥14</t>
  </si>
  <si>
    <t>大红，自然丛生/低分枝，主杆四分叉以上，全冠假植苗，冠型开展、均匀完整，枝繁叶茂</t>
  </si>
  <si>
    <t>丛生花石榴PG</t>
  </si>
  <si>
    <t>丛生/低分枝，四分枝及以上，全冠假植苗，冠型开展、均匀完整，枝繁叶茂</t>
  </si>
  <si>
    <t>山杏AS-A</t>
  </si>
  <si>
    <t>D18</t>
  </si>
  <si>
    <t>斜飘桃树PP</t>
  </si>
  <si>
    <t>0.5-1</t>
  </si>
  <si>
    <t>红叶李PE-A</t>
  </si>
  <si>
    <t>红叶李PE-B</t>
  </si>
  <si>
    <t>绚丽海棠 D12</t>
  </si>
  <si>
    <t>0.6-1</t>
  </si>
  <si>
    <t>低分枝，全冠假植苗，冠型开展，枝繁叶茂，树型统一</t>
  </si>
  <si>
    <t>西府海棠MM</t>
  </si>
  <si>
    <t>∅10</t>
  </si>
  <si>
    <r>
      <rPr>
        <sz val="10"/>
        <rFont val="新宋体"/>
        <charset val="134"/>
      </rPr>
      <t xml:space="preserve">紫玉兰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12</t>
    </r>
  </si>
  <si>
    <t>美人梅PB-B</t>
  </si>
  <si>
    <t>红梅PM</t>
  </si>
  <si>
    <t>D10</t>
  </si>
  <si>
    <t>0.3-0.6</t>
  </si>
  <si>
    <t>金枝国槐SJ</t>
  </si>
  <si>
    <t>6-7</t>
  </si>
  <si>
    <t>全冠假植苗，主杆挺直，冠型开展，枝繁叶茂</t>
  </si>
  <si>
    <t>鸡爪槭AU-A</t>
  </si>
  <si>
    <t>鸡爪槭 D12</t>
  </si>
  <si>
    <t>低分枝，冠型开展，自然飘逸，冠型均匀完整，枝繁叶茂</t>
  </si>
  <si>
    <t>红枫AT-B</t>
  </si>
  <si>
    <t>低分枝，冠型开展,冠型均匀完整，枝繁叶茂，特选</t>
  </si>
  <si>
    <t>羽毛枫AP</t>
  </si>
  <si>
    <t>D8-10</t>
  </si>
  <si>
    <t>2.2-2.6</t>
  </si>
  <si>
    <t>特别说明：1、选苗胸径/基径的浮动范围应不小于标注胸径/基径，且修剪后苗木冠幅、高度不能小于以上设计规格标准，基径按照离地30公分处测量；</t>
  </si>
  <si>
    <t>2、三方选定乔木必须由甲方、设计方、施工方共同确定树形；3、所有乔木需保证全冠栽植，可在保全树形的前提下适当疏枝疏叶;</t>
  </si>
  <si>
    <t>4、特选斜飘丛生朴树、特选弯杆朴树、特选斜飘山杏、丛生鸡爪槭与水景边红梅、丛生乌桕等乔木的倾斜方向参照ZS-2.01植物配置图中的箭头方向</t>
  </si>
  <si>
    <t>灌木地被配置表</t>
  </si>
  <si>
    <t>序
号</t>
  </si>
  <si>
    <t>备注（密度仅供参考,以不见土为原则）</t>
  </si>
  <si>
    <t>高度(m)</t>
  </si>
  <si>
    <t>种植密度</t>
  </si>
  <si>
    <t>蓬径(m)</t>
  </si>
  <si>
    <t>高灌：H0.7m--</t>
  </si>
  <si>
    <t>北海道黄杨</t>
  </si>
  <si>
    <t>4株/㎡</t>
  </si>
  <si>
    <t>0.4-0.5</t>
  </si>
  <si>
    <t>米</t>
  </si>
  <si>
    <t>6株/米，线型列植，不留缝，修剪整型，花园分户绿篱</t>
  </si>
  <si>
    <t>八角金盘</t>
  </si>
  <si>
    <t>1.1-1.2</t>
  </si>
  <si>
    <t>16株/㎡</t>
  </si>
  <si>
    <t>0.7-0.8</t>
  </si>
  <si>
    <t>㎡</t>
  </si>
  <si>
    <t>丛生苗，自然成型</t>
  </si>
  <si>
    <t>红叶石楠A</t>
  </si>
  <si>
    <t>0.6-0.8</t>
  </si>
  <si>
    <t>0.5-0.6</t>
  </si>
  <si>
    <t>毛球，笼子货，修剪整形</t>
  </si>
  <si>
    <t>红叶石楠B</t>
  </si>
  <si>
    <t>36株/㎡</t>
  </si>
  <si>
    <t>0.26-0.3</t>
  </si>
  <si>
    <t>笼子货，修剪整形</t>
  </si>
  <si>
    <t>茶梅</t>
  </si>
  <si>
    <t>0.6-0.7</t>
  </si>
  <si>
    <t>海桐</t>
  </si>
  <si>
    <r>
      <rPr>
        <sz val="10"/>
        <color theme="1"/>
        <rFont val="宋体"/>
        <charset val="134"/>
        <scheme val="minor"/>
      </rPr>
      <t>25</t>
    </r>
    <r>
      <rPr>
        <sz val="10"/>
        <color indexed="8"/>
        <rFont val="宋体"/>
        <charset val="134"/>
      </rPr>
      <t>株/m2</t>
    </r>
  </si>
  <si>
    <t>0.36-0.4</t>
  </si>
  <si>
    <t>大叶黄杨</t>
  </si>
  <si>
    <t>25株/㎡</t>
  </si>
  <si>
    <t>红花继木A</t>
  </si>
  <si>
    <t>0.45-0.5</t>
  </si>
  <si>
    <t>红花继木B</t>
  </si>
  <si>
    <t>0.3-0.35</t>
  </si>
  <si>
    <t>0.25-0.3</t>
  </si>
  <si>
    <t>绣球</t>
  </si>
  <si>
    <t>细叶芒</t>
  </si>
  <si>
    <t>金森女贞A</t>
  </si>
  <si>
    <t>金森女贞B</t>
  </si>
  <si>
    <t>42株/㎡</t>
  </si>
  <si>
    <t>金叶女贞</t>
  </si>
  <si>
    <t>0.4-0.45</t>
  </si>
  <si>
    <t>银边大叶黄杨</t>
  </si>
  <si>
    <t>0.3-0.4</t>
  </si>
  <si>
    <t>瓜子黄杨</t>
  </si>
  <si>
    <t>金叶大花六道木</t>
  </si>
  <si>
    <t>毛鹃</t>
  </si>
  <si>
    <t>笼子货，整形修剪，方形整形修剪，剪后高度0.3m</t>
  </si>
  <si>
    <t>黄菖蒲</t>
  </si>
  <si>
    <t>丛生苗，自然成型，用于水景区域</t>
  </si>
  <si>
    <t>匍枝亮绿忍冬</t>
  </si>
  <si>
    <t>49株/㎡</t>
  </si>
  <si>
    <t>银姬小蜡</t>
  </si>
  <si>
    <t>0.2-0.25</t>
  </si>
  <si>
    <t>0.15-0.2</t>
  </si>
  <si>
    <t>时令花卉</t>
  </si>
  <si>
    <t>以展示季节的市场资源为准，后期更换为毛鹃</t>
  </si>
  <si>
    <t>佛甲草</t>
  </si>
  <si>
    <t>迎春</t>
  </si>
  <si>
    <t>藤长1m</t>
  </si>
  <si>
    <t>草坪</t>
  </si>
  <si>
    <t>百慕大，冬季追播黑麦草，其中3850㎡为私家花园草坪</t>
  </si>
  <si>
    <t>地形整理</t>
  </si>
  <si>
    <t>球灌及点缀灌木</t>
  </si>
  <si>
    <t>品种</t>
  </si>
  <si>
    <t>高度（m）</t>
  </si>
  <si>
    <t>冠幅（m）</t>
  </si>
  <si>
    <t>丛生紫丁香球 W1.8m</t>
  </si>
  <si>
    <t>1.6-1.7</t>
  </si>
  <si>
    <t>1.8-1.9</t>
  </si>
  <si>
    <t>浑圆，不露脚，修剪成型</t>
  </si>
  <si>
    <t>大叶黄杨球 W2.0m</t>
  </si>
  <si>
    <t>2.0-2.1</t>
  </si>
  <si>
    <t>山茶 W1.5m</t>
  </si>
  <si>
    <t>1.5-1.6</t>
  </si>
  <si>
    <t>山茶 W2.0m</t>
  </si>
  <si>
    <t>2.6-2.8</t>
  </si>
  <si>
    <t>海桐球E W2.0m</t>
  </si>
  <si>
    <t>海桐球F W1.5m</t>
  </si>
  <si>
    <t>1.3-1.5</t>
  </si>
  <si>
    <t>红叶石楠球 W1.5m</t>
  </si>
  <si>
    <t>红叶石楠球 W1.8m</t>
  </si>
  <si>
    <t>红继木球 W1.2m</t>
  </si>
  <si>
    <t>1.0-1.1</t>
  </si>
  <si>
    <t>1.2-1.3</t>
  </si>
  <si>
    <t>红继木球 W1.5m</t>
  </si>
  <si>
    <t>1.2-1.4</t>
  </si>
  <si>
    <t>结香 W1.2m</t>
  </si>
  <si>
    <t>自然成型</t>
  </si>
  <si>
    <t>金禾女贞球 W1.5m</t>
  </si>
  <si>
    <t>龟甲冬青球 W1.2m</t>
  </si>
  <si>
    <t>说明：以上苗木规格均为修剪后苗木规格</t>
  </si>
  <si>
    <t>栾川S1大区景观水电安装工程招标清单与计价表</t>
  </si>
  <si>
    <t>工程项目名称</t>
  </si>
  <si>
    <t>工程内容</t>
  </si>
  <si>
    <t>工程量
g</t>
  </si>
  <si>
    <t>品牌</t>
  </si>
  <si>
    <t>管理费及利润
d=(a+b+c)*费率</t>
  </si>
  <si>
    <t>景观照明</t>
  </si>
  <si>
    <t>配电箱</t>
  </si>
  <si>
    <t>1、名称:配电箱AL-1
2、规格:800*1200*370
3、含预埋、接地、端子接线等
4、未详尽处满足图纸设计、相关规范要求</t>
  </si>
  <si>
    <t>台</t>
  </si>
  <si>
    <t>低压变压器</t>
  </si>
  <si>
    <t>1、名称:S5低压灯变压器
2、型号：220V/24,12V
3、埋地安装
4、详见景观详图
5、未详尽处满足图纸设计、相关规范要求</t>
  </si>
  <si>
    <t>室外分线盒</t>
  </si>
  <si>
    <t>1、名称:室外分线盒
2、未详尽处满足图纸设计、相关规范要求</t>
  </si>
  <si>
    <t>庭院灯</t>
  </si>
  <si>
    <t>1、名称:庭院灯
2、规格：φ160 H=3200 30W*2 LED 深咖色 4500lm 3000K 220V IP65
3、含灯具基础、预埋基础螺栓、接地、调试等
4、详见景观详图
5、未详尽处满足图纸设计、相关规范要求</t>
  </si>
  <si>
    <t>草坪灯</t>
  </si>
  <si>
    <t>1、名称:草坪灯
2、规格：160*160,H=600 LED，10W 磨砂黑 2000lm 3000K 220V IP55
3、含灯具基础、预埋基础螺栓、接地、调试等
4、详见景观详图
5、未详尽处满足图纸设计、相关规范要求</t>
  </si>
  <si>
    <t>特色灯2</t>
  </si>
  <si>
    <t>1、名称:特色灯2
2、规格：LED，10W 1000Lm 3000K 220V IP54
3、详见景观详图
4、未详尽处满足图纸设计、相关规范要求</t>
  </si>
  <si>
    <t>射树灯</t>
  </si>
  <si>
    <t>1、名称:射树灯
2、规格：φ100  H=300mm LED，20W 深咖色 光束角75度，7000lm 3000K 220V IP67
3、详见景观详图
4、未详尽处满足图纸设计、相关规范要求</t>
  </si>
  <si>
    <t>埋地射灯</t>
  </si>
  <si>
    <t>1、名称:埋地射灯
2、规格：φ205  H=265 LED，20W 砂灰色 3300lm 3000K 220V IP67
3、详见景观详图
4、未详尽处满足图纸设计、相关规范要求</t>
  </si>
  <si>
    <t>龟背灯</t>
  </si>
  <si>
    <t>1、名称:龟背灯
2、规格：φ=32  H=45 LED，1W 不锈钢原色 800lm 3000k 24V IP67
3、详见景观详图
4、未详尽处满足图纸设计、相关规范要求</t>
  </si>
  <si>
    <t>嵌壁灯</t>
  </si>
  <si>
    <t>1、名称:嵌壁灯
2、规格：φ=50  H=45 LED，2W 不锈钢 800lm 3000k 24V IP67
3、详见景观详图
4、未详尽处满足图纸设计、相关规范要求</t>
  </si>
  <si>
    <t>喷泉灯</t>
  </si>
  <si>
    <t>1、名称:喷泉灯
2、规格：φ=150 LED，6W,外置变压器 不锈钢 500lm 3000k 12V IP68
3、详见景观详图
4、未详尽处满足图纸设计、相关规范要求</t>
  </si>
  <si>
    <t>灯带</t>
  </si>
  <si>
    <t>1、名称:灯带
2、规格：24V,5W/m LED/3000k IP67,成品卡槽固定
3、灯槽预留安装
4、详见景观详图
5、未详尽处满足图纸设计、相关规范要求</t>
  </si>
  <si>
    <t>条形灯（含造型）</t>
  </si>
  <si>
    <t>1、名称:条形灯（含造型）
2、规格：220v,8w/m LED/3000k IP67,成品灯具，成品卡槽拉通固   
3、灯槽预留安装
4、详见景墙1.2详图
5、未详尽处满足图纸设计、相关规范要求</t>
  </si>
  <si>
    <t>1、名称:灯带
2、规格：220v,5w/m LED/3000k IP67,成品灯具，成品卡槽拉通固定   
3、灯槽预留安装
4、详见景墙1.2详图
5、未详尽处满足图纸设计、相关规范要求</t>
  </si>
  <si>
    <t>吸顶筒灯</t>
  </si>
  <si>
    <t>1、名称:吸顶筒灯
2、规格：220v,10w LED/3000K
3、详见中庭廊架详图
4、未详尽处满足图纸设计、相关规范要求</t>
  </si>
  <si>
    <t>手孔井1</t>
  </si>
  <si>
    <t>1、名称:手孔井1
2、规格:400*400*500(净尺寸)
3、未详尽处满足图纸设计、相关规范要求</t>
  </si>
  <si>
    <t>座</t>
  </si>
  <si>
    <t>手孔井2</t>
  </si>
  <si>
    <t>1、名称:手孔井2
2、规格:600*600*500(净尺寸)
3、未详尽处满足图纸设计、相关规范要求</t>
  </si>
  <si>
    <t>配管</t>
  </si>
  <si>
    <t>1、名称：配管
2、规格：PVC32
3、敷设方式:埋地敷设
4、未详尽处满足图纸设计、相关规范要求</t>
  </si>
  <si>
    <t>中财、公元</t>
  </si>
  <si>
    <t>1、名称：配管
2、规格：PVC25
3、敷设方式:埋地敷设
4、未详尽处满足图纸设计、相关规范要求</t>
  </si>
  <si>
    <t>景观照明箱进线电缆</t>
  </si>
  <si>
    <t>1、名称：景观照明箱进线电缆
2、规格：WDZ-YJY-4*25+1*16
3、敷设方式:穿桥架或管敷设
4、未详尽处满足图纸设计、相关规范要求</t>
  </si>
  <si>
    <t>电缆</t>
  </si>
  <si>
    <t>1、名称：电缆
2、规格：YJV-5*6
3、敷设方式:穿管敷设
4、未详尽处满足图纸设计、相关规范要求</t>
  </si>
  <si>
    <t>泽洋、上上</t>
  </si>
  <si>
    <t>1、名称：电缆
2、规格：YJV-5*4
3、敷设方式:穿管敷设
4、未详尽处满足图纸设计、相关规范要求</t>
  </si>
  <si>
    <t>1、名称：电缆
2、规格：YJV-4*4
3、敷设方式:穿管敷设
4、未详尽处满足图纸设计、相关规范要求</t>
  </si>
  <si>
    <t>1、名称：电缆
2、规格：YJV-3*4
3、敷设方式:穿管敷设
4、未详尽处满足图纸设计、相关规范要求</t>
  </si>
  <si>
    <t>1、名称：电缆
2、规格：YJV-3*2.5
3、敷设方式:穿管敷设
4、未详尽处满足图纸设计、相关规范要求</t>
  </si>
  <si>
    <t>1、名称：电缆
2、规格：RVV-2X2.5
3、敷设方式:穿管敷设
4、未详尽处满足图纸设计、相关规范要求</t>
  </si>
  <si>
    <t>1、名称：电缆
2、规格：JHS-4X4
3、敷设方式:穿管敷设
4、未详尽处满足图纸设计、相关规范要求</t>
  </si>
  <si>
    <t>1、名称：电缆
2、规格：JHS-2X2.5
3、敷设方式:穿管敷设
4、未详尽处满足图纸设计、相关规范要求</t>
  </si>
  <si>
    <t>过车行道路保护套管</t>
  </si>
  <si>
    <t>1、名称:热镀锌钢管
2、规格：DN50
3、未详尽处满足图纸设计、相关规范要求</t>
  </si>
  <si>
    <t>1、名称:热镀锌钢管
2、规格：DN40
3、未详尽处满足图纸设计、相关规范要求</t>
  </si>
  <si>
    <t>1、名称:土方的开挖
2、含穿线管、配电箱基础、灯具基础、手孔井及变压器井土方</t>
  </si>
  <si>
    <t>回填方</t>
  </si>
  <si>
    <t>1、名称:土方的回填
2、含穿线管、配电箱基础、灯具基础、手孔井及变压器井土方</t>
  </si>
  <si>
    <t>主入口门卫室电气</t>
  </si>
  <si>
    <t>1、名称:主入口门卫室配电箱XM1
2、规格:500*300*200
3、含预埋、接地、端子接线等
4、未详尽处满足图纸设计、相关规范要求</t>
  </si>
  <si>
    <t>1、名称:吸顶筒灯
2、规格：220v,10w LED
3、详见主入口门卫详图
4、未详尽处满足图纸设计、相关规范要求</t>
  </si>
  <si>
    <t>吸顶灯</t>
  </si>
  <si>
    <t>1、名称:吸顶灯
2、规格：220V/35W
3、详见主入口门卫详图
4、未详尽处满足图纸设计、相关规范要求</t>
  </si>
  <si>
    <t>1、名称:灯带
2、规格：220v,5w/m LED，成品卡槽拉通固定   
3、灯槽预留安装
4、详见主入口门卫详图
5、未详尽处满足图纸设计、相关规范要求</t>
  </si>
  <si>
    <t>三位开关</t>
  </si>
  <si>
    <t>1、名称:三位开关
2、规格：220V/10A  
3、H=1.3米
4、详见主入口门卫详图
5、未详尽处满足图纸设计、相关规范要求</t>
  </si>
  <si>
    <t>普通插座</t>
  </si>
  <si>
    <t>1、名称:普通插座
2、规格：220V/16A 3+2
3、H=0.3m
4、详见主入口门卫详图
5、未详尽处满足图纸设计、相关规范要求</t>
  </si>
  <si>
    <t>空调插座</t>
  </si>
  <si>
    <t>1、名称:空调插座
2、规格：220V/16A 3+2
3、H=2.2m
4、详见主入口门卫详图
5、未详尽处满足图纸设计、相关规范要求</t>
  </si>
  <si>
    <t>1、名称：配管
2、规格：PVC20
3、敷设方式:暗配
4、未详尽处满足图纸设计、相关规范要求</t>
  </si>
  <si>
    <t>配线</t>
  </si>
  <si>
    <t>1、名称：配线
2、规格：ZN-BV2.5
3、敷设方式:穿管敷设
4、未详尽处满足图纸设计、相关规范要求</t>
  </si>
  <si>
    <t>1、名称：配线
2、规格：ZN-BV4
3、敷设方式:穿管敷设
4、未详尽处满足图纸设计、相关规范要求</t>
  </si>
  <si>
    <t>雾森系统</t>
  </si>
  <si>
    <t>1、名称:土方的开挖
2、未详尽处满足图纸设计、相关规范要求</t>
  </si>
  <si>
    <t>回填土</t>
  </si>
  <si>
    <t>1、名称:土方的回填
2、未详尽处满足图纸设计、相关规范要求</t>
  </si>
  <si>
    <t>304不锈钢管</t>
  </si>
  <si>
    <t>1、名称：304不锈钢管（含管件）
2、规格：DN10
3、压力试验及吹、洗设计要求:满足规范及设计要求
6、未详尽处满足图纸设计、相关规范要求</t>
  </si>
  <si>
    <t>1、名称：304不锈钢管（含管件）
2、规格：DN20
3、压力试验及吹、洗设计要求:满足规范及设计要求
6、未详尽处满足图纸设计、相关规范要求</t>
  </si>
  <si>
    <t>2号304不锈钢喷嘴,喷淋角度80°</t>
  </si>
  <si>
    <t>1、名称：2号304不锈钢喷嘴,喷淋角度80°
2、未详尽处满足图纸设计、相关规范要求</t>
  </si>
  <si>
    <t>雾喷机组</t>
  </si>
  <si>
    <t>1、名称：雾喷机组
2、规格、型号：CHM-7/46L-5.5KW
3、未详尽处满足图纸设计、相关规范要求</t>
  </si>
  <si>
    <t>景观给水</t>
  </si>
  <si>
    <t>快速取水阀</t>
  </si>
  <si>
    <t>1、名称：快速取水阀
2、规格：DN25
3、含埋地式(铜质)快速取水阀配套闸阀、成品箱体、铰接管等附件
4、未详尽处满足图纸设计、相关规范要求</t>
  </si>
  <si>
    <t>闸阀</t>
  </si>
  <si>
    <t>1、名称：闸阀
2、规格：DN50
3、含法兰等附件安装
4、未详尽处满足图纸设计、相关规范要求</t>
  </si>
  <si>
    <t>1、名称：闸阀
2、规格：DN65
3、含法兰等附件安装
4、未详尽处满足图纸设计、相关规范要求</t>
  </si>
  <si>
    <t>防止倒流阀</t>
  </si>
  <si>
    <t>1、名称：防止倒流阀
2、规格：DN50
3、含法兰等附件安装
4、未详尽处满足图纸设计、相关规范要求</t>
  </si>
  <si>
    <t>VB708成品箱体</t>
  </si>
  <si>
    <t>1、VB708成品箱体
2、附件：阀门及附件另计，井盖与井圈等满足规范及图纸要求
3、未详尽处满足图纸设计、相关规范要求</t>
  </si>
  <si>
    <t>检修球阀</t>
  </si>
  <si>
    <t>1、名称：检修球阀
2、规格：DN25
3、含法兰等附件安装
4、未详尽处满足图纸设计、相关规范要求</t>
  </si>
  <si>
    <t>给水阀门井（砖砌）</t>
  </si>
  <si>
    <t>1、给水阀门井 0.4*0.4*0.4m
2、附件：阀门及附件另计，井盖与井圈等满足规范及图纸要求
3、未详尽处满足图纸设计、相关规范要求</t>
  </si>
  <si>
    <t>1、给水阀门井 0.5*0.5*0.5m
2、附件：阀门及附件另计，井盖与井圈等满足规范及图纸要求
3、未详尽处满足图纸设计、相关规范要求</t>
  </si>
  <si>
    <t>水龙头</t>
  </si>
  <si>
    <t>1、名称：水龙头
2、规格：DN20
3、含相关配件,未详尽处满足图纸设计、相关规范要求</t>
  </si>
  <si>
    <t>给水管</t>
  </si>
  <si>
    <t>1、名称：PE给水管,S4系列
2、规格：De25
3、连接方式：热熔连接
4、压力等级:1.25Mpa
5、压力试验及吹、洗设计要求: 满足规范及设计要求
6、未详尽处满足图纸设计、相关规范要求</t>
  </si>
  <si>
    <t>1、名称：PE给水管,S4系列
2、规格：De32
3、连接方式：热熔连接
4、压力等级:1.25Mpa
5、压力试验及吹、洗设计要求: 满足规范及设计要求
6、未详尽处满足图纸设计、相关规范要求</t>
  </si>
  <si>
    <t>1、名称：PE给水管,S4系列
2、规格：De40
3、连接方式：热熔连接
4、压力等级:1.25Mpa
5、压力试验及吹、洗设计要求: 满足规范及设计要求
6、未详尽处满足图纸设计、相关规范要求</t>
  </si>
  <si>
    <t>1、名称：PE给水管,S4系列
2、规格：De50
3、连接方式：热熔连接
4、压力等级:1.25Mpa
5、压力试验及吹、洗设计要求: 满足规范及设计要求
6、未详尽处满足图纸设计、相关规范要求</t>
  </si>
  <si>
    <t>1、名称：PE给水管,S4系列
2、规格：De63
3、连接方式：热熔连接
4、压力等级:1.25Mpa
5、压力试验及吹、洗设计要求: 满足规范及设计要求
6、未详尽处满足图纸设计、相关规范要求</t>
  </si>
  <si>
    <t>1、名称：PE给水管,S4系列
2、规格：De75
3、连接方式：热熔连接
4、压力等级:1.25Mpa
5、压力试验及吹、洗设计要求: 满足规范及设计要求
6、未详尽处满足图纸设计、相关规范要求</t>
  </si>
  <si>
    <t>迎宾水景详图</t>
  </si>
  <si>
    <t>景观水泵</t>
  </si>
  <si>
    <t>1、名称：景观水泵
2、型号：QSP50-13-3
3、未详尽处满足图纸设计、相关规范要求</t>
  </si>
  <si>
    <t>人民、熊猫</t>
  </si>
  <si>
    <t>1、名称：景观水泵
2、型号：QSP100-7-3
3、未详尽处满足图纸设计、相关规范要求</t>
  </si>
  <si>
    <t>止回阀</t>
  </si>
  <si>
    <t>1、名称：止回阀
2、规格：DN100
3、含法兰等附件安装
4、未详尽处满足图纸设计、相关规范要求</t>
  </si>
  <si>
    <t>转换阀门</t>
  </si>
  <si>
    <t>1、名称：转换阀门
2、规格：DN100
3、含法兰等附件安装
4、未详尽处满足图纸设计、相关规范要求</t>
  </si>
  <si>
    <t>放空阀</t>
  </si>
  <si>
    <t>1、名称：放空阀
2、规格：DN65
3、含法兰等附件安装
4、未详尽处满足图纸设计、相关规范要求</t>
  </si>
  <si>
    <t>流量调节阀</t>
  </si>
  <si>
    <t>1、名称：流量调节阀
2、规格：DN50
3、含法兰等附件安装
4、未详尽处满足图纸设计、相关规范要求</t>
  </si>
  <si>
    <t>1、名称：流量调节阀
2、规格：DN25
3、含法兰等附件安装
4、未详尽处满足图纸设计、相关规范要求</t>
  </si>
  <si>
    <t>1、名称：PE给水管,S4系列
2、规格：De110
3、连接方式：热熔连接
4、压力等级:1.25Mpa
5、压力试验及吹、洗设计要求: 满足规范及设计要求
6、未详尽处满足图纸设计、相关规范要求</t>
  </si>
  <si>
    <t>补水管（外包无纺布）</t>
  </si>
  <si>
    <t>1、名称：PE给水管,S4系列（外包无纺布）@100mm开φ10的孔,四周均布
2、规格：De110
3、连接方式：热熔连接
4、压力等级:1.25Mpa
5、压力试验及吹、洗设计要求: 满足规范及设计要求
6、未详尽处满足图纸设计、相关规范要求</t>
  </si>
  <si>
    <t>溢流管</t>
  </si>
  <si>
    <t>1、名称：UPVC给水蓝管
2、规格：De75
3、灌水试验满足设计及规范要求
4、未详尽处满足图纸设计、相关规范要求</t>
  </si>
  <si>
    <t>栈桥水景详图</t>
  </si>
  <si>
    <t>1、名称：景观水泵
2、型号：QSP25-12-1.5
3、未详尽处满足图纸设计、相关规范要求</t>
  </si>
  <si>
    <t>1、名称：止回阀
2、规格：DN65
3、含法兰等附件安装
4、未详尽处满足图纸设计、相关规范要求</t>
  </si>
  <si>
    <t>三通阀门井(砖砌)</t>
  </si>
  <si>
    <t>1、三通阀门井(砖砌) 0.6*0.6*0.5m(H)
2、附件：阀门及附件另计，井盖与井圈等满足规范及图纸要求
3、未详尽处满足图纸设计、相关规范要求</t>
  </si>
  <si>
    <t>给水口</t>
  </si>
  <si>
    <t>1、名称：给水口
2、规格：0.4*0.4*0.3m(H)
3、、未详尽处满足图纸设计、相关规范要求</t>
  </si>
  <si>
    <t>连通管</t>
  </si>
  <si>
    <t>1、名称：连通管PE管
2、规格：De160
3、未详尽处满足图纸设计、相关规范要求</t>
  </si>
  <si>
    <t>1、名称：UPVC给水蓝管
2、规格：De90
3、灌水试验满足设计及规范要求
4、未详尽处满足图纸设计、相关规范要求</t>
  </si>
  <si>
    <t>廊架水景详图</t>
  </si>
  <si>
    <t>1、名称：景观水泵
2、型号：QSP65-7-2.2
3、未详尽处满足图纸设计、相关规范要求</t>
  </si>
  <si>
    <t>1、名称：止回阀
2、规格：DN80
3、含法兰等附件安装
4、未详尽处满足图纸设计、相关规范要求</t>
  </si>
  <si>
    <t>1、名称：闸阀
2、规格：DN80
3、含法兰等附件安装
4、未详尽处满足图纸设计、相关规范要求</t>
  </si>
  <si>
    <t>1、名称：PE给水管,S4系列
2、规格：De90
3、连接方式：热熔连接
4、压力等级:1.25Mpa
5、压力试验及吹、洗设计要求: 满足规范及设计要求
6、未详尽处满足图纸设计、相关规范要求</t>
  </si>
  <si>
    <t>1、名称：PE给水管,S4系列（外包无纺布）@100mm开φ10的孔,四周均布
2、规格：De90
3、连接方式：热熔连接
4、压力等级:1.25Mpa
5、压力试验及吹、洗设计要求: 满足规范及设计要求
6、未详尽处满足图纸设计、相关规范要求</t>
  </si>
  <si>
    <t>景观排水</t>
  </si>
  <si>
    <t>双壁波纹管</t>
  </si>
  <si>
    <t>1、安装部位:室外
2、介质:景观排水
3、材质、规格：双壁波纹管环刚度为S1(≥4KN/㎡)De200
4、连接形式:承插连接
5、管道基础：详见SS-4.01图纸设计
6、未详尽处满足图纸设计、相关规范要求</t>
  </si>
  <si>
    <t>1、安装部位:室外
2、介质:景观排水
3、材质、规格：双壁波纹管环刚度为S2(≥8KN/㎡)De200
4、连接形式:承插连接
5、管道基础：详见SS-4.01图纸设计
6、未详尽处满足图纸设计、相关规范要求</t>
  </si>
  <si>
    <t>PVC-U硬质白管</t>
  </si>
  <si>
    <t>1、安装部位:室外
2、介质:景观排水
3、材质、规格：PVC-U硬质白管De110
4、连接形式:粘接
5、管道基础：详见SS-4.01图纸设计
6、未详尽处满足图纸设计、相关规范要求</t>
  </si>
  <si>
    <t>1、安装部位:室外
2、介质:景观排水
3、材质、规格：PVC-U硬质白管De90
4、连接形式:粘接
5、管道基础：详见SS-4.01图纸设计
6、未详尽处满足图纸设计、相关规范要求</t>
  </si>
  <si>
    <t>1、安装部位:室外
2、介质:景观排水
3、材质、规格：PVC-U硬质白管De75
4、连接形式:粘接
5、管道基础：详见SS-4.01图纸设计
6、未详尽处满足图纸设计、相关规范要求</t>
  </si>
  <si>
    <t>雨篦子</t>
  </si>
  <si>
    <t>1、名称：雨篦子
2、规格：道路边缘用,做法详土建B-1.02(1/2)
3、未详尽处满足图纸设计、相关规范要求</t>
  </si>
  <si>
    <t>1、名称：雨篦子
2、规格：绿化中用,做法详土建B-1.02(5/6)
3、未详尽处满足图纸设计、相关规范要求</t>
  </si>
  <si>
    <t>地漏</t>
  </si>
  <si>
    <t>1、名称：不锈钢排水地漏
2、规格：De110
3、未详尽处满足图纸设计、相关规范要求</t>
  </si>
  <si>
    <t>1、名称：高分子排水地漏
2、规格：De110
3、未详尽处满足图纸设计、相关规范要求</t>
  </si>
  <si>
    <t>井圈及井盖安装（草坪内）</t>
  </si>
  <si>
    <t>1、名称:塑料检查井井圈及井盖安装（草坪内）
2、规格：φ450
3、未详尽处满足图纸设计、相关规范要求</t>
  </si>
  <si>
    <t>1、名称:塑料检查井井圈及井盖安装（草坪内）
2、规格：φ630
3、未详尽处满足图纸设计、相关规范要求</t>
  </si>
  <si>
    <t>合计（元）</t>
  </si>
  <si>
    <t>注：1.综合单价包括且不限于人工、材料、机械、措施、检验检测、规费、管理费、利润、税金(增值税专用发票)、赶工措施、安全防护、现场文明施工措施、风险等全部费用。
 2.本工程清单，无论是否存在缺项、漏项、工程量偏差，均视为乙方已综合考虑在固定合同总价内。</t>
  </si>
  <si>
    <t>栾川S1大区雨污水管网招标清单与计价表</t>
  </si>
  <si>
    <t>外网雨水</t>
  </si>
  <si>
    <t>高密度聚乙烯HDPE双壁波纹管</t>
  </si>
  <si>
    <t>1、安装部位:室外
2、介质:雨水
3、材质、规格：高密度聚乙烯HDPE双壁波纹管，环刚度为≥SN4(4KN/m2) DN600
4、连接形式:承插接口,弹性密封圈连接
5、管道基础：做法详图CECS164:2004
6、未详尽处满足图纸设计、相关规范要求</t>
  </si>
  <si>
    <t>中财</t>
  </si>
  <si>
    <t>1、安装部位:室外
2、介质:雨水
3、材质、规格：高密度聚乙烯HDPE双壁波纹管，环刚度为≥SN4(4KN/m2) DN500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</si>
  <si>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DN400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</si>
  <si>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DN300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</si>
  <si>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3、材质、规格：高密度聚乙烯HDPE双壁波纹管，环刚度为≥SN8(8KN/m2) DN300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</si>
  <si>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De200
4、连接形式:承插接口,弹性密封圈连接
5、管道基础：做法详图CECS164:2004
6、未详尽处满足图纸设计、相关规范要求</t>
  </si>
  <si>
    <t>塑料检查井</t>
  </si>
  <si>
    <t>1、名称：塑料检查井（不含井圈及井盖）
2、规格：Φ450mm,具体做法参照图集08SS523全册
3、未详尽处满足图纸设计、相关规范要求</t>
  </si>
  <si>
    <t>1、名称：塑料检查井（不含井圈及井盖）
2、规格：Φ630mm,具体做法参照图集08SS523全册
3、未详尽处满足图纸设计、相关规范要求</t>
  </si>
  <si>
    <t>球墨铸铁雨水篦子及篦座</t>
  </si>
  <si>
    <t>1、名称：球墨铸铁雨水篦子及篦座
2、规格：详见图纸设计及规范
3、未详尽处满足图纸设计、相关规范要求</t>
  </si>
  <si>
    <t>外网污水</t>
  </si>
  <si>
    <t>1、安装部位:室外
2、介质:污水
3、材质、规格：高密度聚乙烯HDPE双壁波纹管，环刚度为≥SN4(4KN/m2) De500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</si>
  <si>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3、材质、规格：高密度聚乙烯HDPE双壁波纹管，环刚度为≥SN4(4KN/m2) De400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</si>
  <si>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3、材质、规格：高密度聚乙烯HDPE双壁波纹管，环刚度为≥SN4(4KN/m2) De300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</si>
  <si>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3、材质、规格：高密度聚乙烯HDPE双壁波纹管，环刚度为≥SN8(8KN/m2) De300
4、连接形式:承插接口,弹性密封圈连接
5、管道基础：做法详图CECS164:2004
6、未详尽处满足图纸设计、相关规范要求</t>
  </si>
  <si>
    <t>玻璃钢化粪池</t>
  </si>
  <si>
    <t>1.名称:玻璃钢化粪池
2.型号、规格:HFRP(LWQ)-13(V=100m3)
3.详见图集12YS8，基础做法见图集14SS706第49页，含周边换填</t>
  </si>
  <si>
    <t>栾川S1大区景观工程清单与计价表（备选苗木及井盖类）</t>
  </si>
  <si>
    <t>胸（地）径(cm)</t>
  </si>
  <si>
    <t>综合单价（元）</t>
  </si>
  <si>
    <t>三、井盖</t>
  </si>
  <si>
    <t>按最终合同与第一投标报价比例调整</t>
  </si>
  <si>
    <t>硬质铺装内装饰井圈及井盖</t>
  </si>
  <si>
    <t xml:space="preserve">1、名称：硬质铺装内装饰井圈及井盖
2、规格：Φ450mm，铺装面层（与周边铺装材质一致，不锈钢井盖边框，详见景观详图
</t>
  </si>
  <si>
    <t>仅计主材费，费用不计入报价内，后期据实结算</t>
  </si>
  <si>
    <t xml:space="preserve">1、名称：硬质铺装内装饰井圈及井盖
2、规格：Φ630mm，铺装面层（与周边铺装材质一致，不锈钢井盖边框，详见景观详图
</t>
  </si>
  <si>
    <t>灌木内井圈及井盖</t>
  </si>
  <si>
    <t xml:space="preserve">1、名称：灌木内井圈及井盖
2、规格：Φ450mm，铺装面层（与周边铺装材质一致，不锈钢井盖边框，详见景观详图
</t>
  </si>
  <si>
    <t xml:space="preserve">1、名称：灌木内井圈及井盖
2、规格：Φ630mm，铺装面层（与周边铺装材质一致，不锈钢井盖边框，详见景观详图
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</si>
</sst>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0000_ "/>
    <numFmt numFmtId="179" formatCode="0.00_);[Red]\(0.00\)"/>
  </numFmts>
  <fonts count="72">
    <font>
      <sz val="10"/>
      <name val="Arial"/>
      <charset val="1"/>
    </font>
    <font>
      <sz val="10"/>
      <name val="Arial"/>
      <charset val="134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9"/>
      <name val="Arial"/>
      <charset val="134"/>
    </font>
    <font>
      <sz val="12"/>
      <name val="Arial"/>
      <charset val="134"/>
    </font>
    <font>
      <sz val="12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0.5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theme="1"/>
      <name val="新宋体"/>
      <charset val="134"/>
    </font>
    <font>
      <sz val="11"/>
      <color theme="1"/>
      <name val="新宋体"/>
      <charset val="134"/>
    </font>
    <font>
      <b/>
      <sz val="14"/>
      <color theme="1"/>
      <name val="新宋体"/>
      <charset val="134"/>
    </font>
    <font>
      <sz val="10"/>
      <name val="新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name val="宋体"/>
      <charset val="1"/>
    </font>
    <font>
      <sz val="8"/>
      <name val="Arial"/>
      <charset val="134"/>
    </font>
    <font>
      <sz val="8"/>
      <name val="宋体"/>
      <charset val="134"/>
    </font>
    <font>
      <b/>
      <sz val="8"/>
      <name val="宋体"/>
      <charset val="134"/>
    </font>
    <font>
      <sz val="8"/>
      <name val="宋体"/>
      <charset val="134"/>
      <scheme val="minor"/>
    </font>
    <font>
      <sz val="8"/>
      <name val="Arial"/>
      <charset val="1"/>
    </font>
    <font>
      <sz val="8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8"/>
      <color theme="1"/>
      <name val="SimSun"/>
      <charset val="134"/>
    </font>
    <font>
      <sz val="8"/>
      <color indexed="8"/>
      <name val="宋体"/>
      <charset val="134"/>
    </font>
    <font>
      <b/>
      <sz val="8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8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新細明體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sz val="10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39" fillId="0" borderId="0" applyFont="0" applyFill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12" applyNumberFormat="0" applyAlignment="0" applyProtection="0">
      <alignment vertical="center"/>
    </xf>
    <xf numFmtId="44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13" borderId="13" applyNumberFormat="0" applyFont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60" fillId="0" borderId="14" applyNumberFormat="0" applyFill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61" fillId="17" borderId="16" applyNumberFormat="0" applyAlignment="0" applyProtection="0">
      <alignment vertical="center"/>
    </xf>
    <xf numFmtId="0" fontId="62" fillId="17" borderId="12" applyNumberFormat="0" applyAlignment="0" applyProtection="0">
      <alignment vertical="center"/>
    </xf>
    <xf numFmtId="0" fontId="63" fillId="18" borderId="17" applyNumberFormat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64" fillId="0" borderId="18" applyNumberFormat="0" applyFill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68" fillId="0" borderId="0">
      <alignment vertical="center"/>
    </xf>
    <xf numFmtId="0" fontId="49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52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52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69" fillId="0" borderId="0">
      <alignment vertical="center"/>
    </xf>
    <xf numFmtId="0" fontId="8" fillId="0" borderId="0">
      <alignment vertical="center"/>
    </xf>
    <xf numFmtId="0" fontId="70" fillId="0" borderId="0"/>
    <xf numFmtId="0" fontId="39" fillId="0" borderId="0">
      <alignment vertical="center"/>
    </xf>
    <xf numFmtId="0" fontId="8" fillId="0" borderId="0">
      <alignment vertical="center"/>
    </xf>
    <xf numFmtId="0" fontId="47" fillId="0" borderId="0"/>
  </cellStyleXfs>
  <cellXfs count="313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wrapText="1"/>
    </xf>
    <xf numFmtId="49" fontId="1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176" fontId="10" fillId="0" borderId="5" xfId="0" applyNumberFormat="1" applyFont="1" applyFill="1" applyBorder="1" applyAlignment="1" applyProtection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0" fillId="0" borderId="6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176" fontId="10" fillId="0" borderId="8" xfId="0" applyNumberFormat="1" applyFont="1" applyFill="1" applyBorder="1" applyAlignment="1" applyProtection="1">
      <alignment horizontal="center" vertical="center" wrapText="1"/>
    </xf>
    <xf numFmtId="176" fontId="10" fillId="0" borderId="5" xfId="0" applyNumberFormat="1" applyFont="1" applyFill="1" applyBorder="1" applyAlignment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center" wrapText="1"/>
    </xf>
    <xf numFmtId="0" fontId="10" fillId="0" borderId="10" xfId="0" applyNumberFormat="1" applyFont="1" applyFill="1" applyBorder="1" applyAlignment="1" applyProtection="1">
      <alignment horizontal="center" vertical="center" wrapText="1"/>
    </xf>
    <xf numFmtId="176" fontId="10" fillId="0" borderId="10" xfId="0" applyNumberFormat="1" applyFont="1" applyFill="1" applyBorder="1" applyAlignment="1" applyProtection="1">
      <alignment horizontal="center" vertical="center" wrapText="1"/>
    </xf>
    <xf numFmtId="176" fontId="10" fillId="0" borderId="1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vertical="center"/>
    </xf>
    <xf numFmtId="176" fontId="10" fillId="0" borderId="3" xfId="0" applyNumberFormat="1" applyFont="1" applyFill="1" applyBorder="1" applyAlignment="1">
      <alignment horizontal="center" vertical="center" wrapText="1"/>
    </xf>
    <xf numFmtId="176" fontId="10" fillId="0" borderId="8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 applyProtection="1">
      <alignment horizontal="center" vertical="center"/>
      <protection locked="0"/>
    </xf>
    <xf numFmtId="176" fontId="0" fillId="0" borderId="1" xfId="0" applyNumberFormat="1" applyBorder="1" applyAlignment="1">
      <alignment horizontal="center" vertical="center"/>
    </xf>
    <xf numFmtId="176" fontId="10" fillId="0" borderId="1" xfId="0" applyNumberFormat="1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applyProtection="1">
      <alignment vertical="center" wrapText="1"/>
      <protection locked="0"/>
    </xf>
    <xf numFmtId="176" fontId="12" fillId="0" borderId="11" xfId="0" applyNumberFormat="1" applyFont="1" applyFill="1" applyBorder="1" applyAlignment="1" applyProtection="1">
      <alignment horizontal="righ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57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/>
    <xf numFmtId="0" fontId="6" fillId="0" borderId="1" xfId="0" applyFont="1" applyFill="1" applyBorder="1" applyAlignment="1"/>
    <xf numFmtId="0" fontId="10" fillId="0" borderId="1" xfId="0" applyFont="1" applyFill="1" applyBorder="1" applyAlignment="1">
      <alignment vertical="center" wrapText="1"/>
    </xf>
    <xf numFmtId="176" fontId="0" fillId="0" borderId="1" xfId="0" applyNumberFormat="1" applyBorder="1" applyAlignment="1">
      <alignment vertical="center"/>
    </xf>
    <xf numFmtId="176" fontId="10" fillId="0" borderId="1" xfId="0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6" fillId="0" borderId="1" xfId="54" applyFont="1" applyFill="1" applyBorder="1" applyAlignment="1">
      <alignment horizontal="center" vertical="center" wrapText="1"/>
    </xf>
    <xf numFmtId="0" fontId="16" fillId="0" borderId="1" xfId="54" applyFont="1" applyFill="1" applyBorder="1" applyAlignment="1">
      <alignment horizontal="left" vertical="center" wrapText="1"/>
    </xf>
    <xf numFmtId="49" fontId="16" fillId="0" borderId="1" xfId="54" applyNumberFormat="1" applyFont="1" applyFill="1" applyBorder="1" applyAlignment="1">
      <alignment horizontal="center" vertical="center"/>
    </xf>
    <xf numFmtId="0" fontId="16" fillId="0" borderId="1" xfId="54" applyNumberFormat="1" applyFont="1" applyFill="1" applyBorder="1" applyAlignment="1">
      <alignment horizontal="center" vertical="center" wrapText="1"/>
    </xf>
    <xf numFmtId="0" fontId="16" fillId="0" borderId="5" xfId="54" applyNumberFormat="1" applyFont="1" applyFill="1" applyBorder="1" applyAlignment="1">
      <alignment horizontal="center" vertical="center" wrapText="1"/>
    </xf>
    <xf numFmtId="49" fontId="16" fillId="0" borderId="1" xfId="54" applyNumberFormat="1" applyFont="1" applyFill="1" applyBorder="1" applyAlignment="1">
      <alignment horizontal="center" vertical="center" wrapText="1"/>
    </xf>
    <xf numFmtId="0" fontId="16" fillId="0" borderId="10" xfId="54" applyNumberFormat="1" applyFont="1" applyFill="1" applyBorder="1" applyAlignment="1">
      <alignment horizontal="center" vertical="center" wrapText="1"/>
    </xf>
    <xf numFmtId="0" fontId="17" fillId="0" borderId="1" xfId="54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55" applyFont="1" applyFill="1" applyBorder="1" applyAlignment="1" applyProtection="1">
      <alignment horizontal="center" vertical="center" wrapText="1"/>
    </xf>
    <xf numFmtId="0" fontId="16" fillId="0" borderId="1" xfId="55" applyFont="1" applyFill="1" applyBorder="1" applyAlignment="1" applyProtection="1">
      <alignment horizontal="left" vertical="center" wrapText="1"/>
    </xf>
    <xf numFmtId="0" fontId="16" fillId="0" borderId="1" xfId="38" applyFont="1" applyFill="1" applyBorder="1" applyAlignment="1">
      <alignment horizontal="center" vertical="center"/>
    </xf>
    <xf numFmtId="49" fontId="18" fillId="2" borderId="1" xfId="55" applyNumberFormat="1" applyFont="1" applyFill="1" applyBorder="1" applyAlignment="1" applyProtection="1">
      <alignment horizontal="center" vertical="center" wrapText="1"/>
    </xf>
    <xf numFmtId="0" fontId="16" fillId="0" borderId="9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" xfId="38" applyFont="1" applyFill="1" applyBorder="1" applyAlignment="1">
      <alignment horizontal="left" vertical="center"/>
    </xf>
    <xf numFmtId="0" fontId="17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" xfId="52" applyFont="1" applyFill="1" applyBorder="1" applyAlignment="1">
      <alignment horizontal="left" vertical="center"/>
    </xf>
    <xf numFmtId="0" fontId="16" fillId="0" borderId="1" xfId="52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left" vertical="center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Fill="1" applyBorder="1" applyAlignment="1">
      <alignment horizontal="center" vertical="center"/>
    </xf>
    <xf numFmtId="0" fontId="16" fillId="0" borderId="5" xfId="54" applyFont="1" applyFill="1" applyBorder="1" applyAlignment="1">
      <alignment horizontal="center" vertical="center" wrapText="1"/>
    </xf>
    <xf numFmtId="0" fontId="16" fillId="0" borderId="10" xfId="54" applyFont="1" applyFill="1" applyBorder="1" applyAlignment="1">
      <alignment horizontal="center" vertical="center" wrapText="1"/>
    </xf>
    <xf numFmtId="176" fontId="16" fillId="0" borderId="1" xfId="55" applyNumberFormat="1" applyFont="1" applyFill="1" applyBorder="1" applyAlignment="1" applyProtection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/>
      <protection locked="0"/>
    </xf>
    <xf numFmtId="0" fontId="16" fillId="0" borderId="1" xfId="38" applyFont="1" applyFill="1" applyBorder="1" applyAlignment="1">
      <alignment vertical="center"/>
    </xf>
    <xf numFmtId="176" fontId="17" fillId="0" borderId="1" xfId="0" applyNumberFormat="1" applyFont="1" applyFill="1" applyBorder="1" applyAlignment="1">
      <alignment vertical="center"/>
    </xf>
    <xf numFmtId="0" fontId="16" fillId="0" borderId="1" xfId="52" applyFont="1" applyFill="1" applyBorder="1" applyAlignment="1">
      <alignment vertical="center"/>
    </xf>
    <xf numFmtId="176" fontId="16" fillId="0" borderId="1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left" vertical="center"/>
    </xf>
    <xf numFmtId="0" fontId="4" fillId="0" borderId="0" xfId="0" applyFont="1"/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left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176" fontId="0" fillId="0" borderId="1" xfId="0" applyNumberFormat="1" applyBorder="1" applyAlignment="1">
      <alignment horizontal="center"/>
    </xf>
    <xf numFmtId="0" fontId="20" fillId="0" borderId="1" xfId="54" applyFont="1" applyFill="1" applyBorder="1" applyAlignment="1">
      <alignment horizontal="left" vertical="center" wrapText="1"/>
    </xf>
    <xf numFmtId="0" fontId="20" fillId="0" borderId="1" xfId="54" applyFont="1" applyFill="1" applyBorder="1" applyAlignment="1">
      <alignment horizontal="left" vertical="center"/>
    </xf>
    <xf numFmtId="0" fontId="16" fillId="0" borderId="1" xfId="0" applyFont="1" applyFill="1" applyBorder="1" applyAlignment="1">
      <alignment vertical="center"/>
    </xf>
    <xf numFmtId="176" fontId="0" fillId="0" borderId="0" xfId="0" applyNumberFormat="1"/>
    <xf numFmtId="0" fontId="9" fillId="0" borderId="0" xfId="0" applyFont="1" applyAlignment="1">
      <alignment horizontal="center" vertical="center"/>
    </xf>
    <xf numFmtId="0" fontId="10" fillId="0" borderId="5" xfId="0" applyFont="1" applyFill="1" applyBorder="1" applyAlignment="1" applyProtection="1">
      <alignment horizontal="center" vertical="center" wrapText="1"/>
    </xf>
    <xf numFmtId="0" fontId="10" fillId="0" borderId="8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0" fillId="0" borderId="1" xfId="0" applyBorder="1"/>
    <xf numFmtId="0" fontId="4" fillId="0" borderId="1" xfId="0" applyFont="1" applyBorder="1" applyAlignment="1">
      <alignment vertical="center" wrapText="1"/>
    </xf>
    <xf numFmtId="0" fontId="0" fillId="0" borderId="1" xfId="0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wrapText="1"/>
    </xf>
    <xf numFmtId="0" fontId="0" fillId="0" borderId="1" xfId="0" applyFill="1" applyBorder="1"/>
    <xf numFmtId="0" fontId="10" fillId="0" borderId="1" xfId="0" applyFont="1" applyFill="1" applyBorder="1" applyAlignment="1" applyProtection="1">
      <alignment horizontal="left" vertical="center" wrapText="1"/>
    </xf>
    <xf numFmtId="176" fontId="9" fillId="0" borderId="0" xfId="0" applyNumberFormat="1" applyFont="1" applyAlignment="1">
      <alignment horizontal="center" vertical="center"/>
    </xf>
    <xf numFmtId="0" fontId="10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/>
    <xf numFmtId="177" fontId="0" fillId="0" borderId="1" xfId="0" applyNumberFormat="1" applyBorder="1"/>
    <xf numFmtId="176" fontId="0" fillId="0" borderId="1" xfId="0" applyNumberFormat="1" applyBorder="1"/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Protection="1">
      <protection locked="0"/>
    </xf>
    <xf numFmtId="0" fontId="27" fillId="0" borderId="0" xfId="0" applyFont="1" applyFill="1" applyAlignment="1" applyProtection="1">
      <protection locked="0"/>
    </xf>
    <xf numFmtId="0" fontId="6" fillId="0" borderId="0" xfId="0" applyFont="1" applyFill="1" applyBorder="1" applyAlignment="1" applyProtection="1">
      <alignment horizontal="center" wrapText="1"/>
    </xf>
    <xf numFmtId="0" fontId="6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 applyProtection="1">
      <alignment wrapText="1"/>
      <protection locked="0"/>
    </xf>
    <xf numFmtId="0" fontId="6" fillId="0" borderId="0" xfId="0" applyFont="1" applyFill="1" applyProtection="1">
      <protection locked="0"/>
    </xf>
    <xf numFmtId="0" fontId="9" fillId="0" borderId="0" xfId="0" applyFont="1" applyFill="1" applyBorder="1" applyAlignment="1" applyProtection="1">
      <alignment vertical="center" wrapText="1"/>
    </xf>
    <xf numFmtId="0" fontId="28" fillId="0" borderId="5" xfId="0" applyFont="1" applyFill="1" applyBorder="1" applyAlignment="1" applyProtection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0" fontId="28" fillId="0" borderId="8" xfId="0" applyFont="1" applyFill="1" applyBorder="1" applyAlignment="1" applyProtection="1">
      <alignment horizontal="center" vertical="center" wrapText="1"/>
    </xf>
    <xf numFmtId="176" fontId="28" fillId="0" borderId="5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left" vertical="center" wrapText="1"/>
    </xf>
    <xf numFmtId="0" fontId="28" fillId="0" borderId="1" xfId="0" applyFont="1" applyFill="1" applyBorder="1" applyAlignment="1" applyProtection="1">
      <alignment horizontal="left" vertical="center" wrapText="1"/>
    </xf>
    <xf numFmtId="0" fontId="28" fillId="0" borderId="1" xfId="0" applyFont="1" applyFill="1" applyBorder="1" applyAlignment="1" applyProtection="1">
      <alignment horizontal="center" vertical="center" wrapText="1"/>
    </xf>
    <xf numFmtId="176" fontId="30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 applyProtection="1">
      <alignment horizontal="center" vertical="center" wrapText="1"/>
    </xf>
    <xf numFmtId="0" fontId="27" fillId="0" borderId="1" xfId="0" applyFont="1" applyFill="1" applyBorder="1" applyAlignment="1" applyProtection="1">
      <alignment wrapText="1"/>
      <protection locked="0"/>
    </xf>
    <xf numFmtId="0" fontId="27" fillId="0" borderId="0" xfId="0" applyFont="1" applyFill="1" applyAlignment="1" applyProtection="1">
      <alignment wrapText="1"/>
      <protection locked="0"/>
    </xf>
    <xf numFmtId="0" fontId="9" fillId="0" borderId="0" xfId="0" applyFont="1" applyFill="1" applyAlignment="1" applyProtection="1">
      <alignment horizontal="center" vertical="center" wrapText="1"/>
      <protection locked="0"/>
    </xf>
    <xf numFmtId="0" fontId="28" fillId="0" borderId="5" xfId="0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Fill="1" applyAlignment="1" applyProtection="1">
      <alignment horizontal="center" vertical="center" wrapText="1"/>
      <protection locked="0"/>
    </xf>
    <xf numFmtId="176" fontId="28" fillId="0" borderId="8" xfId="0" applyNumberFormat="1" applyFont="1" applyFill="1" applyBorder="1" applyAlignment="1">
      <alignment horizontal="center" vertical="center" wrapText="1"/>
    </xf>
    <xf numFmtId="0" fontId="28" fillId="0" borderId="8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vertical="center"/>
      <protection locked="0"/>
    </xf>
    <xf numFmtId="0" fontId="30" fillId="0" borderId="1" xfId="0" applyFont="1" applyFill="1" applyBorder="1" applyAlignment="1">
      <alignment wrapText="1"/>
    </xf>
    <xf numFmtId="0" fontId="31" fillId="0" borderId="1" xfId="0" applyFont="1" applyFill="1" applyBorder="1" applyAlignment="1">
      <alignment wrapText="1"/>
    </xf>
    <xf numFmtId="0" fontId="28" fillId="0" borderId="1" xfId="0" applyFont="1" applyFill="1" applyBorder="1" applyAlignment="1" applyProtection="1">
      <alignment horizontal="center" vertical="center" wrapText="1"/>
      <protection locked="0"/>
    </xf>
    <xf numFmtId="0" fontId="27" fillId="0" borderId="1" xfId="0" applyFont="1" applyFill="1" applyBorder="1" applyAlignment="1" applyProtection="1">
      <alignment vertical="center" wrapText="1"/>
      <protection locked="0"/>
    </xf>
    <xf numFmtId="0" fontId="27" fillId="0" borderId="0" xfId="0" applyFont="1" applyFill="1" applyAlignment="1" applyProtection="1">
      <alignment vertical="center" wrapText="1"/>
      <protection locked="0"/>
    </xf>
    <xf numFmtId="176" fontId="2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31" fillId="0" borderId="1" xfId="0" applyNumberFormat="1" applyFont="1" applyBorder="1" applyAlignment="1">
      <alignment vertical="center" wrapText="1"/>
    </xf>
    <xf numFmtId="178" fontId="28" fillId="0" borderId="1" xfId="0" applyNumberFormat="1" applyFont="1" applyFill="1" applyBorder="1" applyAlignment="1">
      <alignment horizontal="center" vertical="center" wrapText="1"/>
    </xf>
    <xf numFmtId="0" fontId="31" fillId="0" borderId="0" xfId="0" applyFont="1"/>
    <xf numFmtId="176" fontId="30" fillId="0" borderId="1" xfId="0" applyNumberFormat="1" applyFont="1" applyFill="1" applyBorder="1" applyAlignment="1" applyProtection="1">
      <alignment vertical="center" wrapText="1"/>
      <protection locked="0"/>
    </xf>
    <xf numFmtId="177" fontId="28" fillId="0" borderId="1" xfId="0" applyNumberFormat="1" applyFont="1" applyFill="1" applyBorder="1" applyAlignment="1" applyProtection="1">
      <alignment horizontal="center" vertical="center" wrapText="1"/>
    </xf>
    <xf numFmtId="176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vertical="center" wrapText="1"/>
    </xf>
    <xf numFmtId="0" fontId="28" fillId="0" borderId="1" xfId="0" applyFont="1" applyFill="1" applyBorder="1" applyAlignment="1">
      <alignment wrapText="1"/>
    </xf>
    <xf numFmtId="0" fontId="27" fillId="0" borderId="1" xfId="0" applyFont="1" applyFill="1" applyBorder="1" applyAlignment="1">
      <alignment wrapText="1"/>
    </xf>
    <xf numFmtId="176" fontId="28" fillId="0" borderId="1" xfId="0" applyNumberFormat="1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center" vertical="center" wrapText="1"/>
    </xf>
    <xf numFmtId="178" fontId="28" fillId="0" borderId="1" xfId="0" applyNumberFormat="1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left" vertical="center" wrapText="1"/>
    </xf>
    <xf numFmtId="177" fontId="28" fillId="0" borderId="1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 wrapText="1"/>
    </xf>
    <xf numFmtId="177" fontId="30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center" vertical="center" wrapText="1"/>
    </xf>
    <xf numFmtId="176" fontId="32" fillId="0" borderId="1" xfId="0" applyNumberFormat="1" applyFont="1" applyFill="1" applyBorder="1" applyAlignment="1">
      <alignment vertical="center" wrapText="1"/>
    </xf>
    <xf numFmtId="176" fontId="28" fillId="0" borderId="1" xfId="0" applyNumberFormat="1" applyFont="1" applyFill="1" applyBorder="1" applyAlignment="1" applyProtection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center" wrapText="1"/>
    </xf>
    <xf numFmtId="176" fontId="33" fillId="0" borderId="1" xfId="0" applyNumberFormat="1" applyFont="1" applyFill="1" applyBorder="1" applyAlignment="1">
      <alignment horizontal="center" vertical="center" wrapText="1"/>
    </xf>
    <xf numFmtId="176" fontId="3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Alignment="1" applyProtection="1">
      <alignment horizontal="left" vertical="center" wrapText="1"/>
      <protection locked="0"/>
    </xf>
    <xf numFmtId="0" fontId="31" fillId="0" borderId="1" xfId="0" applyFont="1" applyFill="1" applyBorder="1" applyAlignment="1">
      <alignment horizontal="center" wrapText="1"/>
    </xf>
    <xf numFmtId="177" fontId="31" fillId="0" borderId="1" xfId="0" applyNumberFormat="1" applyFont="1" applyFill="1" applyBorder="1" applyAlignment="1">
      <alignment horizontal="center" wrapText="1"/>
    </xf>
    <xf numFmtId="0" fontId="34" fillId="0" borderId="1" xfId="0" applyFont="1" applyFill="1" applyBorder="1" applyAlignment="1">
      <alignment vertical="center" wrapText="1"/>
    </xf>
    <xf numFmtId="0" fontId="28" fillId="0" borderId="1" xfId="0" applyFont="1" applyFill="1" applyBorder="1" applyAlignment="1" applyProtection="1">
      <alignment wrapText="1"/>
      <protection locked="0"/>
    </xf>
    <xf numFmtId="0" fontId="28" fillId="0" borderId="1" xfId="0" applyFont="1" applyFill="1" applyBorder="1" applyAlignment="1" applyProtection="1">
      <alignment horizontal="center" wrapText="1"/>
      <protection locked="0"/>
    </xf>
    <xf numFmtId="176" fontId="27" fillId="0" borderId="1" xfId="0" applyNumberFormat="1" applyFont="1" applyFill="1" applyBorder="1" applyAlignment="1" applyProtection="1">
      <alignment horizontal="center" wrapText="1"/>
      <protection locked="0"/>
    </xf>
    <xf numFmtId="176" fontId="35" fillId="0" borderId="11" xfId="0" applyNumberFormat="1" applyFont="1" applyFill="1" applyBorder="1" applyAlignment="1" applyProtection="1">
      <alignment horizontal="right" vertical="center" wrapText="1"/>
    </xf>
    <xf numFmtId="176" fontId="31" fillId="0" borderId="1" xfId="0" applyNumberFormat="1" applyFont="1" applyFill="1" applyBorder="1" applyAlignment="1">
      <alignment horizontal="center" wrapText="1"/>
    </xf>
    <xf numFmtId="0" fontId="27" fillId="0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vertical="center" wrapText="1"/>
    </xf>
    <xf numFmtId="0" fontId="33" fillId="0" borderId="1" xfId="0" applyNumberFormat="1" applyFont="1" applyFill="1" applyBorder="1" applyAlignment="1" applyProtection="1">
      <alignment horizontal="center" vertical="center" wrapText="1"/>
    </xf>
    <xf numFmtId="0" fontId="36" fillId="0" borderId="1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Fill="1" applyBorder="1" applyAlignment="1" applyProtection="1">
      <alignment horizontal="left" vertical="center" wrapText="1"/>
    </xf>
    <xf numFmtId="0" fontId="31" fillId="0" borderId="0" xfId="0" applyFont="1" applyFill="1" applyBorder="1" applyAlignment="1" applyProtection="1">
      <alignment horizontal="left" vertical="center" wrapText="1"/>
    </xf>
    <xf numFmtId="0" fontId="28" fillId="0" borderId="0" xfId="0" applyFont="1" applyFill="1" applyBorder="1" applyAlignment="1">
      <alignment vertical="center" wrapText="1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Fill="1" applyBorder="1" applyAlignment="1">
      <alignment horizontal="center" vertical="center" wrapText="1"/>
    </xf>
    <xf numFmtId="0" fontId="31" fillId="0" borderId="0" xfId="0" applyFont="1" applyFill="1" applyAlignment="1" applyProtection="1">
      <alignment horizontal="left" vertical="center"/>
    </xf>
    <xf numFmtId="0" fontId="8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37" fillId="0" borderId="1" xfId="0" applyFont="1" applyFill="1" applyBorder="1" applyAlignment="1">
      <alignment horizontal="center" vertical="center"/>
    </xf>
    <xf numFmtId="176" fontId="38" fillId="0" borderId="1" xfId="0" applyNumberFormat="1" applyFont="1" applyFill="1" applyBorder="1" applyAlignment="1">
      <alignment horizontal="center" vertical="center" wrapText="1"/>
    </xf>
    <xf numFmtId="176" fontId="3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right"/>
    </xf>
    <xf numFmtId="176" fontId="0" fillId="0" borderId="0" xfId="0" applyNumberFormat="1" applyAlignment="1">
      <alignment horizontal="center"/>
    </xf>
    <xf numFmtId="0" fontId="39" fillId="0" borderId="0" xfId="0" applyFont="1" applyFill="1" applyAlignment="1">
      <alignment horizontal="center" vertical="center"/>
    </xf>
    <xf numFmtId="10" fontId="39" fillId="0" borderId="0" xfId="0" applyNumberFormat="1" applyFont="1" applyFill="1" applyAlignment="1">
      <alignment horizontal="center" vertical="center"/>
    </xf>
    <xf numFmtId="176" fontId="39" fillId="0" borderId="0" xfId="11" applyNumberFormat="1" applyFont="1" applyAlignment="1">
      <alignment horizontal="center" vertical="center"/>
    </xf>
    <xf numFmtId="0" fontId="40" fillId="0" borderId="0" xfId="0" applyFont="1" applyFill="1" applyAlignment="1">
      <alignment horizontal="center" vertical="center" wrapText="1"/>
    </xf>
    <xf numFmtId="0" fontId="41" fillId="0" borderId="0" xfId="0" applyFont="1" applyFill="1" applyAlignment="1">
      <alignment horizontal="center" vertical="center"/>
    </xf>
    <xf numFmtId="10" fontId="41" fillId="0" borderId="0" xfId="0" applyNumberFormat="1" applyFont="1" applyFill="1" applyAlignment="1">
      <alignment horizontal="center" vertical="center"/>
    </xf>
    <xf numFmtId="0" fontId="42" fillId="4" borderId="1" xfId="0" applyFont="1" applyFill="1" applyBorder="1" applyAlignment="1">
      <alignment horizontal="center" vertical="center" wrapText="1"/>
    </xf>
    <xf numFmtId="10" fontId="42" fillId="4" borderId="1" xfId="0" applyNumberFormat="1" applyFont="1" applyFill="1" applyBorder="1" applyAlignment="1">
      <alignment horizontal="center" vertical="center" wrapText="1"/>
    </xf>
    <xf numFmtId="0" fontId="42" fillId="5" borderId="1" xfId="0" applyFont="1" applyFill="1" applyBorder="1" applyAlignment="1">
      <alignment horizontal="center" vertical="center" wrapText="1"/>
    </xf>
    <xf numFmtId="2" fontId="43" fillId="5" borderId="1" xfId="0" applyNumberFormat="1" applyFont="1" applyFill="1" applyBorder="1" applyAlignment="1">
      <alignment horizontal="center" vertical="center"/>
    </xf>
    <xf numFmtId="0" fontId="44" fillId="5" borderId="1" xfId="0" applyFont="1" applyFill="1" applyBorder="1" applyAlignment="1">
      <alignment horizontal="center" vertical="center"/>
    </xf>
    <xf numFmtId="2" fontId="43" fillId="5" borderId="1" xfId="0" applyNumberFormat="1" applyFont="1" applyFill="1" applyBorder="1" applyAlignment="1">
      <alignment horizontal="center" vertical="center" wrapText="1"/>
    </xf>
    <xf numFmtId="176" fontId="43" fillId="5" borderId="1" xfId="0" applyNumberFormat="1" applyFont="1" applyFill="1" applyBorder="1" applyAlignment="1">
      <alignment horizontal="center" vertical="center" wrapText="1"/>
    </xf>
    <xf numFmtId="0" fontId="45" fillId="6" borderId="1" xfId="0" applyFont="1" applyFill="1" applyBorder="1" applyAlignment="1">
      <alignment horizontal="center" vertical="center"/>
    </xf>
    <xf numFmtId="0" fontId="45" fillId="6" borderId="1" xfId="0" applyFont="1" applyFill="1" applyBorder="1" applyAlignment="1">
      <alignment horizontal="center" vertical="center" wrapText="1"/>
    </xf>
    <xf numFmtId="10" fontId="46" fillId="6" borderId="1" xfId="0" applyNumberFormat="1" applyFont="1" applyFill="1" applyBorder="1" applyAlignment="1">
      <alignment horizontal="center" vertical="center" wrapText="1"/>
    </xf>
    <xf numFmtId="176" fontId="47" fillId="6" borderId="1" xfId="0" applyNumberFormat="1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45" fillId="7" borderId="1" xfId="0" applyFont="1" applyFill="1" applyBorder="1" applyAlignment="1">
      <alignment horizontal="center" vertical="center"/>
    </xf>
    <xf numFmtId="10" fontId="47" fillId="7" borderId="1" xfId="11" applyNumberFormat="1" applyFont="1" applyFill="1" applyBorder="1" applyAlignment="1">
      <alignment horizontal="center" vertical="center"/>
    </xf>
    <xf numFmtId="176" fontId="47" fillId="7" borderId="1" xfId="0" applyNumberFormat="1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/>
    </xf>
    <xf numFmtId="10" fontId="47" fillId="0" borderId="1" xfId="11" applyNumberFormat="1" applyFont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0" fontId="46" fillId="0" borderId="0" xfId="0" applyFont="1" applyFill="1" applyAlignment="1">
      <alignment horizontal="center" vertical="center"/>
    </xf>
    <xf numFmtId="0" fontId="46" fillId="0" borderId="0" xfId="0" applyFont="1" applyFill="1" applyAlignment="1">
      <alignment horizontal="left" vertical="center"/>
    </xf>
    <xf numFmtId="10" fontId="46" fillId="0" borderId="0" xfId="0" applyNumberFormat="1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10" fontId="14" fillId="0" borderId="0" xfId="0" applyNumberFormat="1" applyFont="1" applyFill="1" applyAlignment="1">
      <alignment vertical="center"/>
    </xf>
    <xf numFmtId="0" fontId="14" fillId="0" borderId="0" xfId="0" applyFont="1" applyFill="1" applyBorder="1" applyAlignment="1">
      <alignment horizontal="right" vertical="center" wrapText="1"/>
    </xf>
    <xf numFmtId="176" fontId="41" fillId="0" borderId="0" xfId="11" applyNumberFormat="1" applyFont="1" applyAlignment="1">
      <alignment horizontal="center" vertical="center"/>
    </xf>
    <xf numFmtId="176" fontId="42" fillId="4" borderId="1" xfId="11" applyNumberFormat="1" applyFont="1" applyFill="1" applyBorder="1" applyAlignment="1">
      <alignment horizontal="center" vertical="center" wrapText="1"/>
    </xf>
    <xf numFmtId="9" fontId="43" fillId="5" borderId="1" xfId="0" applyNumberFormat="1" applyFont="1" applyFill="1" applyBorder="1" applyAlignment="1">
      <alignment horizontal="center" vertical="center" wrapText="1"/>
    </xf>
    <xf numFmtId="176" fontId="43" fillId="5" borderId="1" xfId="11" applyNumberFormat="1" applyFont="1" applyFill="1" applyBorder="1" applyAlignment="1">
      <alignment horizontal="center" vertical="center" wrapText="1"/>
    </xf>
    <xf numFmtId="10" fontId="43" fillId="5" borderId="1" xfId="0" applyNumberFormat="1" applyFont="1" applyFill="1" applyBorder="1" applyAlignment="1">
      <alignment horizontal="center" vertical="center"/>
    </xf>
    <xf numFmtId="0" fontId="48" fillId="5" borderId="1" xfId="0" applyFont="1" applyFill="1" applyBorder="1" applyAlignment="1">
      <alignment horizontal="center" vertical="center" wrapText="1"/>
    </xf>
    <xf numFmtId="9" fontId="46" fillId="6" borderId="1" xfId="0" applyNumberFormat="1" applyFont="1" applyFill="1" applyBorder="1" applyAlignment="1">
      <alignment horizontal="center" vertical="center" wrapText="1"/>
    </xf>
    <xf numFmtId="10" fontId="47" fillId="6" borderId="1" xfId="0" applyNumberFormat="1" applyFont="1" applyFill="1" applyBorder="1" applyAlignment="1">
      <alignment horizontal="center" vertical="center"/>
    </xf>
    <xf numFmtId="0" fontId="47" fillId="6" borderId="1" xfId="0" applyFont="1" applyFill="1" applyBorder="1" applyAlignment="1">
      <alignment horizontal="center" vertical="center"/>
    </xf>
    <xf numFmtId="176" fontId="47" fillId="6" borderId="1" xfId="11" applyNumberFormat="1" applyFont="1" applyFill="1" applyBorder="1" applyAlignment="1">
      <alignment horizontal="center" vertical="center"/>
    </xf>
    <xf numFmtId="9" fontId="46" fillId="7" borderId="1" xfId="0" applyNumberFormat="1" applyFont="1" applyFill="1" applyBorder="1" applyAlignment="1">
      <alignment horizontal="center" vertical="center" wrapText="1"/>
    </xf>
    <xf numFmtId="176" fontId="47" fillId="7" borderId="1" xfId="0" applyNumberFormat="1" applyFont="1" applyFill="1" applyBorder="1" applyAlignment="1">
      <alignment horizontal="center" vertical="center" wrapText="1"/>
    </xf>
    <xf numFmtId="10" fontId="47" fillId="7" borderId="1" xfId="0" applyNumberFormat="1" applyFont="1" applyFill="1" applyBorder="1" applyAlignment="1">
      <alignment horizontal="center" vertical="center"/>
    </xf>
    <xf numFmtId="0" fontId="47" fillId="7" borderId="1" xfId="0" applyFont="1" applyFill="1" applyBorder="1" applyAlignment="1">
      <alignment horizontal="center" vertical="center"/>
    </xf>
    <xf numFmtId="176" fontId="47" fillId="0" borderId="1" xfId="11" applyNumberFormat="1" applyFont="1" applyBorder="1" applyAlignment="1">
      <alignment horizontal="center" vertical="center"/>
    </xf>
    <xf numFmtId="10" fontId="47" fillId="0" borderId="1" xfId="0" applyNumberFormat="1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 wrapText="1"/>
    </xf>
    <xf numFmtId="176" fontId="46" fillId="0" borderId="0" xfId="11" applyNumberFormat="1" applyFont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176" fontId="14" fillId="0" borderId="0" xfId="11" applyNumberFormat="1" applyFont="1" applyFill="1" applyAlignment="1">
      <alignment horizontal="center" vertical="center"/>
    </xf>
    <xf numFmtId="10" fontId="14" fillId="0" borderId="0" xfId="0" applyNumberFormat="1" applyFont="1" applyFill="1" applyAlignment="1">
      <alignment horizontal="left" vertical="top" wrapText="1"/>
    </xf>
    <xf numFmtId="0" fontId="14" fillId="0" borderId="0" xfId="0" applyFont="1" applyFill="1" applyAlignment="1">
      <alignment horizontal="left" vertical="top" wrapText="1"/>
    </xf>
    <xf numFmtId="176" fontId="14" fillId="0" borderId="0" xfId="11" applyNumberFormat="1" applyFont="1" applyFill="1" applyAlignment="1">
      <alignment vertical="center"/>
    </xf>
    <xf numFmtId="179" fontId="39" fillId="0" borderId="0" xfId="0" applyNumberFormat="1" applyFont="1" applyFill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常规_凯德·风尚三期景观工程植物造价估算" xfId="38"/>
    <cellStyle name="40% - 强调文字颜色 2" xfId="39" builtinId="35"/>
    <cellStyle name="常规 53" xfId="40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3232" xfId="52"/>
    <cellStyle name="常规 2" xfId="53"/>
    <cellStyle name="常规 3" xfId="54"/>
    <cellStyle name="常规_一、绿化清单1-广东、福建_2" xfId="55"/>
    <cellStyle name="常规 5" xfId="56"/>
    <cellStyle name="常规 7" xfId="57"/>
    <cellStyle name="Normal" xfId="58"/>
  </cellStyles>
  <tableStyles count="0" defaultTableStyle="TableStyleMedium9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ai\Documents\WeChat%20Files\wxid_f7jgq8exfx5q22\FileStorage\MsgAttach\9e20f478899dc29eb19741386f9343c8\File\2022-10\&#26686;&#24029;&#23665;&#27700;&#25991;&#33489;s1&#22320;&#22359;&#26223;&#35266;&#24037;&#31243;&#25307;&#26631;&#28165;&#21333;(&#24352;&#30922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4;&#26412;&#24037;&#20316;\&#25307;&#26631;&#25307;&#26631;\&#25307;&#26631;&#25991;&#20214;\s1&#22320;&#22359;&#26223;&#35266;&#25307;&#26631;\&#20854;&#20182;&#20154;&#24037;&#31243;&#37327;\&#39640;\&#26686;&#24029;S1&#22823;&#21306;&#26223;&#35266;&#35745;&#31639;&#24213;&#31295;2022.6.15-&#39640;&#26126;&#3587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清单报价说明"/>
      <sheetName val="汇总表"/>
      <sheetName val="硬质铺装"/>
      <sheetName val="车库雨篷"/>
      <sheetName val="围墙"/>
      <sheetName val="非机动门"/>
      <sheetName val="挡墙栏杆"/>
      <sheetName val="园区内挡墙"/>
      <sheetName val="采光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零星"/>
    </sheetNames>
    <sheetDataSet>
      <sheetData sheetId="0" refreshError="1">
        <row r="22">
          <cell r="F22">
            <v>53.6</v>
          </cell>
        </row>
        <row r="125">
          <cell r="F125">
            <v>71.712</v>
          </cell>
        </row>
        <row r="126">
          <cell r="F126">
            <v>115.776</v>
          </cell>
        </row>
        <row r="128">
          <cell r="F128">
            <v>9.7524</v>
          </cell>
        </row>
        <row r="129">
          <cell r="F129">
            <v>5.87088</v>
          </cell>
        </row>
        <row r="130">
          <cell r="F130">
            <v>1.54522368</v>
          </cell>
        </row>
        <row r="131">
          <cell r="F131">
            <v>6.9336</v>
          </cell>
        </row>
        <row r="132">
          <cell r="F132">
            <v>10.4004</v>
          </cell>
        </row>
        <row r="133">
          <cell r="F133">
            <v>69.336</v>
          </cell>
        </row>
        <row r="134">
          <cell r="F134">
            <v>1.944</v>
          </cell>
        </row>
        <row r="135">
          <cell r="F135">
            <v>12.96</v>
          </cell>
        </row>
        <row r="136">
          <cell r="F136">
            <v>43.2</v>
          </cell>
        </row>
        <row r="137">
          <cell r="F137">
            <v>43.2</v>
          </cell>
        </row>
        <row r="138">
          <cell r="F138">
            <v>12.24</v>
          </cell>
        </row>
        <row r="139">
          <cell r="F139">
            <v>12.24</v>
          </cell>
        </row>
        <row r="140">
          <cell r="F140">
            <v>12.24</v>
          </cell>
        </row>
        <row r="141">
          <cell r="F141">
            <v>2.688</v>
          </cell>
        </row>
        <row r="142">
          <cell r="F142">
            <v>3.096</v>
          </cell>
        </row>
        <row r="143">
          <cell r="F143">
            <v>0.423808</v>
          </cell>
        </row>
        <row r="144">
          <cell r="F144">
            <v>3.8076</v>
          </cell>
        </row>
        <row r="145">
          <cell r="F145">
            <v>5.7114</v>
          </cell>
        </row>
        <row r="146">
          <cell r="F146">
            <v>38.076</v>
          </cell>
        </row>
        <row r="147">
          <cell r="F147">
            <v>48.8832</v>
          </cell>
        </row>
        <row r="148">
          <cell r="F148">
            <v>48.8832</v>
          </cell>
        </row>
        <row r="149">
          <cell r="F149">
            <v>48.8832</v>
          </cell>
        </row>
        <row r="150">
          <cell r="F150">
            <v>4.3434</v>
          </cell>
        </row>
        <row r="151">
          <cell r="F151">
            <v>4.2408</v>
          </cell>
        </row>
        <row r="152">
          <cell r="F152">
            <v>0.85718576</v>
          </cell>
        </row>
        <row r="153">
          <cell r="F153">
            <v>27.36</v>
          </cell>
        </row>
        <row r="155">
          <cell r="F155">
            <v>13.68</v>
          </cell>
        </row>
        <row r="156">
          <cell r="F156">
            <v>29.07</v>
          </cell>
        </row>
        <row r="157">
          <cell r="F157">
            <v>8.16</v>
          </cell>
        </row>
        <row r="158">
          <cell r="F158">
            <v>3.468</v>
          </cell>
        </row>
        <row r="159">
          <cell r="F159">
            <v>5.202</v>
          </cell>
        </row>
        <row r="160">
          <cell r="F160">
            <v>34.68</v>
          </cell>
        </row>
        <row r="161">
          <cell r="F161">
            <v>0.3672</v>
          </cell>
        </row>
        <row r="162">
          <cell r="F162">
            <v>0.5508</v>
          </cell>
        </row>
        <row r="163">
          <cell r="F163">
            <v>3.672</v>
          </cell>
        </row>
        <row r="164">
          <cell r="F164">
            <v>0.5508</v>
          </cell>
        </row>
        <row r="165">
          <cell r="F165">
            <v>0.059232</v>
          </cell>
        </row>
        <row r="166">
          <cell r="F166">
            <v>0.6768</v>
          </cell>
        </row>
        <row r="167">
          <cell r="F167">
            <v>0.216</v>
          </cell>
        </row>
        <row r="168">
          <cell r="F168">
            <v>1.39896</v>
          </cell>
        </row>
        <row r="169">
          <cell r="F169">
            <v>0.303552</v>
          </cell>
        </row>
        <row r="170">
          <cell r="F170">
            <v>0.3821184</v>
          </cell>
        </row>
        <row r="171">
          <cell r="F171">
            <v>0.288</v>
          </cell>
        </row>
        <row r="172">
          <cell r="F172">
            <v>27.408</v>
          </cell>
        </row>
        <row r="175">
          <cell r="F175">
            <v>2.4</v>
          </cell>
        </row>
        <row r="176">
          <cell r="F176">
            <v>76.8</v>
          </cell>
        </row>
        <row r="184">
          <cell r="F184">
            <v>1.26</v>
          </cell>
        </row>
        <row r="185">
          <cell r="F185">
            <v>0.648</v>
          </cell>
        </row>
        <row r="186">
          <cell r="F186">
            <v>0.122</v>
          </cell>
        </row>
        <row r="187">
          <cell r="F187">
            <v>0.144</v>
          </cell>
        </row>
        <row r="188">
          <cell r="F188">
            <v>0.070336</v>
          </cell>
        </row>
        <row r="189">
          <cell r="F189">
            <v>0.015072</v>
          </cell>
        </row>
        <row r="190">
          <cell r="F190">
            <v>0.256224</v>
          </cell>
        </row>
        <row r="191">
          <cell r="F191">
            <v>0.080568</v>
          </cell>
        </row>
        <row r="198">
          <cell r="F198">
            <v>0.462</v>
          </cell>
        </row>
        <row r="199">
          <cell r="F199">
            <v>2.052</v>
          </cell>
        </row>
        <row r="200">
          <cell r="F200">
            <v>0.0816</v>
          </cell>
        </row>
        <row r="201">
          <cell r="F201">
            <v>0.1224</v>
          </cell>
        </row>
        <row r="215">
          <cell r="F215">
            <v>1.28358</v>
          </cell>
        </row>
        <row r="216">
          <cell r="F216">
            <v>1.556256</v>
          </cell>
        </row>
        <row r="217">
          <cell r="F217">
            <v>0.8424</v>
          </cell>
        </row>
        <row r="218">
          <cell r="F218">
            <v>0.7326</v>
          </cell>
        </row>
        <row r="219">
          <cell r="F219">
            <v>0.3996</v>
          </cell>
        </row>
        <row r="220">
          <cell r="F220">
            <v>0.48</v>
          </cell>
        </row>
        <row r="221">
          <cell r="F221">
            <v>2.01643</v>
          </cell>
        </row>
        <row r="222">
          <cell r="F222">
            <v>20.16</v>
          </cell>
        </row>
        <row r="223">
          <cell r="F223">
            <v>6.0281</v>
          </cell>
        </row>
        <row r="225">
          <cell r="F225">
            <v>26.1</v>
          </cell>
        </row>
        <row r="226">
          <cell r="F226">
            <v>8.1</v>
          </cell>
        </row>
        <row r="227">
          <cell r="F227">
            <v>3.12</v>
          </cell>
        </row>
        <row r="229">
          <cell r="F229">
            <v>4.44</v>
          </cell>
        </row>
        <row r="230">
          <cell r="F230">
            <v>3.84</v>
          </cell>
        </row>
        <row r="232">
          <cell r="F232">
            <v>29.22</v>
          </cell>
        </row>
        <row r="233">
          <cell r="F233">
            <v>12.6</v>
          </cell>
        </row>
        <row r="234">
          <cell r="F234">
            <v>9.49</v>
          </cell>
        </row>
        <row r="235">
          <cell r="F235">
            <v>5.35</v>
          </cell>
        </row>
        <row r="237">
          <cell r="F237">
            <v>53.928</v>
          </cell>
        </row>
        <row r="238">
          <cell r="F238">
            <v>2.16</v>
          </cell>
        </row>
        <row r="239">
          <cell r="F239">
            <v>11.832</v>
          </cell>
        </row>
        <row r="240">
          <cell r="F240">
            <v>2.99</v>
          </cell>
        </row>
        <row r="245">
          <cell r="F245">
            <v>5.04</v>
          </cell>
        </row>
        <row r="246">
          <cell r="F246">
            <v>3.58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abSelected="1" workbookViewId="0">
      <selection activeCell="J8" sqref="J8"/>
    </sheetView>
  </sheetViews>
  <sheetFormatPr defaultColWidth="10.2857142857143" defaultRowHeight="13.5"/>
  <cols>
    <col min="1" max="1" width="4.42857142857143" style="257" customWidth="1"/>
    <col min="2" max="2" width="18.7142857142857" style="257" customWidth="1"/>
    <col min="3" max="3" width="10.4285714285714" style="257" customWidth="1"/>
    <col min="4" max="5" width="12.7142857142857" style="257" customWidth="1"/>
    <col min="6" max="6" width="11.8571428571429" style="258" customWidth="1"/>
    <col min="7" max="7" width="10.2857142857143" style="257" customWidth="1"/>
    <col min="8" max="8" width="13.2857142857143" style="257" customWidth="1"/>
    <col min="9" max="9" width="11.7142857142857" style="257" customWidth="1"/>
    <col min="10" max="10" width="12.7142857142857" style="257" customWidth="1"/>
    <col min="11" max="11" width="13.2857142857143" style="259" hidden="1" customWidth="1"/>
    <col min="12" max="12" width="10.1428571428571" style="258" hidden="1" customWidth="1"/>
    <col min="13" max="13" width="15.2857142857143" style="257" hidden="1" customWidth="1"/>
    <col min="14" max="14" width="13" style="257" hidden="1" customWidth="1"/>
    <col min="15" max="15" width="9.42857142857143" style="257" customWidth="1"/>
    <col min="16" max="16384" width="10.2857142857143" style="257"/>
  </cols>
  <sheetData>
    <row r="1" s="257" customFormat="1" ht="15" customHeight="1" spans="1:15">
      <c r="A1" s="260" t="s">
        <v>0</v>
      </c>
      <c r="B1" s="261"/>
      <c r="C1" s="261"/>
      <c r="D1" s="261"/>
      <c r="E1" s="261"/>
      <c r="F1" s="262"/>
      <c r="G1" s="261"/>
      <c r="H1" s="261"/>
      <c r="I1" s="261"/>
      <c r="J1" s="261"/>
      <c r="K1" s="289"/>
      <c r="L1" s="262"/>
      <c r="M1" s="261"/>
      <c r="N1" s="261"/>
      <c r="O1" s="261"/>
    </row>
    <row r="2" s="257" customFormat="1" ht="18.95" customHeight="1" spans="1:15">
      <c r="A2" s="263" t="s">
        <v>1</v>
      </c>
      <c r="B2" s="263" t="s">
        <v>2</v>
      </c>
      <c r="C2" s="263" t="s">
        <v>3</v>
      </c>
      <c r="D2" s="263" t="s">
        <v>4</v>
      </c>
      <c r="E2" s="263" t="s">
        <v>5</v>
      </c>
      <c r="F2" s="264" t="s">
        <v>6</v>
      </c>
      <c r="G2" s="263"/>
      <c r="H2" s="263" t="s">
        <v>7</v>
      </c>
      <c r="I2" s="263"/>
      <c r="J2" s="263"/>
      <c r="K2" s="290" t="s">
        <v>8</v>
      </c>
      <c r="L2" s="264"/>
      <c r="M2" s="263" t="s">
        <v>9</v>
      </c>
      <c r="N2" s="263" t="s">
        <v>10</v>
      </c>
      <c r="O2" s="263" t="s">
        <v>11</v>
      </c>
    </row>
    <row r="3" s="257" customFormat="1" ht="18" customHeight="1" spans="1:15">
      <c r="A3" s="263"/>
      <c r="B3" s="263"/>
      <c r="C3" s="263"/>
      <c r="D3" s="263"/>
      <c r="E3" s="263"/>
      <c r="F3" s="264" t="s">
        <v>12</v>
      </c>
      <c r="G3" s="263" t="s">
        <v>13</v>
      </c>
      <c r="H3" s="263" t="s">
        <v>14</v>
      </c>
      <c r="I3" s="263" t="s">
        <v>15</v>
      </c>
      <c r="J3" s="263" t="s">
        <v>16</v>
      </c>
      <c r="K3" s="290" t="s">
        <v>17</v>
      </c>
      <c r="L3" s="264" t="s">
        <v>18</v>
      </c>
      <c r="M3" s="263"/>
      <c r="N3" s="263"/>
      <c r="O3" s="263"/>
    </row>
    <row r="4" s="257" customFormat="1" ht="24" customHeight="1" spans="1:15">
      <c r="A4" s="265"/>
      <c r="B4" s="265"/>
      <c r="C4" s="266" t="s">
        <v>19</v>
      </c>
      <c r="D4" s="267" t="s">
        <v>20</v>
      </c>
      <c r="E4" s="267" t="s">
        <v>20</v>
      </c>
      <c r="F4" s="268" t="s">
        <v>21</v>
      </c>
      <c r="G4" s="269" t="s">
        <v>22</v>
      </c>
      <c r="H4" s="268" t="s">
        <v>23</v>
      </c>
      <c r="I4" s="291" t="s">
        <v>24</v>
      </c>
      <c r="J4" s="269" t="s">
        <v>25</v>
      </c>
      <c r="K4" s="292" t="s">
        <v>26</v>
      </c>
      <c r="L4" s="293" t="s">
        <v>27</v>
      </c>
      <c r="M4" s="269" t="s">
        <v>28</v>
      </c>
      <c r="N4" s="269" t="s">
        <v>29</v>
      </c>
      <c r="O4" s="294" t="s">
        <v>30</v>
      </c>
    </row>
    <row r="5" s="257" customFormat="1" ht="29" customHeight="1" spans="1:17">
      <c r="A5" s="270">
        <v>1</v>
      </c>
      <c r="B5" s="271" t="s">
        <v>31</v>
      </c>
      <c r="C5" s="271"/>
      <c r="D5" s="271"/>
      <c r="E5" s="270"/>
      <c r="F5" s="272"/>
      <c r="G5" s="273"/>
      <c r="H5" s="273">
        <f>外网雨污水!L27</f>
        <v>153548.002209792</v>
      </c>
      <c r="I5" s="295">
        <v>0.7</v>
      </c>
      <c r="J5" s="273">
        <f>H5*I5</f>
        <v>107483.601546855</v>
      </c>
      <c r="K5" s="273"/>
      <c r="L5" s="296"/>
      <c r="M5" s="273"/>
      <c r="N5" s="273"/>
      <c r="O5" s="297"/>
      <c r="Q5" s="312"/>
    </row>
    <row r="6" s="257" customFormat="1" ht="52" customHeight="1" spans="1:17">
      <c r="A6" s="270">
        <v>2</v>
      </c>
      <c r="B6" s="271" t="s">
        <v>32</v>
      </c>
      <c r="C6" s="271"/>
      <c r="D6" s="271"/>
      <c r="E6" s="270"/>
      <c r="F6" s="272"/>
      <c r="G6" s="273"/>
      <c r="H6" s="273">
        <f>汇总表!E3</f>
        <v>540108.59017912</v>
      </c>
      <c r="I6" s="295">
        <v>0.7</v>
      </c>
      <c r="J6" s="273">
        <f>I6*H6</f>
        <v>378076.013125384</v>
      </c>
      <c r="K6" s="298"/>
      <c r="L6" s="296"/>
      <c r="M6" s="273"/>
      <c r="N6" s="273"/>
      <c r="O6" s="297"/>
      <c r="Q6" s="312"/>
    </row>
    <row r="7" s="257" customFormat="1" ht="18.95" customHeight="1" spans="1:17">
      <c r="A7" s="270">
        <v>3</v>
      </c>
      <c r="B7" s="274" t="s">
        <v>33</v>
      </c>
      <c r="C7" s="274"/>
      <c r="D7" s="274"/>
      <c r="E7" s="270"/>
      <c r="F7" s="272"/>
      <c r="G7" s="273"/>
      <c r="H7" s="273">
        <f>绿植乔木!P60+绿植灌木!O46</f>
        <v>52521.4577297632</v>
      </c>
      <c r="I7" s="295">
        <v>0.6</v>
      </c>
      <c r="J7" s="273">
        <f>I7*H7</f>
        <v>31512.8746378579</v>
      </c>
      <c r="K7" s="298"/>
      <c r="L7" s="296"/>
      <c r="M7" s="273"/>
      <c r="N7" s="273"/>
      <c r="O7" s="297"/>
      <c r="Q7" s="312"/>
    </row>
    <row r="8" s="257" customFormat="1" ht="18.95" customHeight="1" spans="1:15">
      <c r="A8" s="270">
        <v>4</v>
      </c>
      <c r="B8" s="275" t="s">
        <v>34</v>
      </c>
      <c r="C8" s="275"/>
      <c r="D8" s="275"/>
      <c r="E8" s="276"/>
      <c r="F8" s="277"/>
      <c r="G8" s="278"/>
      <c r="H8" s="278"/>
      <c r="I8" s="299"/>
      <c r="J8" s="300">
        <f>J5+J6+J7</f>
        <v>517072.489310097</v>
      </c>
      <c r="K8" s="278"/>
      <c r="L8" s="301"/>
      <c r="M8" s="278" t="s">
        <v>35</v>
      </c>
      <c r="N8" s="278" t="s">
        <v>36</v>
      </c>
      <c r="O8" s="302"/>
    </row>
    <row r="9" s="257" customFormat="1" ht="18.95" customHeight="1" spans="1:15">
      <c r="A9" s="279"/>
      <c r="B9" s="279" t="s">
        <v>37</v>
      </c>
      <c r="C9" s="279"/>
      <c r="D9" s="279"/>
      <c r="E9" s="279"/>
      <c r="F9" s="280"/>
      <c r="G9" s="281"/>
      <c r="H9" s="281"/>
      <c r="I9" s="281"/>
      <c r="J9" s="281">
        <v>510000</v>
      </c>
      <c r="K9" s="303"/>
      <c r="L9" s="304"/>
      <c r="M9" s="281"/>
      <c r="N9" s="281"/>
      <c r="O9" s="305" t="s">
        <v>38</v>
      </c>
    </row>
    <row r="10" s="257" customFormat="1" ht="24.95" customHeight="1" spans="1:15">
      <c r="A10" s="282" t="s">
        <v>39</v>
      </c>
      <c r="B10" s="283"/>
      <c r="C10" s="283"/>
      <c r="D10" s="283"/>
      <c r="E10" s="283"/>
      <c r="F10" s="284"/>
      <c r="G10" s="283"/>
      <c r="H10" s="283"/>
      <c r="I10" s="283"/>
      <c r="J10" s="283"/>
      <c r="K10" s="306"/>
      <c r="L10" s="284"/>
      <c r="M10" s="283"/>
      <c r="N10" s="283"/>
      <c r="O10" s="283"/>
    </row>
    <row r="11" s="257" customFormat="1" ht="24.95" customHeight="1" spans="1:15">
      <c r="A11" s="282" t="s">
        <v>40</v>
      </c>
      <c r="B11" s="283"/>
      <c r="C11" s="283"/>
      <c r="D11" s="283"/>
      <c r="E11" s="283"/>
      <c r="F11" s="283"/>
      <c r="G11" s="283"/>
      <c r="H11" s="283"/>
      <c r="I11" s="283"/>
      <c r="J11" s="283"/>
      <c r="K11" s="283"/>
      <c r="L11" s="283"/>
      <c r="M11" s="283"/>
      <c r="N11" s="283"/>
      <c r="O11" s="283"/>
    </row>
    <row r="12" s="257" customFormat="1" ht="26.25" customHeight="1" spans="1:15">
      <c r="A12" s="285"/>
      <c r="B12" s="286"/>
      <c r="C12" s="286"/>
      <c r="D12" s="286"/>
      <c r="E12" s="286"/>
      <c r="F12" s="287"/>
      <c r="G12" s="288" t="s">
        <v>41</v>
      </c>
      <c r="H12" s="288"/>
      <c r="I12" s="288"/>
      <c r="J12" s="307"/>
      <c r="K12" s="308"/>
      <c r="L12" s="309" t="s">
        <v>42</v>
      </c>
      <c r="M12" s="310"/>
      <c r="N12" s="286"/>
      <c r="O12" s="286"/>
    </row>
    <row r="13" s="257" customFormat="1" ht="28.5" customHeight="1" spans="1:15">
      <c r="A13" s="285"/>
      <c r="B13" s="286"/>
      <c r="C13" s="286"/>
      <c r="D13" s="286"/>
      <c r="E13" s="286"/>
      <c r="F13" s="287"/>
      <c r="J13" s="286"/>
      <c r="K13" s="311"/>
      <c r="L13" s="287"/>
      <c r="M13" s="286"/>
      <c r="N13" s="286"/>
      <c r="O13" s="286"/>
    </row>
  </sheetData>
  <mergeCells count="18">
    <mergeCell ref="A1:O1"/>
    <mergeCell ref="F2:G2"/>
    <mergeCell ref="H2:J2"/>
    <mergeCell ref="K2:L2"/>
    <mergeCell ref="B9:E9"/>
    <mergeCell ref="A10:O10"/>
    <mergeCell ref="A11:O11"/>
    <mergeCell ref="G12:I12"/>
    <mergeCell ref="J12:K12"/>
    <mergeCell ref="L12:M12"/>
    <mergeCell ref="A2:A3"/>
    <mergeCell ref="B2:B3"/>
    <mergeCell ref="C2:C3"/>
    <mergeCell ref="D2:D3"/>
    <mergeCell ref="E2:E3"/>
    <mergeCell ref="M2:M3"/>
    <mergeCell ref="N2:N3"/>
    <mergeCell ref="O2:O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J6" sqref="J6"/>
    </sheetView>
  </sheetViews>
  <sheetFormatPr defaultColWidth="8.85714285714286" defaultRowHeight="12.75" outlineLevelCol="7"/>
  <cols>
    <col min="1" max="1" width="5.85714285714286" customWidth="1"/>
    <col min="2" max="2" width="18.1142857142857" customWidth="1"/>
    <col min="3" max="3" width="7.28571428571429" style="244" customWidth="1"/>
    <col min="4" max="4" width="9.42857142857143" customWidth="1"/>
    <col min="5" max="5" width="17.4285714285714" customWidth="1"/>
    <col min="6" max="6" width="17.1428571428571" customWidth="1"/>
    <col min="7" max="7" width="10.2857142857143" customWidth="1"/>
    <col min="8" max="8" width="15.7142857142857" customWidth="1"/>
    <col min="9" max="9" width="14.5714285714286"/>
  </cols>
  <sheetData>
    <row r="1" s="243" customFormat="1" ht="81" customHeight="1" spans="1:7">
      <c r="A1" s="27" t="s">
        <v>43</v>
      </c>
      <c r="B1" s="27"/>
      <c r="C1" s="27"/>
      <c r="D1" s="27"/>
      <c r="E1" s="27"/>
      <c r="F1" s="27"/>
      <c r="G1" s="27"/>
    </row>
    <row r="2" s="243" customFormat="1" ht="57" customHeight="1" spans="1:7">
      <c r="A2" s="245" t="s">
        <v>44</v>
      </c>
      <c r="B2" s="245" t="s">
        <v>45</v>
      </c>
      <c r="C2" s="245" t="s">
        <v>46</v>
      </c>
      <c r="D2" s="245" t="s">
        <v>47</v>
      </c>
      <c r="E2" s="246" t="s">
        <v>48</v>
      </c>
      <c r="F2" s="246" t="s">
        <v>34</v>
      </c>
      <c r="G2" s="247" t="s">
        <v>49</v>
      </c>
    </row>
    <row r="3" s="243" customFormat="1" ht="54" customHeight="1" spans="1:8">
      <c r="A3" s="248">
        <v>1</v>
      </c>
      <c r="B3" s="249" t="s">
        <v>50</v>
      </c>
      <c r="C3" s="248" t="s">
        <v>51</v>
      </c>
      <c r="D3" s="250">
        <v>1</v>
      </c>
      <c r="E3" s="251">
        <f>硬质铺装!L773</f>
        <v>540108.59017912</v>
      </c>
      <c r="F3" s="252">
        <f t="shared" ref="F3:F8" si="0">D3*E3</f>
        <v>540108.59017912</v>
      </c>
      <c r="G3" s="253"/>
      <c r="H3"/>
    </row>
    <row r="4" s="243" customFormat="1" ht="54" customHeight="1" spans="1:8">
      <c r="A4" s="248">
        <v>2</v>
      </c>
      <c r="B4" s="249" t="s">
        <v>52</v>
      </c>
      <c r="C4" s="248" t="s">
        <v>51</v>
      </c>
      <c r="D4" s="250">
        <v>1</v>
      </c>
      <c r="E4" s="251">
        <f>软装!L16</f>
        <v>0</v>
      </c>
      <c r="F4" s="252">
        <f t="shared" si="0"/>
        <v>0</v>
      </c>
      <c r="G4" s="253"/>
      <c r="H4"/>
    </row>
    <row r="5" s="243" customFormat="1" ht="54" customHeight="1" spans="1:8">
      <c r="A5" s="248">
        <v>3</v>
      </c>
      <c r="B5" s="249" t="s">
        <v>53</v>
      </c>
      <c r="C5" s="248" t="s">
        <v>51</v>
      </c>
      <c r="D5" s="250">
        <v>1</v>
      </c>
      <c r="E5" s="251">
        <f>绿植乔木!P60</f>
        <v>34792.6956268896</v>
      </c>
      <c r="F5" s="252">
        <f t="shared" si="0"/>
        <v>34792.6956268896</v>
      </c>
      <c r="G5" s="253"/>
      <c r="H5"/>
    </row>
    <row r="6" s="243" customFormat="1" ht="54.95" customHeight="1" spans="1:8">
      <c r="A6" s="248">
        <v>4</v>
      </c>
      <c r="B6" s="249" t="s">
        <v>54</v>
      </c>
      <c r="C6" s="248" t="s">
        <v>51</v>
      </c>
      <c r="D6" s="250">
        <v>1</v>
      </c>
      <c r="E6" s="251">
        <f>绿植灌木!O46</f>
        <v>17728.7621028737</v>
      </c>
      <c r="F6" s="252">
        <f t="shared" si="0"/>
        <v>17728.7621028737</v>
      </c>
      <c r="G6" s="253"/>
      <c r="H6"/>
    </row>
    <row r="7" s="243" customFormat="1" ht="54.95" customHeight="1" spans="1:8">
      <c r="A7" s="248">
        <v>5</v>
      </c>
      <c r="B7" s="249" t="s">
        <v>55</v>
      </c>
      <c r="C7" s="248" t="s">
        <v>51</v>
      </c>
      <c r="D7" s="250">
        <v>1</v>
      </c>
      <c r="E7" s="251">
        <f>景观水电!L129</f>
        <v>0</v>
      </c>
      <c r="F7" s="252">
        <f t="shared" si="0"/>
        <v>0</v>
      </c>
      <c r="G7" s="253"/>
      <c r="H7"/>
    </row>
    <row r="8" s="243" customFormat="1" ht="54" customHeight="1" spans="1:8">
      <c r="A8" s="248">
        <v>6</v>
      </c>
      <c r="B8" s="249" t="s">
        <v>56</v>
      </c>
      <c r="C8" s="248" t="s">
        <v>51</v>
      </c>
      <c r="D8" s="250">
        <v>1</v>
      </c>
      <c r="E8" s="251">
        <f>外网雨污水!L27</f>
        <v>153548.002209792</v>
      </c>
      <c r="F8" s="252">
        <f t="shared" si="0"/>
        <v>153548.002209792</v>
      </c>
      <c r="G8" s="253"/>
      <c r="H8"/>
    </row>
    <row r="9" s="243" customFormat="1" ht="57" customHeight="1" spans="1:7">
      <c r="A9" s="248" t="s">
        <v>57</v>
      </c>
      <c r="B9" s="248"/>
      <c r="C9" s="248"/>
      <c r="D9" s="250"/>
      <c r="E9" s="254" t="s">
        <v>34</v>
      </c>
      <c r="F9" s="251">
        <f>SUM(F3:F8)</f>
        <v>746178.050118676</v>
      </c>
      <c r="G9" s="253"/>
    </row>
    <row r="10" ht="18.95" customHeight="1"/>
    <row r="11" spans="5:6">
      <c r="E11" s="255"/>
      <c r="F11" s="256"/>
    </row>
  </sheetData>
  <mergeCells count="2">
    <mergeCell ref="A1:G1"/>
    <mergeCell ref="A9:B9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D774"/>
  <sheetViews>
    <sheetView workbookViewId="0">
      <pane ySplit="3" topLeftCell="A760" activePane="bottomLeft" state="frozen"/>
      <selection/>
      <selection pane="bottomLeft" activeCell="L773" sqref="L773"/>
    </sheetView>
  </sheetViews>
  <sheetFormatPr defaultColWidth="9.14285714285714" defaultRowHeight="14.25"/>
  <cols>
    <col min="1" max="1" width="5.21904761904762" style="164" customWidth="1"/>
    <col min="2" max="2" width="24.552380952381" style="165" customWidth="1"/>
    <col min="3" max="3" width="38.2190476190476" style="165" customWidth="1"/>
    <col min="4" max="4" width="5.28571428571429" style="164" customWidth="1"/>
    <col min="5" max="5" width="12" style="165" customWidth="1"/>
    <col min="6" max="6" width="7.66666666666667" style="166" customWidth="1"/>
    <col min="7" max="7" width="8.44761904761905" style="166" customWidth="1"/>
    <col min="8" max="8" width="9.21904761904762" style="166" customWidth="1"/>
    <col min="9" max="9" width="12.1142857142857" style="166" customWidth="1"/>
    <col min="10" max="10" width="8.33333333333333" style="166" customWidth="1"/>
    <col min="11" max="11" width="12.2190476190476" style="167" customWidth="1"/>
    <col min="12" max="12" width="10" style="166" customWidth="1"/>
    <col min="13" max="13" width="3.44761904761905" style="168" customWidth="1"/>
    <col min="14" max="14" width="7.78095238095238" style="168" customWidth="1"/>
    <col min="15" max="15" width="14.8571428571429" style="169" customWidth="1"/>
    <col min="16" max="16" width="18.2857142857143" style="169" customWidth="1"/>
    <col min="17" max="17" width="17.5714285714286" style="169" customWidth="1"/>
    <col min="18" max="19" width="14" style="169"/>
    <col min="20" max="20" width="20.1428571428571" style="169" customWidth="1"/>
    <col min="21" max="16383" width="9.14285714285714" style="169"/>
    <col min="16384" max="16384" width="10" style="169" customWidth="1"/>
  </cols>
  <sheetData>
    <row r="1" ht="364.5" spans="1:15">
      <c r="A1" s="170" t="s">
        <v>58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84"/>
    </row>
    <row r="2" s="161" customFormat="1" ht="11.25" spans="1:15">
      <c r="A2" s="171" t="s">
        <v>1</v>
      </c>
      <c r="B2" s="171" t="s">
        <v>45</v>
      </c>
      <c r="C2" s="171" t="s">
        <v>59</v>
      </c>
      <c r="D2" s="171" t="s">
        <v>60</v>
      </c>
      <c r="E2" s="171" t="s">
        <v>47</v>
      </c>
      <c r="F2" s="172" t="s">
        <v>61</v>
      </c>
      <c r="G2" s="172"/>
      <c r="H2" s="172"/>
      <c r="I2" s="172"/>
      <c r="J2" s="172"/>
      <c r="K2" s="174" t="s">
        <v>62</v>
      </c>
      <c r="L2" s="174" t="s">
        <v>63</v>
      </c>
      <c r="M2" s="185" t="s">
        <v>49</v>
      </c>
      <c r="N2" s="185" t="s">
        <v>64</v>
      </c>
      <c r="O2" s="186"/>
    </row>
    <row r="3" s="161" customFormat="1" ht="52.5" spans="1:16">
      <c r="A3" s="173"/>
      <c r="B3" s="173"/>
      <c r="C3" s="173"/>
      <c r="D3" s="173"/>
      <c r="E3" s="173"/>
      <c r="F3" s="174" t="s">
        <v>65</v>
      </c>
      <c r="G3" s="174" t="s">
        <v>66</v>
      </c>
      <c r="H3" s="174" t="s">
        <v>67</v>
      </c>
      <c r="I3" s="172" t="s">
        <v>68</v>
      </c>
      <c r="J3" s="172" t="s">
        <v>69</v>
      </c>
      <c r="K3" s="187"/>
      <c r="L3" s="187"/>
      <c r="M3" s="188"/>
      <c r="N3" s="188"/>
      <c r="O3" s="186"/>
      <c r="P3" s="189" t="s">
        <v>70</v>
      </c>
    </row>
    <row r="4" s="162" customFormat="1" ht="33" customHeight="1" spans="1:15">
      <c r="A4" s="175" t="s">
        <v>71</v>
      </c>
      <c r="B4" s="176" t="s">
        <v>72</v>
      </c>
      <c r="C4" s="177"/>
      <c r="D4" s="178"/>
      <c r="E4" s="178"/>
      <c r="F4" s="179"/>
      <c r="G4" s="180"/>
      <c r="H4" s="179"/>
      <c r="I4" s="190"/>
      <c r="J4" s="191"/>
      <c r="K4" s="180"/>
      <c r="L4" s="180"/>
      <c r="M4" s="192"/>
      <c r="N4" s="193"/>
      <c r="O4" s="194"/>
    </row>
    <row r="5" s="162" customFormat="1" ht="52.5" outlineLevel="1" spans="1:16">
      <c r="A5" s="178">
        <v>1</v>
      </c>
      <c r="B5" s="177" t="s">
        <v>73</v>
      </c>
      <c r="C5" s="177" t="s">
        <v>74</v>
      </c>
      <c r="D5" s="178" t="s">
        <v>75</v>
      </c>
      <c r="E5" s="181">
        <f>E7+E8</f>
        <v>727.2272</v>
      </c>
      <c r="F5" s="179"/>
      <c r="G5" s="180"/>
      <c r="H5" s="179">
        <v>8.5</v>
      </c>
      <c r="I5" s="195">
        <f t="shared" ref="I5:I68" si="0">((F5+G5+H5)*0.06)*0.7103839320882</f>
        <v>0.362295805364982</v>
      </c>
      <c r="J5" s="196">
        <f>(F5+G5+H5+I5)*0.09</f>
        <v>0.797606622482848</v>
      </c>
      <c r="K5" s="197">
        <f>F5+G5+H5+I5+J5</f>
        <v>9.65990242784783</v>
      </c>
      <c r="L5" s="172">
        <f>K5*E5</f>
        <v>7024.94379487698</v>
      </c>
      <c r="M5" s="192"/>
      <c r="N5" s="193"/>
      <c r="O5" s="198"/>
      <c r="P5" s="181">
        <f>P7+P8</f>
        <v>727.2272</v>
      </c>
    </row>
    <row r="6" s="162" customFormat="1" ht="21" outlineLevel="1" spans="1:16">
      <c r="A6" s="178">
        <v>2</v>
      </c>
      <c r="B6" s="177" t="s">
        <v>76</v>
      </c>
      <c r="C6" s="177" t="s">
        <v>77</v>
      </c>
      <c r="D6" s="178" t="s">
        <v>78</v>
      </c>
      <c r="E6" s="181">
        <v>1818.068</v>
      </c>
      <c r="F6" s="179">
        <v>0.5</v>
      </c>
      <c r="G6" s="180"/>
      <c r="H6" s="179">
        <v>2.5</v>
      </c>
      <c r="I6" s="195">
        <f t="shared" si="0"/>
        <v>0.127869107775876</v>
      </c>
      <c r="J6" s="196">
        <f t="shared" ref="J6:J69" si="1">(F6+G6+H6+I6)*0.09</f>
        <v>0.281508219699829</v>
      </c>
      <c r="K6" s="172">
        <f t="shared" ref="K6:K69" si="2">F6+G6+H6+I6+J6</f>
        <v>3.4093773274757</v>
      </c>
      <c r="L6" s="172">
        <f t="shared" ref="L6:L69" si="3">K6*E6</f>
        <v>6198.47981900909</v>
      </c>
      <c r="M6" s="192"/>
      <c r="N6" s="193"/>
      <c r="O6" s="198"/>
      <c r="P6" s="181">
        <v>1818.068</v>
      </c>
    </row>
    <row r="7" s="162" customFormat="1" ht="21" outlineLevel="1" spans="1:16">
      <c r="A7" s="178">
        <v>3</v>
      </c>
      <c r="B7" s="177" t="s">
        <v>79</v>
      </c>
      <c r="C7" s="177" t="s">
        <v>80</v>
      </c>
      <c r="D7" s="178" t="s">
        <v>75</v>
      </c>
      <c r="E7" s="181">
        <v>363.6136</v>
      </c>
      <c r="F7" s="179">
        <v>10</v>
      </c>
      <c r="G7" s="180">
        <v>95</v>
      </c>
      <c r="H7" s="179">
        <v>15</v>
      </c>
      <c r="I7" s="195">
        <f t="shared" si="0"/>
        <v>5.11476431103504</v>
      </c>
      <c r="J7" s="196">
        <f t="shared" si="1"/>
        <v>11.2603287879932</v>
      </c>
      <c r="K7" s="172">
        <f t="shared" si="2"/>
        <v>136.375093099028</v>
      </c>
      <c r="L7" s="172">
        <f t="shared" si="3"/>
        <v>49587.8385520727</v>
      </c>
      <c r="M7" s="192"/>
      <c r="N7" s="193"/>
      <c r="O7" s="198"/>
      <c r="P7" s="181">
        <v>363.6136</v>
      </c>
    </row>
    <row r="8" s="162" customFormat="1" ht="42" outlineLevel="1" spans="1:16">
      <c r="A8" s="178">
        <v>4</v>
      </c>
      <c r="B8" s="177" t="s">
        <v>81</v>
      </c>
      <c r="C8" s="177" t="s">
        <v>82</v>
      </c>
      <c r="D8" s="178" t="s">
        <v>75</v>
      </c>
      <c r="E8" s="181">
        <v>363.6136</v>
      </c>
      <c r="F8" s="179">
        <v>55</v>
      </c>
      <c r="G8" s="180">
        <v>445</v>
      </c>
      <c r="H8" s="179">
        <v>15</v>
      </c>
      <c r="I8" s="195">
        <f t="shared" si="0"/>
        <v>21.9508635015254</v>
      </c>
      <c r="J8" s="196">
        <f t="shared" si="1"/>
        <v>48.3255777151373</v>
      </c>
      <c r="K8" s="172">
        <f t="shared" si="2"/>
        <v>585.276441216663</v>
      </c>
      <c r="L8" s="172">
        <f t="shared" si="3"/>
        <v>212814.473785979</v>
      </c>
      <c r="M8" s="192"/>
      <c r="N8" s="193"/>
      <c r="O8" s="198"/>
      <c r="P8" s="181">
        <v>363.6136</v>
      </c>
    </row>
    <row r="9" s="162" customFormat="1" ht="31.5" outlineLevel="1" spans="1:16">
      <c r="A9" s="178">
        <v>5</v>
      </c>
      <c r="B9" s="177" t="s">
        <v>83</v>
      </c>
      <c r="C9" s="177" t="s">
        <v>84</v>
      </c>
      <c r="D9" s="178" t="s">
        <v>78</v>
      </c>
      <c r="E9" s="181">
        <v>181.8068</v>
      </c>
      <c r="F9" s="179">
        <v>50</v>
      </c>
      <c r="G9" s="180">
        <v>65</v>
      </c>
      <c r="H9" s="179">
        <v>15</v>
      </c>
      <c r="I9" s="195">
        <f t="shared" si="0"/>
        <v>5.54099467028796</v>
      </c>
      <c r="J9" s="196">
        <f t="shared" si="1"/>
        <v>12.1986895203259</v>
      </c>
      <c r="K9" s="172">
        <f t="shared" si="2"/>
        <v>147.739684190614</v>
      </c>
      <c r="L9" s="172">
        <f t="shared" si="3"/>
        <v>26860.0792157061</v>
      </c>
      <c r="M9" s="192"/>
      <c r="N9" s="193"/>
      <c r="O9" s="198"/>
      <c r="P9" s="181">
        <v>181.8068</v>
      </c>
    </row>
    <row r="10" s="162" customFormat="1" ht="31.5" outlineLevel="1" spans="1:16">
      <c r="A10" s="178">
        <v>6</v>
      </c>
      <c r="B10" s="177" t="s">
        <v>85</v>
      </c>
      <c r="C10" s="177" t="s">
        <v>86</v>
      </c>
      <c r="D10" s="178" t="s">
        <v>78</v>
      </c>
      <c r="E10" s="181"/>
      <c r="F10" s="179">
        <v>15</v>
      </c>
      <c r="G10" s="180">
        <v>85</v>
      </c>
      <c r="H10" s="179">
        <v>10</v>
      </c>
      <c r="I10" s="195">
        <f t="shared" si="0"/>
        <v>4.68853395178212</v>
      </c>
      <c r="J10" s="196">
        <f t="shared" si="1"/>
        <v>10.3219680556604</v>
      </c>
      <c r="K10" s="172">
        <f t="shared" si="2"/>
        <v>125.010502007443</v>
      </c>
      <c r="L10" s="172">
        <f t="shared" si="3"/>
        <v>0</v>
      </c>
      <c r="M10" s="192"/>
      <c r="N10" s="193"/>
      <c r="O10" s="198"/>
      <c r="P10" s="181">
        <v>1090.8408</v>
      </c>
    </row>
    <row r="11" s="162" customFormat="1" ht="31.5" outlineLevel="1" spans="1:16">
      <c r="A11" s="178">
        <v>7</v>
      </c>
      <c r="B11" s="177" t="s">
        <v>87</v>
      </c>
      <c r="C11" s="177" t="s">
        <v>88</v>
      </c>
      <c r="D11" s="178" t="s">
        <v>89</v>
      </c>
      <c r="E11" s="181"/>
      <c r="F11" s="179">
        <v>15</v>
      </c>
      <c r="G11" s="180">
        <v>45</v>
      </c>
      <c r="H11" s="179">
        <v>5</v>
      </c>
      <c r="I11" s="195">
        <f t="shared" si="0"/>
        <v>2.77049733514398</v>
      </c>
      <c r="J11" s="196">
        <f t="shared" si="1"/>
        <v>6.09934476016296</v>
      </c>
      <c r="K11" s="172">
        <f t="shared" si="2"/>
        <v>73.869842095307</v>
      </c>
      <c r="L11" s="172">
        <f t="shared" si="3"/>
        <v>0</v>
      </c>
      <c r="M11" s="192"/>
      <c r="N11" s="193"/>
      <c r="O11" s="198"/>
      <c r="P11" s="181">
        <v>1818.068</v>
      </c>
    </row>
    <row r="12" s="162" customFormat="1" ht="52.5" outlineLevel="1" spans="1:16">
      <c r="A12" s="178">
        <v>8</v>
      </c>
      <c r="B12" s="177" t="s">
        <v>90</v>
      </c>
      <c r="C12" s="177" t="s">
        <v>91</v>
      </c>
      <c r="D12" s="178" t="s">
        <v>78</v>
      </c>
      <c r="E12" s="181"/>
      <c r="F12" s="179">
        <v>15</v>
      </c>
      <c r="G12" s="180">
        <v>65</v>
      </c>
      <c r="H12" s="179">
        <v>15</v>
      </c>
      <c r="I12" s="195">
        <f t="shared" si="0"/>
        <v>4.04918841290274</v>
      </c>
      <c r="J12" s="196">
        <f t="shared" si="1"/>
        <v>8.91442695716125</v>
      </c>
      <c r="K12" s="172">
        <f t="shared" si="2"/>
        <v>107.963615370064</v>
      </c>
      <c r="L12" s="172">
        <f t="shared" si="3"/>
        <v>0</v>
      </c>
      <c r="M12" s="192"/>
      <c r="N12" s="193"/>
      <c r="O12" s="198"/>
      <c r="P12" s="181">
        <v>90.9034</v>
      </c>
    </row>
    <row r="13" s="162" customFormat="1" ht="52.5" outlineLevel="1" spans="1:16">
      <c r="A13" s="178">
        <v>9</v>
      </c>
      <c r="B13" s="177" t="s">
        <v>92</v>
      </c>
      <c r="C13" s="177" t="s">
        <v>93</v>
      </c>
      <c r="D13" s="178" t="s">
        <v>78</v>
      </c>
      <c r="E13" s="181"/>
      <c r="F13" s="179">
        <v>15</v>
      </c>
      <c r="G13" s="180">
        <v>85</v>
      </c>
      <c r="H13" s="179">
        <v>10</v>
      </c>
      <c r="I13" s="195">
        <f t="shared" si="0"/>
        <v>4.68853395178212</v>
      </c>
      <c r="J13" s="196">
        <f t="shared" si="1"/>
        <v>10.3219680556604</v>
      </c>
      <c r="K13" s="172">
        <f t="shared" si="2"/>
        <v>125.010502007443</v>
      </c>
      <c r="L13" s="172">
        <f t="shared" si="3"/>
        <v>0</v>
      </c>
      <c r="M13" s="192"/>
      <c r="N13" s="193"/>
      <c r="O13" s="198"/>
      <c r="P13" s="181">
        <v>454.517</v>
      </c>
    </row>
    <row r="14" s="162" customFormat="1" ht="11.25" spans="1:16">
      <c r="A14" s="175" t="s">
        <v>94</v>
      </c>
      <c r="B14" s="176" t="s">
        <v>95</v>
      </c>
      <c r="C14" s="177"/>
      <c r="D14" s="178"/>
      <c r="E14" s="181"/>
      <c r="F14" s="179"/>
      <c r="G14" s="180"/>
      <c r="H14" s="179"/>
      <c r="I14" s="195">
        <f t="shared" si="0"/>
        <v>0</v>
      </c>
      <c r="J14" s="196"/>
      <c r="K14" s="172"/>
      <c r="L14" s="172"/>
      <c r="M14" s="192"/>
      <c r="N14" s="193"/>
      <c r="O14" s="198"/>
      <c r="P14" s="181"/>
    </row>
    <row r="15" s="162" customFormat="1" ht="52.5" outlineLevel="1" spans="1:16">
      <c r="A15" s="178">
        <v>1</v>
      </c>
      <c r="B15" s="177" t="s">
        <v>73</v>
      </c>
      <c r="C15" s="177" t="s">
        <v>74</v>
      </c>
      <c r="D15" s="178" t="s">
        <v>75</v>
      </c>
      <c r="E15" s="181">
        <f>P15</f>
        <v>28.75</v>
      </c>
      <c r="F15" s="179"/>
      <c r="G15" s="180"/>
      <c r="H15" s="179">
        <v>8.5</v>
      </c>
      <c r="I15" s="195">
        <f t="shared" si="0"/>
        <v>0.362295805364982</v>
      </c>
      <c r="J15" s="196">
        <f t="shared" si="1"/>
        <v>0.797606622482848</v>
      </c>
      <c r="K15" s="172">
        <f t="shared" si="2"/>
        <v>9.65990242784783</v>
      </c>
      <c r="L15" s="172">
        <f t="shared" si="3"/>
        <v>277.722194800625</v>
      </c>
      <c r="M15" s="192"/>
      <c r="N15" s="193"/>
      <c r="O15" s="198"/>
      <c r="P15" s="181">
        <f>P17+P18</f>
        <v>28.75</v>
      </c>
    </row>
    <row r="16" s="162" customFormat="1" ht="21" outlineLevel="1" spans="1:16">
      <c r="A16" s="178">
        <v>2</v>
      </c>
      <c r="B16" s="177" t="s">
        <v>76</v>
      </c>
      <c r="C16" s="177" t="s">
        <v>77</v>
      </c>
      <c r="D16" s="178" t="s">
        <v>78</v>
      </c>
      <c r="E16" s="181">
        <f>P16</f>
        <v>143.75</v>
      </c>
      <c r="F16" s="179">
        <v>0.5</v>
      </c>
      <c r="G16" s="180"/>
      <c r="H16" s="179">
        <v>2.5</v>
      </c>
      <c r="I16" s="195">
        <f t="shared" si="0"/>
        <v>0.127869107775876</v>
      </c>
      <c r="J16" s="196">
        <f t="shared" si="1"/>
        <v>0.281508219699829</v>
      </c>
      <c r="K16" s="172">
        <f t="shared" si="2"/>
        <v>3.4093773274757</v>
      </c>
      <c r="L16" s="172">
        <f t="shared" si="3"/>
        <v>490.097990824632</v>
      </c>
      <c r="M16" s="192"/>
      <c r="N16" s="193"/>
      <c r="O16" s="198"/>
      <c r="P16" s="181">
        <v>143.75</v>
      </c>
    </row>
    <row r="17" s="162" customFormat="1" ht="21" outlineLevel="1" spans="1:16">
      <c r="A17" s="178">
        <v>3</v>
      </c>
      <c r="B17" s="177" t="s">
        <v>79</v>
      </c>
      <c r="C17" s="177" t="s">
        <v>96</v>
      </c>
      <c r="D17" s="178" t="s">
        <v>75</v>
      </c>
      <c r="E17" s="181">
        <f>P17</f>
        <v>14.375</v>
      </c>
      <c r="F17" s="179">
        <v>10</v>
      </c>
      <c r="G17" s="180">
        <v>95</v>
      </c>
      <c r="H17" s="179">
        <v>15</v>
      </c>
      <c r="I17" s="195">
        <f t="shared" si="0"/>
        <v>5.11476431103504</v>
      </c>
      <c r="J17" s="196">
        <f t="shared" si="1"/>
        <v>11.2603287879932</v>
      </c>
      <c r="K17" s="172">
        <f t="shared" si="2"/>
        <v>136.375093099028</v>
      </c>
      <c r="L17" s="172">
        <f t="shared" si="3"/>
        <v>1960.39196329853</v>
      </c>
      <c r="M17" s="192"/>
      <c r="N17" s="193"/>
      <c r="O17" s="198"/>
      <c r="P17" s="181">
        <v>14.375</v>
      </c>
    </row>
    <row r="18" s="162" customFormat="1" ht="42" outlineLevel="1" spans="1:16">
      <c r="A18" s="178">
        <v>4</v>
      </c>
      <c r="B18" s="177" t="s">
        <v>81</v>
      </c>
      <c r="C18" s="177" t="s">
        <v>97</v>
      </c>
      <c r="D18" s="178" t="s">
        <v>75</v>
      </c>
      <c r="E18" s="181">
        <f>P18</f>
        <v>14.375</v>
      </c>
      <c r="F18" s="179">
        <v>55</v>
      </c>
      <c r="G18" s="180">
        <v>445</v>
      </c>
      <c r="H18" s="179">
        <v>15</v>
      </c>
      <c r="I18" s="195">
        <f t="shared" si="0"/>
        <v>21.9508635015254</v>
      </c>
      <c r="J18" s="196">
        <f t="shared" si="1"/>
        <v>48.3255777151373</v>
      </c>
      <c r="K18" s="172">
        <f t="shared" si="2"/>
        <v>585.276441216663</v>
      </c>
      <c r="L18" s="172">
        <f t="shared" si="3"/>
        <v>8413.34884248953</v>
      </c>
      <c r="M18" s="192"/>
      <c r="N18" s="193"/>
      <c r="O18" s="198"/>
      <c r="P18" s="181">
        <v>14.375</v>
      </c>
    </row>
    <row r="19" s="162" customFormat="1" ht="31.5" outlineLevel="1" spans="1:16">
      <c r="A19" s="178">
        <v>5</v>
      </c>
      <c r="B19" s="177" t="s">
        <v>98</v>
      </c>
      <c r="C19" s="177" t="s">
        <v>99</v>
      </c>
      <c r="D19" s="178" t="s">
        <v>78</v>
      </c>
      <c r="E19" s="181"/>
      <c r="F19" s="179">
        <v>50</v>
      </c>
      <c r="G19" s="180">
        <v>65</v>
      </c>
      <c r="H19" s="179">
        <v>15</v>
      </c>
      <c r="I19" s="195">
        <f t="shared" si="0"/>
        <v>5.54099467028796</v>
      </c>
      <c r="J19" s="196">
        <f t="shared" si="1"/>
        <v>12.1986895203259</v>
      </c>
      <c r="K19" s="172">
        <f t="shared" si="2"/>
        <v>147.739684190614</v>
      </c>
      <c r="L19" s="172">
        <f t="shared" si="3"/>
        <v>0</v>
      </c>
      <c r="M19" s="192"/>
      <c r="N19" s="193"/>
      <c r="O19" s="198"/>
      <c r="P19" s="181">
        <v>143.75</v>
      </c>
    </row>
    <row r="20" s="162" customFormat="1" ht="11.25" spans="1:16">
      <c r="A20" s="175" t="s">
        <v>100</v>
      </c>
      <c r="B20" s="176" t="s">
        <v>101</v>
      </c>
      <c r="C20" s="177"/>
      <c r="D20" s="178"/>
      <c r="E20" s="181"/>
      <c r="F20" s="179"/>
      <c r="G20" s="180"/>
      <c r="H20" s="179"/>
      <c r="I20" s="195">
        <f t="shared" si="0"/>
        <v>0</v>
      </c>
      <c r="J20" s="196"/>
      <c r="K20" s="172"/>
      <c r="L20" s="172"/>
      <c r="M20" s="192"/>
      <c r="N20" s="193"/>
      <c r="O20" s="198"/>
      <c r="P20" s="181"/>
    </row>
    <row r="21" s="162" customFormat="1" ht="52.5" outlineLevel="1" spans="1:16">
      <c r="A21" s="178">
        <v>1</v>
      </c>
      <c r="B21" s="177" t="s">
        <v>73</v>
      </c>
      <c r="C21" s="177" t="s">
        <v>74</v>
      </c>
      <c r="D21" s="178" t="s">
        <v>75</v>
      </c>
      <c r="E21" s="181"/>
      <c r="F21" s="179"/>
      <c r="G21" s="180"/>
      <c r="H21" s="179">
        <v>8.5</v>
      </c>
      <c r="I21" s="195">
        <f t="shared" si="0"/>
        <v>0.362295805364982</v>
      </c>
      <c r="J21" s="196">
        <f t="shared" si="1"/>
        <v>0.797606622482848</v>
      </c>
      <c r="K21" s="172">
        <f t="shared" si="2"/>
        <v>9.65990242784783</v>
      </c>
      <c r="L21" s="172">
        <f t="shared" si="3"/>
        <v>0</v>
      </c>
      <c r="M21" s="192"/>
      <c r="N21" s="193"/>
      <c r="O21" s="198"/>
      <c r="P21" s="181">
        <f>P23+P24</f>
        <v>23.976</v>
      </c>
    </row>
    <row r="22" s="162" customFormat="1" ht="21" outlineLevel="1" spans="1:16">
      <c r="A22" s="178">
        <v>2</v>
      </c>
      <c r="B22" s="177" t="s">
        <v>76</v>
      </c>
      <c r="C22" s="177" t="s">
        <v>77</v>
      </c>
      <c r="D22" s="178" t="s">
        <v>78</v>
      </c>
      <c r="E22" s="181"/>
      <c r="F22" s="179">
        <v>0.5</v>
      </c>
      <c r="G22" s="180"/>
      <c r="H22" s="179">
        <v>2.5</v>
      </c>
      <c r="I22" s="195">
        <f t="shared" si="0"/>
        <v>0.127869107775876</v>
      </c>
      <c r="J22" s="196">
        <f t="shared" si="1"/>
        <v>0.281508219699829</v>
      </c>
      <c r="K22" s="172">
        <f t="shared" si="2"/>
        <v>3.4093773274757</v>
      </c>
      <c r="L22" s="172">
        <f t="shared" si="3"/>
        <v>0</v>
      </c>
      <c r="M22" s="192"/>
      <c r="N22" s="193"/>
      <c r="O22" s="198"/>
      <c r="P22" s="181">
        <v>119.88</v>
      </c>
    </row>
    <row r="23" s="162" customFormat="1" ht="21" outlineLevel="1" spans="1:16">
      <c r="A23" s="178">
        <v>3</v>
      </c>
      <c r="B23" s="177" t="s">
        <v>79</v>
      </c>
      <c r="C23" s="177" t="s">
        <v>96</v>
      </c>
      <c r="D23" s="178" t="s">
        <v>75</v>
      </c>
      <c r="E23" s="181"/>
      <c r="F23" s="179">
        <v>10</v>
      </c>
      <c r="G23" s="180">
        <v>95</v>
      </c>
      <c r="H23" s="179">
        <v>15</v>
      </c>
      <c r="I23" s="195">
        <f t="shared" si="0"/>
        <v>5.11476431103504</v>
      </c>
      <c r="J23" s="196">
        <f t="shared" si="1"/>
        <v>11.2603287879932</v>
      </c>
      <c r="K23" s="172">
        <f t="shared" si="2"/>
        <v>136.375093099028</v>
      </c>
      <c r="L23" s="172">
        <f t="shared" si="3"/>
        <v>0</v>
      </c>
      <c r="M23" s="192"/>
      <c r="N23" s="193"/>
      <c r="O23" s="198"/>
      <c r="P23" s="181">
        <v>11.988</v>
      </c>
    </row>
    <row r="24" s="162" customFormat="1" ht="42" outlineLevel="1" spans="1:16">
      <c r="A24" s="178">
        <v>4</v>
      </c>
      <c r="B24" s="177" t="s">
        <v>81</v>
      </c>
      <c r="C24" s="177" t="s">
        <v>97</v>
      </c>
      <c r="D24" s="178" t="s">
        <v>75</v>
      </c>
      <c r="E24" s="181"/>
      <c r="F24" s="179">
        <v>55</v>
      </c>
      <c r="G24" s="180">
        <v>445</v>
      </c>
      <c r="H24" s="179">
        <v>15</v>
      </c>
      <c r="I24" s="195">
        <f t="shared" si="0"/>
        <v>21.9508635015254</v>
      </c>
      <c r="J24" s="196">
        <f t="shared" si="1"/>
        <v>48.3255777151373</v>
      </c>
      <c r="K24" s="172">
        <f t="shared" si="2"/>
        <v>585.276441216663</v>
      </c>
      <c r="L24" s="172">
        <f t="shared" si="3"/>
        <v>0</v>
      </c>
      <c r="M24" s="192"/>
      <c r="N24" s="193"/>
      <c r="O24" s="198"/>
      <c r="P24" s="181">
        <v>11.988</v>
      </c>
    </row>
    <row r="25" s="162" customFormat="1" ht="31.5" outlineLevel="1" spans="1:16">
      <c r="A25" s="178">
        <v>5</v>
      </c>
      <c r="B25" s="177" t="s">
        <v>98</v>
      </c>
      <c r="C25" s="177" t="s">
        <v>99</v>
      </c>
      <c r="D25" s="178" t="s">
        <v>78</v>
      </c>
      <c r="E25" s="181"/>
      <c r="F25" s="179">
        <v>50</v>
      </c>
      <c r="G25" s="180">
        <v>65</v>
      </c>
      <c r="H25" s="179">
        <v>15</v>
      </c>
      <c r="I25" s="195">
        <f t="shared" si="0"/>
        <v>5.54099467028796</v>
      </c>
      <c r="J25" s="196">
        <f t="shared" si="1"/>
        <v>12.1986895203259</v>
      </c>
      <c r="K25" s="172">
        <f t="shared" si="2"/>
        <v>147.739684190614</v>
      </c>
      <c r="L25" s="172">
        <f t="shared" si="3"/>
        <v>0</v>
      </c>
      <c r="M25" s="182"/>
      <c r="N25" s="193"/>
      <c r="O25" s="198"/>
      <c r="P25" s="181">
        <v>119.88</v>
      </c>
    </row>
    <row r="26" s="162" customFormat="1" ht="11.25" spans="1:16">
      <c r="A26" s="175" t="s">
        <v>102</v>
      </c>
      <c r="B26" s="176" t="s">
        <v>103</v>
      </c>
      <c r="C26" s="177"/>
      <c r="D26" s="178"/>
      <c r="E26" s="181"/>
      <c r="F26" s="182"/>
      <c r="G26" s="182"/>
      <c r="H26" s="182"/>
      <c r="I26" s="195">
        <f t="shared" si="0"/>
        <v>0</v>
      </c>
      <c r="J26" s="196"/>
      <c r="K26" s="172"/>
      <c r="L26" s="172"/>
      <c r="M26" s="182"/>
      <c r="N26" s="193"/>
      <c r="O26" s="198"/>
      <c r="P26" s="181"/>
    </row>
    <row r="27" s="162" customFormat="1" ht="52.5" outlineLevel="1" spans="1:16">
      <c r="A27" s="178">
        <v>1</v>
      </c>
      <c r="B27" s="177" t="s">
        <v>73</v>
      </c>
      <c r="C27" s="177" t="s">
        <v>74</v>
      </c>
      <c r="D27" s="178" t="s">
        <v>75</v>
      </c>
      <c r="E27" s="181">
        <f>P27</f>
        <v>32.4514</v>
      </c>
      <c r="F27" s="182"/>
      <c r="G27" s="182"/>
      <c r="H27" s="179">
        <v>8.5</v>
      </c>
      <c r="I27" s="195">
        <f t="shared" si="0"/>
        <v>0.362295805364982</v>
      </c>
      <c r="J27" s="196">
        <f t="shared" si="1"/>
        <v>0.797606622482848</v>
      </c>
      <c r="K27" s="172">
        <f t="shared" si="2"/>
        <v>9.65990242784783</v>
      </c>
      <c r="L27" s="172">
        <f t="shared" si="3"/>
        <v>313.477357647061</v>
      </c>
      <c r="M27" s="182"/>
      <c r="N27" s="193"/>
      <c r="O27" s="198"/>
      <c r="P27" s="181">
        <f>P29+P30</f>
        <v>32.4514</v>
      </c>
    </row>
    <row r="28" s="162" customFormat="1" ht="21" outlineLevel="1" spans="1:16">
      <c r="A28" s="178">
        <v>2</v>
      </c>
      <c r="B28" s="177" t="s">
        <v>76</v>
      </c>
      <c r="C28" s="177" t="s">
        <v>104</v>
      </c>
      <c r="D28" s="178" t="s">
        <v>78</v>
      </c>
      <c r="E28" s="181">
        <f>P28</f>
        <v>162.257</v>
      </c>
      <c r="F28" s="179">
        <v>0.5</v>
      </c>
      <c r="G28" s="180"/>
      <c r="H28" s="179">
        <v>2.5</v>
      </c>
      <c r="I28" s="195">
        <f t="shared" si="0"/>
        <v>0.127869107775876</v>
      </c>
      <c r="J28" s="196">
        <f t="shared" si="1"/>
        <v>0.281508219699829</v>
      </c>
      <c r="K28" s="172">
        <f t="shared" si="2"/>
        <v>3.4093773274757</v>
      </c>
      <c r="L28" s="172">
        <f t="shared" si="3"/>
        <v>553.195337024225</v>
      </c>
      <c r="M28" s="182"/>
      <c r="N28" s="193"/>
      <c r="O28" s="198"/>
      <c r="P28" s="181">
        <v>162.257</v>
      </c>
    </row>
    <row r="29" s="162" customFormat="1" ht="21" outlineLevel="1" spans="1:16">
      <c r="A29" s="178">
        <v>3</v>
      </c>
      <c r="B29" s="177" t="s">
        <v>79</v>
      </c>
      <c r="C29" s="177" t="s">
        <v>96</v>
      </c>
      <c r="D29" s="178" t="s">
        <v>75</v>
      </c>
      <c r="E29" s="181">
        <f>P29</f>
        <v>16.2257</v>
      </c>
      <c r="F29" s="179">
        <v>10</v>
      </c>
      <c r="G29" s="180">
        <v>95</v>
      </c>
      <c r="H29" s="179">
        <v>15</v>
      </c>
      <c r="I29" s="195">
        <f t="shared" si="0"/>
        <v>5.11476431103504</v>
      </c>
      <c r="J29" s="196">
        <f t="shared" si="1"/>
        <v>11.2603287879932</v>
      </c>
      <c r="K29" s="172">
        <f t="shared" si="2"/>
        <v>136.375093099028</v>
      </c>
      <c r="L29" s="172">
        <f t="shared" si="3"/>
        <v>2212.7813480969</v>
      </c>
      <c r="M29" s="182"/>
      <c r="N29" s="193"/>
      <c r="O29" s="198"/>
      <c r="P29" s="181">
        <v>16.2257</v>
      </c>
    </row>
    <row r="30" s="162" customFormat="1" ht="42" outlineLevel="1" spans="1:16">
      <c r="A30" s="178">
        <v>4</v>
      </c>
      <c r="B30" s="177" t="s">
        <v>81</v>
      </c>
      <c r="C30" s="177" t="s">
        <v>97</v>
      </c>
      <c r="D30" s="178" t="s">
        <v>75</v>
      </c>
      <c r="E30" s="181">
        <f>P30</f>
        <v>16.2257</v>
      </c>
      <c r="F30" s="179">
        <v>55</v>
      </c>
      <c r="G30" s="180">
        <v>445</v>
      </c>
      <c r="H30" s="179">
        <v>15</v>
      </c>
      <c r="I30" s="195">
        <f t="shared" si="0"/>
        <v>21.9508635015254</v>
      </c>
      <c r="J30" s="196">
        <f t="shared" si="1"/>
        <v>48.3255777151373</v>
      </c>
      <c r="K30" s="172">
        <f t="shared" si="2"/>
        <v>585.276441216663</v>
      </c>
      <c r="L30" s="172">
        <f t="shared" si="3"/>
        <v>9496.51995224921</v>
      </c>
      <c r="M30" s="182"/>
      <c r="N30" s="193"/>
      <c r="O30" s="198"/>
      <c r="P30" s="181">
        <v>16.2257</v>
      </c>
    </row>
    <row r="31" s="162" customFormat="1" ht="31.5" outlineLevel="1" spans="1:16">
      <c r="A31" s="178">
        <v>5</v>
      </c>
      <c r="B31" s="177" t="s">
        <v>98</v>
      </c>
      <c r="C31" s="177" t="s">
        <v>99</v>
      </c>
      <c r="D31" s="178" t="s">
        <v>78</v>
      </c>
      <c r="E31" s="181"/>
      <c r="F31" s="179">
        <v>50</v>
      </c>
      <c r="G31" s="180">
        <v>65</v>
      </c>
      <c r="H31" s="179">
        <v>15</v>
      </c>
      <c r="I31" s="195">
        <f t="shared" si="0"/>
        <v>5.54099467028796</v>
      </c>
      <c r="J31" s="196">
        <f t="shared" si="1"/>
        <v>12.1986895203259</v>
      </c>
      <c r="K31" s="172">
        <f t="shared" si="2"/>
        <v>147.739684190614</v>
      </c>
      <c r="L31" s="172">
        <f t="shared" si="3"/>
        <v>0</v>
      </c>
      <c r="M31" s="182"/>
      <c r="N31" s="193"/>
      <c r="O31" s="198"/>
      <c r="P31" s="181">
        <v>162.257</v>
      </c>
    </row>
    <row r="32" s="162" customFormat="1" ht="11.25" spans="1:16">
      <c r="A32" s="175" t="s">
        <v>105</v>
      </c>
      <c r="B32" s="176" t="s">
        <v>106</v>
      </c>
      <c r="C32" s="177"/>
      <c r="D32" s="178"/>
      <c r="E32" s="181"/>
      <c r="F32" s="182"/>
      <c r="G32" s="182"/>
      <c r="H32" s="182"/>
      <c r="I32" s="195">
        <f t="shared" si="0"/>
        <v>0</v>
      </c>
      <c r="J32" s="196"/>
      <c r="K32" s="172"/>
      <c r="L32" s="172"/>
      <c r="M32" s="182"/>
      <c r="N32" s="193"/>
      <c r="O32" s="198"/>
      <c r="P32" s="181"/>
    </row>
    <row r="33" s="162" customFormat="1" ht="52.5" outlineLevel="1" spans="1:16">
      <c r="A33" s="178">
        <v>1</v>
      </c>
      <c r="B33" s="177" t="s">
        <v>73</v>
      </c>
      <c r="C33" s="177" t="s">
        <v>74</v>
      </c>
      <c r="D33" s="178" t="s">
        <v>75</v>
      </c>
      <c r="E33" s="181"/>
      <c r="F33" s="182"/>
      <c r="G33" s="182"/>
      <c r="H33" s="179">
        <v>8.5</v>
      </c>
      <c r="I33" s="195">
        <f t="shared" si="0"/>
        <v>0.362295805364982</v>
      </c>
      <c r="J33" s="196">
        <f t="shared" si="1"/>
        <v>0.797606622482848</v>
      </c>
      <c r="K33" s="172">
        <f t="shared" si="2"/>
        <v>9.65990242784783</v>
      </c>
      <c r="L33" s="172">
        <f t="shared" si="3"/>
        <v>0</v>
      </c>
      <c r="M33" s="182"/>
      <c r="N33" s="193"/>
      <c r="O33" s="198"/>
      <c r="P33" s="181">
        <f>P35+P36</f>
        <v>26.966</v>
      </c>
    </row>
    <row r="34" s="162" customFormat="1" ht="21" outlineLevel="1" spans="1:16">
      <c r="A34" s="178">
        <v>2</v>
      </c>
      <c r="B34" s="177" t="s">
        <v>76</v>
      </c>
      <c r="C34" s="177" t="s">
        <v>77</v>
      </c>
      <c r="D34" s="178" t="s">
        <v>78</v>
      </c>
      <c r="E34" s="181"/>
      <c r="F34" s="179">
        <v>0.5</v>
      </c>
      <c r="G34" s="180"/>
      <c r="H34" s="179">
        <v>2.5</v>
      </c>
      <c r="I34" s="195">
        <f t="shared" si="0"/>
        <v>0.127869107775876</v>
      </c>
      <c r="J34" s="196">
        <f t="shared" si="1"/>
        <v>0.281508219699829</v>
      </c>
      <c r="K34" s="172">
        <f t="shared" si="2"/>
        <v>3.4093773274757</v>
      </c>
      <c r="L34" s="172">
        <f t="shared" si="3"/>
        <v>0</v>
      </c>
      <c r="M34" s="182"/>
      <c r="N34" s="193"/>
      <c r="O34" s="198"/>
      <c r="P34" s="181">
        <v>134.83</v>
      </c>
    </row>
    <row r="35" s="162" customFormat="1" ht="21" outlineLevel="1" spans="1:16">
      <c r="A35" s="178">
        <v>3</v>
      </c>
      <c r="B35" s="177" t="s">
        <v>79</v>
      </c>
      <c r="C35" s="177" t="s">
        <v>96</v>
      </c>
      <c r="D35" s="178" t="s">
        <v>75</v>
      </c>
      <c r="E35" s="181"/>
      <c r="F35" s="179">
        <v>10</v>
      </c>
      <c r="G35" s="180">
        <v>95</v>
      </c>
      <c r="H35" s="179">
        <v>15</v>
      </c>
      <c r="I35" s="195">
        <f t="shared" si="0"/>
        <v>5.11476431103504</v>
      </c>
      <c r="J35" s="196">
        <f t="shared" si="1"/>
        <v>11.2603287879932</v>
      </c>
      <c r="K35" s="172">
        <f t="shared" si="2"/>
        <v>136.375093099028</v>
      </c>
      <c r="L35" s="172">
        <f t="shared" si="3"/>
        <v>0</v>
      </c>
      <c r="M35" s="182"/>
      <c r="N35" s="193"/>
      <c r="O35" s="198"/>
      <c r="P35" s="181">
        <v>13.483</v>
      </c>
    </row>
    <row r="36" s="162" customFormat="1" ht="42" outlineLevel="1" spans="1:16">
      <c r="A36" s="178">
        <v>4</v>
      </c>
      <c r="B36" s="177" t="s">
        <v>81</v>
      </c>
      <c r="C36" s="177" t="s">
        <v>97</v>
      </c>
      <c r="D36" s="178" t="s">
        <v>75</v>
      </c>
      <c r="E36" s="181"/>
      <c r="F36" s="179">
        <v>55</v>
      </c>
      <c r="G36" s="180">
        <v>445</v>
      </c>
      <c r="H36" s="179">
        <v>15</v>
      </c>
      <c r="I36" s="195">
        <f t="shared" si="0"/>
        <v>21.9508635015254</v>
      </c>
      <c r="J36" s="196">
        <f t="shared" si="1"/>
        <v>48.3255777151373</v>
      </c>
      <c r="K36" s="172">
        <f t="shared" si="2"/>
        <v>585.276441216663</v>
      </c>
      <c r="L36" s="172">
        <f t="shared" si="3"/>
        <v>0</v>
      </c>
      <c r="M36" s="182"/>
      <c r="N36" s="193"/>
      <c r="O36" s="198"/>
      <c r="P36" s="181">
        <v>13.483</v>
      </c>
    </row>
    <row r="37" s="162" customFormat="1" ht="31.5" outlineLevel="1" spans="1:16">
      <c r="A37" s="178">
        <v>5</v>
      </c>
      <c r="B37" s="177" t="s">
        <v>98</v>
      </c>
      <c r="C37" s="177" t="s">
        <v>99</v>
      </c>
      <c r="D37" s="178" t="s">
        <v>78</v>
      </c>
      <c r="E37" s="181"/>
      <c r="F37" s="179">
        <v>50</v>
      </c>
      <c r="G37" s="180">
        <v>65</v>
      </c>
      <c r="H37" s="179">
        <v>15</v>
      </c>
      <c r="I37" s="195">
        <f t="shared" si="0"/>
        <v>5.54099467028796</v>
      </c>
      <c r="J37" s="196">
        <f t="shared" si="1"/>
        <v>12.1986895203259</v>
      </c>
      <c r="K37" s="172">
        <f t="shared" si="2"/>
        <v>147.739684190614</v>
      </c>
      <c r="L37" s="172">
        <f t="shared" si="3"/>
        <v>0</v>
      </c>
      <c r="M37" s="182"/>
      <c r="N37" s="193"/>
      <c r="O37" s="198"/>
      <c r="P37" s="181">
        <v>134.83</v>
      </c>
    </row>
    <row r="38" s="162" customFormat="1" ht="11.25" spans="1:16">
      <c r="A38" s="175" t="s">
        <v>107</v>
      </c>
      <c r="B38" s="176" t="s">
        <v>108</v>
      </c>
      <c r="C38" s="177"/>
      <c r="D38" s="178"/>
      <c r="E38" s="181"/>
      <c r="F38" s="182"/>
      <c r="G38" s="182"/>
      <c r="H38" s="182"/>
      <c r="I38" s="195">
        <f t="shared" si="0"/>
        <v>0</v>
      </c>
      <c r="J38" s="196"/>
      <c r="K38" s="172"/>
      <c r="L38" s="172"/>
      <c r="M38" s="182"/>
      <c r="N38" s="193"/>
      <c r="O38" s="198"/>
      <c r="P38" s="181"/>
    </row>
    <row r="39" s="162" customFormat="1" ht="52.5" outlineLevel="1" spans="1:16">
      <c r="A39" s="178">
        <v>1</v>
      </c>
      <c r="B39" s="177" t="s">
        <v>73</v>
      </c>
      <c r="C39" s="177" t="s">
        <v>74</v>
      </c>
      <c r="D39" s="178" t="s">
        <v>75</v>
      </c>
      <c r="E39" s="181">
        <f>P39</f>
        <v>42.4452</v>
      </c>
      <c r="F39" s="182"/>
      <c r="G39" s="182"/>
      <c r="H39" s="179">
        <v>8.5</v>
      </c>
      <c r="I39" s="195">
        <f t="shared" si="0"/>
        <v>0.362295805364982</v>
      </c>
      <c r="J39" s="196">
        <f t="shared" si="1"/>
        <v>0.797606622482848</v>
      </c>
      <c r="K39" s="172">
        <f t="shared" si="2"/>
        <v>9.65990242784783</v>
      </c>
      <c r="L39" s="172">
        <f t="shared" si="3"/>
        <v>410.016490530487</v>
      </c>
      <c r="M39" s="182"/>
      <c r="N39" s="193"/>
      <c r="O39" s="198"/>
      <c r="P39" s="181">
        <f>P41+P42</f>
        <v>42.4452</v>
      </c>
    </row>
    <row r="40" s="162" customFormat="1" ht="21" outlineLevel="1" spans="1:16">
      <c r="A40" s="178">
        <v>2</v>
      </c>
      <c r="B40" s="177" t="s">
        <v>76</v>
      </c>
      <c r="C40" s="177" t="s">
        <v>109</v>
      </c>
      <c r="D40" s="178" t="s">
        <v>78</v>
      </c>
      <c r="E40" s="181">
        <f>P40</f>
        <v>212.226</v>
      </c>
      <c r="F40" s="179">
        <v>0.5</v>
      </c>
      <c r="G40" s="180"/>
      <c r="H40" s="179">
        <v>2.5</v>
      </c>
      <c r="I40" s="195">
        <f t="shared" si="0"/>
        <v>0.127869107775876</v>
      </c>
      <c r="J40" s="196">
        <f t="shared" si="1"/>
        <v>0.281508219699829</v>
      </c>
      <c r="K40" s="172">
        <f t="shared" si="2"/>
        <v>3.4093773274757</v>
      </c>
      <c r="L40" s="172">
        <f t="shared" si="3"/>
        <v>723.558512700858</v>
      </c>
      <c r="M40" s="182"/>
      <c r="N40" s="193"/>
      <c r="O40" s="198"/>
      <c r="P40" s="181">
        <v>212.226</v>
      </c>
    </row>
    <row r="41" s="162" customFormat="1" ht="21" outlineLevel="1" spans="1:16">
      <c r="A41" s="178">
        <v>3</v>
      </c>
      <c r="B41" s="177" t="s">
        <v>79</v>
      </c>
      <c r="C41" s="177" t="s">
        <v>96</v>
      </c>
      <c r="D41" s="178" t="s">
        <v>75</v>
      </c>
      <c r="E41" s="181">
        <f>P41</f>
        <v>21.2226</v>
      </c>
      <c r="F41" s="179">
        <v>10</v>
      </c>
      <c r="G41" s="180">
        <v>95</v>
      </c>
      <c r="H41" s="179">
        <v>15</v>
      </c>
      <c r="I41" s="195">
        <f t="shared" si="0"/>
        <v>5.11476431103504</v>
      </c>
      <c r="J41" s="196">
        <f t="shared" si="1"/>
        <v>11.2603287879932</v>
      </c>
      <c r="K41" s="172">
        <f t="shared" si="2"/>
        <v>136.375093099028</v>
      </c>
      <c r="L41" s="172">
        <f t="shared" si="3"/>
        <v>2894.23405080343</v>
      </c>
      <c r="M41" s="182"/>
      <c r="N41" s="193"/>
      <c r="O41" s="198"/>
      <c r="P41" s="181">
        <v>21.2226</v>
      </c>
    </row>
    <row r="42" s="162" customFormat="1" ht="42" outlineLevel="1" spans="1:16">
      <c r="A42" s="178">
        <v>4</v>
      </c>
      <c r="B42" s="177" t="s">
        <v>81</v>
      </c>
      <c r="C42" s="177" t="s">
        <v>97</v>
      </c>
      <c r="D42" s="178" t="s">
        <v>75</v>
      </c>
      <c r="E42" s="181">
        <f>P42</f>
        <v>21.2226</v>
      </c>
      <c r="F42" s="179">
        <v>55</v>
      </c>
      <c r="G42" s="180">
        <v>445</v>
      </c>
      <c r="H42" s="179">
        <v>15</v>
      </c>
      <c r="I42" s="195">
        <f t="shared" si="0"/>
        <v>21.9508635015254</v>
      </c>
      <c r="J42" s="196">
        <f t="shared" si="1"/>
        <v>48.3255777151373</v>
      </c>
      <c r="K42" s="172">
        <f t="shared" si="2"/>
        <v>585.276441216663</v>
      </c>
      <c r="L42" s="172">
        <f t="shared" si="3"/>
        <v>12421.0878013648</v>
      </c>
      <c r="M42" s="182"/>
      <c r="N42" s="193"/>
      <c r="O42" s="198"/>
      <c r="P42" s="181">
        <v>21.2226</v>
      </c>
    </row>
    <row r="43" s="162" customFormat="1" ht="31.5" outlineLevel="1" spans="1:16">
      <c r="A43" s="178">
        <v>5</v>
      </c>
      <c r="B43" s="177" t="s">
        <v>98</v>
      </c>
      <c r="C43" s="177" t="s">
        <v>99</v>
      </c>
      <c r="D43" s="178" t="s">
        <v>78</v>
      </c>
      <c r="E43" s="181"/>
      <c r="F43" s="179">
        <v>50</v>
      </c>
      <c r="G43" s="180">
        <v>65</v>
      </c>
      <c r="H43" s="179">
        <v>15</v>
      </c>
      <c r="I43" s="195">
        <f t="shared" si="0"/>
        <v>5.54099467028796</v>
      </c>
      <c r="J43" s="196">
        <f t="shared" si="1"/>
        <v>12.1986895203259</v>
      </c>
      <c r="K43" s="172">
        <f t="shared" si="2"/>
        <v>147.739684190614</v>
      </c>
      <c r="L43" s="172">
        <f t="shared" si="3"/>
        <v>0</v>
      </c>
      <c r="M43" s="182"/>
      <c r="N43" s="193"/>
      <c r="O43" s="198"/>
      <c r="P43" s="181">
        <v>199.656</v>
      </c>
    </row>
    <row r="44" s="162" customFormat="1" ht="31.5" outlineLevel="1" spans="1:16">
      <c r="A44" s="178">
        <v>6</v>
      </c>
      <c r="B44" s="177" t="s">
        <v>110</v>
      </c>
      <c r="C44" s="177" t="s">
        <v>111</v>
      </c>
      <c r="D44" s="178" t="s">
        <v>75</v>
      </c>
      <c r="E44" s="181"/>
      <c r="F44" s="179">
        <v>55</v>
      </c>
      <c r="G44" s="180">
        <v>150</v>
      </c>
      <c r="H44" s="179">
        <v>15</v>
      </c>
      <c r="I44" s="195">
        <f t="shared" si="0"/>
        <v>9.37706790356424</v>
      </c>
      <c r="J44" s="196">
        <f t="shared" si="1"/>
        <v>20.6439361113208</v>
      </c>
      <c r="K44" s="172">
        <f t="shared" si="2"/>
        <v>250.021004014885</v>
      </c>
      <c r="L44" s="172">
        <f t="shared" si="3"/>
        <v>0</v>
      </c>
      <c r="M44" s="182"/>
      <c r="N44" s="193"/>
      <c r="O44" s="198"/>
      <c r="P44" s="181">
        <v>12.57</v>
      </c>
    </row>
    <row r="45" s="162" customFormat="1" ht="105" outlineLevel="1" spans="1:16">
      <c r="A45" s="178">
        <v>7</v>
      </c>
      <c r="B45" s="177" t="s">
        <v>112</v>
      </c>
      <c r="C45" s="177" t="s">
        <v>113</v>
      </c>
      <c r="D45" s="178" t="s">
        <v>114</v>
      </c>
      <c r="E45" s="181"/>
      <c r="F45" s="179">
        <v>35</v>
      </c>
      <c r="G45" s="179">
        <v>3200</v>
      </c>
      <c r="H45" s="179">
        <v>50</v>
      </c>
      <c r="I45" s="195">
        <f t="shared" si="0"/>
        <v>140.016673014584</v>
      </c>
      <c r="J45" s="196">
        <f t="shared" si="1"/>
        <v>308.251500571313</v>
      </c>
      <c r="K45" s="172">
        <f t="shared" si="2"/>
        <v>3733.2681735859</v>
      </c>
      <c r="L45" s="172">
        <f t="shared" si="3"/>
        <v>0</v>
      </c>
      <c r="M45" s="182"/>
      <c r="N45" s="193"/>
      <c r="O45" s="198"/>
      <c r="P45" s="181">
        <v>9</v>
      </c>
    </row>
    <row r="46" s="162" customFormat="1" ht="11.25" spans="1:16">
      <c r="A46" s="175" t="s">
        <v>115</v>
      </c>
      <c r="B46" s="176" t="s">
        <v>116</v>
      </c>
      <c r="C46" s="177"/>
      <c r="D46" s="178"/>
      <c r="E46" s="181"/>
      <c r="F46" s="182"/>
      <c r="G46" s="182"/>
      <c r="H46" s="182"/>
      <c r="I46" s="195">
        <f t="shared" si="0"/>
        <v>0</v>
      </c>
      <c r="J46" s="196"/>
      <c r="K46" s="172"/>
      <c r="L46" s="172"/>
      <c r="M46" s="182"/>
      <c r="N46" s="193"/>
      <c r="O46" s="198"/>
      <c r="P46" s="181"/>
    </row>
    <row r="47" s="162" customFormat="1" ht="52.5" outlineLevel="1" spans="1:16">
      <c r="A47" s="178">
        <v>1</v>
      </c>
      <c r="B47" s="177" t="s">
        <v>73</v>
      </c>
      <c r="C47" s="177" t="s">
        <v>74</v>
      </c>
      <c r="D47" s="178" t="s">
        <v>75</v>
      </c>
      <c r="E47" s="181"/>
      <c r="F47" s="182"/>
      <c r="G47" s="182"/>
      <c r="H47" s="179">
        <v>8.5</v>
      </c>
      <c r="I47" s="195">
        <f t="shared" si="0"/>
        <v>0.362295805364982</v>
      </c>
      <c r="J47" s="196">
        <f t="shared" si="1"/>
        <v>0.797606622482848</v>
      </c>
      <c r="K47" s="172">
        <f t="shared" si="2"/>
        <v>9.65990242784783</v>
      </c>
      <c r="L47" s="172">
        <f t="shared" si="3"/>
        <v>0</v>
      </c>
      <c r="M47" s="182"/>
      <c r="N47" s="193"/>
      <c r="O47" s="198"/>
      <c r="P47" s="181">
        <f>P49+P50</f>
        <v>48.3984</v>
      </c>
    </row>
    <row r="48" s="162" customFormat="1" ht="21" outlineLevel="1" spans="1:16">
      <c r="A48" s="178">
        <v>2</v>
      </c>
      <c r="B48" s="177" t="s">
        <v>76</v>
      </c>
      <c r="C48" s="177" t="s">
        <v>77</v>
      </c>
      <c r="D48" s="178" t="s">
        <v>78</v>
      </c>
      <c r="E48" s="181"/>
      <c r="F48" s="179">
        <v>0.5</v>
      </c>
      <c r="G48" s="180"/>
      <c r="H48" s="179">
        <v>2.5</v>
      </c>
      <c r="I48" s="195">
        <f t="shared" si="0"/>
        <v>0.127869107775876</v>
      </c>
      <c r="J48" s="196">
        <f t="shared" si="1"/>
        <v>0.281508219699829</v>
      </c>
      <c r="K48" s="172">
        <f t="shared" si="2"/>
        <v>3.4093773274757</v>
      </c>
      <c r="L48" s="172">
        <f t="shared" si="3"/>
        <v>0</v>
      </c>
      <c r="M48" s="182"/>
      <c r="N48" s="193"/>
      <c r="O48" s="198"/>
      <c r="P48" s="181">
        <v>241.992</v>
      </c>
    </row>
    <row r="49" s="162" customFormat="1" ht="21" outlineLevel="1" spans="1:16">
      <c r="A49" s="178">
        <v>3</v>
      </c>
      <c r="B49" s="177" t="s">
        <v>79</v>
      </c>
      <c r="C49" s="177" t="s">
        <v>96</v>
      </c>
      <c r="D49" s="178" t="s">
        <v>75</v>
      </c>
      <c r="E49" s="181"/>
      <c r="F49" s="179">
        <v>10</v>
      </c>
      <c r="G49" s="180">
        <v>95</v>
      </c>
      <c r="H49" s="179">
        <v>15</v>
      </c>
      <c r="I49" s="195">
        <f t="shared" si="0"/>
        <v>5.11476431103504</v>
      </c>
      <c r="J49" s="196">
        <f t="shared" si="1"/>
        <v>11.2603287879932</v>
      </c>
      <c r="K49" s="172">
        <f t="shared" si="2"/>
        <v>136.375093099028</v>
      </c>
      <c r="L49" s="172">
        <f t="shared" si="3"/>
        <v>0</v>
      </c>
      <c r="M49" s="182"/>
      <c r="N49" s="193"/>
      <c r="O49" s="198"/>
      <c r="P49" s="181">
        <v>24.1992</v>
      </c>
    </row>
    <row r="50" s="162" customFormat="1" ht="42" outlineLevel="1" spans="1:16">
      <c r="A50" s="178">
        <v>4</v>
      </c>
      <c r="B50" s="177" t="s">
        <v>81</v>
      </c>
      <c r="C50" s="177" t="s">
        <v>97</v>
      </c>
      <c r="D50" s="178" t="s">
        <v>75</v>
      </c>
      <c r="E50" s="181"/>
      <c r="F50" s="179">
        <v>55</v>
      </c>
      <c r="G50" s="180">
        <v>445</v>
      </c>
      <c r="H50" s="179">
        <v>15</v>
      </c>
      <c r="I50" s="195">
        <f t="shared" si="0"/>
        <v>21.9508635015254</v>
      </c>
      <c r="J50" s="196">
        <f t="shared" si="1"/>
        <v>48.3255777151373</v>
      </c>
      <c r="K50" s="172">
        <f t="shared" si="2"/>
        <v>585.276441216663</v>
      </c>
      <c r="L50" s="172">
        <f t="shared" si="3"/>
        <v>0</v>
      </c>
      <c r="M50" s="192"/>
      <c r="N50" s="193"/>
      <c r="O50" s="198"/>
      <c r="P50" s="181">
        <v>24.1992</v>
      </c>
    </row>
    <row r="51" s="162" customFormat="1" ht="31.5" outlineLevel="1" spans="1:16">
      <c r="A51" s="178">
        <v>5</v>
      </c>
      <c r="B51" s="177" t="s">
        <v>98</v>
      </c>
      <c r="C51" s="177" t="s">
        <v>99</v>
      </c>
      <c r="D51" s="178" t="s">
        <v>78</v>
      </c>
      <c r="E51" s="181"/>
      <c r="F51" s="179">
        <v>50</v>
      </c>
      <c r="G51" s="180">
        <v>65</v>
      </c>
      <c r="H51" s="179">
        <v>15</v>
      </c>
      <c r="I51" s="195">
        <f t="shared" si="0"/>
        <v>5.54099467028796</v>
      </c>
      <c r="J51" s="196">
        <f t="shared" si="1"/>
        <v>12.1986895203259</v>
      </c>
      <c r="K51" s="172">
        <f t="shared" si="2"/>
        <v>147.739684190614</v>
      </c>
      <c r="L51" s="172">
        <f t="shared" si="3"/>
        <v>0</v>
      </c>
      <c r="M51" s="192"/>
      <c r="N51" s="193"/>
      <c r="O51" s="198"/>
      <c r="P51" s="181">
        <v>180.7</v>
      </c>
    </row>
    <row r="52" s="162" customFormat="1" ht="31.5" outlineLevel="1" spans="1:16">
      <c r="A52" s="178">
        <v>6</v>
      </c>
      <c r="B52" s="177" t="s">
        <v>83</v>
      </c>
      <c r="C52" s="177" t="s">
        <v>117</v>
      </c>
      <c r="D52" s="178" t="s">
        <v>78</v>
      </c>
      <c r="E52" s="181"/>
      <c r="F52" s="179">
        <v>50</v>
      </c>
      <c r="G52" s="180">
        <v>65</v>
      </c>
      <c r="H52" s="179">
        <v>15</v>
      </c>
      <c r="I52" s="195">
        <f t="shared" si="0"/>
        <v>5.54099467028796</v>
      </c>
      <c r="J52" s="196">
        <f t="shared" si="1"/>
        <v>12.1986895203259</v>
      </c>
      <c r="K52" s="172">
        <f t="shared" si="2"/>
        <v>147.739684190614</v>
      </c>
      <c r="L52" s="172">
        <f t="shared" si="3"/>
        <v>0</v>
      </c>
      <c r="M52" s="192"/>
      <c r="N52" s="193"/>
      <c r="O52" s="198"/>
      <c r="P52" s="181">
        <v>32.366</v>
      </c>
    </row>
    <row r="53" s="162" customFormat="1" ht="31.5" outlineLevel="1" spans="1:16">
      <c r="A53" s="178">
        <v>7</v>
      </c>
      <c r="B53" s="177" t="s">
        <v>118</v>
      </c>
      <c r="C53" s="177" t="s">
        <v>119</v>
      </c>
      <c r="D53" s="178" t="s">
        <v>78</v>
      </c>
      <c r="E53" s="181"/>
      <c r="F53" s="179">
        <v>160</v>
      </c>
      <c r="G53" s="179">
        <v>220</v>
      </c>
      <c r="H53" s="179">
        <v>15</v>
      </c>
      <c r="I53" s="195">
        <f t="shared" si="0"/>
        <v>16.8360991904903</v>
      </c>
      <c r="J53" s="196">
        <f t="shared" si="1"/>
        <v>37.0652489271441</v>
      </c>
      <c r="K53" s="172">
        <f t="shared" si="2"/>
        <v>448.901348117634</v>
      </c>
      <c r="L53" s="172">
        <f t="shared" si="3"/>
        <v>0</v>
      </c>
      <c r="M53" s="192"/>
      <c r="N53" s="193"/>
      <c r="O53" s="198"/>
      <c r="P53" s="181">
        <v>13.576</v>
      </c>
    </row>
    <row r="54" s="162" customFormat="1" ht="31.5" outlineLevel="1" spans="1:16">
      <c r="A54" s="178">
        <v>8</v>
      </c>
      <c r="B54" s="177" t="s">
        <v>83</v>
      </c>
      <c r="C54" s="177" t="s">
        <v>120</v>
      </c>
      <c r="D54" s="178" t="s">
        <v>78</v>
      </c>
      <c r="E54" s="181"/>
      <c r="F54" s="179">
        <v>50</v>
      </c>
      <c r="G54" s="180">
        <v>65</v>
      </c>
      <c r="H54" s="179">
        <v>15</v>
      </c>
      <c r="I54" s="195">
        <f t="shared" si="0"/>
        <v>5.54099467028796</v>
      </c>
      <c r="J54" s="196">
        <f t="shared" si="1"/>
        <v>12.1986895203259</v>
      </c>
      <c r="K54" s="172">
        <f t="shared" si="2"/>
        <v>147.739684190614</v>
      </c>
      <c r="L54" s="172">
        <f t="shared" si="3"/>
        <v>0</v>
      </c>
      <c r="M54" s="192"/>
      <c r="N54" s="193"/>
      <c r="O54" s="198"/>
      <c r="P54" s="181">
        <v>3.859</v>
      </c>
    </row>
    <row r="55" s="162" customFormat="1" ht="42" outlineLevel="1" spans="1:16">
      <c r="A55" s="178">
        <v>9</v>
      </c>
      <c r="B55" s="177" t="s">
        <v>121</v>
      </c>
      <c r="C55" s="177" t="s">
        <v>122</v>
      </c>
      <c r="D55" s="178" t="s">
        <v>89</v>
      </c>
      <c r="E55" s="181"/>
      <c r="F55" s="179">
        <v>20</v>
      </c>
      <c r="G55" s="180">
        <v>105</v>
      </c>
      <c r="H55" s="179">
        <v>3</v>
      </c>
      <c r="I55" s="195">
        <f t="shared" si="0"/>
        <v>5.45574859843738</v>
      </c>
      <c r="J55" s="196">
        <f t="shared" si="1"/>
        <v>12.0110173738594</v>
      </c>
      <c r="K55" s="172">
        <f t="shared" si="2"/>
        <v>145.466765972297</v>
      </c>
      <c r="L55" s="172">
        <f t="shared" si="3"/>
        <v>0</v>
      </c>
      <c r="M55" s="192"/>
      <c r="N55" s="193"/>
      <c r="O55" s="198"/>
      <c r="P55" s="181">
        <v>41.4</v>
      </c>
    </row>
    <row r="56" s="162" customFormat="1" ht="31.5" outlineLevel="1" spans="1:16">
      <c r="A56" s="178">
        <v>10</v>
      </c>
      <c r="B56" s="177" t="s">
        <v>121</v>
      </c>
      <c r="C56" s="177" t="s">
        <v>123</v>
      </c>
      <c r="D56" s="178" t="s">
        <v>78</v>
      </c>
      <c r="E56" s="181"/>
      <c r="F56" s="179">
        <v>65</v>
      </c>
      <c r="G56" s="180">
        <v>150</v>
      </c>
      <c r="H56" s="179">
        <v>15</v>
      </c>
      <c r="I56" s="195">
        <f t="shared" si="0"/>
        <v>9.80329826281716</v>
      </c>
      <c r="J56" s="196">
        <f t="shared" si="1"/>
        <v>21.5822968436535</v>
      </c>
      <c r="K56" s="172">
        <f t="shared" si="2"/>
        <v>261.385595106471</v>
      </c>
      <c r="L56" s="172">
        <f t="shared" si="3"/>
        <v>0</v>
      </c>
      <c r="M56" s="192"/>
      <c r="N56" s="193"/>
      <c r="O56" s="198"/>
      <c r="P56" s="181">
        <v>9.108</v>
      </c>
    </row>
    <row r="57" s="162" customFormat="1" ht="31.5" outlineLevel="1" spans="1:16">
      <c r="A57" s="178">
        <v>11</v>
      </c>
      <c r="B57" s="177" t="s">
        <v>124</v>
      </c>
      <c r="C57" s="177" t="s">
        <v>125</v>
      </c>
      <c r="D57" s="178" t="s">
        <v>78</v>
      </c>
      <c r="E57" s="181"/>
      <c r="F57" s="179">
        <v>65</v>
      </c>
      <c r="G57" s="180">
        <v>150</v>
      </c>
      <c r="H57" s="179">
        <v>15</v>
      </c>
      <c r="I57" s="195">
        <f t="shared" si="0"/>
        <v>9.80329826281716</v>
      </c>
      <c r="J57" s="196">
        <f t="shared" si="1"/>
        <v>21.5822968436535</v>
      </c>
      <c r="K57" s="172">
        <f t="shared" si="2"/>
        <v>261.385595106471</v>
      </c>
      <c r="L57" s="172">
        <f t="shared" si="3"/>
        <v>0</v>
      </c>
      <c r="M57" s="192"/>
      <c r="N57" s="193"/>
      <c r="O57" s="198"/>
      <c r="P57" s="181">
        <v>2.898</v>
      </c>
    </row>
    <row r="58" s="162" customFormat="1" ht="11.25" spans="1:16">
      <c r="A58" s="175" t="s">
        <v>126</v>
      </c>
      <c r="B58" s="176" t="s">
        <v>127</v>
      </c>
      <c r="C58" s="177"/>
      <c r="D58" s="178"/>
      <c r="E58" s="183"/>
      <c r="F58" s="182"/>
      <c r="G58" s="180"/>
      <c r="H58" s="179"/>
      <c r="I58" s="195">
        <f t="shared" si="0"/>
        <v>0</v>
      </c>
      <c r="J58" s="196"/>
      <c r="K58" s="172"/>
      <c r="L58" s="172"/>
      <c r="M58" s="192"/>
      <c r="N58" s="193"/>
      <c r="O58" s="198"/>
      <c r="P58" s="183"/>
    </row>
    <row r="59" s="162" customFormat="1" ht="52.5" outlineLevel="1" spans="1:16">
      <c r="A59" s="178">
        <v>1</v>
      </c>
      <c r="B59" s="177" t="s">
        <v>73</v>
      </c>
      <c r="C59" s="177" t="s">
        <v>74</v>
      </c>
      <c r="D59" s="178" t="s">
        <v>75</v>
      </c>
      <c r="E59" s="181"/>
      <c r="F59" s="182"/>
      <c r="G59" s="180"/>
      <c r="H59" s="179">
        <v>8.5</v>
      </c>
      <c r="I59" s="195">
        <f t="shared" si="0"/>
        <v>0.362295805364982</v>
      </c>
      <c r="J59" s="196">
        <f t="shared" si="1"/>
        <v>0.797606622482848</v>
      </c>
      <c r="K59" s="172">
        <f t="shared" si="2"/>
        <v>9.65990242784783</v>
      </c>
      <c r="L59" s="172">
        <f t="shared" si="3"/>
        <v>0</v>
      </c>
      <c r="M59" s="192"/>
      <c r="N59" s="193"/>
      <c r="O59" s="198"/>
      <c r="P59" s="181">
        <f>P61+P62</f>
        <v>18.8024</v>
      </c>
    </row>
    <row r="60" s="162" customFormat="1" ht="21" outlineLevel="1" spans="1:16">
      <c r="A60" s="178">
        <v>2</v>
      </c>
      <c r="B60" s="177" t="s">
        <v>76</v>
      </c>
      <c r="C60" s="177" t="s">
        <v>77</v>
      </c>
      <c r="D60" s="178" t="s">
        <v>78</v>
      </c>
      <c r="E60" s="181"/>
      <c r="F60" s="179">
        <v>0.5</v>
      </c>
      <c r="G60" s="180"/>
      <c r="H60" s="179">
        <v>2.5</v>
      </c>
      <c r="I60" s="195">
        <f t="shared" si="0"/>
        <v>0.127869107775876</v>
      </c>
      <c r="J60" s="196">
        <f t="shared" si="1"/>
        <v>0.281508219699829</v>
      </c>
      <c r="K60" s="172">
        <f t="shared" si="2"/>
        <v>3.4093773274757</v>
      </c>
      <c r="L60" s="172">
        <f t="shared" si="3"/>
        <v>0</v>
      </c>
      <c r="M60" s="192"/>
      <c r="N60" s="193"/>
      <c r="O60" s="198"/>
      <c r="P60" s="181">
        <v>94.012</v>
      </c>
    </row>
    <row r="61" s="162" customFormat="1" ht="21" outlineLevel="1" spans="1:16">
      <c r="A61" s="178">
        <v>3</v>
      </c>
      <c r="B61" s="177" t="s">
        <v>79</v>
      </c>
      <c r="C61" s="177" t="s">
        <v>96</v>
      </c>
      <c r="D61" s="178" t="s">
        <v>75</v>
      </c>
      <c r="E61" s="181"/>
      <c r="F61" s="179">
        <v>10</v>
      </c>
      <c r="G61" s="180">
        <v>95</v>
      </c>
      <c r="H61" s="179">
        <v>15</v>
      </c>
      <c r="I61" s="195">
        <f t="shared" si="0"/>
        <v>5.11476431103504</v>
      </c>
      <c r="J61" s="196">
        <f t="shared" si="1"/>
        <v>11.2603287879932</v>
      </c>
      <c r="K61" s="172">
        <f t="shared" si="2"/>
        <v>136.375093099028</v>
      </c>
      <c r="L61" s="172">
        <f t="shared" si="3"/>
        <v>0</v>
      </c>
      <c r="M61" s="192"/>
      <c r="N61" s="193"/>
      <c r="O61" s="198"/>
      <c r="P61" s="181">
        <v>9.4012</v>
      </c>
    </row>
    <row r="62" s="162" customFormat="1" ht="42" outlineLevel="1" spans="1:16">
      <c r="A62" s="178">
        <v>4</v>
      </c>
      <c r="B62" s="177" t="s">
        <v>81</v>
      </c>
      <c r="C62" s="177" t="s">
        <v>97</v>
      </c>
      <c r="D62" s="178" t="s">
        <v>75</v>
      </c>
      <c r="E62" s="181"/>
      <c r="F62" s="179">
        <v>55</v>
      </c>
      <c r="G62" s="180">
        <v>445</v>
      </c>
      <c r="H62" s="179">
        <v>15</v>
      </c>
      <c r="I62" s="195">
        <f t="shared" si="0"/>
        <v>21.9508635015254</v>
      </c>
      <c r="J62" s="196">
        <f t="shared" si="1"/>
        <v>48.3255777151373</v>
      </c>
      <c r="K62" s="172">
        <f t="shared" si="2"/>
        <v>585.276441216663</v>
      </c>
      <c r="L62" s="172">
        <f t="shared" si="3"/>
        <v>0</v>
      </c>
      <c r="M62" s="192"/>
      <c r="N62" s="193"/>
      <c r="O62" s="198"/>
      <c r="P62" s="181">
        <v>9.4012</v>
      </c>
    </row>
    <row r="63" s="162" customFormat="1" ht="31.5" outlineLevel="1" spans="1:16">
      <c r="A63" s="178">
        <v>5</v>
      </c>
      <c r="B63" s="177" t="s">
        <v>118</v>
      </c>
      <c r="C63" s="177" t="s">
        <v>119</v>
      </c>
      <c r="D63" s="178" t="s">
        <v>78</v>
      </c>
      <c r="E63" s="181"/>
      <c r="F63" s="179">
        <v>160</v>
      </c>
      <c r="G63" s="179">
        <v>220</v>
      </c>
      <c r="H63" s="179">
        <v>15</v>
      </c>
      <c r="I63" s="195">
        <f t="shared" si="0"/>
        <v>16.8360991904903</v>
      </c>
      <c r="J63" s="196">
        <f t="shared" si="1"/>
        <v>37.0652489271441</v>
      </c>
      <c r="K63" s="172">
        <f t="shared" si="2"/>
        <v>448.901348117634</v>
      </c>
      <c r="L63" s="172">
        <f t="shared" si="3"/>
        <v>0</v>
      </c>
      <c r="M63" s="192"/>
      <c r="N63" s="193"/>
      <c r="O63" s="198"/>
      <c r="P63" s="181">
        <v>71.968</v>
      </c>
    </row>
    <row r="64" s="162" customFormat="1" ht="31.5" outlineLevel="1" spans="1:16">
      <c r="A64" s="178">
        <v>6</v>
      </c>
      <c r="B64" s="177" t="s">
        <v>83</v>
      </c>
      <c r="C64" s="177" t="s">
        <v>120</v>
      </c>
      <c r="D64" s="178" t="s">
        <v>78</v>
      </c>
      <c r="E64" s="181"/>
      <c r="F64" s="179">
        <v>50</v>
      </c>
      <c r="G64" s="180">
        <v>65</v>
      </c>
      <c r="H64" s="179">
        <v>15</v>
      </c>
      <c r="I64" s="195">
        <f t="shared" si="0"/>
        <v>5.54099467028796</v>
      </c>
      <c r="J64" s="196">
        <f t="shared" si="1"/>
        <v>12.1986895203259</v>
      </c>
      <c r="K64" s="172">
        <f t="shared" si="2"/>
        <v>147.739684190614</v>
      </c>
      <c r="L64" s="172">
        <f t="shared" si="3"/>
        <v>0</v>
      </c>
      <c r="M64" s="192"/>
      <c r="N64" s="193"/>
      <c r="O64" s="198"/>
      <c r="P64" s="181">
        <v>20.245</v>
      </c>
    </row>
    <row r="65" s="162" customFormat="1" ht="31.5" outlineLevel="1" spans="1:16">
      <c r="A65" s="178">
        <v>7</v>
      </c>
      <c r="B65" s="177" t="s">
        <v>128</v>
      </c>
      <c r="C65" s="177" t="s">
        <v>129</v>
      </c>
      <c r="D65" s="178" t="s">
        <v>78</v>
      </c>
      <c r="E65" s="181"/>
      <c r="F65" s="179">
        <v>50</v>
      </c>
      <c r="G65" s="180">
        <v>65</v>
      </c>
      <c r="H65" s="179">
        <v>15</v>
      </c>
      <c r="I65" s="195">
        <f t="shared" si="0"/>
        <v>5.54099467028796</v>
      </c>
      <c r="J65" s="196">
        <f t="shared" si="1"/>
        <v>12.1986895203259</v>
      </c>
      <c r="K65" s="172">
        <f t="shared" si="2"/>
        <v>147.739684190614</v>
      </c>
      <c r="L65" s="172">
        <f t="shared" si="3"/>
        <v>0</v>
      </c>
      <c r="M65" s="192"/>
      <c r="N65" s="193"/>
      <c r="O65" s="198"/>
      <c r="P65" s="181">
        <v>1.76</v>
      </c>
    </row>
    <row r="66" s="162" customFormat="1" ht="11.25" spans="1:16">
      <c r="A66" s="175" t="s">
        <v>130</v>
      </c>
      <c r="B66" s="176" t="s">
        <v>131</v>
      </c>
      <c r="C66" s="177"/>
      <c r="D66" s="178"/>
      <c r="E66" s="183"/>
      <c r="F66" s="182"/>
      <c r="G66" s="180"/>
      <c r="H66" s="179"/>
      <c r="I66" s="195">
        <f t="shared" si="0"/>
        <v>0</v>
      </c>
      <c r="J66" s="196"/>
      <c r="K66" s="172"/>
      <c r="L66" s="172"/>
      <c r="M66" s="192"/>
      <c r="N66" s="193"/>
      <c r="O66" s="198"/>
      <c r="P66" s="183"/>
    </row>
    <row r="67" s="162" customFormat="1" ht="52.5" outlineLevel="1" spans="1:16">
      <c r="A67" s="178">
        <v>1</v>
      </c>
      <c r="B67" s="177" t="s">
        <v>73</v>
      </c>
      <c r="C67" s="177" t="s">
        <v>74</v>
      </c>
      <c r="D67" s="178" t="s">
        <v>75</v>
      </c>
      <c r="E67" s="181"/>
      <c r="F67" s="182"/>
      <c r="G67" s="180"/>
      <c r="H67" s="179">
        <v>8.5</v>
      </c>
      <c r="I67" s="195">
        <f t="shared" si="0"/>
        <v>0.362295805364982</v>
      </c>
      <c r="J67" s="196">
        <f t="shared" si="1"/>
        <v>0.797606622482848</v>
      </c>
      <c r="K67" s="172">
        <f t="shared" si="2"/>
        <v>9.65990242784783</v>
      </c>
      <c r="L67" s="172">
        <f t="shared" si="3"/>
        <v>0</v>
      </c>
      <c r="M67" s="192"/>
      <c r="N67" s="193"/>
      <c r="O67" s="198"/>
      <c r="P67" s="181">
        <f>P69+P70</f>
        <v>62.36284</v>
      </c>
    </row>
    <row r="68" s="162" customFormat="1" ht="21" outlineLevel="1" spans="1:16">
      <c r="A68" s="178">
        <v>2</v>
      </c>
      <c r="B68" s="177" t="s">
        <v>76</v>
      </c>
      <c r="C68" s="177" t="s">
        <v>77</v>
      </c>
      <c r="D68" s="178" t="s">
        <v>78</v>
      </c>
      <c r="E68" s="181"/>
      <c r="F68" s="179">
        <v>0.5</v>
      </c>
      <c r="G68" s="180"/>
      <c r="H68" s="179">
        <v>2.5</v>
      </c>
      <c r="I68" s="195">
        <f t="shared" si="0"/>
        <v>0.127869107775876</v>
      </c>
      <c r="J68" s="196">
        <f t="shared" si="1"/>
        <v>0.281508219699829</v>
      </c>
      <c r="K68" s="172">
        <f t="shared" si="2"/>
        <v>3.4093773274757</v>
      </c>
      <c r="L68" s="172">
        <f t="shared" si="3"/>
        <v>0</v>
      </c>
      <c r="M68" s="192"/>
      <c r="N68" s="193"/>
      <c r="O68" s="198"/>
      <c r="P68" s="181">
        <v>155.9071</v>
      </c>
    </row>
    <row r="69" s="162" customFormat="1" ht="21" outlineLevel="1" spans="1:16">
      <c r="A69" s="178">
        <v>3</v>
      </c>
      <c r="B69" s="177" t="s">
        <v>79</v>
      </c>
      <c r="C69" s="177" t="s">
        <v>132</v>
      </c>
      <c r="D69" s="178" t="s">
        <v>75</v>
      </c>
      <c r="E69" s="181"/>
      <c r="F69" s="179">
        <v>10</v>
      </c>
      <c r="G69" s="180">
        <v>95</v>
      </c>
      <c r="H69" s="179">
        <v>15</v>
      </c>
      <c r="I69" s="195">
        <f t="shared" ref="I69:I132" si="4">((F69+G69+H69)*0.06)*0.7103839320882</f>
        <v>5.11476431103504</v>
      </c>
      <c r="J69" s="196">
        <f t="shared" si="1"/>
        <v>11.2603287879932</v>
      </c>
      <c r="K69" s="172">
        <f t="shared" si="2"/>
        <v>136.375093099028</v>
      </c>
      <c r="L69" s="172">
        <f t="shared" si="3"/>
        <v>0</v>
      </c>
      <c r="M69" s="192"/>
      <c r="N69" s="193"/>
      <c r="O69" s="198"/>
      <c r="P69" s="181">
        <v>31.18142</v>
      </c>
    </row>
    <row r="70" s="162" customFormat="1" ht="42" outlineLevel="1" spans="1:16">
      <c r="A70" s="178">
        <v>4</v>
      </c>
      <c r="B70" s="177" t="s">
        <v>81</v>
      </c>
      <c r="C70" s="177" t="s">
        <v>82</v>
      </c>
      <c r="D70" s="178" t="s">
        <v>75</v>
      </c>
      <c r="E70" s="181"/>
      <c r="F70" s="179">
        <v>55</v>
      </c>
      <c r="G70" s="180">
        <v>445</v>
      </c>
      <c r="H70" s="179">
        <v>15</v>
      </c>
      <c r="I70" s="195">
        <f t="shared" si="4"/>
        <v>21.9508635015254</v>
      </c>
      <c r="J70" s="196">
        <f t="shared" ref="J70:J133" si="5">(F70+G70+H70+I70)*0.09</f>
        <v>48.3255777151373</v>
      </c>
      <c r="K70" s="172">
        <f t="shared" ref="K70:K133" si="6">F70+G70+H70+I70+J70</f>
        <v>585.276441216663</v>
      </c>
      <c r="L70" s="172">
        <f t="shared" ref="L70:L133" si="7">K70*E70</f>
        <v>0</v>
      </c>
      <c r="M70" s="192"/>
      <c r="N70" s="193"/>
      <c r="O70" s="198"/>
      <c r="P70" s="181">
        <v>31.18142</v>
      </c>
    </row>
    <row r="71" s="162" customFormat="1" ht="31.5" outlineLevel="1" spans="1:16">
      <c r="A71" s="178">
        <v>5</v>
      </c>
      <c r="B71" s="177" t="s">
        <v>118</v>
      </c>
      <c r="C71" s="177" t="s">
        <v>119</v>
      </c>
      <c r="D71" s="178" t="s">
        <v>78</v>
      </c>
      <c r="E71" s="181"/>
      <c r="F71" s="179">
        <v>160</v>
      </c>
      <c r="G71" s="179">
        <v>220</v>
      </c>
      <c r="H71" s="179">
        <v>15</v>
      </c>
      <c r="I71" s="195">
        <f t="shared" si="4"/>
        <v>16.8360991904903</v>
      </c>
      <c r="J71" s="196">
        <f t="shared" si="5"/>
        <v>37.0652489271441</v>
      </c>
      <c r="K71" s="172">
        <f t="shared" si="6"/>
        <v>448.901348117634</v>
      </c>
      <c r="L71" s="172">
        <f t="shared" si="7"/>
        <v>0</v>
      </c>
      <c r="M71" s="192"/>
      <c r="N71" s="193"/>
      <c r="O71" s="198"/>
      <c r="P71" s="181">
        <v>43.674</v>
      </c>
    </row>
    <row r="72" s="162" customFormat="1" ht="31.5" outlineLevel="1" spans="1:16">
      <c r="A72" s="178">
        <v>6</v>
      </c>
      <c r="B72" s="177" t="s">
        <v>83</v>
      </c>
      <c r="C72" s="177" t="s">
        <v>133</v>
      </c>
      <c r="D72" s="178" t="s">
        <v>78</v>
      </c>
      <c r="E72" s="181"/>
      <c r="F72" s="179">
        <v>50</v>
      </c>
      <c r="G72" s="180">
        <v>65</v>
      </c>
      <c r="H72" s="179">
        <v>15</v>
      </c>
      <c r="I72" s="195">
        <f t="shared" si="4"/>
        <v>5.54099467028796</v>
      </c>
      <c r="J72" s="196">
        <f t="shared" si="5"/>
        <v>12.1986895203259</v>
      </c>
      <c r="K72" s="172">
        <f t="shared" si="6"/>
        <v>147.739684190614</v>
      </c>
      <c r="L72" s="172">
        <f t="shared" si="7"/>
        <v>0</v>
      </c>
      <c r="M72" s="192"/>
      <c r="N72" s="193"/>
      <c r="O72" s="198"/>
      <c r="P72" s="181">
        <v>13.075</v>
      </c>
    </row>
    <row r="73" s="162" customFormat="1" ht="31.5" outlineLevel="1" spans="1:16">
      <c r="A73" s="178">
        <v>7</v>
      </c>
      <c r="B73" s="177" t="s">
        <v>134</v>
      </c>
      <c r="C73" s="177" t="s">
        <v>135</v>
      </c>
      <c r="D73" s="178" t="s">
        <v>78</v>
      </c>
      <c r="E73" s="179"/>
      <c r="F73" s="179">
        <v>45</v>
      </c>
      <c r="G73" s="179">
        <v>55</v>
      </c>
      <c r="H73" s="179">
        <v>15</v>
      </c>
      <c r="I73" s="195">
        <f t="shared" si="4"/>
        <v>4.90164913140858</v>
      </c>
      <c r="J73" s="196">
        <f t="shared" si="5"/>
        <v>10.7911484218268</v>
      </c>
      <c r="K73" s="172">
        <f t="shared" si="6"/>
        <v>130.692797553235</v>
      </c>
      <c r="L73" s="172">
        <f t="shared" si="7"/>
        <v>0</v>
      </c>
      <c r="M73" s="192"/>
      <c r="N73" s="193"/>
      <c r="O73" s="198"/>
      <c r="P73" s="179">
        <v>86.169</v>
      </c>
    </row>
    <row r="74" s="162" customFormat="1" ht="42" outlineLevel="1" spans="1:16">
      <c r="A74" s="178">
        <v>8</v>
      </c>
      <c r="B74" s="177" t="s">
        <v>136</v>
      </c>
      <c r="C74" s="177" t="s">
        <v>137</v>
      </c>
      <c r="D74" s="178" t="s">
        <v>78</v>
      </c>
      <c r="E74" s="181"/>
      <c r="F74" s="179">
        <v>55</v>
      </c>
      <c r="G74" s="180">
        <v>135</v>
      </c>
      <c r="H74" s="179">
        <v>15</v>
      </c>
      <c r="I74" s="195">
        <f t="shared" si="4"/>
        <v>8.73772236468486</v>
      </c>
      <c r="J74" s="196">
        <f t="shared" si="5"/>
        <v>19.2363950128216</v>
      </c>
      <c r="K74" s="172">
        <f t="shared" si="6"/>
        <v>232.974117377507</v>
      </c>
      <c r="L74" s="172">
        <f t="shared" si="7"/>
        <v>0</v>
      </c>
      <c r="M74" s="192"/>
      <c r="N74" s="193"/>
      <c r="O74" s="198"/>
      <c r="P74" s="181">
        <v>7.788</v>
      </c>
    </row>
    <row r="75" s="162" customFormat="1" ht="31.5" outlineLevel="1" spans="1:16">
      <c r="A75" s="178">
        <v>9</v>
      </c>
      <c r="B75" s="177" t="s">
        <v>138</v>
      </c>
      <c r="C75" s="177" t="s">
        <v>139</v>
      </c>
      <c r="D75" s="178" t="s">
        <v>140</v>
      </c>
      <c r="E75" s="181"/>
      <c r="F75" s="179">
        <v>1000</v>
      </c>
      <c r="G75" s="179">
        <v>4600</v>
      </c>
      <c r="H75" s="179">
        <v>200</v>
      </c>
      <c r="I75" s="195">
        <f t="shared" si="4"/>
        <v>247.213608366694</v>
      </c>
      <c r="J75" s="196">
        <f t="shared" si="5"/>
        <v>544.249224753002</v>
      </c>
      <c r="K75" s="172">
        <f t="shared" si="6"/>
        <v>6591.4628331197</v>
      </c>
      <c r="L75" s="172">
        <f t="shared" si="7"/>
        <v>0</v>
      </c>
      <c r="M75" s="192"/>
      <c r="N75" s="193"/>
      <c r="O75" s="198"/>
      <c r="P75" s="181">
        <v>0.266544</v>
      </c>
    </row>
    <row r="76" s="162" customFormat="1" ht="11.25" spans="1:16">
      <c r="A76" s="175" t="s">
        <v>141</v>
      </c>
      <c r="B76" s="176" t="s">
        <v>142</v>
      </c>
      <c r="C76" s="177"/>
      <c r="D76" s="178"/>
      <c r="E76" s="181"/>
      <c r="F76" s="182"/>
      <c r="G76" s="180"/>
      <c r="H76" s="179"/>
      <c r="I76" s="195">
        <f t="shared" si="4"/>
        <v>0</v>
      </c>
      <c r="J76" s="196"/>
      <c r="K76" s="172"/>
      <c r="L76" s="172"/>
      <c r="M76" s="192"/>
      <c r="N76" s="193"/>
      <c r="O76" s="198"/>
      <c r="P76" s="181"/>
    </row>
    <row r="77" s="162" customFormat="1" ht="52.5" outlineLevel="1" spans="1:16">
      <c r="A77" s="178">
        <v>1</v>
      </c>
      <c r="B77" s="177" t="s">
        <v>73</v>
      </c>
      <c r="C77" s="177" t="s">
        <v>74</v>
      </c>
      <c r="D77" s="178" t="s">
        <v>75</v>
      </c>
      <c r="E77" s="181"/>
      <c r="F77" s="182"/>
      <c r="G77" s="180"/>
      <c r="H77" s="179">
        <v>8.5</v>
      </c>
      <c r="I77" s="195">
        <f t="shared" si="4"/>
        <v>0.362295805364982</v>
      </c>
      <c r="J77" s="196">
        <f t="shared" si="5"/>
        <v>0.797606622482848</v>
      </c>
      <c r="K77" s="172">
        <f t="shared" si="6"/>
        <v>9.65990242784783</v>
      </c>
      <c r="L77" s="172">
        <f t="shared" si="7"/>
        <v>0</v>
      </c>
      <c r="M77" s="192"/>
      <c r="N77" s="193"/>
      <c r="O77" s="198"/>
      <c r="P77" s="181">
        <f>P79+P80</f>
        <v>520</v>
      </c>
    </row>
    <row r="78" s="162" customFormat="1" ht="21" outlineLevel="1" spans="1:16">
      <c r="A78" s="178">
        <v>2</v>
      </c>
      <c r="B78" s="177" t="s">
        <v>76</v>
      </c>
      <c r="C78" s="177" t="s">
        <v>77</v>
      </c>
      <c r="D78" s="178" t="s">
        <v>78</v>
      </c>
      <c r="E78" s="181"/>
      <c r="F78" s="179">
        <v>0.5</v>
      </c>
      <c r="G78" s="180"/>
      <c r="H78" s="179">
        <v>2.5</v>
      </c>
      <c r="I78" s="195">
        <f t="shared" si="4"/>
        <v>0.127869107775876</v>
      </c>
      <c r="J78" s="196">
        <f t="shared" si="5"/>
        <v>0.281508219699829</v>
      </c>
      <c r="K78" s="172">
        <f t="shared" si="6"/>
        <v>3.4093773274757</v>
      </c>
      <c r="L78" s="172">
        <f t="shared" si="7"/>
        <v>0</v>
      </c>
      <c r="M78" s="192"/>
      <c r="N78" s="193"/>
      <c r="O78" s="198"/>
      <c r="P78" s="181">
        <v>1300</v>
      </c>
    </row>
    <row r="79" s="162" customFormat="1" ht="21" outlineLevel="1" spans="1:16">
      <c r="A79" s="178">
        <v>3</v>
      </c>
      <c r="B79" s="177" t="s">
        <v>79</v>
      </c>
      <c r="C79" s="177" t="s">
        <v>132</v>
      </c>
      <c r="D79" s="178" t="s">
        <v>75</v>
      </c>
      <c r="E79" s="181"/>
      <c r="F79" s="179">
        <v>10</v>
      </c>
      <c r="G79" s="180">
        <v>95</v>
      </c>
      <c r="H79" s="179">
        <v>15</v>
      </c>
      <c r="I79" s="195">
        <f t="shared" si="4"/>
        <v>5.11476431103504</v>
      </c>
      <c r="J79" s="196">
        <f t="shared" si="5"/>
        <v>11.2603287879932</v>
      </c>
      <c r="K79" s="172">
        <f t="shared" si="6"/>
        <v>136.375093099028</v>
      </c>
      <c r="L79" s="172">
        <f t="shared" si="7"/>
        <v>0</v>
      </c>
      <c r="M79" s="192"/>
      <c r="N79" s="193"/>
      <c r="O79" s="198"/>
      <c r="P79" s="181">
        <v>260</v>
      </c>
    </row>
    <row r="80" s="162" customFormat="1" ht="42" outlineLevel="1" spans="1:16">
      <c r="A80" s="178">
        <v>4</v>
      </c>
      <c r="B80" s="177" t="s">
        <v>81</v>
      </c>
      <c r="C80" s="177" t="s">
        <v>82</v>
      </c>
      <c r="D80" s="178" t="s">
        <v>75</v>
      </c>
      <c r="E80" s="181"/>
      <c r="F80" s="179">
        <v>55</v>
      </c>
      <c r="G80" s="180">
        <v>445</v>
      </c>
      <c r="H80" s="179">
        <v>15</v>
      </c>
      <c r="I80" s="195">
        <f t="shared" si="4"/>
        <v>21.9508635015254</v>
      </c>
      <c r="J80" s="196">
        <f t="shared" si="5"/>
        <v>48.3255777151373</v>
      </c>
      <c r="K80" s="172">
        <f t="shared" si="6"/>
        <v>585.276441216663</v>
      </c>
      <c r="L80" s="172">
        <f t="shared" si="7"/>
        <v>0</v>
      </c>
      <c r="M80" s="192"/>
      <c r="N80" s="193"/>
      <c r="O80" s="198"/>
      <c r="P80" s="181">
        <v>260</v>
      </c>
    </row>
    <row r="81" s="162" customFormat="1" ht="21" outlineLevel="1" spans="1:16">
      <c r="A81" s="178">
        <v>5</v>
      </c>
      <c r="B81" s="177" t="s">
        <v>143</v>
      </c>
      <c r="C81" s="177" t="s">
        <v>144</v>
      </c>
      <c r="D81" s="178" t="s">
        <v>78</v>
      </c>
      <c r="E81" s="181"/>
      <c r="F81" s="179">
        <v>15</v>
      </c>
      <c r="G81" s="180">
        <v>95</v>
      </c>
      <c r="H81" s="179">
        <v>10</v>
      </c>
      <c r="I81" s="195">
        <f t="shared" si="4"/>
        <v>5.11476431103504</v>
      </c>
      <c r="J81" s="196">
        <f t="shared" si="5"/>
        <v>11.2603287879932</v>
      </c>
      <c r="K81" s="172">
        <f t="shared" si="6"/>
        <v>136.375093099028</v>
      </c>
      <c r="L81" s="172">
        <f t="shared" si="7"/>
        <v>0</v>
      </c>
      <c r="M81" s="192"/>
      <c r="N81" s="193"/>
      <c r="O81" s="198"/>
      <c r="P81" s="181">
        <v>610.09</v>
      </c>
    </row>
    <row r="82" s="162" customFormat="1" ht="31.5" outlineLevel="1" spans="1:16">
      <c r="A82" s="178">
        <v>6</v>
      </c>
      <c r="B82" s="177" t="s">
        <v>145</v>
      </c>
      <c r="C82" s="177" t="s">
        <v>146</v>
      </c>
      <c r="D82" s="178" t="s">
        <v>89</v>
      </c>
      <c r="E82" s="181"/>
      <c r="F82" s="179">
        <v>25</v>
      </c>
      <c r="G82" s="180">
        <v>85</v>
      </c>
      <c r="H82" s="179">
        <v>5</v>
      </c>
      <c r="I82" s="195">
        <f t="shared" si="4"/>
        <v>4.90164913140858</v>
      </c>
      <c r="J82" s="196">
        <f t="shared" si="5"/>
        <v>10.7911484218268</v>
      </c>
      <c r="K82" s="172">
        <f t="shared" si="6"/>
        <v>130.692797553235</v>
      </c>
      <c r="L82" s="172">
        <f t="shared" si="7"/>
        <v>0</v>
      </c>
      <c r="M82" s="193"/>
      <c r="N82" s="193"/>
      <c r="O82" s="198"/>
      <c r="P82" s="181">
        <v>24.455</v>
      </c>
    </row>
    <row r="83" s="162" customFormat="1" ht="31.5" outlineLevel="1" spans="1:16">
      <c r="A83" s="178">
        <v>7</v>
      </c>
      <c r="B83" s="177" t="s">
        <v>147</v>
      </c>
      <c r="C83" s="177" t="s">
        <v>148</v>
      </c>
      <c r="D83" s="178" t="s">
        <v>78</v>
      </c>
      <c r="E83" s="181"/>
      <c r="F83" s="179">
        <v>45</v>
      </c>
      <c r="G83" s="180">
        <v>55</v>
      </c>
      <c r="H83" s="179">
        <v>15</v>
      </c>
      <c r="I83" s="195">
        <f t="shared" si="4"/>
        <v>4.90164913140858</v>
      </c>
      <c r="J83" s="196">
        <f t="shared" si="5"/>
        <v>10.7911484218268</v>
      </c>
      <c r="K83" s="172">
        <f t="shared" si="6"/>
        <v>130.692797553235</v>
      </c>
      <c r="L83" s="172">
        <f t="shared" si="7"/>
        <v>0</v>
      </c>
      <c r="M83" s="193"/>
      <c r="N83" s="193"/>
      <c r="O83" s="198"/>
      <c r="P83" s="181">
        <v>516.014</v>
      </c>
    </row>
    <row r="84" s="162" customFormat="1" ht="31.5" outlineLevel="1" spans="1:16">
      <c r="A84" s="178">
        <v>8</v>
      </c>
      <c r="B84" s="177" t="s">
        <v>83</v>
      </c>
      <c r="C84" s="177" t="s">
        <v>133</v>
      </c>
      <c r="D84" s="178" t="s">
        <v>78</v>
      </c>
      <c r="E84" s="181"/>
      <c r="F84" s="179">
        <v>50</v>
      </c>
      <c r="G84" s="180">
        <v>65</v>
      </c>
      <c r="H84" s="179">
        <v>15</v>
      </c>
      <c r="I84" s="195">
        <f t="shared" si="4"/>
        <v>5.54099467028796</v>
      </c>
      <c r="J84" s="196">
        <f t="shared" si="5"/>
        <v>12.1986895203259</v>
      </c>
      <c r="K84" s="172">
        <f t="shared" si="6"/>
        <v>147.739684190614</v>
      </c>
      <c r="L84" s="172">
        <f t="shared" si="7"/>
        <v>0</v>
      </c>
      <c r="M84" s="193"/>
      <c r="N84" s="193"/>
      <c r="O84" s="198"/>
      <c r="P84" s="181">
        <v>170.22775</v>
      </c>
    </row>
    <row r="85" s="162" customFormat="1" ht="11.25" spans="1:16">
      <c r="A85" s="175" t="s">
        <v>149</v>
      </c>
      <c r="B85" s="176" t="s">
        <v>150</v>
      </c>
      <c r="C85" s="177"/>
      <c r="D85" s="178"/>
      <c r="E85" s="183"/>
      <c r="F85" s="179"/>
      <c r="G85" s="180"/>
      <c r="H85" s="179"/>
      <c r="I85" s="195">
        <f t="shared" si="4"/>
        <v>0</v>
      </c>
      <c r="J85" s="196"/>
      <c r="K85" s="172"/>
      <c r="L85" s="172"/>
      <c r="M85" s="193"/>
      <c r="N85" s="193"/>
      <c r="O85" s="198"/>
      <c r="P85" s="183"/>
    </row>
    <row r="86" s="162" customFormat="1" ht="52.5" outlineLevel="1" spans="1:16">
      <c r="A86" s="178">
        <v>1</v>
      </c>
      <c r="B86" s="177" t="s">
        <v>73</v>
      </c>
      <c r="C86" s="177" t="s">
        <v>74</v>
      </c>
      <c r="D86" s="178" t="s">
        <v>75</v>
      </c>
      <c r="E86" s="181"/>
      <c r="F86" s="179"/>
      <c r="G86" s="180"/>
      <c r="H86" s="179">
        <v>8.5</v>
      </c>
      <c r="I86" s="195">
        <f t="shared" si="4"/>
        <v>0.362295805364982</v>
      </c>
      <c r="J86" s="196">
        <f t="shared" si="5"/>
        <v>0.797606622482848</v>
      </c>
      <c r="K86" s="172">
        <f t="shared" si="6"/>
        <v>9.65990242784783</v>
      </c>
      <c r="L86" s="172">
        <f t="shared" si="7"/>
        <v>0</v>
      </c>
      <c r="M86" s="193"/>
      <c r="N86" s="193"/>
      <c r="O86" s="198"/>
      <c r="P86" s="181">
        <f>P88+P89</f>
        <v>11.8296</v>
      </c>
    </row>
    <row r="87" s="162" customFormat="1" ht="21" outlineLevel="1" spans="1:16">
      <c r="A87" s="178">
        <v>2</v>
      </c>
      <c r="B87" s="177" t="s">
        <v>76</v>
      </c>
      <c r="C87" s="177" t="s">
        <v>104</v>
      </c>
      <c r="D87" s="178" t="s">
        <v>78</v>
      </c>
      <c r="E87" s="181"/>
      <c r="F87" s="179">
        <v>0.5</v>
      </c>
      <c r="G87" s="180"/>
      <c r="H87" s="179">
        <v>2.5</v>
      </c>
      <c r="I87" s="195">
        <f t="shared" si="4"/>
        <v>0.127869107775876</v>
      </c>
      <c r="J87" s="196">
        <f t="shared" si="5"/>
        <v>0.281508219699829</v>
      </c>
      <c r="K87" s="172">
        <f t="shared" si="6"/>
        <v>3.4093773274757</v>
      </c>
      <c r="L87" s="172">
        <f t="shared" si="7"/>
        <v>0</v>
      </c>
      <c r="M87" s="193"/>
      <c r="N87" s="193"/>
      <c r="O87" s="198"/>
      <c r="P87" s="181">
        <v>59.148</v>
      </c>
    </row>
    <row r="88" s="162" customFormat="1" ht="21" outlineLevel="1" spans="1:16">
      <c r="A88" s="178">
        <v>3</v>
      </c>
      <c r="B88" s="177" t="s">
        <v>79</v>
      </c>
      <c r="C88" s="177" t="s">
        <v>96</v>
      </c>
      <c r="D88" s="178" t="s">
        <v>75</v>
      </c>
      <c r="E88" s="181"/>
      <c r="F88" s="179">
        <v>10</v>
      </c>
      <c r="G88" s="180">
        <v>95</v>
      </c>
      <c r="H88" s="179">
        <v>15</v>
      </c>
      <c r="I88" s="195">
        <f t="shared" si="4"/>
        <v>5.11476431103504</v>
      </c>
      <c r="J88" s="196">
        <f t="shared" si="5"/>
        <v>11.2603287879932</v>
      </c>
      <c r="K88" s="172">
        <f t="shared" si="6"/>
        <v>136.375093099028</v>
      </c>
      <c r="L88" s="172">
        <f t="shared" si="7"/>
        <v>0</v>
      </c>
      <c r="M88" s="193"/>
      <c r="N88" s="193"/>
      <c r="O88" s="198"/>
      <c r="P88" s="181">
        <v>5.9148</v>
      </c>
    </row>
    <row r="89" s="162" customFormat="1" ht="42" outlineLevel="1" spans="1:16">
      <c r="A89" s="178">
        <v>4</v>
      </c>
      <c r="B89" s="177" t="s">
        <v>81</v>
      </c>
      <c r="C89" s="177" t="s">
        <v>97</v>
      </c>
      <c r="D89" s="178" t="s">
        <v>75</v>
      </c>
      <c r="E89" s="181"/>
      <c r="F89" s="179">
        <v>55</v>
      </c>
      <c r="G89" s="180">
        <v>445</v>
      </c>
      <c r="H89" s="179">
        <v>15</v>
      </c>
      <c r="I89" s="195">
        <f t="shared" si="4"/>
        <v>21.9508635015254</v>
      </c>
      <c r="J89" s="196">
        <f t="shared" si="5"/>
        <v>48.3255777151373</v>
      </c>
      <c r="K89" s="172">
        <f t="shared" si="6"/>
        <v>585.276441216663</v>
      </c>
      <c r="L89" s="172">
        <f t="shared" si="7"/>
        <v>0</v>
      </c>
      <c r="M89" s="192"/>
      <c r="N89" s="193"/>
      <c r="O89" s="198"/>
      <c r="P89" s="181">
        <v>5.9148</v>
      </c>
    </row>
    <row r="90" s="162" customFormat="1" ht="31.5" outlineLevel="1" spans="1:16">
      <c r="A90" s="178">
        <v>5</v>
      </c>
      <c r="B90" s="177" t="s">
        <v>118</v>
      </c>
      <c r="C90" s="177" t="s">
        <v>119</v>
      </c>
      <c r="D90" s="178" t="s">
        <v>78</v>
      </c>
      <c r="E90" s="181"/>
      <c r="F90" s="179">
        <v>160</v>
      </c>
      <c r="G90" s="179">
        <v>220</v>
      </c>
      <c r="H90" s="179">
        <v>15</v>
      </c>
      <c r="I90" s="195">
        <f t="shared" si="4"/>
        <v>16.8360991904903</v>
      </c>
      <c r="J90" s="196">
        <f t="shared" si="5"/>
        <v>37.0652489271441</v>
      </c>
      <c r="K90" s="172">
        <f t="shared" si="6"/>
        <v>448.901348117634</v>
      </c>
      <c r="L90" s="172">
        <f t="shared" si="7"/>
        <v>0</v>
      </c>
      <c r="M90" s="192"/>
      <c r="N90" s="193"/>
      <c r="O90" s="198"/>
      <c r="P90" s="181">
        <v>45.3</v>
      </c>
    </row>
    <row r="91" s="162" customFormat="1" ht="31.5" outlineLevel="1" spans="1:16">
      <c r="A91" s="178">
        <v>6</v>
      </c>
      <c r="B91" s="177" t="s">
        <v>83</v>
      </c>
      <c r="C91" s="177" t="s">
        <v>120</v>
      </c>
      <c r="D91" s="178" t="s">
        <v>78</v>
      </c>
      <c r="E91" s="181"/>
      <c r="F91" s="179">
        <v>50</v>
      </c>
      <c r="G91" s="180">
        <v>65</v>
      </c>
      <c r="H91" s="179">
        <v>15</v>
      </c>
      <c r="I91" s="195">
        <f t="shared" si="4"/>
        <v>5.54099467028796</v>
      </c>
      <c r="J91" s="196">
        <f t="shared" si="5"/>
        <v>12.1986895203259</v>
      </c>
      <c r="K91" s="172">
        <f t="shared" si="6"/>
        <v>147.739684190614</v>
      </c>
      <c r="L91" s="172">
        <f t="shared" si="7"/>
        <v>0</v>
      </c>
      <c r="M91" s="192"/>
      <c r="N91" s="193"/>
      <c r="O91" s="198"/>
      <c r="P91" s="181">
        <v>13.848</v>
      </c>
    </row>
    <row r="92" s="162" customFormat="1" ht="11.25" spans="1:16">
      <c r="A92" s="175" t="s">
        <v>151</v>
      </c>
      <c r="B92" s="176" t="s">
        <v>152</v>
      </c>
      <c r="C92" s="177"/>
      <c r="D92" s="178"/>
      <c r="E92" s="183"/>
      <c r="F92" s="199"/>
      <c r="G92" s="192"/>
      <c r="H92" s="179"/>
      <c r="I92" s="195">
        <f t="shared" si="4"/>
        <v>0</v>
      </c>
      <c r="J92" s="196"/>
      <c r="K92" s="172"/>
      <c r="L92" s="172"/>
      <c r="M92" s="193"/>
      <c r="N92" s="193"/>
      <c r="O92" s="198"/>
      <c r="P92" s="183"/>
    </row>
    <row r="93" s="162" customFormat="1" ht="52.5" outlineLevel="1" spans="1:16">
      <c r="A93" s="178">
        <v>1</v>
      </c>
      <c r="B93" s="177" t="s">
        <v>73</v>
      </c>
      <c r="C93" s="177" t="s">
        <v>74</v>
      </c>
      <c r="D93" s="178" t="s">
        <v>75</v>
      </c>
      <c r="E93" s="181"/>
      <c r="F93" s="199"/>
      <c r="G93" s="192"/>
      <c r="H93" s="179">
        <v>8.5</v>
      </c>
      <c r="I93" s="195">
        <f t="shared" si="4"/>
        <v>0.362295805364982</v>
      </c>
      <c r="J93" s="196">
        <f t="shared" si="5"/>
        <v>0.797606622482848</v>
      </c>
      <c r="K93" s="172">
        <f t="shared" si="6"/>
        <v>9.65990242784783</v>
      </c>
      <c r="L93" s="172">
        <f t="shared" si="7"/>
        <v>0</v>
      </c>
      <c r="M93" s="193"/>
      <c r="N93" s="193"/>
      <c r="O93" s="198"/>
      <c r="P93" s="181">
        <f>P95+P96</f>
        <v>21.8898</v>
      </c>
    </row>
    <row r="94" s="162" customFormat="1" ht="21" outlineLevel="1" spans="1:16">
      <c r="A94" s="178">
        <v>2</v>
      </c>
      <c r="B94" s="177" t="s">
        <v>76</v>
      </c>
      <c r="C94" s="177" t="s">
        <v>77</v>
      </c>
      <c r="D94" s="178" t="s">
        <v>78</v>
      </c>
      <c r="E94" s="181"/>
      <c r="F94" s="179">
        <v>0.5</v>
      </c>
      <c r="G94" s="180"/>
      <c r="H94" s="179">
        <v>2.5</v>
      </c>
      <c r="I94" s="195">
        <f t="shared" si="4"/>
        <v>0.127869107775876</v>
      </c>
      <c r="J94" s="196">
        <f t="shared" si="5"/>
        <v>0.281508219699829</v>
      </c>
      <c r="K94" s="172">
        <f t="shared" si="6"/>
        <v>3.4093773274757</v>
      </c>
      <c r="L94" s="172">
        <f t="shared" si="7"/>
        <v>0</v>
      </c>
      <c r="M94" s="193"/>
      <c r="N94" s="193"/>
      <c r="O94" s="198"/>
      <c r="P94" s="181">
        <v>103.049</v>
      </c>
    </row>
    <row r="95" s="162" customFormat="1" ht="21" outlineLevel="1" spans="1:16">
      <c r="A95" s="178">
        <v>3</v>
      </c>
      <c r="B95" s="177" t="s">
        <v>79</v>
      </c>
      <c r="C95" s="177" t="s">
        <v>96</v>
      </c>
      <c r="D95" s="178" t="s">
        <v>75</v>
      </c>
      <c r="E95" s="181"/>
      <c r="F95" s="179">
        <v>10</v>
      </c>
      <c r="G95" s="180">
        <v>95</v>
      </c>
      <c r="H95" s="179">
        <v>15</v>
      </c>
      <c r="I95" s="195">
        <f t="shared" si="4"/>
        <v>5.11476431103504</v>
      </c>
      <c r="J95" s="196">
        <f t="shared" si="5"/>
        <v>11.2603287879932</v>
      </c>
      <c r="K95" s="172">
        <f t="shared" si="6"/>
        <v>136.375093099028</v>
      </c>
      <c r="L95" s="172">
        <f t="shared" si="7"/>
        <v>0</v>
      </c>
      <c r="M95" s="193"/>
      <c r="N95" s="193"/>
      <c r="O95" s="198"/>
      <c r="P95" s="181">
        <v>10.9449</v>
      </c>
    </row>
    <row r="96" s="162" customFormat="1" ht="42" outlineLevel="1" spans="1:16">
      <c r="A96" s="178">
        <v>4</v>
      </c>
      <c r="B96" s="177" t="s">
        <v>81</v>
      </c>
      <c r="C96" s="177" t="s">
        <v>97</v>
      </c>
      <c r="D96" s="178" t="s">
        <v>75</v>
      </c>
      <c r="E96" s="181"/>
      <c r="F96" s="179">
        <v>55</v>
      </c>
      <c r="G96" s="180">
        <v>445</v>
      </c>
      <c r="H96" s="179">
        <v>15</v>
      </c>
      <c r="I96" s="195">
        <f t="shared" si="4"/>
        <v>21.9508635015254</v>
      </c>
      <c r="J96" s="196">
        <f t="shared" si="5"/>
        <v>48.3255777151373</v>
      </c>
      <c r="K96" s="172">
        <f t="shared" si="6"/>
        <v>585.276441216663</v>
      </c>
      <c r="L96" s="172">
        <f t="shared" si="7"/>
        <v>0</v>
      </c>
      <c r="M96" s="193"/>
      <c r="N96" s="193"/>
      <c r="O96" s="198"/>
      <c r="P96" s="181">
        <v>10.9449</v>
      </c>
    </row>
    <row r="97" s="162" customFormat="1" ht="31.5" outlineLevel="1" spans="1:16">
      <c r="A97" s="178">
        <v>5</v>
      </c>
      <c r="B97" s="177" t="s">
        <v>118</v>
      </c>
      <c r="C97" s="177" t="s">
        <v>119</v>
      </c>
      <c r="D97" s="178" t="s">
        <v>78</v>
      </c>
      <c r="E97" s="181"/>
      <c r="F97" s="179">
        <v>160</v>
      </c>
      <c r="G97" s="179">
        <v>220</v>
      </c>
      <c r="H97" s="179">
        <v>15</v>
      </c>
      <c r="I97" s="195">
        <f t="shared" si="4"/>
        <v>16.8360991904903</v>
      </c>
      <c r="J97" s="196">
        <f t="shared" si="5"/>
        <v>37.0652489271441</v>
      </c>
      <c r="K97" s="172">
        <f t="shared" si="6"/>
        <v>448.901348117634</v>
      </c>
      <c r="L97" s="172">
        <f t="shared" si="7"/>
        <v>0</v>
      </c>
      <c r="M97" s="193"/>
      <c r="N97" s="193"/>
      <c r="O97" s="198"/>
      <c r="P97" s="181">
        <v>63.163</v>
      </c>
    </row>
    <row r="98" s="162" customFormat="1" ht="31.5" outlineLevel="1" spans="1:16">
      <c r="A98" s="178">
        <v>6</v>
      </c>
      <c r="B98" s="177" t="s">
        <v>83</v>
      </c>
      <c r="C98" s="177" t="s">
        <v>120</v>
      </c>
      <c r="D98" s="178" t="s">
        <v>78</v>
      </c>
      <c r="E98" s="181"/>
      <c r="F98" s="179">
        <v>50</v>
      </c>
      <c r="G98" s="180">
        <v>65</v>
      </c>
      <c r="H98" s="179">
        <v>15</v>
      </c>
      <c r="I98" s="195">
        <f t="shared" si="4"/>
        <v>5.54099467028796</v>
      </c>
      <c r="J98" s="196">
        <f t="shared" si="5"/>
        <v>12.1986895203259</v>
      </c>
      <c r="K98" s="172">
        <f t="shared" si="6"/>
        <v>147.739684190614</v>
      </c>
      <c r="L98" s="172">
        <f t="shared" si="7"/>
        <v>0</v>
      </c>
      <c r="M98" s="193"/>
      <c r="N98" s="193"/>
      <c r="O98" s="198"/>
      <c r="P98" s="181">
        <v>23.751</v>
      </c>
    </row>
    <row r="99" s="162" customFormat="1" ht="31.5" outlineLevel="1" spans="1:16">
      <c r="A99" s="178">
        <v>7</v>
      </c>
      <c r="B99" s="177" t="s">
        <v>153</v>
      </c>
      <c r="C99" s="177" t="s">
        <v>99</v>
      </c>
      <c r="D99" s="178" t="s">
        <v>78</v>
      </c>
      <c r="E99" s="181"/>
      <c r="F99" s="179">
        <v>50</v>
      </c>
      <c r="G99" s="180">
        <v>65</v>
      </c>
      <c r="H99" s="179">
        <v>15</v>
      </c>
      <c r="I99" s="195">
        <f t="shared" si="4"/>
        <v>5.54099467028796</v>
      </c>
      <c r="J99" s="196">
        <f t="shared" si="5"/>
        <v>12.1986895203259</v>
      </c>
      <c r="K99" s="172">
        <f t="shared" si="6"/>
        <v>147.739684190614</v>
      </c>
      <c r="L99" s="172">
        <f t="shared" si="7"/>
        <v>0</v>
      </c>
      <c r="M99" s="193"/>
      <c r="N99" s="193"/>
      <c r="O99" s="198"/>
      <c r="P99" s="181">
        <v>16.135</v>
      </c>
    </row>
    <row r="100" s="162" customFormat="1" ht="31.5" spans="1:16">
      <c r="A100" s="175" t="s">
        <v>154</v>
      </c>
      <c r="B100" s="176" t="s">
        <v>155</v>
      </c>
      <c r="C100" s="177"/>
      <c r="D100" s="178"/>
      <c r="E100" s="200"/>
      <c r="F100" s="199"/>
      <c r="G100" s="192"/>
      <c r="H100" s="179"/>
      <c r="I100" s="195">
        <f t="shared" si="4"/>
        <v>0</v>
      </c>
      <c r="J100" s="196"/>
      <c r="K100" s="172"/>
      <c r="L100" s="172"/>
      <c r="M100" s="193"/>
      <c r="N100" s="193"/>
      <c r="O100" s="198"/>
      <c r="P100" s="200"/>
    </row>
    <row r="101" s="162" customFormat="1" ht="52.5" outlineLevel="1" spans="1:16">
      <c r="A101" s="178">
        <v>1</v>
      </c>
      <c r="B101" s="177" t="s">
        <v>73</v>
      </c>
      <c r="C101" s="177" t="s">
        <v>74</v>
      </c>
      <c r="D101" s="178" t="s">
        <v>75</v>
      </c>
      <c r="E101" s="181">
        <f t="shared" ref="E101:E106" si="8">P101/22*3</f>
        <v>9.84111818181818</v>
      </c>
      <c r="F101" s="199"/>
      <c r="G101" s="192"/>
      <c r="H101" s="179">
        <v>8.5</v>
      </c>
      <c r="I101" s="195">
        <f t="shared" si="4"/>
        <v>0.362295805364982</v>
      </c>
      <c r="J101" s="196">
        <f t="shared" si="5"/>
        <v>0.797606622482848</v>
      </c>
      <c r="K101" s="172">
        <f t="shared" si="6"/>
        <v>9.65990242784783</v>
      </c>
      <c r="L101" s="172">
        <f t="shared" si="7"/>
        <v>95.0642414172829</v>
      </c>
      <c r="M101" s="193"/>
      <c r="N101" s="193"/>
      <c r="O101" s="198"/>
      <c r="P101" s="181">
        <f>P103+P104</f>
        <v>72.1682</v>
      </c>
    </row>
    <row r="102" s="162" customFormat="1" ht="32" customHeight="1" outlineLevel="1" spans="1:16">
      <c r="A102" s="178">
        <v>2</v>
      </c>
      <c r="B102" s="177" t="s">
        <v>76</v>
      </c>
      <c r="C102" s="177" t="s">
        <v>77</v>
      </c>
      <c r="D102" s="178" t="s">
        <v>78</v>
      </c>
      <c r="E102" s="181">
        <f t="shared" si="8"/>
        <v>49.2055909090909</v>
      </c>
      <c r="F102" s="179">
        <v>0.5</v>
      </c>
      <c r="G102" s="180"/>
      <c r="H102" s="179">
        <v>2.5</v>
      </c>
      <c r="I102" s="195">
        <f t="shared" si="4"/>
        <v>0.127869107775876</v>
      </c>
      <c r="J102" s="196">
        <f t="shared" si="5"/>
        <v>0.281508219699829</v>
      </c>
      <c r="K102" s="172">
        <f t="shared" si="6"/>
        <v>3.4093773274757</v>
      </c>
      <c r="L102" s="172">
        <f t="shared" si="7"/>
        <v>167.760426030499</v>
      </c>
      <c r="M102" s="193"/>
      <c r="N102" s="193"/>
      <c r="O102" s="198"/>
      <c r="P102" s="181">
        <v>360.841</v>
      </c>
    </row>
    <row r="103" s="162" customFormat="1" ht="21" outlineLevel="1" spans="1:16">
      <c r="A103" s="178">
        <v>3</v>
      </c>
      <c r="B103" s="177" t="s">
        <v>79</v>
      </c>
      <c r="C103" s="177" t="s">
        <v>96</v>
      </c>
      <c r="D103" s="178" t="s">
        <v>75</v>
      </c>
      <c r="E103" s="181">
        <f t="shared" si="8"/>
        <v>4.92055909090909</v>
      </c>
      <c r="F103" s="179">
        <v>10</v>
      </c>
      <c r="G103" s="180">
        <v>95</v>
      </c>
      <c r="H103" s="179">
        <v>15</v>
      </c>
      <c r="I103" s="195">
        <f t="shared" si="4"/>
        <v>5.11476431103504</v>
      </c>
      <c r="J103" s="196">
        <f t="shared" si="5"/>
        <v>11.2603287879932</v>
      </c>
      <c r="K103" s="172">
        <f t="shared" si="6"/>
        <v>136.375093099028</v>
      </c>
      <c r="L103" s="172">
        <f t="shared" si="7"/>
        <v>671.041704121996</v>
      </c>
      <c r="M103" s="193"/>
      <c r="N103" s="193"/>
      <c r="O103" s="198"/>
      <c r="P103" s="181">
        <v>36.0841</v>
      </c>
    </row>
    <row r="104" s="162" customFormat="1" ht="42" outlineLevel="1" spans="1:16">
      <c r="A104" s="178">
        <v>4</v>
      </c>
      <c r="B104" s="177" t="s">
        <v>81</v>
      </c>
      <c r="C104" s="177" t="s">
        <v>97</v>
      </c>
      <c r="D104" s="178" t="s">
        <v>75</v>
      </c>
      <c r="E104" s="181">
        <f t="shared" si="8"/>
        <v>4.92055909090909</v>
      </c>
      <c r="F104" s="179">
        <v>55</v>
      </c>
      <c r="G104" s="180">
        <v>445</v>
      </c>
      <c r="H104" s="179">
        <v>15</v>
      </c>
      <c r="I104" s="195">
        <f t="shared" si="4"/>
        <v>21.9508635015254</v>
      </c>
      <c r="J104" s="196">
        <f t="shared" si="5"/>
        <v>48.3255777151373</v>
      </c>
      <c r="K104" s="172">
        <f t="shared" si="6"/>
        <v>585.276441216663</v>
      </c>
      <c r="L104" s="172">
        <f t="shared" si="7"/>
        <v>2879.88731352357</v>
      </c>
      <c r="M104" s="193"/>
      <c r="N104" s="193"/>
      <c r="O104" s="198"/>
      <c r="P104" s="181">
        <v>36.0841</v>
      </c>
    </row>
    <row r="105" s="162" customFormat="1" ht="31.5" outlineLevel="1" spans="1:16">
      <c r="A105" s="178">
        <v>5</v>
      </c>
      <c r="B105" s="177" t="s">
        <v>153</v>
      </c>
      <c r="C105" s="177" t="s">
        <v>156</v>
      </c>
      <c r="D105" s="178" t="s">
        <v>78</v>
      </c>
      <c r="E105" s="181">
        <f t="shared" si="8"/>
        <v>2.63263636363636</v>
      </c>
      <c r="F105" s="179">
        <v>50</v>
      </c>
      <c r="G105" s="180">
        <v>65</v>
      </c>
      <c r="H105" s="179">
        <v>15</v>
      </c>
      <c r="I105" s="195">
        <f t="shared" si="4"/>
        <v>5.54099467028796</v>
      </c>
      <c r="J105" s="196">
        <f t="shared" si="5"/>
        <v>12.1986895203259</v>
      </c>
      <c r="K105" s="172">
        <f t="shared" si="6"/>
        <v>147.739684190614</v>
      </c>
      <c r="L105" s="172">
        <f t="shared" si="7"/>
        <v>388.944864952363</v>
      </c>
      <c r="M105" s="193"/>
      <c r="N105" s="193"/>
      <c r="O105" s="198"/>
      <c r="P105" s="181">
        <v>19.306</v>
      </c>
    </row>
    <row r="106" s="162" customFormat="1" ht="31.5" outlineLevel="1" spans="1:16">
      <c r="A106" s="178">
        <v>6</v>
      </c>
      <c r="B106" s="177" t="s">
        <v>83</v>
      </c>
      <c r="C106" s="177" t="s">
        <v>117</v>
      </c>
      <c r="D106" s="178" t="s">
        <v>78</v>
      </c>
      <c r="E106" s="181">
        <f t="shared" si="8"/>
        <v>9.94922727272727</v>
      </c>
      <c r="F106" s="179">
        <v>50</v>
      </c>
      <c r="G106" s="180">
        <v>65</v>
      </c>
      <c r="H106" s="179">
        <v>15</v>
      </c>
      <c r="I106" s="195">
        <f t="shared" si="4"/>
        <v>5.54099467028796</v>
      </c>
      <c r="J106" s="196">
        <f t="shared" si="5"/>
        <v>12.1986895203259</v>
      </c>
      <c r="K106" s="172">
        <f t="shared" si="6"/>
        <v>147.739684190614</v>
      </c>
      <c r="L106" s="172">
        <f t="shared" si="7"/>
        <v>1469.89569521337</v>
      </c>
      <c r="M106" s="193"/>
      <c r="N106" s="193"/>
      <c r="O106" s="198"/>
      <c r="P106" s="181">
        <v>72.961</v>
      </c>
    </row>
    <row r="107" s="162" customFormat="1" ht="31.5" outlineLevel="1" spans="1:16">
      <c r="A107" s="178">
        <v>7</v>
      </c>
      <c r="B107" s="177" t="s">
        <v>157</v>
      </c>
      <c r="C107" s="177" t="s">
        <v>158</v>
      </c>
      <c r="D107" s="178" t="s">
        <v>78</v>
      </c>
      <c r="E107" s="181"/>
      <c r="F107" s="179">
        <v>50</v>
      </c>
      <c r="G107" s="180">
        <v>65</v>
      </c>
      <c r="H107" s="179">
        <v>15</v>
      </c>
      <c r="I107" s="195">
        <f t="shared" si="4"/>
        <v>5.54099467028796</v>
      </c>
      <c r="J107" s="196">
        <f t="shared" si="5"/>
        <v>12.1986895203259</v>
      </c>
      <c r="K107" s="172">
        <f t="shared" si="6"/>
        <v>147.739684190614</v>
      </c>
      <c r="L107" s="172">
        <f t="shared" si="7"/>
        <v>0</v>
      </c>
      <c r="M107" s="193"/>
      <c r="N107" s="193"/>
      <c r="O107" s="198"/>
      <c r="P107" s="181">
        <v>35.129</v>
      </c>
    </row>
    <row r="108" s="162" customFormat="1" ht="31.5" outlineLevel="1" spans="1:16">
      <c r="A108" s="178">
        <v>8</v>
      </c>
      <c r="B108" s="177" t="s">
        <v>153</v>
      </c>
      <c r="C108" s="177" t="s">
        <v>159</v>
      </c>
      <c r="D108" s="178" t="s">
        <v>78</v>
      </c>
      <c r="E108" s="181"/>
      <c r="F108" s="179">
        <v>50</v>
      </c>
      <c r="G108" s="180">
        <v>65</v>
      </c>
      <c r="H108" s="179">
        <v>15</v>
      </c>
      <c r="I108" s="195">
        <f t="shared" si="4"/>
        <v>5.54099467028796</v>
      </c>
      <c r="J108" s="196">
        <f t="shared" si="5"/>
        <v>12.1986895203259</v>
      </c>
      <c r="K108" s="172">
        <f t="shared" si="6"/>
        <v>147.739684190614</v>
      </c>
      <c r="L108" s="172">
        <f t="shared" si="7"/>
        <v>0</v>
      </c>
      <c r="M108" s="193"/>
      <c r="N108" s="193"/>
      <c r="O108" s="198"/>
      <c r="P108" s="181">
        <v>228.193</v>
      </c>
    </row>
    <row r="109" s="162" customFormat="1" ht="31.5" outlineLevel="1" spans="1:16">
      <c r="A109" s="178">
        <v>9</v>
      </c>
      <c r="B109" s="177" t="s">
        <v>118</v>
      </c>
      <c r="C109" s="177" t="s">
        <v>119</v>
      </c>
      <c r="D109" s="178" t="s">
        <v>78</v>
      </c>
      <c r="E109" s="181"/>
      <c r="F109" s="179">
        <v>160</v>
      </c>
      <c r="G109" s="179">
        <v>220</v>
      </c>
      <c r="H109" s="179">
        <v>15</v>
      </c>
      <c r="I109" s="195">
        <f t="shared" si="4"/>
        <v>16.8360991904903</v>
      </c>
      <c r="J109" s="196">
        <f t="shared" si="5"/>
        <v>37.0652489271441</v>
      </c>
      <c r="K109" s="172">
        <f t="shared" si="6"/>
        <v>448.901348117634</v>
      </c>
      <c r="L109" s="172">
        <f t="shared" si="7"/>
        <v>0</v>
      </c>
      <c r="M109" s="193"/>
      <c r="N109" s="193"/>
      <c r="O109" s="198"/>
      <c r="P109" s="181">
        <v>5.252</v>
      </c>
    </row>
    <row r="110" s="162" customFormat="1" ht="21" spans="1:16">
      <c r="A110" s="175" t="s">
        <v>160</v>
      </c>
      <c r="B110" s="176" t="s">
        <v>161</v>
      </c>
      <c r="C110" s="177"/>
      <c r="D110" s="178"/>
      <c r="E110" s="181"/>
      <c r="F110" s="199"/>
      <c r="G110" s="180"/>
      <c r="H110" s="179"/>
      <c r="I110" s="195">
        <f t="shared" si="4"/>
        <v>0</v>
      </c>
      <c r="J110" s="196"/>
      <c r="K110" s="172"/>
      <c r="L110" s="172"/>
      <c r="M110" s="193"/>
      <c r="N110" s="193"/>
      <c r="O110" s="198"/>
      <c r="P110" s="181"/>
    </row>
    <row r="111" s="162" customFormat="1" ht="52.5" outlineLevel="1" spans="1:16">
      <c r="A111" s="175">
        <v>1</v>
      </c>
      <c r="B111" s="177" t="s">
        <v>73</v>
      </c>
      <c r="C111" s="177" t="s">
        <v>74</v>
      </c>
      <c r="D111" s="178" t="s">
        <v>75</v>
      </c>
      <c r="E111" s="200">
        <f>P111/8*3</f>
        <v>16.2747783</v>
      </c>
      <c r="F111" s="199"/>
      <c r="G111" s="180"/>
      <c r="H111" s="179">
        <v>8.5</v>
      </c>
      <c r="I111" s="195">
        <f t="shared" si="4"/>
        <v>0.362295805364982</v>
      </c>
      <c r="J111" s="196">
        <f t="shared" si="5"/>
        <v>0.797606622482848</v>
      </c>
      <c r="K111" s="172">
        <f t="shared" si="6"/>
        <v>9.65990242784783</v>
      </c>
      <c r="L111" s="172">
        <f t="shared" si="7"/>
        <v>157.212770412855</v>
      </c>
      <c r="M111" s="193"/>
      <c r="N111" s="193"/>
      <c r="O111" s="198"/>
      <c r="P111" s="200">
        <v>43.3994088</v>
      </c>
    </row>
    <row r="112" s="162" customFormat="1" ht="63" outlineLevel="1" spans="1:16">
      <c r="A112" s="175">
        <v>2</v>
      </c>
      <c r="B112" s="177" t="s">
        <v>162</v>
      </c>
      <c r="C112" s="177" t="s">
        <v>163</v>
      </c>
      <c r="D112" s="178" t="s">
        <v>75</v>
      </c>
      <c r="E112" s="200">
        <f t="shared" ref="E112:E117" si="9">P112/8*3</f>
        <v>3.8990958</v>
      </c>
      <c r="F112" s="199"/>
      <c r="G112" s="180"/>
      <c r="H112" s="179">
        <v>10</v>
      </c>
      <c r="I112" s="195">
        <f t="shared" si="4"/>
        <v>0.42623035925292</v>
      </c>
      <c r="J112" s="196">
        <f t="shared" si="5"/>
        <v>0.938360732332763</v>
      </c>
      <c r="K112" s="172">
        <f t="shared" si="6"/>
        <v>11.3645910915857</v>
      </c>
      <c r="L112" s="172">
        <f t="shared" si="7"/>
        <v>44.3116293939192</v>
      </c>
      <c r="M112" s="193"/>
      <c r="N112" s="193"/>
      <c r="O112" s="198"/>
      <c r="P112" s="200">
        <v>10.3975888</v>
      </c>
    </row>
    <row r="113" s="162" customFormat="1" ht="21" outlineLevel="1" spans="1:16">
      <c r="A113" s="175">
        <v>3</v>
      </c>
      <c r="B113" s="177" t="s">
        <v>76</v>
      </c>
      <c r="C113" s="177" t="s">
        <v>109</v>
      </c>
      <c r="D113" s="178" t="s">
        <v>78</v>
      </c>
      <c r="E113" s="200">
        <f t="shared" si="9"/>
        <v>44.514495</v>
      </c>
      <c r="F113" s="179">
        <v>0.5</v>
      </c>
      <c r="G113" s="180"/>
      <c r="H113" s="179">
        <v>2.5</v>
      </c>
      <c r="I113" s="195">
        <f t="shared" si="4"/>
        <v>0.127869107775876</v>
      </c>
      <c r="J113" s="196">
        <f t="shared" si="5"/>
        <v>0.281508219699829</v>
      </c>
      <c r="K113" s="172">
        <f t="shared" si="6"/>
        <v>3.4093773274757</v>
      </c>
      <c r="L113" s="172">
        <f t="shared" si="7"/>
        <v>151.76670999703</v>
      </c>
      <c r="M113" s="193"/>
      <c r="N113" s="193"/>
      <c r="O113" s="198"/>
      <c r="P113" s="181">
        <v>118.70532</v>
      </c>
    </row>
    <row r="114" s="162" customFormat="1" ht="42" outlineLevel="1" spans="1:16">
      <c r="A114" s="175">
        <v>4</v>
      </c>
      <c r="B114" s="177" t="s">
        <v>81</v>
      </c>
      <c r="C114" s="177" t="s">
        <v>164</v>
      </c>
      <c r="D114" s="178" t="s">
        <v>75</v>
      </c>
      <c r="E114" s="200">
        <f t="shared" si="9"/>
        <v>5.804112</v>
      </c>
      <c r="F114" s="179">
        <v>55</v>
      </c>
      <c r="G114" s="180">
        <v>445</v>
      </c>
      <c r="H114" s="179">
        <v>15</v>
      </c>
      <c r="I114" s="195">
        <f t="shared" si="4"/>
        <v>21.9508635015254</v>
      </c>
      <c r="J114" s="196">
        <f t="shared" si="5"/>
        <v>48.3255777151373</v>
      </c>
      <c r="K114" s="172">
        <f t="shared" si="6"/>
        <v>585.276441216663</v>
      </c>
      <c r="L114" s="172">
        <f t="shared" si="7"/>
        <v>3397.01001578293</v>
      </c>
      <c r="M114" s="193"/>
      <c r="N114" s="193"/>
      <c r="O114" s="198"/>
      <c r="P114" s="200">
        <v>15.477632</v>
      </c>
    </row>
    <row r="115" s="162" customFormat="1" ht="42" outlineLevel="1" spans="1:16">
      <c r="A115" s="175">
        <v>5</v>
      </c>
      <c r="B115" s="177" t="s">
        <v>165</v>
      </c>
      <c r="C115" s="177" t="s">
        <v>164</v>
      </c>
      <c r="D115" s="178" t="s">
        <v>78</v>
      </c>
      <c r="E115" s="200">
        <f t="shared" si="9"/>
        <v>2.53951875</v>
      </c>
      <c r="F115" s="179">
        <v>55</v>
      </c>
      <c r="G115" s="180">
        <v>492</v>
      </c>
      <c r="H115" s="179">
        <v>15</v>
      </c>
      <c r="I115" s="195">
        <f t="shared" si="4"/>
        <v>23.9541461900141</v>
      </c>
      <c r="J115" s="196">
        <f t="shared" si="5"/>
        <v>52.7358731571013</v>
      </c>
      <c r="K115" s="172">
        <f t="shared" si="6"/>
        <v>638.690019347115</v>
      </c>
      <c r="L115" s="172">
        <f t="shared" si="7"/>
        <v>1621.96527956986</v>
      </c>
      <c r="M115" s="193"/>
      <c r="N115" s="193"/>
      <c r="O115" s="198"/>
      <c r="P115" s="200">
        <v>6.77205</v>
      </c>
    </row>
    <row r="116" s="162" customFormat="1" ht="42" outlineLevel="1" spans="1:16">
      <c r="A116" s="175">
        <v>6</v>
      </c>
      <c r="B116" s="177" t="s">
        <v>166</v>
      </c>
      <c r="C116" s="177" t="s">
        <v>167</v>
      </c>
      <c r="D116" s="178" t="s">
        <v>75</v>
      </c>
      <c r="E116" s="200">
        <f t="shared" si="9"/>
        <v>6.5715705</v>
      </c>
      <c r="F116" s="181">
        <v>220</v>
      </c>
      <c r="G116" s="181">
        <v>260</v>
      </c>
      <c r="H116" s="181">
        <v>85</v>
      </c>
      <c r="I116" s="195">
        <f t="shared" si="4"/>
        <v>24.08201529779</v>
      </c>
      <c r="J116" s="196">
        <f t="shared" si="5"/>
        <v>53.0173813768011</v>
      </c>
      <c r="K116" s="172">
        <f t="shared" si="6"/>
        <v>642.099396674591</v>
      </c>
      <c r="L116" s="172">
        <f t="shared" si="7"/>
        <v>4219.60145325454</v>
      </c>
      <c r="M116" s="193"/>
      <c r="N116" s="193"/>
      <c r="O116" s="198"/>
      <c r="P116" s="200">
        <v>17.524188</v>
      </c>
    </row>
    <row r="117" s="162" customFormat="1" ht="21" outlineLevel="1" spans="1:16">
      <c r="A117" s="175">
        <v>7</v>
      </c>
      <c r="B117" s="177" t="s">
        <v>79</v>
      </c>
      <c r="C117" s="177" t="s">
        <v>168</v>
      </c>
      <c r="D117" s="178" t="s">
        <v>75</v>
      </c>
      <c r="E117" s="200">
        <f t="shared" si="9"/>
        <v>5.64768225</v>
      </c>
      <c r="F117" s="179">
        <v>10</v>
      </c>
      <c r="G117" s="180">
        <v>95</v>
      </c>
      <c r="H117" s="179">
        <v>15</v>
      </c>
      <c r="I117" s="195">
        <f t="shared" si="4"/>
        <v>5.11476431103504</v>
      </c>
      <c r="J117" s="196">
        <f t="shared" si="5"/>
        <v>11.2603287879932</v>
      </c>
      <c r="K117" s="172">
        <f t="shared" si="6"/>
        <v>136.375093099028</v>
      </c>
      <c r="L117" s="172">
        <f t="shared" si="7"/>
        <v>770.203192637478</v>
      </c>
      <c r="M117" s="193"/>
      <c r="N117" s="193"/>
      <c r="O117" s="198"/>
      <c r="P117" s="181">
        <v>15.060486</v>
      </c>
    </row>
    <row r="118" s="162" customFormat="1" ht="31.5" outlineLevel="1" spans="1:16">
      <c r="A118" s="175">
        <v>8</v>
      </c>
      <c r="B118" s="177" t="s">
        <v>153</v>
      </c>
      <c r="C118" s="177" t="s">
        <v>156</v>
      </c>
      <c r="D118" s="178" t="s">
        <v>78</v>
      </c>
      <c r="E118" s="181"/>
      <c r="F118" s="179">
        <v>50</v>
      </c>
      <c r="G118" s="180">
        <v>65</v>
      </c>
      <c r="H118" s="179">
        <v>15</v>
      </c>
      <c r="I118" s="195">
        <f t="shared" si="4"/>
        <v>5.54099467028796</v>
      </c>
      <c r="J118" s="196">
        <f t="shared" si="5"/>
        <v>12.1986895203259</v>
      </c>
      <c r="K118" s="172">
        <f t="shared" si="6"/>
        <v>147.739684190614</v>
      </c>
      <c r="L118" s="172">
        <f t="shared" si="7"/>
        <v>0</v>
      </c>
      <c r="M118" s="193"/>
      <c r="N118" s="193"/>
      <c r="O118" s="198"/>
      <c r="P118" s="181">
        <v>64.982</v>
      </c>
    </row>
    <row r="119" s="162" customFormat="1" ht="31.5" outlineLevel="1" spans="1:16">
      <c r="A119" s="175">
        <v>9</v>
      </c>
      <c r="B119" s="177" t="s">
        <v>83</v>
      </c>
      <c r="C119" s="177" t="s">
        <v>169</v>
      </c>
      <c r="D119" s="178" t="s">
        <v>78</v>
      </c>
      <c r="E119" s="200"/>
      <c r="F119" s="179">
        <v>50</v>
      </c>
      <c r="G119" s="180">
        <v>65</v>
      </c>
      <c r="H119" s="179">
        <v>15</v>
      </c>
      <c r="I119" s="195">
        <f t="shared" si="4"/>
        <v>5.54099467028796</v>
      </c>
      <c r="J119" s="196">
        <f t="shared" si="5"/>
        <v>12.1986895203259</v>
      </c>
      <c r="K119" s="172">
        <f t="shared" si="6"/>
        <v>147.739684190614</v>
      </c>
      <c r="L119" s="172">
        <f t="shared" si="7"/>
        <v>0</v>
      </c>
      <c r="M119" s="193"/>
      <c r="N119" s="193"/>
      <c r="O119" s="198"/>
      <c r="P119" s="200">
        <v>16.236</v>
      </c>
    </row>
    <row r="120" s="162" customFormat="1" ht="31.5" outlineLevel="1" spans="1:16">
      <c r="A120" s="175">
        <v>10</v>
      </c>
      <c r="B120" s="177" t="s">
        <v>83</v>
      </c>
      <c r="C120" s="177" t="s">
        <v>170</v>
      </c>
      <c r="D120" s="178" t="s">
        <v>78</v>
      </c>
      <c r="E120" s="200"/>
      <c r="F120" s="179">
        <v>50</v>
      </c>
      <c r="G120" s="180">
        <v>65</v>
      </c>
      <c r="H120" s="179">
        <v>15</v>
      </c>
      <c r="I120" s="195">
        <f t="shared" si="4"/>
        <v>5.54099467028796</v>
      </c>
      <c r="J120" s="196">
        <f t="shared" si="5"/>
        <v>12.1986895203259</v>
      </c>
      <c r="K120" s="172">
        <f t="shared" si="6"/>
        <v>147.739684190614</v>
      </c>
      <c r="L120" s="172">
        <f t="shared" si="7"/>
        <v>0</v>
      </c>
      <c r="M120" s="193"/>
      <c r="N120" s="193"/>
      <c r="O120" s="198"/>
      <c r="P120" s="200">
        <v>21.6348</v>
      </c>
    </row>
    <row r="121" s="162" customFormat="1" ht="84" outlineLevel="1" spans="1:16">
      <c r="A121" s="175">
        <v>11</v>
      </c>
      <c r="B121" s="177" t="s">
        <v>171</v>
      </c>
      <c r="C121" s="177" t="s">
        <v>172</v>
      </c>
      <c r="D121" s="178" t="s">
        <v>173</v>
      </c>
      <c r="E121" s="200"/>
      <c r="F121" s="199">
        <v>85</v>
      </c>
      <c r="G121" s="180">
        <v>180</v>
      </c>
      <c r="H121" s="179">
        <v>35</v>
      </c>
      <c r="I121" s="195">
        <f t="shared" si="4"/>
        <v>12.7869107775876</v>
      </c>
      <c r="J121" s="196">
        <f t="shared" si="5"/>
        <v>28.1508219699829</v>
      </c>
      <c r="K121" s="172">
        <f t="shared" si="6"/>
        <v>340.93773274757</v>
      </c>
      <c r="L121" s="172">
        <f t="shared" si="7"/>
        <v>0</v>
      </c>
      <c r="M121" s="193"/>
      <c r="N121" s="193"/>
      <c r="O121" s="198"/>
      <c r="P121" s="200">
        <v>111.367</v>
      </c>
    </row>
    <row r="122" s="162" customFormat="1" ht="42" outlineLevel="1" spans="1:16">
      <c r="A122" s="175">
        <v>12</v>
      </c>
      <c r="B122" s="177" t="s">
        <v>174</v>
      </c>
      <c r="C122" s="177" t="s">
        <v>122</v>
      </c>
      <c r="D122" s="178" t="s">
        <v>89</v>
      </c>
      <c r="E122" s="181"/>
      <c r="F122" s="179">
        <v>20</v>
      </c>
      <c r="G122" s="180">
        <v>105</v>
      </c>
      <c r="H122" s="179">
        <v>3</v>
      </c>
      <c r="I122" s="195">
        <f t="shared" si="4"/>
        <v>5.45574859843738</v>
      </c>
      <c r="J122" s="196">
        <f t="shared" si="5"/>
        <v>12.0110173738594</v>
      </c>
      <c r="K122" s="172">
        <f t="shared" si="6"/>
        <v>145.466765972297</v>
      </c>
      <c r="L122" s="172">
        <f t="shared" si="7"/>
        <v>0</v>
      </c>
      <c r="M122" s="193"/>
      <c r="N122" s="193"/>
      <c r="O122" s="198"/>
      <c r="P122" s="181">
        <v>129.464</v>
      </c>
    </row>
    <row r="123" s="162" customFormat="1" ht="31.5" outlineLevel="1" spans="1:16">
      <c r="A123" s="175">
        <v>13</v>
      </c>
      <c r="B123" s="177" t="s">
        <v>174</v>
      </c>
      <c r="C123" s="177" t="s">
        <v>123</v>
      </c>
      <c r="D123" s="178" t="s">
        <v>78</v>
      </c>
      <c r="E123" s="181"/>
      <c r="F123" s="179">
        <v>65</v>
      </c>
      <c r="G123" s="180">
        <v>150</v>
      </c>
      <c r="H123" s="179">
        <v>15</v>
      </c>
      <c r="I123" s="195">
        <f t="shared" si="4"/>
        <v>9.80329826281716</v>
      </c>
      <c r="J123" s="196">
        <f t="shared" si="5"/>
        <v>21.5822968436535</v>
      </c>
      <c r="K123" s="172">
        <f t="shared" si="6"/>
        <v>261.385595106471</v>
      </c>
      <c r="L123" s="172">
        <f t="shared" si="7"/>
        <v>0</v>
      </c>
      <c r="M123" s="193"/>
      <c r="N123" s="193"/>
      <c r="O123" s="198"/>
      <c r="P123" s="181">
        <v>34.495224</v>
      </c>
    </row>
    <row r="124" s="162" customFormat="1" ht="31.5" outlineLevel="1" spans="1:16">
      <c r="A124" s="175">
        <v>14</v>
      </c>
      <c r="B124" s="177" t="s">
        <v>175</v>
      </c>
      <c r="C124" s="177" t="s">
        <v>125</v>
      </c>
      <c r="D124" s="178" t="s">
        <v>78</v>
      </c>
      <c r="E124" s="181"/>
      <c r="F124" s="179">
        <v>65</v>
      </c>
      <c r="G124" s="180">
        <v>150</v>
      </c>
      <c r="H124" s="179">
        <v>15</v>
      </c>
      <c r="I124" s="195">
        <f t="shared" si="4"/>
        <v>9.80329826281716</v>
      </c>
      <c r="J124" s="196">
        <f t="shared" si="5"/>
        <v>21.5822968436535</v>
      </c>
      <c r="K124" s="172">
        <f t="shared" si="6"/>
        <v>261.385595106471</v>
      </c>
      <c r="L124" s="172">
        <f t="shared" si="7"/>
        <v>0</v>
      </c>
      <c r="M124" s="193"/>
      <c r="N124" s="193"/>
      <c r="O124" s="198"/>
      <c r="P124" s="181">
        <v>9.06248</v>
      </c>
    </row>
    <row r="125" s="162" customFormat="1" ht="31.5" outlineLevel="1" spans="1:16">
      <c r="A125" s="175">
        <v>15</v>
      </c>
      <c r="B125" s="177" t="s">
        <v>138</v>
      </c>
      <c r="C125" s="177" t="s">
        <v>176</v>
      </c>
      <c r="D125" s="178" t="s">
        <v>140</v>
      </c>
      <c r="E125" s="181"/>
      <c r="F125" s="179">
        <v>1000</v>
      </c>
      <c r="G125" s="179">
        <v>4600</v>
      </c>
      <c r="H125" s="179">
        <v>200</v>
      </c>
      <c r="I125" s="195">
        <f t="shared" si="4"/>
        <v>247.213608366694</v>
      </c>
      <c r="J125" s="196">
        <f t="shared" si="5"/>
        <v>544.249224753002</v>
      </c>
      <c r="K125" s="172">
        <f t="shared" si="6"/>
        <v>6591.4628331197</v>
      </c>
      <c r="L125" s="172">
        <f t="shared" si="7"/>
        <v>0</v>
      </c>
      <c r="M125" s="193"/>
      <c r="N125" s="193"/>
      <c r="O125" s="198"/>
      <c r="P125" s="181">
        <v>0.10352643</v>
      </c>
    </row>
    <row r="126" s="162" customFormat="1" ht="31.5" spans="1:16">
      <c r="A126" s="175" t="s">
        <v>177</v>
      </c>
      <c r="B126" s="176" t="s">
        <v>178</v>
      </c>
      <c r="C126" s="177" t="s">
        <v>179</v>
      </c>
      <c r="D126" s="178"/>
      <c r="E126" s="200"/>
      <c r="F126" s="199"/>
      <c r="G126" s="201"/>
      <c r="H126" s="179"/>
      <c r="I126" s="195">
        <f t="shared" si="4"/>
        <v>0</v>
      </c>
      <c r="J126" s="196"/>
      <c r="K126" s="172"/>
      <c r="L126" s="172"/>
      <c r="M126" s="193"/>
      <c r="N126" s="193"/>
      <c r="O126" s="198"/>
      <c r="P126" s="200"/>
    </row>
    <row r="127" s="162" customFormat="1" ht="52.5" outlineLevel="1" spans="1:16">
      <c r="A127" s="178">
        <v>1</v>
      </c>
      <c r="B127" s="177" t="s">
        <v>73</v>
      </c>
      <c r="C127" s="177" t="s">
        <v>74</v>
      </c>
      <c r="D127" s="178" t="s">
        <v>75</v>
      </c>
      <c r="E127" s="181">
        <f>P127/16*6</f>
        <v>30.055425</v>
      </c>
      <c r="F127" s="199"/>
      <c r="G127" s="201"/>
      <c r="H127" s="179">
        <v>8.5</v>
      </c>
      <c r="I127" s="195">
        <f t="shared" si="4"/>
        <v>0.362295805364982</v>
      </c>
      <c r="J127" s="196">
        <f t="shared" si="5"/>
        <v>0.797606622482848</v>
      </c>
      <c r="K127" s="172">
        <f t="shared" si="6"/>
        <v>9.65990242784783</v>
      </c>
      <c r="L127" s="172">
        <f t="shared" si="7"/>
        <v>290.332472927498</v>
      </c>
      <c r="M127" s="193"/>
      <c r="N127" s="193"/>
      <c r="O127" s="198"/>
      <c r="P127" s="181">
        <f>P129+P130</f>
        <v>80.1478</v>
      </c>
    </row>
    <row r="128" s="162" customFormat="1" ht="21" outlineLevel="1" spans="1:16">
      <c r="A128" s="178">
        <v>2</v>
      </c>
      <c r="B128" s="177" t="s">
        <v>76</v>
      </c>
      <c r="C128" s="177" t="s">
        <v>77</v>
      </c>
      <c r="D128" s="178" t="s">
        <v>78</v>
      </c>
      <c r="E128" s="181">
        <f>P128/16*6</f>
        <v>150.277125</v>
      </c>
      <c r="F128" s="179">
        <v>0.5</v>
      </c>
      <c r="G128" s="180"/>
      <c r="H128" s="179">
        <v>2.5</v>
      </c>
      <c r="I128" s="195">
        <f t="shared" si="4"/>
        <v>0.127869107775876</v>
      </c>
      <c r="J128" s="196">
        <f t="shared" si="5"/>
        <v>0.281508219699829</v>
      </c>
      <c r="K128" s="172">
        <f t="shared" si="6"/>
        <v>3.4093773274757</v>
      </c>
      <c r="L128" s="172">
        <f t="shared" si="7"/>
        <v>512.351422813232</v>
      </c>
      <c r="M128" s="193"/>
      <c r="N128" s="193"/>
      <c r="O128" s="198"/>
      <c r="P128" s="181">
        <v>400.739</v>
      </c>
    </row>
    <row r="129" s="162" customFormat="1" ht="21" outlineLevel="1" spans="1:16">
      <c r="A129" s="178">
        <v>3</v>
      </c>
      <c r="B129" s="177" t="s">
        <v>79</v>
      </c>
      <c r="C129" s="177" t="s">
        <v>96</v>
      </c>
      <c r="D129" s="178" t="s">
        <v>75</v>
      </c>
      <c r="E129" s="181">
        <f>P129/16*6</f>
        <v>15.0277125</v>
      </c>
      <c r="F129" s="179">
        <v>10</v>
      </c>
      <c r="G129" s="180">
        <v>95</v>
      </c>
      <c r="H129" s="179">
        <v>15</v>
      </c>
      <c r="I129" s="195">
        <f t="shared" si="4"/>
        <v>5.11476431103504</v>
      </c>
      <c r="J129" s="196">
        <f t="shared" si="5"/>
        <v>11.2603287879932</v>
      </c>
      <c r="K129" s="172">
        <f t="shared" si="6"/>
        <v>136.375093099028</v>
      </c>
      <c r="L129" s="172">
        <f t="shared" si="7"/>
        <v>2049.40569125293</v>
      </c>
      <c r="M129" s="193"/>
      <c r="N129" s="193"/>
      <c r="O129" s="198"/>
      <c r="P129" s="181">
        <v>40.0739</v>
      </c>
    </row>
    <row r="130" s="162" customFormat="1" ht="42" outlineLevel="1" spans="1:16">
      <c r="A130" s="178">
        <v>4</v>
      </c>
      <c r="B130" s="177" t="s">
        <v>81</v>
      </c>
      <c r="C130" s="177" t="s">
        <v>97</v>
      </c>
      <c r="D130" s="178" t="s">
        <v>75</v>
      </c>
      <c r="E130" s="181">
        <f>P130/16*6</f>
        <v>15.0277125</v>
      </c>
      <c r="F130" s="179">
        <v>55</v>
      </c>
      <c r="G130" s="180">
        <v>445</v>
      </c>
      <c r="H130" s="179">
        <v>15</v>
      </c>
      <c r="I130" s="195">
        <f t="shared" si="4"/>
        <v>21.9508635015254</v>
      </c>
      <c r="J130" s="196">
        <f t="shared" si="5"/>
        <v>48.3255777151373</v>
      </c>
      <c r="K130" s="172">
        <f t="shared" si="6"/>
        <v>585.276441216663</v>
      </c>
      <c r="L130" s="172">
        <f t="shared" si="7"/>
        <v>8795.36609162716</v>
      </c>
      <c r="M130" s="193"/>
      <c r="N130" s="193"/>
      <c r="O130" s="198"/>
      <c r="P130" s="181">
        <v>40.0739</v>
      </c>
    </row>
    <row r="131" s="162" customFormat="1" ht="31.5" outlineLevel="1" spans="1:16">
      <c r="A131" s="178">
        <v>5</v>
      </c>
      <c r="B131" s="177" t="s">
        <v>153</v>
      </c>
      <c r="C131" s="177" t="s">
        <v>156</v>
      </c>
      <c r="D131" s="178" t="s">
        <v>78</v>
      </c>
      <c r="E131" s="181"/>
      <c r="F131" s="179">
        <v>50</v>
      </c>
      <c r="G131" s="180">
        <v>65</v>
      </c>
      <c r="H131" s="179">
        <v>15</v>
      </c>
      <c r="I131" s="195">
        <f t="shared" si="4"/>
        <v>5.54099467028796</v>
      </c>
      <c r="J131" s="196">
        <f t="shared" si="5"/>
        <v>12.1986895203259</v>
      </c>
      <c r="K131" s="172">
        <f t="shared" si="6"/>
        <v>147.739684190614</v>
      </c>
      <c r="L131" s="172">
        <f t="shared" si="7"/>
        <v>0</v>
      </c>
      <c r="M131" s="193"/>
      <c r="N131" s="193"/>
      <c r="O131" s="198"/>
      <c r="P131" s="181">
        <v>7.228</v>
      </c>
    </row>
    <row r="132" s="162" customFormat="1" ht="31.5" outlineLevel="1" spans="1:16">
      <c r="A132" s="178">
        <v>6</v>
      </c>
      <c r="B132" s="177" t="s">
        <v>83</v>
      </c>
      <c r="C132" s="177" t="s">
        <v>117</v>
      </c>
      <c r="D132" s="178" t="s">
        <v>78</v>
      </c>
      <c r="E132" s="181"/>
      <c r="F132" s="179">
        <v>50</v>
      </c>
      <c r="G132" s="180">
        <v>65</v>
      </c>
      <c r="H132" s="179">
        <v>15</v>
      </c>
      <c r="I132" s="195">
        <f t="shared" si="4"/>
        <v>5.54099467028796</v>
      </c>
      <c r="J132" s="196">
        <f t="shared" si="5"/>
        <v>12.1986895203259</v>
      </c>
      <c r="K132" s="172">
        <f t="shared" si="6"/>
        <v>147.739684190614</v>
      </c>
      <c r="L132" s="172">
        <f t="shared" si="7"/>
        <v>0</v>
      </c>
      <c r="M132" s="193"/>
      <c r="N132" s="193"/>
      <c r="O132" s="198"/>
      <c r="P132" s="181">
        <v>60.228</v>
      </c>
    </row>
    <row r="133" s="162" customFormat="1" ht="31.5" outlineLevel="1" spans="1:16">
      <c r="A133" s="178">
        <v>7</v>
      </c>
      <c r="B133" s="177" t="s">
        <v>157</v>
      </c>
      <c r="C133" s="177" t="s">
        <v>158</v>
      </c>
      <c r="D133" s="178" t="s">
        <v>78</v>
      </c>
      <c r="E133" s="181"/>
      <c r="F133" s="179">
        <v>50</v>
      </c>
      <c r="G133" s="180">
        <v>65</v>
      </c>
      <c r="H133" s="179">
        <v>15</v>
      </c>
      <c r="I133" s="195">
        <f t="shared" ref="I133:I196" si="10">((F133+G133+H133)*0.06)*0.7103839320882</f>
        <v>5.54099467028796</v>
      </c>
      <c r="J133" s="196">
        <f t="shared" si="5"/>
        <v>12.1986895203259</v>
      </c>
      <c r="K133" s="172">
        <f t="shared" si="6"/>
        <v>147.739684190614</v>
      </c>
      <c r="L133" s="172">
        <f t="shared" si="7"/>
        <v>0</v>
      </c>
      <c r="M133" s="193"/>
      <c r="N133" s="193"/>
      <c r="O133" s="198"/>
      <c r="P133" s="181">
        <v>29.1349999999999</v>
      </c>
    </row>
    <row r="134" s="162" customFormat="1" ht="31.5" outlineLevel="1" spans="1:16">
      <c r="A134" s="178">
        <v>8</v>
      </c>
      <c r="B134" s="177" t="s">
        <v>153</v>
      </c>
      <c r="C134" s="177" t="s">
        <v>159</v>
      </c>
      <c r="D134" s="178" t="s">
        <v>78</v>
      </c>
      <c r="E134" s="181"/>
      <c r="F134" s="179">
        <v>50</v>
      </c>
      <c r="G134" s="180">
        <v>65</v>
      </c>
      <c r="H134" s="179">
        <v>15</v>
      </c>
      <c r="I134" s="195">
        <f t="shared" si="10"/>
        <v>5.54099467028796</v>
      </c>
      <c r="J134" s="196">
        <f t="shared" ref="J134:J197" si="11">(F134+G134+H134+I134)*0.09</f>
        <v>12.1986895203259</v>
      </c>
      <c r="K134" s="172">
        <f t="shared" ref="K134:K197" si="12">F134+G134+H134+I134+J134</f>
        <v>147.739684190614</v>
      </c>
      <c r="L134" s="172">
        <f t="shared" ref="L134:L197" si="13">K134*E134</f>
        <v>0</v>
      </c>
      <c r="M134" s="193"/>
      <c r="N134" s="193"/>
      <c r="O134" s="198"/>
      <c r="P134" s="181">
        <v>281.563</v>
      </c>
    </row>
    <row r="135" s="162" customFormat="1" ht="31.5" outlineLevel="1" spans="1:16">
      <c r="A135" s="178">
        <v>9</v>
      </c>
      <c r="B135" s="177" t="s">
        <v>83</v>
      </c>
      <c r="C135" s="177" t="s">
        <v>169</v>
      </c>
      <c r="D135" s="178" t="s">
        <v>78</v>
      </c>
      <c r="E135" s="181"/>
      <c r="F135" s="179">
        <v>50</v>
      </c>
      <c r="G135" s="180">
        <v>65</v>
      </c>
      <c r="H135" s="179">
        <v>15</v>
      </c>
      <c r="I135" s="195">
        <f t="shared" si="10"/>
        <v>5.54099467028796</v>
      </c>
      <c r="J135" s="196">
        <f t="shared" si="11"/>
        <v>12.1986895203259</v>
      </c>
      <c r="K135" s="172">
        <f t="shared" si="12"/>
        <v>147.739684190614</v>
      </c>
      <c r="L135" s="172">
        <f t="shared" si="13"/>
        <v>0</v>
      </c>
      <c r="M135" s="193"/>
      <c r="N135" s="193"/>
      <c r="O135" s="198"/>
      <c r="P135" s="181">
        <v>22.585</v>
      </c>
    </row>
    <row r="136" s="162" customFormat="1" ht="11.25" spans="1:16">
      <c r="A136" s="175" t="s">
        <v>180</v>
      </c>
      <c r="B136" s="176" t="s">
        <v>181</v>
      </c>
      <c r="C136" s="177" t="s">
        <v>182</v>
      </c>
      <c r="D136" s="178"/>
      <c r="E136" s="200"/>
      <c r="F136" s="199"/>
      <c r="G136" s="192"/>
      <c r="H136" s="179"/>
      <c r="I136" s="195">
        <f t="shared" si="10"/>
        <v>0</v>
      </c>
      <c r="J136" s="196"/>
      <c r="K136" s="172"/>
      <c r="L136" s="172"/>
      <c r="M136" s="193"/>
      <c r="N136" s="193"/>
      <c r="O136" s="198"/>
      <c r="P136" s="200"/>
    </row>
    <row r="137" s="162" customFormat="1" ht="52.5" outlineLevel="1" spans="1:16">
      <c r="A137" s="175">
        <v>1</v>
      </c>
      <c r="B137" s="177" t="s">
        <v>73</v>
      </c>
      <c r="C137" s="177" t="s">
        <v>74</v>
      </c>
      <c r="D137" s="178" t="s">
        <v>75</v>
      </c>
      <c r="E137" s="200"/>
      <c r="F137" s="199"/>
      <c r="G137" s="192"/>
      <c r="H137" s="179">
        <v>8.5</v>
      </c>
      <c r="I137" s="195">
        <f t="shared" si="10"/>
        <v>0.362295805364982</v>
      </c>
      <c r="J137" s="196">
        <f t="shared" si="11"/>
        <v>0.797606622482848</v>
      </c>
      <c r="K137" s="172">
        <f t="shared" si="12"/>
        <v>9.65990242784783</v>
      </c>
      <c r="L137" s="172">
        <f t="shared" si="13"/>
        <v>0</v>
      </c>
      <c r="M137" s="193"/>
      <c r="N137" s="193"/>
      <c r="O137" s="198"/>
      <c r="P137" s="200">
        <v>6.51728</v>
      </c>
    </row>
    <row r="138" s="162" customFormat="1" ht="63" outlineLevel="1" spans="1:16">
      <c r="A138" s="175">
        <v>2</v>
      </c>
      <c r="B138" s="177" t="s">
        <v>162</v>
      </c>
      <c r="C138" s="177" t="s">
        <v>163</v>
      </c>
      <c r="D138" s="178" t="s">
        <v>75</v>
      </c>
      <c r="E138" s="181"/>
      <c r="F138" s="199"/>
      <c r="G138" s="192"/>
      <c r="H138" s="179">
        <v>10</v>
      </c>
      <c r="I138" s="195">
        <f t="shared" si="10"/>
        <v>0.42623035925292</v>
      </c>
      <c r="J138" s="196">
        <f t="shared" si="11"/>
        <v>0.938360732332763</v>
      </c>
      <c r="K138" s="172">
        <f t="shared" si="12"/>
        <v>11.3645910915857</v>
      </c>
      <c r="L138" s="172">
        <f t="shared" si="13"/>
        <v>0</v>
      </c>
      <c r="M138" s="193"/>
      <c r="N138" s="193"/>
      <c r="O138" s="198"/>
      <c r="P138" s="181">
        <v>1.34128</v>
      </c>
    </row>
    <row r="139" s="162" customFormat="1" ht="21" outlineLevel="1" spans="1:16">
      <c r="A139" s="175">
        <v>3</v>
      </c>
      <c r="B139" s="177" t="s">
        <v>76</v>
      </c>
      <c r="C139" s="177" t="s">
        <v>109</v>
      </c>
      <c r="D139" s="178" t="s">
        <v>78</v>
      </c>
      <c r="E139" s="181"/>
      <c r="F139" s="179">
        <v>0.5</v>
      </c>
      <c r="G139" s="180"/>
      <c r="H139" s="179">
        <v>2.5</v>
      </c>
      <c r="I139" s="195">
        <f t="shared" si="10"/>
        <v>0.127869107775876</v>
      </c>
      <c r="J139" s="196">
        <f t="shared" si="11"/>
        <v>0.281508219699829</v>
      </c>
      <c r="K139" s="172">
        <f t="shared" si="12"/>
        <v>3.4093773274757</v>
      </c>
      <c r="L139" s="172">
        <f t="shared" si="13"/>
        <v>0</v>
      </c>
      <c r="M139" s="193"/>
      <c r="N139" s="193"/>
      <c r="O139" s="198"/>
      <c r="P139" s="181">
        <v>47.6</v>
      </c>
    </row>
    <row r="140" s="162" customFormat="1" ht="52.5" outlineLevel="1" spans="1:16">
      <c r="A140" s="175">
        <v>4</v>
      </c>
      <c r="B140" s="177" t="s">
        <v>81</v>
      </c>
      <c r="C140" s="177" t="s">
        <v>183</v>
      </c>
      <c r="D140" s="178" t="s">
        <v>75</v>
      </c>
      <c r="E140" s="181"/>
      <c r="F140" s="179">
        <v>55</v>
      </c>
      <c r="G140" s="180">
        <v>445</v>
      </c>
      <c r="H140" s="179">
        <v>15</v>
      </c>
      <c r="I140" s="195">
        <f t="shared" si="10"/>
        <v>21.9508635015254</v>
      </c>
      <c r="J140" s="196">
        <f t="shared" si="11"/>
        <v>48.3255777151373</v>
      </c>
      <c r="K140" s="172">
        <f t="shared" si="12"/>
        <v>585.276441216663</v>
      </c>
      <c r="L140" s="172">
        <f t="shared" si="13"/>
        <v>0</v>
      </c>
      <c r="M140" s="193"/>
      <c r="N140" s="193"/>
      <c r="O140" s="198"/>
      <c r="P140" s="181">
        <f>(1.4*3.4*0.1+0.1*2*0.1)*10</f>
        <v>4.96</v>
      </c>
    </row>
    <row r="141" s="162" customFormat="1" ht="21" outlineLevel="1" spans="1:16">
      <c r="A141" s="175">
        <v>5</v>
      </c>
      <c r="B141" s="177" t="s">
        <v>184</v>
      </c>
      <c r="C141" s="177" t="s">
        <v>185</v>
      </c>
      <c r="D141" s="178" t="s">
        <v>75</v>
      </c>
      <c r="E141" s="181"/>
      <c r="F141" s="181">
        <v>220</v>
      </c>
      <c r="G141" s="181">
        <v>260</v>
      </c>
      <c r="H141" s="181">
        <v>85</v>
      </c>
      <c r="I141" s="195">
        <f t="shared" si="10"/>
        <v>24.08201529779</v>
      </c>
      <c r="J141" s="196">
        <f t="shared" si="11"/>
        <v>53.0173813768011</v>
      </c>
      <c r="K141" s="172">
        <f t="shared" si="12"/>
        <v>642.099396674591</v>
      </c>
      <c r="L141" s="172">
        <f t="shared" si="13"/>
        <v>0</v>
      </c>
      <c r="M141" s="193"/>
      <c r="N141" s="193"/>
      <c r="O141" s="198"/>
      <c r="P141" s="181">
        <f>(1.2+3+1.2)*0.04*0.1*10</f>
        <v>0.216</v>
      </c>
    </row>
    <row r="142" s="162" customFormat="1" ht="42" outlineLevel="1" spans="1:16">
      <c r="A142" s="175">
        <v>6</v>
      </c>
      <c r="B142" s="177" t="s">
        <v>186</v>
      </c>
      <c r="C142" s="177" t="s">
        <v>164</v>
      </c>
      <c r="D142" s="178" t="s">
        <v>78</v>
      </c>
      <c r="E142" s="200"/>
      <c r="F142" s="179">
        <v>55</v>
      </c>
      <c r="G142" s="180">
        <v>492</v>
      </c>
      <c r="H142" s="179">
        <v>15</v>
      </c>
      <c r="I142" s="195">
        <f t="shared" si="10"/>
        <v>23.9541461900141</v>
      </c>
      <c r="J142" s="196">
        <f t="shared" si="11"/>
        <v>52.7358731571013</v>
      </c>
      <c r="K142" s="172">
        <f t="shared" si="12"/>
        <v>638.690019347115</v>
      </c>
      <c r="L142" s="172">
        <f t="shared" si="13"/>
        <v>0</v>
      </c>
      <c r="M142" s="193"/>
      <c r="N142" s="193"/>
      <c r="O142" s="198"/>
      <c r="P142" s="200">
        <v>1.8104</v>
      </c>
    </row>
    <row r="143" s="162" customFormat="1" ht="42" outlineLevel="1" spans="1:16">
      <c r="A143" s="175">
        <v>7</v>
      </c>
      <c r="B143" s="177" t="s">
        <v>187</v>
      </c>
      <c r="C143" s="177" t="s">
        <v>188</v>
      </c>
      <c r="D143" s="178" t="s">
        <v>78</v>
      </c>
      <c r="E143" s="200"/>
      <c r="F143" s="199">
        <v>45</v>
      </c>
      <c r="G143" s="192">
        <v>50</v>
      </c>
      <c r="H143" s="179">
        <v>15</v>
      </c>
      <c r="I143" s="195">
        <f t="shared" si="10"/>
        <v>4.68853395178212</v>
      </c>
      <c r="J143" s="196">
        <f t="shared" si="11"/>
        <v>10.3219680556604</v>
      </c>
      <c r="K143" s="172">
        <f t="shared" si="12"/>
        <v>125.010502007443</v>
      </c>
      <c r="L143" s="172">
        <f t="shared" si="13"/>
        <v>0</v>
      </c>
      <c r="M143" s="193"/>
      <c r="N143" s="193"/>
      <c r="O143" s="198"/>
      <c r="P143" s="200">
        <v>47.98</v>
      </c>
    </row>
    <row r="144" s="162" customFormat="1" ht="31.5" outlineLevel="1" spans="1:16">
      <c r="A144" s="175">
        <v>8</v>
      </c>
      <c r="B144" s="177" t="s">
        <v>189</v>
      </c>
      <c r="C144" s="177" t="s">
        <v>190</v>
      </c>
      <c r="D144" s="178" t="s">
        <v>78</v>
      </c>
      <c r="E144" s="200"/>
      <c r="F144" s="199">
        <v>15</v>
      </c>
      <c r="G144" s="192">
        <v>15</v>
      </c>
      <c r="H144" s="179"/>
      <c r="I144" s="195">
        <f t="shared" si="10"/>
        <v>1.27869107775876</v>
      </c>
      <c r="J144" s="196">
        <f t="shared" si="11"/>
        <v>2.81508219699829</v>
      </c>
      <c r="K144" s="172">
        <f t="shared" si="12"/>
        <v>34.093773274757</v>
      </c>
      <c r="L144" s="172">
        <f t="shared" si="13"/>
        <v>0</v>
      </c>
      <c r="M144" s="193"/>
      <c r="N144" s="193"/>
      <c r="O144" s="198"/>
      <c r="P144" s="200">
        <v>14.432</v>
      </c>
    </row>
    <row r="145" s="162" customFormat="1" ht="31.5" outlineLevel="1" spans="1:16">
      <c r="A145" s="175">
        <v>9</v>
      </c>
      <c r="B145" s="177" t="s">
        <v>191</v>
      </c>
      <c r="C145" s="177" t="s">
        <v>192</v>
      </c>
      <c r="D145" s="178" t="s">
        <v>193</v>
      </c>
      <c r="E145" s="200"/>
      <c r="F145" s="202">
        <v>15</v>
      </c>
      <c r="G145" s="202">
        <v>380</v>
      </c>
      <c r="H145" s="179">
        <v>15</v>
      </c>
      <c r="I145" s="195">
        <f t="shared" si="10"/>
        <v>17.4754447293697</v>
      </c>
      <c r="J145" s="196">
        <f t="shared" si="11"/>
        <v>38.4727900256433</v>
      </c>
      <c r="K145" s="172">
        <f t="shared" si="12"/>
        <v>465.948234755013</v>
      </c>
      <c r="L145" s="172">
        <f t="shared" si="13"/>
        <v>0</v>
      </c>
      <c r="M145" s="193"/>
      <c r="N145" s="193"/>
      <c r="O145" s="198"/>
      <c r="P145" s="200">
        <v>10</v>
      </c>
    </row>
    <row r="146" s="162" customFormat="1" ht="11.25" spans="1:16">
      <c r="A146" s="175" t="s">
        <v>194</v>
      </c>
      <c r="B146" s="176" t="s">
        <v>195</v>
      </c>
      <c r="C146" s="177"/>
      <c r="D146" s="178"/>
      <c r="E146" s="200"/>
      <c r="F146" s="203"/>
      <c r="G146" s="203"/>
      <c r="H146" s="203"/>
      <c r="I146" s="195">
        <f t="shared" si="10"/>
        <v>0</v>
      </c>
      <c r="J146" s="196"/>
      <c r="K146" s="172"/>
      <c r="L146" s="172"/>
      <c r="M146" s="193"/>
      <c r="N146" s="193"/>
      <c r="O146" s="198"/>
      <c r="P146" s="200"/>
    </row>
    <row r="147" s="162" customFormat="1" ht="31.5" outlineLevel="1" spans="1:16">
      <c r="A147" s="178">
        <v>1</v>
      </c>
      <c r="B147" s="177" t="s">
        <v>76</v>
      </c>
      <c r="C147" s="177" t="s">
        <v>196</v>
      </c>
      <c r="D147" s="178" t="s">
        <v>78</v>
      </c>
      <c r="E147" s="181"/>
      <c r="F147" s="179">
        <v>0.5</v>
      </c>
      <c r="G147" s="180"/>
      <c r="H147" s="179">
        <v>2.5</v>
      </c>
      <c r="I147" s="195">
        <f t="shared" si="10"/>
        <v>0.127869107775876</v>
      </c>
      <c r="J147" s="196">
        <f t="shared" si="11"/>
        <v>0.281508219699829</v>
      </c>
      <c r="K147" s="172">
        <f t="shared" si="12"/>
        <v>3.4093773274757</v>
      </c>
      <c r="L147" s="172">
        <f t="shared" si="13"/>
        <v>0</v>
      </c>
      <c r="M147" s="193"/>
      <c r="N147" s="193"/>
      <c r="O147" s="198"/>
      <c r="P147" s="181">
        <v>9.5472</v>
      </c>
    </row>
    <row r="148" s="162" customFormat="1" ht="42" outlineLevel="1" spans="1:16">
      <c r="A148" s="175">
        <v>2</v>
      </c>
      <c r="B148" s="177" t="s">
        <v>81</v>
      </c>
      <c r="C148" s="177" t="s">
        <v>164</v>
      </c>
      <c r="D148" s="178" t="s">
        <v>75</v>
      </c>
      <c r="E148" s="181"/>
      <c r="F148" s="179">
        <v>55</v>
      </c>
      <c r="G148" s="180">
        <v>445</v>
      </c>
      <c r="H148" s="179">
        <v>15</v>
      </c>
      <c r="I148" s="195">
        <f t="shared" si="10"/>
        <v>21.9508635015254</v>
      </c>
      <c r="J148" s="196">
        <f t="shared" si="11"/>
        <v>48.3255777151373</v>
      </c>
      <c r="K148" s="172">
        <f t="shared" si="12"/>
        <v>585.276441216663</v>
      </c>
      <c r="L148" s="172">
        <f t="shared" si="13"/>
        <v>0</v>
      </c>
      <c r="M148" s="192"/>
      <c r="N148" s="193"/>
      <c r="O148" s="198"/>
      <c r="P148" s="181">
        <v>0.95472</v>
      </c>
    </row>
    <row r="149" s="162" customFormat="1" ht="31.5" outlineLevel="1" spans="1:16">
      <c r="A149" s="178">
        <v>3</v>
      </c>
      <c r="B149" s="177" t="s">
        <v>197</v>
      </c>
      <c r="C149" s="177" t="s">
        <v>198</v>
      </c>
      <c r="D149" s="178" t="s">
        <v>78</v>
      </c>
      <c r="E149" s="181"/>
      <c r="F149" s="179">
        <v>50</v>
      </c>
      <c r="G149" s="180">
        <v>65</v>
      </c>
      <c r="H149" s="179">
        <v>15</v>
      </c>
      <c r="I149" s="195">
        <f t="shared" si="10"/>
        <v>5.54099467028796</v>
      </c>
      <c r="J149" s="196">
        <f t="shared" si="11"/>
        <v>12.1986895203259</v>
      </c>
      <c r="K149" s="172">
        <f t="shared" si="12"/>
        <v>147.739684190614</v>
      </c>
      <c r="L149" s="172">
        <f t="shared" si="13"/>
        <v>0</v>
      </c>
      <c r="M149" s="192"/>
      <c r="N149" s="193"/>
      <c r="O149" s="198"/>
      <c r="P149" s="181">
        <v>12.48</v>
      </c>
    </row>
    <row r="150" s="162" customFormat="1" ht="11.25" spans="1:16">
      <c r="A150" s="175" t="s">
        <v>199</v>
      </c>
      <c r="B150" s="176" t="s">
        <v>200</v>
      </c>
      <c r="C150" s="177"/>
      <c r="D150" s="178"/>
      <c r="E150" s="181"/>
      <c r="F150" s="203"/>
      <c r="G150" s="203"/>
      <c r="H150" s="203"/>
      <c r="I150" s="195">
        <f t="shared" si="10"/>
        <v>0</v>
      </c>
      <c r="J150" s="196"/>
      <c r="K150" s="172"/>
      <c r="L150" s="172"/>
      <c r="M150" s="192"/>
      <c r="N150" s="193"/>
      <c r="O150" s="198"/>
      <c r="P150" s="181"/>
    </row>
    <row r="151" s="162" customFormat="1" ht="52.5" outlineLevel="1" spans="1:16">
      <c r="A151" s="178">
        <v>1</v>
      </c>
      <c r="B151" s="177" t="s">
        <v>73</v>
      </c>
      <c r="C151" s="177" t="s">
        <v>74</v>
      </c>
      <c r="D151" s="178" t="s">
        <v>75</v>
      </c>
      <c r="E151" s="200">
        <f t="shared" ref="E151:E166" si="14">P151*118.8/427</f>
        <v>87.7999629751757</v>
      </c>
      <c r="F151" s="203"/>
      <c r="G151" s="203"/>
      <c r="H151" s="179">
        <v>8.5</v>
      </c>
      <c r="I151" s="195">
        <f t="shared" si="10"/>
        <v>0.362295805364982</v>
      </c>
      <c r="J151" s="196">
        <f t="shared" si="11"/>
        <v>0.797606622482848</v>
      </c>
      <c r="K151" s="172">
        <f t="shared" si="12"/>
        <v>9.65990242784783</v>
      </c>
      <c r="L151" s="172">
        <f t="shared" si="13"/>
        <v>848.139075508849</v>
      </c>
      <c r="M151" s="192"/>
      <c r="N151" s="193"/>
      <c r="O151" s="198"/>
      <c r="P151" s="200">
        <v>315.577308</v>
      </c>
    </row>
    <row r="152" s="162" customFormat="1" ht="63" outlineLevel="1" spans="1:16">
      <c r="A152" s="178">
        <v>2</v>
      </c>
      <c r="B152" s="177" t="s">
        <v>162</v>
      </c>
      <c r="C152" s="177" t="s">
        <v>163</v>
      </c>
      <c r="D152" s="178" t="s">
        <v>75</v>
      </c>
      <c r="E152" s="200">
        <f t="shared" si="14"/>
        <v>29.9098182277096</v>
      </c>
      <c r="F152" s="203"/>
      <c r="G152" s="203"/>
      <c r="H152" s="179">
        <v>10</v>
      </c>
      <c r="I152" s="195">
        <f t="shared" si="10"/>
        <v>0.42623035925292</v>
      </c>
      <c r="J152" s="196">
        <f t="shared" si="11"/>
        <v>0.938360732332763</v>
      </c>
      <c r="K152" s="172">
        <f t="shared" si="12"/>
        <v>11.3645910915857</v>
      </c>
      <c r="L152" s="172">
        <f t="shared" si="13"/>
        <v>339.912853781576</v>
      </c>
      <c r="M152" s="192"/>
      <c r="N152" s="193"/>
      <c r="O152" s="198"/>
      <c r="P152" s="181">
        <v>107.50414464</v>
      </c>
    </row>
    <row r="153" s="162" customFormat="1" ht="21" outlineLevel="1" spans="1:16">
      <c r="A153" s="178">
        <v>3</v>
      </c>
      <c r="B153" s="177" t="s">
        <v>76</v>
      </c>
      <c r="C153" s="177" t="s">
        <v>109</v>
      </c>
      <c r="D153" s="178" t="s">
        <v>78</v>
      </c>
      <c r="E153" s="200">
        <f t="shared" si="14"/>
        <v>87.5833997564403</v>
      </c>
      <c r="F153" s="179">
        <v>0.5</v>
      </c>
      <c r="G153" s="180"/>
      <c r="H153" s="179">
        <v>2.5</v>
      </c>
      <c r="I153" s="195">
        <f t="shared" si="10"/>
        <v>0.127869107775876</v>
      </c>
      <c r="J153" s="196">
        <f t="shared" si="11"/>
        <v>0.281508219699829</v>
      </c>
      <c r="K153" s="172">
        <f t="shared" si="12"/>
        <v>3.4093773274757</v>
      </c>
      <c r="L153" s="172">
        <f t="shared" si="13"/>
        <v>298.604857392848</v>
      </c>
      <c r="M153" s="192"/>
      <c r="N153" s="193"/>
      <c r="O153" s="198"/>
      <c r="P153" s="181">
        <v>314.79892</v>
      </c>
    </row>
    <row r="154" s="162" customFormat="1" ht="21" outlineLevel="1" spans="1:16">
      <c r="A154" s="178">
        <v>4</v>
      </c>
      <c r="B154" s="177" t="s">
        <v>79</v>
      </c>
      <c r="C154" s="177" t="s">
        <v>201</v>
      </c>
      <c r="D154" s="178" t="s">
        <v>75</v>
      </c>
      <c r="E154" s="200">
        <f t="shared" si="14"/>
        <v>13.137509963466</v>
      </c>
      <c r="F154" s="179">
        <v>10</v>
      </c>
      <c r="G154" s="180">
        <v>95</v>
      </c>
      <c r="H154" s="179">
        <v>15</v>
      </c>
      <c r="I154" s="195">
        <f t="shared" si="10"/>
        <v>5.11476431103504</v>
      </c>
      <c r="J154" s="196">
        <f t="shared" si="11"/>
        <v>11.2603287879932</v>
      </c>
      <c r="K154" s="172">
        <f t="shared" si="12"/>
        <v>136.375093099028</v>
      </c>
      <c r="L154" s="172">
        <f t="shared" si="13"/>
        <v>1791.62914435709</v>
      </c>
      <c r="M154" s="192"/>
      <c r="N154" s="193"/>
      <c r="O154" s="198"/>
      <c r="P154" s="181">
        <v>47.219838</v>
      </c>
    </row>
    <row r="155" s="162" customFormat="1" ht="42" outlineLevel="1" spans="1:16">
      <c r="A155" s="178">
        <v>5</v>
      </c>
      <c r="B155" s="177" t="s">
        <v>81</v>
      </c>
      <c r="C155" s="177" t="s">
        <v>202</v>
      </c>
      <c r="D155" s="178" t="s">
        <v>75</v>
      </c>
      <c r="E155" s="200">
        <f t="shared" si="14"/>
        <v>8.75833997564403</v>
      </c>
      <c r="F155" s="179">
        <v>55</v>
      </c>
      <c r="G155" s="180">
        <v>445</v>
      </c>
      <c r="H155" s="179">
        <v>15</v>
      </c>
      <c r="I155" s="195">
        <f t="shared" si="10"/>
        <v>21.9508635015254</v>
      </c>
      <c r="J155" s="196">
        <f t="shared" si="11"/>
        <v>48.3255777151373</v>
      </c>
      <c r="K155" s="172">
        <f t="shared" si="12"/>
        <v>585.276441216663</v>
      </c>
      <c r="L155" s="172">
        <f t="shared" si="13"/>
        <v>5126.05005191057</v>
      </c>
      <c r="M155" s="192"/>
      <c r="N155" s="193"/>
      <c r="O155" s="198"/>
      <c r="P155" s="181">
        <v>31.479892</v>
      </c>
    </row>
    <row r="156" s="162" customFormat="1" ht="42" outlineLevel="1" spans="1:16">
      <c r="A156" s="178">
        <v>6</v>
      </c>
      <c r="B156" s="177" t="s">
        <v>203</v>
      </c>
      <c r="C156" s="177" t="s">
        <v>204</v>
      </c>
      <c r="D156" s="178" t="s">
        <v>75</v>
      </c>
      <c r="E156" s="200">
        <f t="shared" si="14"/>
        <v>13.2661508880562</v>
      </c>
      <c r="F156" s="179">
        <v>200</v>
      </c>
      <c r="G156" s="180">
        <v>485</v>
      </c>
      <c r="H156" s="179">
        <v>180</v>
      </c>
      <c r="I156" s="195">
        <f t="shared" si="10"/>
        <v>36.8689260753776</v>
      </c>
      <c r="J156" s="196">
        <f t="shared" si="11"/>
        <v>81.168203346784</v>
      </c>
      <c r="K156" s="172">
        <f t="shared" si="12"/>
        <v>983.037129422162</v>
      </c>
      <c r="L156" s="172">
        <f t="shared" si="13"/>
        <v>13041.118887476</v>
      </c>
      <c r="M156" s="193"/>
      <c r="N156" s="193"/>
      <c r="O156" s="198"/>
      <c r="P156" s="181">
        <v>47.682209</v>
      </c>
    </row>
    <row r="157" s="162" customFormat="1" ht="42" outlineLevel="1" spans="1:16">
      <c r="A157" s="178">
        <v>7</v>
      </c>
      <c r="B157" s="177" t="s">
        <v>205</v>
      </c>
      <c r="C157" s="177" t="s">
        <v>204</v>
      </c>
      <c r="D157" s="178" t="s">
        <v>75</v>
      </c>
      <c r="E157" s="200">
        <f t="shared" si="14"/>
        <v>14.5177495081967</v>
      </c>
      <c r="F157" s="179">
        <v>200</v>
      </c>
      <c r="G157" s="180">
        <v>485</v>
      </c>
      <c r="H157" s="179">
        <v>180</v>
      </c>
      <c r="I157" s="195">
        <f t="shared" si="10"/>
        <v>36.8689260753776</v>
      </c>
      <c r="J157" s="196">
        <f t="shared" si="11"/>
        <v>81.168203346784</v>
      </c>
      <c r="K157" s="172">
        <f t="shared" si="12"/>
        <v>983.037129422162</v>
      </c>
      <c r="L157" s="172">
        <f t="shared" si="13"/>
        <v>14271.4868022077</v>
      </c>
      <c r="M157" s="193"/>
      <c r="N157" s="193"/>
      <c r="O157" s="198"/>
      <c r="P157" s="181">
        <v>52.1808</v>
      </c>
    </row>
    <row r="158" s="162" customFormat="1" ht="42" outlineLevel="1" spans="1:16">
      <c r="A158" s="178">
        <v>8</v>
      </c>
      <c r="B158" s="177" t="s">
        <v>206</v>
      </c>
      <c r="C158" s="177" t="s">
        <v>207</v>
      </c>
      <c r="D158" s="178" t="s">
        <v>75</v>
      </c>
      <c r="E158" s="200">
        <f t="shared" si="14"/>
        <v>8.65800066098361</v>
      </c>
      <c r="F158" s="179">
        <v>200</v>
      </c>
      <c r="G158" s="180">
        <v>465</v>
      </c>
      <c r="H158" s="179">
        <v>180</v>
      </c>
      <c r="I158" s="195">
        <f t="shared" si="10"/>
        <v>36.0164653568717</v>
      </c>
      <c r="J158" s="196">
        <f t="shared" si="11"/>
        <v>79.2914818821185</v>
      </c>
      <c r="K158" s="172">
        <f t="shared" si="12"/>
        <v>960.30794723899</v>
      </c>
      <c r="L158" s="172">
        <f t="shared" si="13"/>
        <v>8314.34684194299</v>
      </c>
      <c r="M158" s="192"/>
      <c r="N158" s="193"/>
      <c r="O158" s="198"/>
      <c r="P158" s="181">
        <v>31.1192448</v>
      </c>
    </row>
    <row r="159" s="162" customFormat="1" ht="31.5" outlineLevel="1" spans="1:16">
      <c r="A159" s="178">
        <v>9</v>
      </c>
      <c r="B159" s="177" t="s">
        <v>208</v>
      </c>
      <c r="C159" s="177" t="s">
        <v>209</v>
      </c>
      <c r="D159" s="178" t="s">
        <v>140</v>
      </c>
      <c r="E159" s="200">
        <f t="shared" si="14"/>
        <v>3.4526521679185</v>
      </c>
      <c r="F159" s="179">
        <v>1000</v>
      </c>
      <c r="G159" s="179">
        <v>4600</v>
      </c>
      <c r="H159" s="179">
        <v>200</v>
      </c>
      <c r="I159" s="195">
        <f t="shared" si="10"/>
        <v>247.213608366694</v>
      </c>
      <c r="J159" s="196">
        <f t="shared" si="11"/>
        <v>544.249224753002</v>
      </c>
      <c r="K159" s="172">
        <f t="shared" si="12"/>
        <v>6591.4628331197</v>
      </c>
      <c r="L159" s="172">
        <f t="shared" si="13"/>
        <v>22758.028440525</v>
      </c>
      <c r="M159" s="192"/>
      <c r="N159" s="193"/>
      <c r="O159" s="198"/>
      <c r="P159" s="200">
        <v>12.409785149</v>
      </c>
    </row>
    <row r="160" s="162" customFormat="1" ht="31.5" outlineLevel="1" spans="1:16">
      <c r="A160" s="178">
        <v>10</v>
      </c>
      <c r="B160" s="204" t="s">
        <v>210</v>
      </c>
      <c r="C160" s="177" t="s">
        <v>211</v>
      </c>
      <c r="D160" s="178" t="s">
        <v>75</v>
      </c>
      <c r="E160" s="200">
        <f t="shared" si="14"/>
        <v>12.9695011672131</v>
      </c>
      <c r="F160" s="181">
        <v>220</v>
      </c>
      <c r="G160" s="181">
        <v>260</v>
      </c>
      <c r="H160" s="181">
        <v>85</v>
      </c>
      <c r="I160" s="195">
        <f t="shared" si="10"/>
        <v>24.08201529779</v>
      </c>
      <c r="J160" s="196">
        <f t="shared" si="11"/>
        <v>53.0173813768011</v>
      </c>
      <c r="K160" s="172">
        <f t="shared" si="12"/>
        <v>642.099396674591</v>
      </c>
      <c r="L160" s="172">
        <f t="shared" si="13"/>
        <v>8327.70887463794</v>
      </c>
      <c r="M160" s="192"/>
      <c r="N160" s="193"/>
      <c r="O160" s="198"/>
      <c r="P160" s="200">
        <v>46.615968</v>
      </c>
    </row>
    <row r="161" s="162" customFormat="1" ht="56.25" outlineLevel="1" spans="1:16">
      <c r="A161" s="178">
        <v>11</v>
      </c>
      <c r="B161" s="177" t="s">
        <v>212</v>
      </c>
      <c r="C161" s="205" t="s">
        <v>213</v>
      </c>
      <c r="D161" s="178" t="s">
        <v>75</v>
      </c>
      <c r="E161" s="200">
        <f t="shared" si="14"/>
        <v>6.94794705386417</v>
      </c>
      <c r="F161" s="179">
        <v>200</v>
      </c>
      <c r="G161" s="180">
        <v>465</v>
      </c>
      <c r="H161" s="179">
        <v>180</v>
      </c>
      <c r="I161" s="195">
        <f t="shared" si="10"/>
        <v>36.0164653568717</v>
      </c>
      <c r="J161" s="196">
        <f t="shared" si="11"/>
        <v>79.2914818821185</v>
      </c>
      <c r="K161" s="172">
        <f t="shared" si="12"/>
        <v>960.30794723899</v>
      </c>
      <c r="L161" s="172">
        <f t="shared" si="13"/>
        <v>6672.16877282149</v>
      </c>
      <c r="M161" s="193"/>
      <c r="N161" s="193"/>
      <c r="O161" s="198"/>
      <c r="P161" s="181">
        <v>24.97284</v>
      </c>
    </row>
    <row r="162" s="162" customFormat="1" ht="56.25" outlineLevel="1" spans="1:16">
      <c r="A162" s="178">
        <v>12</v>
      </c>
      <c r="B162" s="177" t="s">
        <v>214</v>
      </c>
      <c r="C162" s="205" t="s">
        <v>215</v>
      </c>
      <c r="D162" s="178" t="s">
        <v>75</v>
      </c>
      <c r="E162" s="200">
        <f t="shared" si="14"/>
        <v>5.32202187540984</v>
      </c>
      <c r="F162" s="179">
        <v>200</v>
      </c>
      <c r="G162" s="180">
        <v>465</v>
      </c>
      <c r="H162" s="179">
        <v>180</v>
      </c>
      <c r="I162" s="195">
        <f t="shared" si="10"/>
        <v>36.0164653568717</v>
      </c>
      <c r="J162" s="196">
        <f t="shared" si="11"/>
        <v>79.2914818821185</v>
      </c>
      <c r="K162" s="172">
        <f t="shared" si="12"/>
        <v>960.30794723899</v>
      </c>
      <c r="L162" s="172">
        <f t="shared" si="13"/>
        <v>5110.77990233582</v>
      </c>
      <c r="M162" s="193"/>
      <c r="N162" s="193"/>
      <c r="O162" s="198"/>
      <c r="P162" s="181">
        <v>19.128816</v>
      </c>
    </row>
    <row r="163" s="162" customFormat="1" ht="67.5" outlineLevel="1" spans="1:16">
      <c r="A163" s="178">
        <v>13</v>
      </c>
      <c r="B163" s="177" t="s">
        <v>216</v>
      </c>
      <c r="C163" s="205" t="s">
        <v>217</v>
      </c>
      <c r="D163" s="178" t="s">
        <v>78</v>
      </c>
      <c r="E163" s="200">
        <f t="shared" si="14"/>
        <v>269.951632693208</v>
      </c>
      <c r="F163" s="179">
        <v>25</v>
      </c>
      <c r="G163" s="179">
        <v>30</v>
      </c>
      <c r="H163" s="179">
        <v>10</v>
      </c>
      <c r="I163" s="195">
        <f t="shared" si="10"/>
        <v>2.77049733514398</v>
      </c>
      <c r="J163" s="196">
        <f t="shared" si="11"/>
        <v>6.09934476016296</v>
      </c>
      <c r="K163" s="172">
        <f t="shared" si="12"/>
        <v>73.869842095307</v>
      </c>
      <c r="L163" s="172">
        <f t="shared" si="13"/>
        <v>19941.2844804176</v>
      </c>
      <c r="M163" s="193"/>
      <c r="N163" s="193"/>
      <c r="O163" s="198"/>
      <c r="P163" s="181">
        <v>970.2807</v>
      </c>
    </row>
    <row r="164" s="162" customFormat="1" ht="42" outlineLevel="1" spans="1:16">
      <c r="A164" s="178">
        <v>14</v>
      </c>
      <c r="B164" s="177" t="s">
        <v>218</v>
      </c>
      <c r="C164" s="177" t="s">
        <v>219</v>
      </c>
      <c r="D164" s="178" t="s">
        <v>78</v>
      </c>
      <c r="E164" s="200">
        <f t="shared" si="14"/>
        <v>15.1480461077283</v>
      </c>
      <c r="F164" s="179">
        <v>55</v>
      </c>
      <c r="G164" s="179">
        <v>120</v>
      </c>
      <c r="H164" s="179">
        <v>15</v>
      </c>
      <c r="I164" s="195">
        <f t="shared" si="10"/>
        <v>8.09837682580548</v>
      </c>
      <c r="J164" s="196">
        <f t="shared" si="11"/>
        <v>17.8288539143225</v>
      </c>
      <c r="K164" s="172">
        <f t="shared" si="12"/>
        <v>215.927230740128</v>
      </c>
      <c r="L164" s="172">
        <f t="shared" si="13"/>
        <v>3270.87564716555</v>
      </c>
      <c r="M164" s="193"/>
      <c r="N164" s="193"/>
      <c r="O164" s="198"/>
      <c r="P164" s="200">
        <v>54.44626</v>
      </c>
    </row>
    <row r="165" s="162" customFormat="1" ht="52.5" outlineLevel="1" spans="1:16">
      <c r="A165" s="178">
        <v>15</v>
      </c>
      <c r="B165" s="177" t="s">
        <v>220</v>
      </c>
      <c r="C165" s="204" t="s">
        <v>221</v>
      </c>
      <c r="D165" s="178" t="s">
        <v>78</v>
      </c>
      <c r="E165" s="200">
        <f t="shared" si="14"/>
        <v>0.986568618266979</v>
      </c>
      <c r="F165" s="179">
        <v>55</v>
      </c>
      <c r="G165" s="179">
        <v>150</v>
      </c>
      <c r="H165" s="179">
        <v>15</v>
      </c>
      <c r="I165" s="195">
        <f t="shared" si="10"/>
        <v>9.37706790356424</v>
      </c>
      <c r="J165" s="196">
        <f t="shared" si="11"/>
        <v>20.6439361113208</v>
      </c>
      <c r="K165" s="172">
        <f t="shared" si="12"/>
        <v>250.021004014885</v>
      </c>
      <c r="L165" s="172">
        <f t="shared" si="13"/>
        <v>246.662876468688</v>
      </c>
      <c r="M165" s="192"/>
      <c r="N165" s="193"/>
      <c r="O165" s="198"/>
      <c r="P165" s="181">
        <v>3.546</v>
      </c>
    </row>
    <row r="166" s="162" customFormat="1" ht="94.5" outlineLevel="1" spans="1:16">
      <c r="A166" s="178">
        <v>16</v>
      </c>
      <c r="B166" s="177" t="s">
        <v>222</v>
      </c>
      <c r="C166" s="177" t="s">
        <v>223</v>
      </c>
      <c r="D166" s="178" t="s">
        <v>89</v>
      </c>
      <c r="E166" s="200">
        <f t="shared" si="14"/>
        <v>118.820866510539</v>
      </c>
      <c r="F166" s="179">
        <v>85</v>
      </c>
      <c r="G166" s="179">
        <v>320</v>
      </c>
      <c r="H166" s="179">
        <v>35</v>
      </c>
      <c r="I166" s="195">
        <f t="shared" si="10"/>
        <v>18.7541358071285</v>
      </c>
      <c r="J166" s="196">
        <f t="shared" si="11"/>
        <v>41.2878722226416</v>
      </c>
      <c r="K166" s="172">
        <f t="shared" si="12"/>
        <v>500.04200802977</v>
      </c>
      <c r="L166" s="172">
        <f t="shared" si="13"/>
        <v>59415.424685767</v>
      </c>
      <c r="M166" s="192"/>
      <c r="N166" s="193"/>
      <c r="O166" s="198"/>
      <c r="P166" s="181">
        <v>427.075</v>
      </c>
    </row>
    <row r="167" s="162" customFormat="1" ht="31.5" outlineLevel="1" spans="1:16">
      <c r="A167" s="178">
        <v>17</v>
      </c>
      <c r="B167" s="177" t="s">
        <v>224</v>
      </c>
      <c r="C167" s="177" t="s">
        <v>225</v>
      </c>
      <c r="D167" s="178" t="s">
        <v>193</v>
      </c>
      <c r="E167" s="200"/>
      <c r="F167" s="179">
        <v>35</v>
      </c>
      <c r="G167" s="179">
        <v>450</v>
      </c>
      <c r="H167" s="179">
        <v>15</v>
      </c>
      <c r="I167" s="195">
        <f t="shared" si="10"/>
        <v>21.311517962646</v>
      </c>
      <c r="J167" s="196">
        <f t="shared" si="11"/>
        <v>46.9180366166381</v>
      </c>
      <c r="K167" s="172">
        <f t="shared" si="12"/>
        <v>568.229554579284</v>
      </c>
      <c r="L167" s="172">
        <f t="shared" si="13"/>
        <v>0</v>
      </c>
      <c r="M167" s="192"/>
      <c r="N167" s="193"/>
      <c r="O167" s="198"/>
      <c r="P167" s="200">
        <v>6</v>
      </c>
    </row>
    <row r="168" s="162" customFormat="1" ht="21" spans="1:16">
      <c r="A168" s="175" t="s">
        <v>226</v>
      </c>
      <c r="B168" s="176" t="s">
        <v>227</v>
      </c>
      <c r="C168" s="177"/>
      <c r="D168" s="178"/>
      <c r="E168" s="181"/>
      <c r="F168" s="206"/>
      <c r="G168" s="206"/>
      <c r="H168" s="206"/>
      <c r="I168" s="195">
        <f t="shared" si="10"/>
        <v>0</v>
      </c>
      <c r="J168" s="196"/>
      <c r="K168" s="172"/>
      <c r="L168" s="172"/>
      <c r="M168" s="192"/>
      <c r="N168" s="193"/>
      <c r="O168" s="198"/>
      <c r="P168" s="181"/>
    </row>
    <row r="169" s="162" customFormat="1" ht="52.5" outlineLevel="1" spans="1:16">
      <c r="A169" s="178">
        <v>1</v>
      </c>
      <c r="B169" s="177" t="s">
        <v>73</v>
      </c>
      <c r="C169" s="177" t="s">
        <v>74</v>
      </c>
      <c r="D169" s="178" t="s">
        <v>75</v>
      </c>
      <c r="E169" s="181"/>
      <c r="F169" s="206"/>
      <c r="G169" s="206"/>
      <c r="H169" s="179">
        <v>8.5</v>
      </c>
      <c r="I169" s="195">
        <f t="shared" si="10"/>
        <v>0.362295805364982</v>
      </c>
      <c r="J169" s="196">
        <f t="shared" si="11"/>
        <v>0.797606622482848</v>
      </c>
      <c r="K169" s="172">
        <f t="shared" si="12"/>
        <v>9.65990242784783</v>
      </c>
      <c r="L169" s="172">
        <f t="shared" si="13"/>
        <v>0</v>
      </c>
      <c r="M169" s="192"/>
      <c r="N169" s="193"/>
      <c r="O169" s="198"/>
      <c r="P169" s="181">
        <v>15.96</v>
      </c>
    </row>
    <row r="170" s="162" customFormat="1" ht="63" outlineLevel="1" spans="1:16">
      <c r="A170" s="178">
        <v>2</v>
      </c>
      <c r="B170" s="177" t="s">
        <v>162</v>
      </c>
      <c r="C170" s="177" t="s">
        <v>163</v>
      </c>
      <c r="D170" s="178" t="s">
        <v>75</v>
      </c>
      <c r="E170" s="181"/>
      <c r="F170" s="206"/>
      <c r="G170" s="206"/>
      <c r="H170" s="179">
        <v>10</v>
      </c>
      <c r="I170" s="195">
        <f t="shared" si="10"/>
        <v>0.42623035925292</v>
      </c>
      <c r="J170" s="196">
        <f t="shared" si="11"/>
        <v>0.938360732332763</v>
      </c>
      <c r="K170" s="172">
        <f t="shared" si="12"/>
        <v>11.3645910915857</v>
      </c>
      <c r="L170" s="172">
        <f t="shared" si="13"/>
        <v>0</v>
      </c>
      <c r="M170" s="192"/>
      <c r="N170" s="193"/>
      <c r="O170" s="198"/>
      <c r="P170" s="181">
        <v>8.88</v>
      </c>
    </row>
    <row r="171" s="162" customFormat="1" ht="21" outlineLevel="1" spans="1:16">
      <c r="A171" s="178">
        <v>3</v>
      </c>
      <c r="B171" s="177" t="s">
        <v>76</v>
      </c>
      <c r="C171" s="177" t="s">
        <v>109</v>
      </c>
      <c r="D171" s="178" t="s">
        <v>78</v>
      </c>
      <c r="E171" s="181"/>
      <c r="F171" s="179">
        <v>0.5</v>
      </c>
      <c r="G171" s="172"/>
      <c r="H171" s="179">
        <v>2.5</v>
      </c>
      <c r="I171" s="195">
        <f t="shared" si="10"/>
        <v>0.127869107775876</v>
      </c>
      <c r="J171" s="196">
        <f t="shared" si="11"/>
        <v>0.281508219699829</v>
      </c>
      <c r="K171" s="172">
        <f t="shared" si="12"/>
        <v>3.4093773274757</v>
      </c>
      <c r="L171" s="172">
        <f t="shared" si="13"/>
        <v>0</v>
      </c>
      <c r="M171" s="193"/>
      <c r="N171" s="193"/>
      <c r="O171" s="198"/>
      <c r="P171" s="181">
        <v>12.768</v>
      </c>
    </row>
    <row r="172" s="162" customFormat="1" ht="21" outlineLevel="1" spans="1:16">
      <c r="A172" s="178">
        <v>4</v>
      </c>
      <c r="B172" s="177" t="s">
        <v>79</v>
      </c>
      <c r="C172" s="177" t="s">
        <v>201</v>
      </c>
      <c r="D172" s="178" t="s">
        <v>75</v>
      </c>
      <c r="E172" s="181"/>
      <c r="F172" s="179">
        <v>10</v>
      </c>
      <c r="G172" s="180">
        <v>95</v>
      </c>
      <c r="H172" s="179">
        <v>15</v>
      </c>
      <c r="I172" s="195">
        <f t="shared" si="10"/>
        <v>5.11476431103504</v>
      </c>
      <c r="J172" s="196">
        <f t="shared" si="11"/>
        <v>11.2603287879932</v>
      </c>
      <c r="K172" s="172">
        <f t="shared" si="12"/>
        <v>136.375093099028</v>
      </c>
      <c r="L172" s="172">
        <f t="shared" si="13"/>
        <v>0</v>
      </c>
      <c r="M172" s="192"/>
      <c r="N172" s="193"/>
      <c r="O172" s="198"/>
      <c r="P172" s="181">
        <v>1.9152</v>
      </c>
    </row>
    <row r="173" s="162" customFormat="1" ht="42" outlineLevel="1" spans="1:16">
      <c r="A173" s="178">
        <v>5</v>
      </c>
      <c r="B173" s="177" t="s">
        <v>81</v>
      </c>
      <c r="C173" s="177" t="s">
        <v>202</v>
      </c>
      <c r="D173" s="178" t="s">
        <v>75</v>
      </c>
      <c r="E173" s="200"/>
      <c r="F173" s="179">
        <v>55</v>
      </c>
      <c r="G173" s="180">
        <v>445</v>
      </c>
      <c r="H173" s="179">
        <v>15</v>
      </c>
      <c r="I173" s="195">
        <f t="shared" si="10"/>
        <v>21.9508635015254</v>
      </c>
      <c r="J173" s="196">
        <f t="shared" si="11"/>
        <v>48.3255777151373</v>
      </c>
      <c r="K173" s="172">
        <f t="shared" si="12"/>
        <v>585.276441216663</v>
      </c>
      <c r="L173" s="172">
        <f t="shared" si="13"/>
        <v>0</v>
      </c>
      <c r="M173" s="192"/>
      <c r="N173" s="193"/>
      <c r="O173" s="198"/>
      <c r="P173" s="200">
        <v>1.2768</v>
      </c>
    </row>
    <row r="174" s="162" customFormat="1" ht="31.5" outlineLevel="1" spans="1:16">
      <c r="A174" s="178">
        <v>6</v>
      </c>
      <c r="B174" s="204" t="s">
        <v>228</v>
      </c>
      <c r="C174" s="177" t="s">
        <v>211</v>
      </c>
      <c r="D174" s="178" t="s">
        <v>75</v>
      </c>
      <c r="E174" s="181"/>
      <c r="F174" s="181">
        <v>220</v>
      </c>
      <c r="G174" s="181">
        <v>260</v>
      </c>
      <c r="H174" s="181">
        <v>85</v>
      </c>
      <c r="I174" s="195">
        <f t="shared" si="10"/>
        <v>24.08201529779</v>
      </c>
      <c r="J174" s="196">
        <f t="shared" si="11"/>
        <v>53.0173813768011</v>
      </c>
      <c r="K174" s="172">
        <f t="shared" si="12"/>
        <v>642.099396674591</v>
      </c>
      <c r="L174" s="172">
        <f t="shared" si="13"/>
        <v>0</v>
      </c>
      <c r="M174" s="193"/>
      <c r="N174" s="193"/>
      <c r="O174" s="198"/>
      <c r="P174" s="181">
        <v>2.800512</v>
      </c>
    </row>
    <row r="175" s="162" customFormat="1" ht="56.25" outlineLevel="1" spans="1:16">
      <c r="A175" s="178">
        <v>7</v>
      </c>
      <c r="B175" s="177" t="s">
        <v>212</v>
      </c>
      <c r="C175" s="205" t="s">
        <v>213</v>
      </c>
      <c r="D175" s="178" t="s">
        <v>75</v>
      </c>
      <c r="E175" s="200"/>
      <c r="F175" s="179">
        <v>200</v>
      </c>
      <c r="G175" s="180">
        <v>465</v>
      </c>
      <c r="H175" s="179">
        <v>180</v>
      </c>
      <c r="I175" s="195">
        <f t="shared" si="10"/>
        <v>36.0164653568717</v>
      </c>
      <c r="J175" s="196">
        <f t="shared" si="11"/>
        <v>79.2914818821185</v>
      </c>
      <c r="K175" s="172">
        <f t="shared" si="12"/>
        <v>960.30794723899</v>
      </c>
      <c r="L175" s="172">
        <f t="shared" si="13"/>
        <v>0</v>
      </c>
      <c r="M175" s="193"/>
      <c r="N175" s="193"/>
      <c r="O175" s="198"/>
      <c r="P175" s="200">
        <v>0.235008</v>
      </c>
    </row>
    <row r="176" s="162" customFormat="1" ht="56.25" outlineLevel="1" spans="1:16">
      <c r="A176" s="178">
        <v>8</v>
      </c>
      <c r="B176" s="177" t="s">
        <v>214</v>
      </c>
      <c r="C176" s="205" t="s">
        <v>215</v>
      </c>
      <c r="D176" s="178" t="s">
        <v>75</v>
      </c>
      <c r="E176" s="200"/>
      <c r="F176" s="179">
        <v>200</v>
      </c>
      <c r="G176" s="180">
        <v>465</v>
      </c>
      <c r="H176" s="179">
        <v>180</v>
      </c>
      <c r="I176" s="195">
        <f t="shared" si="10"/>
        <v>36.0164653568717</v>
      </c>
      <c r="J176" s="196">
        <f t="shared" si="11"/>
        <v>79.2914818821185</v>
      </c>
      <c r="K176" s="172">
        <f t="shared" si="12"/>
        <v>960.30794723899</v>
      </c>
      <c r="L176" s="172">
        <f t="shared" si="13"/>
        <v>0</v>
      </c>
      <c r="M176" s="193"/>
      <c r="N176" s="193"/>
      <c r="O176" s="198"/>
      <c r="P176" s="200">
        <v>2.88</v>
      </c>
    </row>
    <row r="177" s="162" customFormat="1" ht="42" outlineLevel="1" spans="1:16">
      <c r="A177" s="178">
        <v>9</v>
      </c>
      <c r="B177" s="177" t="s">
        <v>206</v>
      </c>
      <c r="C177" s="177" t="s">
        <v>207</v>
      </c>
      <c r="D177" s="178" t="s">
        <v>75</v>
      </c>
      <c r="E177" s="200"/>
      <c r="F177" s="179">
        <v>200</v>
      </c>
      <c r="G177" s="180">
        <v>465</v>
      </c>
      <c r="H177" s="179">
        <v>180</v>
      </c>
      <c r="I177" s="195">
        <f t="shared" si="10"/>
        <v>36.0164653568717</v>
      </c>
      <c r="J177" s="196">
        <f t="shared" si="11"/>
        <v>79.2914818821185</v>
      </c>
      <c r="K177" s="172">
        <f t="shared" si="12"/>
        <v>960.30794723899</v>
      </c>
      <c r="L177" s="172">
        <f t="shared" si="13"/>
        <v>0</v>
      </c>
      <c r="M177" s="193"/>
      <c r="N177" s="193"/>
      <c r="O177" s="198"/>
      <c r="P177" s="200">
        <v>1.42848</v>
      </c>
    </row>
    <row r="178" s="162" customFormat="1" ht="31.5" outlineLevel="1" spans="1:16">
      <c r="A178" s="178">
        <v>10</v>
      </c>
      <c r="B178" s="177" t="s">
        <v>208</v>
      </c>
      <c r="C178" s="177" t="s">
        <v>209</v>
      </c>
      <c r="D178" s="178" t="s">
        <v>140</v>
      </c>
      <c r="E178" s="200"/>
      <c r="F178" s="179">
        <v>1000</v>
      </c>
      <c r="G178" s="179">
        <v>4600</v>
      </c>
      <c r="H178" s="179">
        <v>200</v>
      </c>
      <c r="I178" s="195">
        <f t="shared" si="10"/>
        <v>247.213608366694</v>
      </c>
      <c r="J178" s="196">
        <f t="shared" si="11"/>
        <v>544.249224753002</v>
      </c>
      <c r="K178" s="172">
        <f t="shared" si="12"/>
        <v>6591.4628331197</v>
      </c>
      <c r="L178" s="172">
        <f t="shared" si="13"/>
        <v>0</v>
      </c>
      <c r="M178" s="193"/>
      <c r="N178" s="193"/>
      <c r="O178" s="198"/>
      <c r="P178" s="200">
        <v>0.53875006464</v>
      </c>
    </row>
    <row r="179" s="162" customFormat="1" ht="67.5" outlineLevel="1" spans="1:16">
      <c r="A179" s="178">
        <v>11</v>
      </c>
      <c r="B179" s="177" t="s">
        <v>216</v>
      </c>
      <c r="C179" s="205" t="s">
        <v>229</v>
      </c>
      <c r="D179" s="178" t="s">
        <v>78</v>
      </c>
      <c r="E179" s="200"/>
      <c r="F179" s="179">
        <v>25</v>
      </c>
      <c r="G179" s="179">
        <v>30</v>
      </c>
      <c r="H179" s="179">
        <v>10</v>
      </c>
      <c r="I179" s="195">
        <f t="shared" si="10"/>
        <v>2.77049733514398</v>
      </c>
      <c r="J179" s="196">
        <f t="shared" si="11"/>
        <v>6.09934476016296</v>
      </c>
      <c r="K179" s="172">
        <f t="shared" si="12"/>
        <v>73.869842095307</v>
      </c>
      <c r="L179" s="172">
        <f t="shared" si="13"/>
        <v>0</v>
      </c>
      <c r="M179" s="193"/>
      <c r="N179" s="193"/>
      <c r="O179" s="198"/>
      <c r="P179" s="200">
        <v>14.1</v>
      </c>
    </row>
    <row r="180" s="162" customFormat="1" ht="52.5" outlineLevel="1" spans="1:16">
      <c r="A180" s="178">
        <v>12</v>
      </c>
      <c r="B180" s="177" t="s">
        <v>230</v>
      </c>
      <c r="C180" s="204" t="s">
        <v>231</v>
      </c>
      <c r="D180" s="178" t="s">
        <v>78</v>
      </c>
      <c r="E180" s="200"/>
      <c r="F180" s="179">
        <v>55</v>
      </c>
      <c r="G180" s="179">
        <v>150</v>
      </c>
      <c r="H180" s="179">
        <v>15</v>
      </c>
      <c r="I180" s="195">
        <f t="shared" si="10"/>
        <v>9.37706790356424</v>
      </c>
      <c r="J180" s="196">
        <f t="shared" si="11"/>
        <v>20.6439361113208</v>
      </c>
      <c r="K180" s="172">
        <f t="shared" si="12"/>
        <v>250.021004014885</v>
      </c>
      <c r="L180" s="172">
        <f t="shared" si="13"/>
        <v>0</v>
      </c>
      <c r="M180" s="193"/>
      <c r="N180" s="193"/>
      <c r="O180" s="198"/>
      <c r="P180" s="200">
        <v>5.612</v>
      </c>
    </row>
    <row r="181" s="162" customFormat="1" ht="52.5" outlineLevel="1" spans="1:16">
      <c r="A181" s="178">
        <v>13</v>
      </c>
      <c r="B181" s="177" t="s">
        <v>232</v>
      </c>
      <c r="C181" s="177" t="s">
        <v>233</v>
      </c>
      <c r="D181" s="178" t="s">
        <v>78</v>
      </c>
      <c r="E181" s="200"/>
      <c r="F181" s="179">
        <v>180</v>
      </c>
      <c r="G181" s="179">
        <v>150</v>
      </c>
      <c r="H181" s="179">
        <v>85</v>
      </c>
      <c r="I181" s="195">
        <f t="shared" si="10"/>
        <v>17.6885599089962</v>
      </c>
      <c r="J181" s="196">
        <f t="shared" si="11"/>
        <v>38.9419703918097</v>
      </c>
      <c r="K181" s="172">
        <f t="shared" si="12"/>
        <v>471.630530300806</v>
      </c>
      <c r="L181" s="172">
        <f t="shared" si="13"/>
        <v>0</v>
      </c>
      <c r="M181" s="193"/>
      <c r="N181" s="193"/>
      <c r="O181" s="198"/>
      <c r="P181" s="200">
        <v>14.7288</v>
      </c>
    </row>
    <row r="182" s="162" customFormat="1" ht="52.5" outlineLevel="1" spans="1:16">
      <c r="A182" s="178">
        <v>14</v>
      </c>
      <c r="B182" s="177" t="s">
        <v>234</v>
      </c>
      <c r="C182" s="177" t="s">
        <v>235</v>
      </c>
      <c r="D182" s="178" t="s">
        <v>78</v>
      </c>
      <c r="E182" s="200"/>
      <c r="F182" s="179">
        <v>85</v>
      </c>
      <c r="G182" s="179">
        <v>120</v>
      </c>
      <c r="H182" s="179">
        <v>35</v>
      </c>
      <c r="I182" s="195">
        <f t="shared" si="10"/>
        <v>10.2295286220701</v>
      </c>
      <c r="J182" s="196">
        <f t="shared" si="11"/>
        <v>22.5206575759863</v>
      </c>
      <c r="K182" s="172">
        <f t="shared" si="12"/>
        <v>272.750186198056</v>
      </c>
      <c r="L182" s="172">
        <f t="shared" si="13"/>
        <v>0</v>
      </c>
      <c r="M182" s="193"/>
      <c r="N182" s="193"/>
      <c r="O182" s="198"/>
      <c r="P182" s="200">
        <v>0.9</v>
      </c>
    </row>
    <row r="183" s="162" customFormat="1" ht="145.5" outlineLevel="1" spans="1:16">
      <c r="A183" s="178">
        <v>15</v>
      </c>
      <c r="B183" s="177" t="s">
        <v>236</v>
      </c>
      <c r="C183" s="205" t="s">
        <v>237</v>
      </c>
      <c r="D183" s="191" t="s">
        <v>78</v>
      </c>
      <c r="E183" s="191"/>
      <c r="F183" s="179">
        <v>180</v>
      </c>
      <c r="G183" s="179">
        <v>650</v>
      </c>
      <c r="H183" s="179">
        <v>85</v>
      </c>
      <c r="I183" s="195">
        <f t="shared" si="10"/>
        <v>39.0000778716422</v>
      </c>
      <c r="J183" s="196">
        <f t="shared" si="11"/>
        <v>85.8600070084478</v>
      </c>
      <c r="K183" s="172">
        <f t="shared" si="12"/>
        <v>1039.86008488009</v>
      </c>
      <c r="L183" s="172">
        <f t="shared" si="13"/>
        <v>0</v>
      </c>
      <c r="M183" s="193"/>
      <c r="N183" s="193"/>
      <c r="O183" s="198"/>
      <c r="P183" s="191">
        <v>13.64</v>
      </c>
    </row>
    <row r="184" s="162" customFormat="1" ht="90" outlineLevel="1" spans="1:16">
      <c r="A184" s="178">
        <v>16</v>
      </c>
      <c r="B184" s="177" t="s">
        <v>238</v>
      </c>
      <c r="C184" s="205" t="s">
        <v>239</v>
      </c>
      <c r="D184" s="191" t="s">
        <v>78</v>
      </c>
      <c r="E184" s="191"/>
      <c r="F184" s="179">
        <v>180</v>
      </c>
      <c r="G184" s="179">
        <v>650</v>
      </c>
      <c r="H184" s="179">
        <v>85</v>
      </c>
      <c r="I184" s="195">
        <f t="shared" si="10"/>
        <v>39.0000778716422</v>
      </c>
      <c r="J184" s="196">
        <f t="shared" si="11"/>
        <v>85.8600070084478</v>
      </c>
      <c r="K184" s="172">
        <f t="shared" si="12"/>
        <v>1039.86008488009</v>
      </c>
      <c r="L184" s="172">
        <f t="shared" si="13"/>
        <v>0</v>
      </c>
      <c r="M184" s="193"/>
      <c r="N184" s="193"/>
      <c r="O184" s="198"/>
      <c r="P184" s="191">
        <v>9.84</v>
      </c>
    </row>
    <row r="185" s="162" customFormat="1" ht="56.25" outlineLevel="1" spans="1:16">
      <c r="A185" s="178">
        <v>17</v>
      </c>
      <c r="B185" s="177" t="s">
        <v>240</v>
      </c>
      <c r="C185" s="205" t="s">
        <v>241</v>
      </c>
      <c r="D185" s="191" t="s">
        <v>78</v>
      </c>
      <c r="E185" s="191"/>
      <c r="F185" s="179">
        <v>85</v>
      </c>
      <c r="G185" s="179">
        <v>260</v>
      </c>
      <c r="H185" s="179">
        <v>15</v>
      </c>
      <c r="I185" s="195">
        <f t="shared" si="10"/>
        <v>15.3442929331051</v>
      </c>
      <c r="J185" s="196">
        <f t="shared" si="11"/>
        <v>33.7809863639795</v>
      </c>
      <c r="K185" s="172">
        <f t="shared" si="12"/>
        <v>409.125279297085</v>
      </c>
      <c r="L185" s="172">
        <f t="shared" si="13"/>
        <v>0</v>
      </c>
      <c r="M185" s="193"/>
      <c r="N185" s="193"/>
      <c r="O185" s="198"/>
      <c r="P185" s="191">
        <v>3.84</v>
      </c>
    </row>
    <row r="186" s="162" customFormat="1" ht="11.25" spans="1:16">
      <c r="A186" s="175" t="s">
        <v>242</v>
      </c>
      <c r="B186" s="176" t="s">
        <v>243</v>
      </c>
      <c r="C186" s="177"/>
      <c r="D186" s="178"/>
      <c r="E186" s="200"/>
      <c r="F186" s="206"/>
      <c r="G186" s="206"/>
      <c r="H186" s="206"/>
      <c r="I186" s="195">
        <f t="shared" si="10"/>
        <v>0</v>
      </c>
      <c r="J186" s="196"/>
      <c r="K186" s="172"/>
      <c r="L186" s="172"/>
      <c r="M186" s="193"/>
      <c r="N186" s="193"/>
      <c r="O186" s="198"/>
      <c r="P186" s="200"/>
    </row>
    <row r="187" s="162" customFormat="1" ht="22.5" outlineLevel="1" spans="1:16">
      <c r="A187" s="178">
        <v>1</v>
      </c>
      <c r="B187" s="177" t="s">
        <v>244</v>
      </c>
      <c r="C187" s="205" t="s">
        <v>245</v>
      </c>
      <c r="D187" s="191" t="s">
        <v>78</v>
      </c>
      <c r="E187" s="191"/>
      <c r="F187" s="179">
        <v>55</v>
      </c>
      <c r="G187" s="179">
        <v>65</v>
      </c>
      <c r="H187" s="179">
        <v>15</v>
      </c>
      <c r="I187" s="195">
        <f t="shared" si="10"/>
        <v>5.75410984991442</v>
      </c>
      <c r="J187" s="196">
        <f t="shared" si="11"/>
        <v>12.6678698864923</v>
      </c>
      <c r="K187" s="172">
        <f t="shared" si="12"/>
        <v>153.421979736407</v>
      </c>
      <c r="L187" s="172">
        <f t="shared" si="13"/>
        <v>0</v>
      </c>
      <c r="M187" s="193"/>
      <c r="N187" s="193"/>
      <c r="O187" s="198"/>
      <c r="P187" s="191">
        <v>55.558</v>
      </c>
    </row>
    <row r="188" s="162" customFormat="1" ht="52.5" outlineLevel="1" spans="1:16">
      <c r="A188" s="178">
        <v>2</v>
      </c>
      <c r="B188" s="177" t="s">
        <v>220</v>
      </c>
      <c r="C188" s="204" t="s">
        <v>246</v>
      </c>
      <c r="D188" s="191" t="s">
        <v>78</v>
      </c>
      <c r="E188" s="191"/>
      <c r="F188" s="179">
        <v>55</v>
      </c>
      <c r="G188" s="179">
        <v>150</v>
      </c>
      <c r="H188" s="179">
        <v>15</v>
      </c>
      <c r="I188" s="195">
        <f t="shared" si="10"/>
        <v>9.37706790356424</v>
      </c>
      <c r="J188" s="196">
        <f t="shared" si="11"/>
        <v>20.6439361113208</v>
      </c>
      <c r="K188" s="172">
        <f t="shared" si="12"/>
        <v>250.021004014885</v>
      </c>
      <c r="L188" s="172">
        <f t="shared" si="13"/>
        <v>0</v>
      </c>
      <c r="M188" s="193"/>
      <c r="N188" s="193"/>
      <c r="O188" s="198"/>
      <c r="P188" s="191">
        <v>16.6674</v>
      </c>
    </row>
    <row r="189" s="162" customFormat="1" ht="67.5" outlineLevel="1" spans="1:16">
      <c r="A189" s="178">
        <v>3</v>
      </c>
      <c r="B189" s="177" t="s">
        <v>216</v>
      </c>
      <c r="C189" s="205" t="s">
        <v>247</v>
      </c>
      <c r="D189" s="207" t="s">
        <v>78</v>
      </c>
      <c r="E189" s="200"/>
      <c r="F189" s="179">
        <v>25</v>
      </c>
      <c r="G189" s="179">
        <v>30</v>
      </c>
      <c r="H189" s="179">
        <v>10</v>
      </c>
      <c r="I189" s="195">
        <f t="shared" si="10"/>
        <v>2.77049733514398</v>
      </c>
      <c r="J189" s="196">
        <f t="shared" si="11"/>
        <v>6.09934476016296</v>
      </c>
      <c r="K189" s="172">
        <f t="shared" si="12"/>
        <v>73.869842095307</v>
      </c>
      <c r="L189" s="172">
        <f t="shared" si="13"/>
        <v>0</v>
      </c>
      <c r="M189" s="193"/>
      <c r="N189" s="193"/>
      <c r="O189" s="198"/>
      <c r="P189" s="200">
        <v>27.779</v>
      </c>
    </row>
    <row r="190" s="162" customFormat="1" ht="21" spans="1:16">
      <c r="A190" s="175" t="s">
        <v>248</v>
      </c>
      <c r="B190" s="176" t="s">
        <v>249</v>
      </c>
      <c r="C190" s="177"/>
      <c r="D190" s="178"/>
      <c r="E190" s="200"/>
      <c r="F190" s="206"/>
      <c r="G190" s="206"/>
      <c r="H190" s="206"/>
      <c r="I190" s="195">
        <f t="shared" si="10"/>
        <v>0</v>
      </c>
      <c r="J190" s="196"/>
      <c r="K190" s="172"/>
      <c r="L190" s="172"/>
      <c r="M190" s="193"/>
      <c r="N190" s="193"/>
      <c r="O190" s="198"/>
      <c r="P190" s="200"/>
    </row>
    <row r="191" s="162" customFormat="1" ht="52.5" outlineLevel="1" spans="1:16">
      <c r="A191" s="178">
        <v>1</v>
      </c>
      <c r="B191" s="177" t="s">
        <v>73</v>
      </c>
      <c r="C191" s="177" t="s">
        <v>74</v>
      </c>
      <c r="D191" s="178" t="s">
        <v>75</v>
      </c>
      <c r="E191" s="200"/>
      <c r="F191" s="206"/>
      <c r="G191" s="206"/>
      <c r="H191" s="179">
        <v>8.5</v>
      </c>
      <c r="I191" s="195">
        <f t="shared" si="10"/>
        <v>0.362295805364982</v>
      </c>
      <c r="J191" s="196">
        <f t="shared" si="11"/>
        <v>0.797606622482848</v>
      </c>
      <c r="K191" s="172">
        <f t="shared" si="12"/>
        <v>9.65990242784783</v>
      </c>
      <c r="L191" s="172">
        <f t="shared" si="13"/>
        <v>0</v>
      </c>
      <c r="M191" s="193"/>
      <c r="N191" s="193"/>
      <c r="O191" s="198"/>
      <c r="P191" s="200">
        <v>40.02561</v>
      </c>
    </row>
    <row r="192" s="162" customFormat="1" ht="63" outlineLevel="1" spans="1:16">
      <c r="A192" s="178">
        <v>2</v>
      </c>
      <c r="B192" s="177" t="s">
        <v>162</v>
      </c>
      <c r="C192" s="177" t="s">
        <v>163</v>
      </c>
      <c r="D192" s="178" t="s">
        <v>75</v>
      </c>
      <c r="E192" s="200"/>
      <c r="F192" s="206"/>
      <c r="G192" s="206"/>
      <c r="H192" s="179">
        <v>10</v>
      </c>
      <c r="I192" s="195">
        <f t="shared" si="10"/>
        <v>0.42623035925292</v>
      </c>
      <c r="J192" s="196">
        <f t="shared" si="11"/>
        <v>0.938360732332763</v>
      </c>
      <c r="K192" s="172">
        <f t="shared" si="12"/>
        <v>11.3645910915857</v>
      </c>
      <c r="L192" s="172">
        <f t="shared" si="13"/>
        <v>0</v>
      </c>
      <c r="M192" s="193"/>
      <c r="N192" s="193"/>
      <c r="O192" s="198"/>
      <c r="P192" s="200">
        <v>17.64297126</v>
      </c>
    </row>
    <row r="193" s="162" customFormat="1" ht="22.5" outlineLevel="1" spans="1:16">
      <c r="A193" s="178">
        <v>3</v>
      </c>
      <c r="B193" s="177" t="s">
        <v>244</v>
      </c>
      <c r="C193" s="205" t="s">
        <v>245</v>
      </c>
      <c r="D193" s="191" t="s">
        <v>78</v>
      </c>
      <c r="E193" s="207"/>
      <c r="F193" s="179">
        <v>55</v>
      </c>
      <c r="G193" s="179">
        <v>65</v>
      </c>
      <c r="H193" s="179">
        <v>15</v>
      </c>
      <c r="I193" s="195">
        <f t="shared" si="10"/>
        <v>5.75410984991442</v>
      </c>
      <c r="J193" s="196">
        <f t="shared" si="11"/>
        <v>12.6678698864923</v>
      </c>
      <c r="K193" s="172">
        <f t="shared" si="12"/>
        <v>153.421979736407</v>
      </c>
      <c r="L193" s="172">
        <f t="shared" si="13"/>
        <v>0</v>
      </c>
      <c r="M193" s="193"/>
      <c r="N193" s="193"/>
      <c r="O193" s="198"/>
      <c r="P193" s="207">
        <v>34.423</v>
      </c>
    </row>
    <row r="194" s="162" customFormat="1" ht="42" outlineLevel="1" spans="1:16">
      <c r="A194" s="178">
        <v>4</v>
      </c>
      <c r="B194" s="177" t="s">
        <v>203</v>
      </c>
      <c r="C194" s="177" t="s">
        <v>204</v>
      </c>
      <c r="D194" s="178" t="s">
        <v>75</v>
      </c>
      <c r="E194" s="181"/>
      <c r="F194" s="179">
        <v>200</v>
      </c>
      <c r="G194" s="180">
        <v>485</v>
      </c>
      <c r="H194" s="179">
        <v>180</v>
      </c>
      <c r="I194" s="195">
        <f t="shared" si="10"/>
        <v>36.8689260753776</v>
      </c>
      <c r="J194" s="196">
        <f t="shared" si="11"/>
        <v>81.168203346784</v>
      </c>
      <c r="K194" s="172">
        <f t="shared" si="12"/>
        <v>983.037129422162</v>
      </c>
      <c r="L194" s="172">
        <f t="shared" si="13"/>
        <v>0</v>
      </c>
      <c r="M194" s="193"/>
      <c r="N194" s="193"/>
      <c r="O194" s="198"/>
      <c r="P194" s="181">
        <v>19.0204875</v>
      </c>
    </row>
    <row r="195" s="162" customFormat="1" ht="42" outlineLevel="1" spans="1:16">
      <c r="A195" s="178">
        <v>5</v>
      </c>
      <c r="B195" s="177" t="s">
        <v>205</v>
      </c>
      <c r="C195" s="177" t="s">
        <v>204</v>
      </c>
      <c r="D195" s="178" t="s">
        <v>75</v>
      </c>
      <c r="E195" s="200"/>
      <c r="F195" s="179">
        <v>200</v>
      </c>
      <c r="G195" s="180">
        <v>485</v>
      </c>
      <c r="H195" s="179">
        <v>180</v>
      </c>
      <c r="I195" s="195">
        <f t="shared" si="10"/>
        <v>36.8689260753776</v>
      </c>
      <c r="J195" s="196">
        <f t="shared" si="11"/>
        <v>81.168203346784</v>
      </c>
      <c r="K195" s="172">
        <f t="shared" si="12"/>
        <v>983.037129422162</v>
      </c>
      <c r="L195" s="172">
        <f t="shared" si="13"/>
        <v>0</v>
      </c>
      <c r="M195" s="193"/>
      <c r="N195" s="193"/>
      <c r="O195" s="198"/>
      <c r="P195" s="200">
        <v>22.5372</v>
      </c>
    </row>
    <row r="196" s="162" customFormat="1" ht="31.5" outlineLevel="1" spans="1:16">
      <c r="A196" s="178">
        <v>6</v>
      </c>
      <c r="B196" s="177" t="s">
        <v>208</v>
      </c>
      <c r="C196" s="177" t="s">
        <v>209</v>
      </c>
      <c r="D196" s="178" t="s">
        <v>140</v>
      </c>
      <c r="E196" s="200"/>
      <c r="F196" s="179">
        <v>1000</v>
      </c>
      <c r="G196" s="179">
        <v>4600</v>
      </c>
      <c r="H196" s="179">
        <v>200</v>
      </c>
      <c r="I196" s="195">
        <f t="shared" si="10"/>
        <v>247.213608366694</v>
      </c>
      <c r="J196" s="196">
        <f t="shared" si="11"/>
        <v>544.249224753002</v>
      </c>
      <c r="K196" s="172">
        <f t="shared" si="12"/>
        <v>6591.4628331197</v>
      </c>
      <c r="L196" s="172">
        <f t="shared" si="13"/>
        <v>0</v>
      </c>
      <c r="M196" s="193"/>
      <c r="N196" s="193"/>
      <c r="O196" s="198"/>
      <c r="P196" s="200">
        <v>3.12319312306</v>
      </c>
    </row>
    <row r="197" s="162" customFormat="1" ht="67.5" outlineLevel="1" spans="1:16">
      <c r="A197" s="178">
        <v>7</v>
      </c>
      <c r="B197" s="177" t="s">
        <v>216</v>
      </c>
      <c r="C197" s="205" t="s">
        <v>250</v>
      </c>
      <c r="D197" s="178" t="s">
        <v>78</v>
      </c>
      <c r="E197" s="200"/>
      <c r="F197" s="179">
        <v>25</v>
      </c>
      <c r="G197" s="179">
        <v>30</v>
      </c>
      <c r="H197" s="179">
        <v>10</v>
      </c>
      <c r="I197" s="195">
        <f t="shared" ref="I197:I260" si="15">((F197+G197+H197)*0.06)*0.7103839320882</f>
        <v>2.77049733514398</v>
      </c>
      <c r="J197" s="196">
        <f t="shared" si="11"/>
        <v>6.09934476016296</v>
      </c>
      <c r="K197" s="172">
        <f t="shared" si="12"/>
        <v>73.869842095307</v>
      </c>
      <c r="L197" s="172">
        <f t="shared" si="13"/>
        <v>0</v>
      </c>
      <c r="M197" s="193"/>
      <c r="N197" s="193"/>
      <c r="O197" s="198"/>
      <c r="P197" s="200">
        <v>97.736</v>
      </c>
    </row>
    <row r="198" s="162" customFormat="1" ht="52.5" outlineLevel="1" spans="1:16">
      <c r="A198" s="178">
        <v>8</v>
      </c>
      <c r="B198" s="177" t="s">
        <v>220</v>
      </c>
      <c r="C198" s="204" t="s">
        <v>246</v>
      </c>
      <c r="D198" s="207" t="s">
        <v>78</v>
      </c>
      <c r="E198" s="200"/>
      <c r="F198" s="179">
        <v>55</v>
      </c>
      <c r="G198" s="179">
        <v>150</v>
      </c>
      <c r="H198" s="179">
        <v>15</v>
      </c>
      <c r="I198" s="195">
        <f t="shared" si="15"/>
        <v>9.37706790356424</v>
      </c>
      <c r="J198" s="196">
        <f t="shared" ref="J198:J261" si="16">(F198+G198+H198+I198)*0.09</f>
        <v>20.6439361113208</v>
      </c>
      <c r="K198" s="172">
        <f t="shared" ref="K198:K261" si="17">F198+G198+H198+I198+J198</f>
        <v>250.021004014885</v>
      </c>
      <c r="L198" s="172">
        <f t="shared" ref="L198:L261" si="18">K198*E198</f>
        <v>0</v>
      </c>
      <c r="M198" s="193"/>
      <c r="N198" s="193"/>
      <c r="O198" s="198"/>
      <c r="P198" s="200">
        <v>21.9069</v>
      </c>
    </row>
    <row r="199" s="162" customFormat="1" ht="21" spans="1:16">
      <c r="A199" s="175" t="s">
        <v>251</v>
      </c>
      <c r="B199" s="176" t="s">
        <v>252</v>
      </c>
      <c r="C199" s="177" t="s">
        <v>253</v>
      </c>
      <c r="D199" s="178"/>
      <c r="E199" s="200"/>
      <c r="F199" s="206"/>
      <c r="G199" s="206"/>
      <c r="H199" s="206"/>
      <c r="I199" s="195">
        <f t="shared" si="15"/>
        <v>0</v>
      </c>
      <c r="J199" s="196"/>
      <c r="K199" s="172"/>
      <c r="L199" s="172"/>
      <c r="M199" s="193"/>
      <c r="N199" s="193"/>
      <c r="O199" s="198"/>
      <c r="P199" s="200"/>
    </row>
    <row r="200" s="162" customFormat="1" ht="33.75" outlineLevel="1" spans="1:16">
      <c r="A200" s="178">
        <v>1</v>
      </c>
      <c r="B200" s="204" t="s">
        <v>254</v>
      </c>
      <c r="C200" s="205" t="s">
        <v>255</v>
      </c>
      <c r="D200" s="191" t="s">
        <v>78</v>
      </c>
      <c r="E200" s="207"/>
      <c r="F200" s="179">
        <v>20</v>
      </c>
      <c r="G200" s="179">
        <v>30</v>
      </c>
      <c r="H200" s="179">
        <v>10</v>
      </c>
      <c r="I200" s="195">
        <f t="shared" si="15"/>
        <v>2.55738215551752</v>
      </c>
      <c r="J200" s="196">
        <f t="shared" si="16"/>
        <v>5.63016439399658</v>
      </c>
      <c r="K200" s="172">
        <f t="shared" si="17"/>
        <v>68.1875465495141</v>
      </c>
      <c r="L200" s="172">
        <f t="shared" si="18"/>
        <v>0</v>
      </c>
      <c r="M200" s="193"/>
      <c r="N200" s="193"/>
      <c r="O200" s="198"/>
      <c r="P200" s="207">
        <v>111.962</v>
      </c>
    </row>
    <row r="201" s="162" customFormat="1" ht="21" spans="1:16">
      <c r="A201" s="175" t="s">
        <v>256</v>
      </c>
      <c r="B201" s="176" t="s">
        <v>257</v>
      </c>
      <c r="C201" s="177" t="s">
        <v>258</v>
      </c>
      <c r="D201" s="178"/>
      <c r="E201" s="200"/>
      <c r="F201" s="206"/>
      <c r="G201" s="206"/>
      <c r="H201" s="206"/>
      <c r="I201" s="195">
        <f t="shared" si="15"/>
        <v>0</v>
      </c>
      <c r="J201" s="196"/>
      <c r="K201" s="172"/>
      <c r="L201" s="172"/>
      <c r="M201" s="193"/>
      <c r="N201" s="193"/>
      <c r="O201" s="198"/>
      <c r="P201" s="200"/>
    </row>
    <row r="202" s="162" customFormat="1" ht="31.5" outlineLevel="1" spans="1:16">
      <c r="A202" s="178">
        <v>1</v>
      </c>
      <c r="B202" s="177" t="s">
        <v>259</v>
      </c>
      <c r="C202" s="177" t="s">
        <v>260</v>
      </c>
      <c r="D202" s="178" t="s">
        <v>78</v>
      </c>
      <c r="E202" s="200"/>
      <c r="F202" s="179">
        <v>65</v>
      </c>
      <c r="G202" s="179">
        <v>280</v>
      </c>
      <c r="H202" s="179">
        <v>15</v>
      </c>
      <c r="I202" s="195">
        <f t="shared" si="15"/>
        <v>15.3442929331051</v>
      </c>
      <c r="J202" s="196">
        <f t="shared" si="16"/>
        <v>33.7809863639795</v>
      </c>
      <c r="K202" s="172">
        <f t="shared" si="17"/>
        <v>409.125279297085</v>
      </c>
      <c r="L202" s="172">
        <f t="shared" si="18"/>
        <v>0</v>
      </c>
      <c r="M202" s="193"/>
      <c r="N202" s="193"/>
      <c r="O202" s="198"/>
      <c r="P202" s="200">
        <v>36.372375</v>
      </c>
    </row>
    <row r="203" s="162" customFormat="1" ht="31.5" outlineLevel="1" spans="1:16">
      <c r="A203" s="178">
        <v>2</v>
      </c>
      <c r="B203" s="204" t="s">
        <v>254</v>
      </c>
      <c r="C203" s="177" t="s">
        <v>261</v>
      </c>
      <c r="D203" s="178" t="s">
        <v>78</v>
      </c>
      <c r="E203" s="200"/>
      <c r="F203" s="179">
        <v>20</v>
      </c>
      <c r="G203" s="179">
        <v>30</v>
      </c>
      <c r="H203" s="179">
        <v>10</v>
      </c>
      <c r="I203" s="195">
        <f t="shared" si="15"/>
        <v>2.55738215551752</v>
      </c>
      <c r="J203" s="196">
        <f t="shared" si="16"/>
        <v>5.63016439399658</v>
      </c>
      <c r="K203" s="172">
        <f t="shared" si="17"/>
        <v>68.1875465495141</v>
      </c>
      <c r="L203" s="172">
        <f t="shared" si="18"/>
        <v>0</v>
      </c>
      <c r="M203" s="193"/>
      <c r="N203" s="193"/>
      <c r="O203" s="198"/>
      <c r="P203" s="200">
        <v>74.75559</v>
      </c>
    </row>
    <row r="204" s="162" customFormat="1" ht="21" spans="1:16">
      <c r="A204" s="175" t="s">
        <v>262</v>
      </c>
      <c r="B204" s="176" t="s">
        <v>263</v>
      </c>
      <c r="C204" s="177" t="s">
        <v>258</v>
      </c>
      <c r="D204" s="178"/>
      <c r="E204" s="200"/>
      <c r="F204" s="206"/>
      <c r="G204" s="206"/>
      <c r="H204" s="206"/>
      <c r="I204" s="195">
        <f t="shared" si="15"/>
        <v>0</v>
      </c>
      <c r="J204" s="196"/>
      <c r="K204" s="172"/>
      <c r="L204" s="172"/>
      <c r="M204" s="193"/>
      <c r="N204" s="193"/>
      <c r="O204" s="198"/>
      <c r="P204" s="200"/>
    </row>
    <row r="205" s="162" customFormat="1" ht="33.75" outlineLevel="1" spans="1:16">
      <c r="A205" s="178">
        <v>1</v>
      </c>
      <c r="B205" s="203" t="s">
        <v>264</v>
      </c>
      <c r="C205" s="205" t="s">
        <v>265</v>
      </c>
      <c r="D205" s="191" t="s">
        <v>78</v>
      </c>
      <c r="E205" s="207"/>
      <c r="F205" s="179">
        <v>50</v>
      </c>
      <c r="G205" s="180">
        <v>65</v>
      </c>
      <c r="H205" s="179">
        <v>15</v>
      </c>
      <c r="I205" s="195">
        <f t="shared" si="15"/>
        <v>5.54099467028796</v>
      </c>
      <c r="J205" s="196">
        <f t="shared" si="16"/>
        <v>12.1986895203259</v>
      </c>
      <c r="K205" s="172">
        <f t="shared" si="17"/>
        <v>147.739684190614</v>
      </c>
      <c r="L205" s="172">
        <f t="shared" si="18"/>
        <v>0</v>
      </c>
      <c r="M205" s="193"/>
      <c r="N205" s="193"/>
      <c r="O205" s="198"/>
      <c r="P205" s="207">
        <v>34.05274</v>
      </c>
    </row>
    <row r="206" s="162" customFormat="1" ht="21" outlineLevel="1" spans="1:16">
      <c r="A206" s="178">
        <v>2</v>
      </c>
      <c r="B206" s="177" t="s">
        <v>76</v>
      </c>
      <c r="C206" s="177" t="s">
        <v>109</v>
      </c>
      <c r="D206" s="178" t="s">
        <v>78</v>
      </c>
      <c r="E206" s="181"/>
      <c r="F206" s="179">
        <v>0.5</v>
      </c>
      <c r="G206" s="172"/>
      <c r="H206" s="179">
        <v>2.5</v>
      </c>
      <c r="I206" s="195">
        <f t="shared" si="15"/>
        <v>0.127869107775876</v>
      </c>
      <c r="J206" s="196">
        <f t="shared" si="16"/>
        <v>0.281508219699829</v>
      </c>
      <c r="K206" s="172">
        <f t="shared" si="17"/>
        <v>3.4093773274757</v>
      </c>
      <c r="L206" s="172">
        <f t="shared" si="18"/>
        <v>0</v>
      </c>
      <c r="M206" s="193"/>
      <c r="N206" s="193"/>
      <c r="O206" s="198"/>
      <c r="P206" s="181">
        <v>3.745</v>
      </c>
    </row>
    <row r="207" s="162" customFormat="1" ht="21" outlineLevel="1" spans="1:16">
      <c r="A207" s="178">
        <v>3</v>
      </c>
      <c r="B207" s="177" t="s">
        <v>79</v>
      </c>
      <c r="C207" s="177" t="s">
        <v>168</v>
      </c>
      <c r="D207" s="178" t="s">
        <v>75</v>
      </c>
      <c r="E207" s="181"/>
      <c r="F207" s="179">
        <v>10</v>
      </c>
      <c r="G207" s="180">
        <v>95</v>
      </c>
      <c r="H207" s="179">
        <v>15</v>
      </c>
      <c r="I207" s="195">
        <f t="shared" si="15"/>
        <v>5.11476431103504</v>
      </c>
      <c r="J207" s="196">
        <f t="shared" si="16"/>
        <v>11.2603287879932</v>
      </c>
      <c r="K207" s="172">
        <f t="shared" si="17"/>
        <v>136.375093099028</v>
      </c>
      <c r="L207" s="172">
        <f t="shared" si="18"/>
        <v>0</v>
      </c>
      <c r="M207" s="193"/>
      <c r="N207" s="193"/>
      <c r="O207" s="198"/>
      <c r="P207" s="181">
        <v>0.56175</v>
      </c>
    </row>
    <row r="208" s="162" customFormat="1" ht="42" outlineLevel="1" spans="1:16">
      <c r="A208" s="178">
        <v>4</v>
      </c>
      <c r="B208" s="177" t="s">
        <v>81</v>
      </c>
      <c r="C208" s="177" t="s">
        <v>164</v>
      </c>
      <c r="D208" s="178" t="s">
        <v>75</v>
      </c>
      <c r="E208" s="200"/>
      <c r="F208" s="179">
        <v>55</v>
      </c>
      <c r="G208" s="180">
        <v>445</v>
      </c>
      <c r="H208" s="179">
        <v>15</v>
      </c>
      <c r="I208" s="195">
        <f t="shared" si="15"/>
        <v>21.9508635015254</v>
      </c>
      <c r="J208" s="196">
        <f t="shared" si="16"/>
        <v>48.3255777151373</v>
      </c>
      <c r="K208" s="172">
        <f t="shared" si="17"/>
        <v>585.276441216663</v>
      </c>
      <c r="L208" s="172">
        <f t="shared" si="18"/>
        <v>0</v>
      </c>
      <c r="M208" s="193"/>
      <c r="N208" s="193"/>
      <c r="O208" s="198"/>
      <c r="P208" s="200">
        <v>0.3745</v>
      </c>
    </row>
    <row r="209" s="162" customFormat="1" ht="42" outlineLevel="1" spans="1:16">
      <c r="A209" s="178">
        <v>5</v>
      </c>
      <c r="B209" s="177" t="s">
        <v>166</v>
      </c>
      <c r="C209" s="177" t="s">
        <v>167</v>
      </c>
      <c r="D209" s="178" t="s">
        <v>75</v>
      </c>
      <c r="E209" s="200"/>
      <c r="F209" s="181">
        <v>220</v>
      </c>
      <c r="G209" s="181">
        <v>260</v>
      </c>
      <c r="H209" s="181">
        <v>85</v>
      </c>
      <c r="I209" s="195">
        <f t="shared" si="15"/>
        <v>24.08201529779</v>
      </c>
      <c r="J209" s="196">
        <f t="shared" si="16"/>
        <v>53.0173813768011</v>
      </c>
      <c r="K209" s="172">
        <f t="shared" si="17"/>
        <v>642.099396674591</v>
      </c>
      <c r="L209" s="172">
        <f t="shared" si="18"/>
        <v>0</v>
      </c>
      <c r="M209" s="193"/>
      <c r="N209" s="193"/>
      <c r="O209" s="198"/>
      <c r="P209" s="200">
        <v>0.43305</v>
      </c>
    </row>
    <row r="210" s="162" customFormat="1" ht="42" outlineLevel="1" spans="1:16">
      <c r="A210" s="178">
        <v>6</v>
      </c>
      <c r="B210" s="177" t="s">
        <v>174</v>
      </c>
      <c r="C210" s="177" t="s">
        <v>266</v>
      </c>
      <c r="D210" s="178" t="s">
        <v>78</v>
      </c>
      <c r="E210" s="181"/>
      <c r="F210" s="179">
        <v>55</v>
      </c>
      <c r="G210" s="172">
        <v>220</v>
      </c>
      <c r="H210" s="179">
        <v>15</v>
      </c>
      <c r="I210" s="195">
        <f t="shared" si="15"/>
        <v>12.3606804183347</v>
      </c>
      <c r="J210" s="196">
        <f t="shared" si="16"/>
        <v>27.2124612376501</v>
      </c>
      <c r="K210" s="172">
        <f t="shared" si="17"/>
        <v>329.573141655985</v>
      </c>
      <c r="L210" s="172">
        <f t="shared" si="18"/>
        <v>0</v>
      </c>
      <c r="M210" s="193"/>
      <c r="N210" s="193"/>
      <c r="O210" s="198"/>
      <c r="P210" s="181" t="e">
        <f>[1]车库雨篷!O68+[1]车库雨篷!O54+[1]车库雨篷!O40</f>
        <v>#REF!</v>
      </c>
    </row>
    <row r="211" s="162" customFormat="1" ht="42" outlineLevel="1" spans="1:16">
      <c r="A211" s="178">
        <v>7</v>
      </c>
      <c r="B211" s="177" t="s">
        <v>175</v>
      </c>
      <c r="C211" s="177" t="s">
        <v>267</v>
      </c>
      <c r="D211" s="178" t="s">
        <v>78</v>
      </c>
      <c r="E211" s="181"/>
      <c r="F211" s="179">
        <v>65</v>
      </c>
      <c r="G211" s="172">
        <v>150</v>
      </c>
      <c r="H211" s="179">
        <v>15</v>
      </c>
      <c r="I211" s="195">
        <f t="shared" si="15"/>
        <v>9.80329826281716</v>
      </c>
      <c r="J211" s="196">
        <f t="shared" si="16"/>
        <v>21.5822968436535</v>
      </c>
      <c r="K211" s="172">
        <f t="shared" si="17"/>
        <v>261.385595106471</v>
      </c>
      <c r="L211" s="172">
        <f t="shared" si="18"/>
        <v>0</v>
      </c>
      <c r="M211" s="193"/>
      <c r="N211" s="193"/>
      <c r="O211" s="198"/>
      <c r="P211" s="181">
        <v>0.75775</v>
      </c>
    </row>
    <row r="212" s="162" customFormat="1" ht="21" outlineLevel="1" spans="1:16">
      <c r="A212" s="178">
        <v>8</v>
      </c>
      <c r="B212" s="177" t="s">
        <v>138</v>
      </c>
      <c r="C212" s="177" t="s">
        <v>268</v>
      </c>
      <c r="D212" s="178" t="s">
        <v>140</v>
      </c>
      <c r="E212" s="208"/>
      <c r="F212" s="179">
        <v>1000</v>
      </c>
      <c r="G212" s="179">
        <v>4600</v>
      </c>
      <c r="H212" s="179">
        <v>200</v>
      </c>
      <c r="I212" s="195">
        <f t="shared" si="15"/>
        <v>247.213608366694</v>
      </c>
      <c r="J212" s="196">
        <f t="shared" si="16"/>
        <v>544.249224753002</v>
      </c>
      <c r="K212" s="172">
        <f t="shared" si="17"/>
        <v>6591.4628331197</v>
      </c>
      <c r="L212" s="172">
        <f t="shared" si="18"/>
        <v>0</v>
      </c>
      <c r="M212" s="193"/>
      <c r="N212" s="193"/>
      <c r="O212" s="198"/>
      <c r="P212" s="208">
        <v>0.0082061</v>
      </c>
    </row>
    <row r="213" s="162" customFormat="1" ht="21" spans="1:16">
      <c r="A213" s="209" t="s">
        <v>269</v>
      </c>
      <c r="B213" s="210" t="s">
        <v>270</v>
      </c>
      <c r="C213" s="211"/>
      <c r="D213" s="180"/>
      <c r="E213" s="180"/>
      <c r="F213" s="206"/>
      <c r="G213" s="206"/>
      <c r="H213" s="206"/>
      <c r="I213" s="195">
        <f t="shared" si="15"/>
        <v>0</v>
      </c>
      <c r="J213" s="196"/>
      <c r="K213" s="172"/>
      <c r="L213" s="172"/>
      <c r="M213" s="193"/>
      <c r="N213" s="193"/>
      <c r="O213" s="198"/>
      <c r="P213" s="180"/>
    </row>
    <row r="214" s="162" customFormat="1" ht="11.25" outlineLevel="1" spans="1:16">
      <c r="A214" s="180"/>
      <c r="B214" s="211" t="s">
        <v>271</v>
      </c>
      <c r="C214" s="211"/>
      <c r="D214" s="180"/>
      <c r="E214" s="180"/>
      <c r="F214" s="206"/>
      <c r="G214" s="206"/>
      <c r="H214" s="206"/>
      <c r="I214" s="195">
        <f t="shared" si="15"/>
        <v>0</v>
      </c>
      <c r="J214" s="196"/>
      <c r="K214" s="172"/>
      <c r="L214" s="172"/>
      <c r="M214" s="193"/>
      <c r="N214" s="193"/>
      <c r="O214" s="198"/>
      <c r="P214" s="180"/>
    </row>
    <row r="215" s="162" customFormat="1" ht="52.5" outlineLevel="2" spans="1:16">
      <c r="A215" s="180"/>
      <c r="B215" s="211" t="s">
        <v>272</v>
      </c>
      <c r="C215" s="211" t="s">
        <v>273</v>
      </c>
      <c r="D215" s="180" t="s">
        <v>75</v>
      </c>
      <c r="E215" s="180"/>
      <c r="F215" s="206"/>
      <c r="G215" s="206"/>
      <c r="H215" s="179">
        <v>8.5</v>
      </c>
      <c r="I215" s="195">
        <f t="shared" si="15"/>
        <v>0.362295805364982</v>
      </c>
      <c r="J215" s="196">
        <f t="shared" si="16"/>
        <v>0.797606622482848</v>
      </c>
      <c r="K215" s="172">
        <f t="shared" si="17"/>
        <v>9.65990242784783</v>
      </c>
      <c r="L215" s="172">
        <f t="shared" si="18"/>
        <v>0</v>
      </c>
      <c r="M215" s="193"/>
      <c r="N215" s="193"/>
      <c r="O215" s="198"/>
      <c r="P215" s="180">
        <v>260.61</v>
      </c>
    </row>
    <row r="216" s="162" customFormat="1" ht="31.5" outlineLevel="2" spans="1:16">
      <c r="A216" s="180"/>
      <c r="B216" s="211" t="s">
        <v>76</v>
      </c>
      <c r="C216" s="211" t="s">
        <v>274</v>
      </c>
      <c r="D216" s="180" t="s">
        <v>78</v>
      </c>
      <c r="E216" s="172"/>
      <c r="F216" s="179">
        <v>0.5</v>
      </c>
      <c r="G216" s="172"/>
      <c r="H216" s="179">
        <v>2.5</v>
      </c>
      <c r="I216" s="195">
        <f t="shared" si="15"/>
        <v>0.127869107775876</v>
      </c>
      <c r="J216" s="196">
        <f t="shared" si="16"/>
        <v>0.281508219699829</v>
      </c>
      <c r="K216" s="172">
        <f t="shared" si="17"/>
        <v>3.4093773274757</v>
      </c>
      <c r="L216" s="172">
        <f t="shared" si="18"/>
        <v>0</v>
      </c>
      <c r="M216" s="193"/>
      <c r="N216" s="193"/>
      <c r="O216" s="198"/>
      <c r="P216" s="172">
        <v>367.05</v>
      </c>
    </row>
    <row r="217" s="162" customFormat="1" ht="63" outlineLevel="2" spans="1:16">
      <c r="A217" s="180"/>
      <c r="B217" s="211" t="s">
        <v>162</v>
      </c>
      <c r="C217" s="211" t="s">
        <v>163</v>
      </c>
      <c r="D217" s="180" t="s">
        <v>75</v>
      </c>
      <c r="E217" s="172"/>
      <c r="F217" s="206"/>
      <c r="G217" s="206"/>
      <c r="H217" s="179">
        <v>10</v>
      </c>
      <c r="I217" s="195">
        <f t="shared" si="15"/>
        <v>0.42623035925292</v>
      </c>
      <c r="J217" s="196">
        <f t="shared" si="16"/>
        <v>0.938360732332763</v>
      </c>
      <c r="K217" s="172">
        <f t="shared" si="17"/>
        <v>11.3645910915857</v>
      </c>
      <c r="L217" s="172">
        <f t="shared" si="18"/>
        <v>0</v>
      </c>
      <c r="M217" s="193"/>
      <c r="N217" s="193"/>
      <c r="O217" s="198"/>
      <c r="P217" s="172">
        <v>111.19</v>
      </c>
    </row>
    <row r="218" s="162" customFormat="1" ht="31.5" outlineLevel="2" spans="1:16">
      <c r="A218" s="180"/>
      <c r="B218" s="211" t="s">
        <v>79</v>
      </c>
      <c r="C218" s="211" t="s">
        <v>275</v>
      </c>
      <c r="D218" s="180" t="s">
        <v>75</v>
      </c>
      <c r="E218" s="172"/>
      <c r="F218" s="179">
        <v>10</v>
      </c>
      <c r="G218" s="180">
        <v>95</v>
      </c>
      <c r="H218" s="179">
        <v>15</v>
      </c>
      <c r="I218" s="195">
        <f t="shared" si="15"/>
        <v>5.11476431103504</v>
      </c>
      <c r="J218" s="196">
        <f t="shared" si="16"/>
        <v>11.2603287879932</v>
      </c>
      <c r="K218" s="172">
        <f t="shared" si="17"/>
        <v>136.375093099028</v>
      </c>
      <c r="L218" s="172">
        <f t="shared" si="18"/>
        <v>0</v>
      </c>
      <c r="M218" s="193"/>
      <c r="N218" s="193"/>
      <c r="O218" s="198"/>
      <c r="P218" s="172">
        <v>55.17</v>
      </c>
    </row>
    <row r="219" s="162" customFormat="1" ht="42" outlineLevel="2" spans="1:16">
      <c r="A219" s="180"/>
      <c r="B219" s="211" t="s">
        <v>81</v>
      </c>
      <c r="C219" s="211" t="s">
        <v>276</v>
      </c>
      <c r="D219" s="180" t="s">
        <v>75</v>
      </c>
      <c r="E219" s="180"/>
      <c r="F219" s="179">
        <v>55</v>
      </c>
      <c r="G219" s="180">
        <v>445</v>
      </c>
      <c r="H219" s="179">
        <v>15</v>
      </c>
      <c r="I219" s="195">
        <f t="shared" si="15"/>
        <v>21.9508635015254</v>
      </c>
      <c r="J219" s="196">
        <f t="shared" si="16"/>
        <v>48.3255777151373</v>
      </c>
      <c r="K219" s="172">
        <f t="shared" si="17"/>
        <v>585.276441216663</v>
      </c>
      <c r="L219" s="172">
        <f t="shared" si="18"/>
        <v>0</v>
      </c>
      <c r="M219" s="193"/>
      <c r="N219" s="193"/>
      <c r="O219" s="198"/>
      <c r="P219" s="180">
        <v>36.82</v>
      </c>
    </row>
    <row r="220" s="162" customFormat="1" ht="42" outlineLevel="2" spans="1:16">
      <c r="A220" s="180"/>
      <c r="B220" s="211" t="s">
        <v>277</v>
      </c>
      <c r="C220" s="211" t="s">
        <v>278</v>
      </c>
      <c r="D220" s="180" t="s">
        <v>75</v>
      </c>
      <c r="E220" s="180"/>
      <c r="F220" s="179">
        <v>200</v>
      </c>
      <c r="G220" s="180">
        <v>465</v>
      </c>
      <c r="H220" s="179">
        <v>180</v>
      </c>
      <c r="I220" s="195">
        <f t="shared" si="15"/>
        <v>36.0164653568717</v>
      </c>
      <c r="J220" s="196">
        <f t="shared" si="16"/>
        <v>79.2914818821185</v>
      </c>
      <c r="K220" s="172">
        <f t="shared" si="17"/>
        <v>960.30794723899</v>
      </c>
      <c r="L220" s="172">
        <f t="shared" si="18"/>
        <v>0</v>
      </c>
      <c r="M220" s="193"/>
      <c r="N220" s="193"/>
      <c r="O220" s="198"/>
      <c r="P220" s="180">
        <v>53.58</v>
      </c>
    </row>
    <row r="221" s="162" customFormat="1" ht="42" outlineLevel="2" spans="1:16">
      <c r="A221" s="180"/>
      <c r="B221" s="211" t="s">
        <v>279</v>
      </c>
      <c r="C221" s="211" t="s">
        <v>278</v>
      </c>
      <c r="D221" s="180" t="s">
        <v>75</v>
      </c>
      <c r="E221" s="180"/>
      <c r="F221" s="179">
        <v>200</v>
      </c>
      <c r="G221" s="180">
        <v>465</v>
      </c>
      <c r="H221" s="179">
        <v>180</v>
      </c>
      <c r="I221" s="195">
        <f t="shared" si="15"/>
        <v>36.0164653568717</v>
      </c>
      <c r="J221" s="196">
        <f t="shared" si="16"/>
        <v>79.2914818821185</v>
      </c>
      <c r="K221" s="172">
        <f t="shared" si="17"/>
        <v>960.30794723899</v>
      </c>
      <c r="L221" s="172">
        <f t="shared" si="18"/>
        <v>0</v>
      </c>
      <c r="M221" s="193"/>
      <c r="N221" s="193"/>
      <c r="O221" s="198"/>
      <c r="P221" s="180">
        <v>6.55</v>
      </c>
    </row>
    <row r="222" s="162" customFormat="1" ht="42" outlineLevel="2" spans="1:16">
      <c r="A222" s="180"/>
      <c r="B222" s="211" t="s">
        <v>280</v>
      </c>
      <c r="C222" s="211" t="s">
        <v>278</v>
      </c>
      <c r="D222" s="180" t="s">
        <v>75</v>
      </c>
      <c r="E222" s="180"/>
      <c r="F222" s="179">
        <v>200</v>
      </c>
      <c r="G222" s="180">
        <v>465</v>
      </c>
      <c r="H222" s="179">
        <v>180</v>
      </c>
      <c r="I222" s="195">
        <f t="shared" si="15"/>
        <v>36.0164653568717</v>
      </c>
      <c r="J222" s="196">
        <f t="shared" si="16"/>
        <v>79.2914818821185</v>
      </c>
      <c r="K222" s="172">
        <f t="shared" si="17"/>
        <v>960.30794723899</v>
      </c>
      <c r="L222" s="172">
        <f t="shared" si="18"/>
        <v>0</v>
      </c>
      <c r="M222" s="193"/>
      <c r="N222" s="193"/>
      <c r="O222" s="198"/>
      <c r="P222" s="180">
        <v>1.39</v>
      </c>
    </row>
    <row r="223" s="162" customFormat="1" ht="42" outlineLevel="2" spans="1:16">
      <c r="A223" s="180"/>
      <c r="B223" s="211" t="s">
        <v>281</v>
      </c>
      <c r="C223" s="211" t="s">
        <v>282</v>
      </c>
      <c r="D223" s="180" t="s">
        <v>75</v>
      </c>
      <c r="E223" s="180"/>
      <c r="F223" s="179">
        <v>200</v>
      </c>
      <c r="G223" s="180">
        <v>485</v>
      </c>
      <c r="H223" s="179">
        <v>180</v>
      </c>
      <c r="I223" s="195">
        <f t="shared" si="15"/>
        <v>36.8689260753776</v>
      </c>
      <c r="J223" s="196">
        <f t="shared" si="16"/>
        <v>81.168203346784</v>
      </c>
      <c r="K223" s="172">
        <f t="shared" si="17"/>
        <v>983.037129422162</v>
      </c>
      <c r="L223" s="172">
        <f t="shared" si="18"/>
        <v>0</v>
      </c>
      <c r="M223" s="193"/>
      <c r="N223" s="193"/>
      <c r="O223" s="198"/>
      <c r="P223" s="180">
        <v>2.91</v>
      </c>
    </row>
    <row r="224" s="162" customFormat="1" ht="42" outlineLevel="2" spans="1:16">
      <c r="A224" s="180"/>
      <c r="B224" s="211" t="s">
        <v>283</v>
      </c>
      <c r="C224" s="211" t="s">
        <v>284</v>
      </c>
      <c r="D224" s="180" t="s">
        <v>75</v>
      </c>
      <c r="E224" s="180"/>
      <c r="F224" s="179">
        <v>200</v>
      </c>
      <c r="G224" s="180">
        <v>485</v>
      </c>
      <c r="H224" s="179">
        <v>180</v>
      </c>
      <c r="I224" s="195">
        <f t="shared" si="15"/>
        <v>36.8689260753776</v>
      </c>
      <c r="J224" s="196">
        <f t="shared" si="16"/>
        <v>81.168203346784</v>
      </c>
      <c r="K224" s="172">
        <f t="shared" si="17"/>
        <v>983.037129422162</v>
      </c>
      <c r="L224" s="172">
        <f t="shared" si="18"/>
        <v>0</v>
      </c>
      <c r="M224" s="193"/>
      <c r="N224" s="193"/>
      <c r="O224" s="198"/>
      <c r="P224" s="180">
        <v>0.91</v>
      </c>
    </row>
    <row r="225" s="162" customFormat="1" ht="42" outlineLevel="2" spans="1:16">
      <c r="A225" s="180"/>
      <c r="B225" s="211" t="s">
        <v>285</v>
      </c>
      <c r="C225" s="211" t="s">
        <v>286</v>
      </c>
      <c r="D225" s="180" t="s">
        <v>75</v>
      </c>
      <c r="E225" s="180"/>
      <c r="F225" s="179">
        <v>200</v>
      </c>
      <c r="G225" s="180">
        <v>485</v>
      </c>
      <c r="H225" s="179">
        <v>180</v>
      </c>
      <c r="I225" s="195">
        <f t="shared" si="15"/>
        <v>36.8689260753776</v>
      </c>
      <c r="J225" s="196">
        <f t="shared" si="16"/>
        <v>81.168203346784</v>
      </c>
      <c r="K225" s="172">
        <f t="shared" si="17"/>
        <v>983.037129422162</v>
      </c>
      <c r="L225" s="172">
        <f t="shared" si="18"/>
        <v>0</v>
      </c>
      <c r="M225" s="193"/>
      <c r="N225" s="193"/>
      <c r="O225" s="198"/>
      <c r="P225" s="180">
        <v>1.6</v>
      </c>
    </row>
    <row r="226" s="162" customFormat="1" ht="31.5" outlineLevel="2" spans="1:16">
      <c r="A226" s="180"/>
      <c r="B226" s="211" t="s">
        <v>208</v>
      </c>
      <c r="C226" s="211" t="s">
        <v>287</v>
      </c>
      <c r="D226" s="180" t="s">
        <v>140</v>
      </c>
      <c r="E226" s="212"/>
      <c r="F226" s="179">
        <v>1000</v>
      </c>
      <c r="G226" s="179">
        <v>4600</v>
      </c>
      <c r="H226" s="179">
        <v>200</v>
      </c>
      <c r="I226" s="195">
        <f t="shared" si="15"/>
        <v>247.213608366694</v>
      </c>
      <c r="J226" s="196">
        <f t="shared" si="16"/>
        <v>544.249224753002</v>
      </c>
      <c r="K226" s="172">
        <f t="shared" si="17"/>
        <v>6591.4628331197</v>
      </c>
      <c r="L226" s="172">
        <f t="shared" si="18"/>
        <v>0</v>
      </c>
      <c r="M226" s="193"/>
      <c r="N226" s="193"/>
      <c r="O226" s="198"/>
      <c r="P226" s="212">
        <v>0.049</v>
      </c>
    </row>
    <row r="227" s="162" customFormat="1" ht="31.5" outlineLevel="2" spans="1:16">
      <c r="A227" s="180"/>
      <c r="B227" s="211" t="s">
        <v>208</v>
      </c>
      <c r="C227" s="211" t="s">
        <v>288</v>
      </c>
      <c r="D227" s="180" t="s">
        <v>140</v>
      </c>
      <c r="E227" s="212"/>
      <c r="F227" s="179">
        <v>1000</v>
      </c>
      <c r="G227" s="179">
        <v>4600</v>
      </c>
      <c r="H227" s="179">
        <v>200</v>
      </c>
      <c r="I227" s="195">
        <f t="shared" si="15"/>
        <v>247.213608366694</v>
      </c>
      <c r="J227" s="196">
        <f t="shared" si="16"/>
        <v>544.249224753002</v>
      </c>
      <c r="K227" s="172">
        <f t="shared" si="17"/>
        <v>6591.4628331197</v>
      </c>
      <c r="L227" s="172">
        <f t="shared" si="18"/>
        <v>0</v>
      </c>
      <c r="M227" s="193"/>
      <c r="N227" s="193"/>
      <c r="O227" s="198"/>
      <c r="P227" s="212">
        <v>8.251</v>
      </c>
    </row>
    <row r="228" s="162" customFormat="1" ht="31.5" outlineLevel="2" spans="1:16">
      <c r="A228" s="180"/>
      <c r="B228" s="211" t="s">
        <v>208</v>
      </c>
      <c r="C228" s="211" t="s">
        <v>289</v>
      </c>
      <c r="D228" s="180" t="s">
        <v>140</v>
      </c>
      <c r="E228" s="212"/>
      <c r="F228" s="179">
        <v>1000</v>
      </c>
      <c r="G228" s="179">
        <v>4600</v>
      </c>
      <c r="H228" s="179">
        <v>200</v>
      </c>
      <c r="I228" s="195">
        <f t="shared" si="15"/>
        <v>247.213608366694</v>
      </c>
      <c r="J228" s="196">
        <f t="shared" si="16"/>
        <v>544.249224753002</v>
      </c>
      <c r="K228" s="172">
        <f t="shared" si="17"/>
        <v>6591.4628331197</v>
      </c>
      <c r="L228" s="172">
        <f t="shared" si="18"/>
        <v>0</v>
      </c>
      <c r="M228" s="193"/>
      <c r="N228" s="193"/>
      <c r="O228" s="198"/>
      <c r="P228" s="212">
        <v>0.562</v>
      </c>
    </row>
    <row r="229" s="162" customFormat="1" ht="31.5" outlineLevel="2" spans="1:16">
      <c r="A229" s="180"/>
      <c r="B229" s="211" t="s">
        <v>290</v>
      </c>
      <c r="C229" s="211" t="s">
        <v>291</v>
      </c>
      <c r="D229" s="180" t="s">
        <v>75</v>
      </c>
      <c r="E229" s="172"/>
      <c r="F229" s="181">
        <v>220</v>
      </c>
      <c r="G229" s="181">
        <v>260</v>
      </c>
      <c r="H229" s="181">
        <v>85</v>
      </c>
      <c r="I229" s="195">
        <f t="shared" si="15"/>
        <v>24.08201529779</v>
      </c>
      <c r="J229" s="196">
        <f t="shared" si="16"/>
        <v>53.0173813768011</v>
      </c>
      <c r="K229" s="172">
        <f t="shared" si="17"/>
        <v>642.099396674591</v>
      </c>
      <c r="L229" s="172">
        <f t="shared" si="18"/>
        <v>0</v>
      </c>
      <c r="M229" s="193"/>
      <c r="N229" s="193"/>
      <c r="O229" s="198"/>
      <c r="P229" s="172">
        <v>0.314496</v>
      </c>
    </row>
    <row r="230" s="162" customFormat="1" ht="31.5" outlineLevel="2" spans="1:16">
      <c r="A230" s="180"/>
      <c r="B230" s="211" t="s">
        <v>292</v>
      </c>
      <c r="C230" s="211" t="s">
        <v>291</v>
      </c>
      <c r="D230" s="180" t="s">
        <v>75</v>
      </c>
      <c r="E230" s="172"/>
      <c r="F230" s="181">
        <v>220</v>
      </c>
      <c r="G230" s="181">
        <v>260</v>
      </c>
      <c r="H230" s="181">
        <v>85</v>
      </c>
      <c r="I230" s="195">
        <f t="shared" si="15"/>
        <v>24.08201529779</v>
      </c>
      <c r="J230" s="196">
        <f t="shared" si="16"/>
        <v>53.0173813768011</v>
      </c>
      <c r="K230" s="172">
        <f t="shared" si="17"/>
        <v>642.099396674591</v>
      </c>
      <c r="L230" s="172">
        <f t="shared" si="18"/>
        <v>0</v>
      </c>
      <c r="M230" s="193"/>
      <c r="N230" s="193"/>
      <c r="O230" s="198"/>
      <c r="P230" s="172">
        <v>0.38556</v>
      </c>
    </row>
    <row r="231" s="162" customFormat="1" ht="11.25" outlineLevel="1" spans="1:16">
      <c r="A231" s="180"/>
      <c r="B231" s="211" t="s">
        <v>293</v>
      </c>
      <c r="C231" s="211"/>
      <c r="D231" s="180"/>
      <c r="E231" s="212"/>
      <c r="F231" s="206"/>
      <c r="G231" s="206"/>
      <c r="H231" s="206"/>
      <c r="I231" s="195">
        <f t="shared" si="15"/>
        <v>0</v>
      </c>
      <c r="J231" s="196"/>
      <c r="K231" s="172"/>
      <c r="L231" s="172"/>
      <c r="M231" s="193"/>
      <c r="N231" s="193"/>
      <c r="O231" s="198"/>
      <c r="P231" s="212"/>
    </row>
    <row r="232" s="162" customFormat="1" ht="31.5" outlineLevel="2" spans="1:16">
      <c r="A232" s="180"/>
      <c r="B232" s="211" t="s">
        <v>294</v>
      </c>
      <c r="C232" s="211" t="s">
        <v>295</v>
      </c>
      <c r="D232" s="180" t="s">
        <v>78</v>
      </c>
      <c r="E232" s="172"/>
      <c r="F232" s="206">
        <v>15</v>
      </c>
      <c r="G232" s="206">
        <v>15</v>
      </c>
      <c r="H232" s="206"/>
      <c r="I232" s="195">
        <f t="shared" si="15"/>
        <v>1.27869107775876</v>
      </c>
      <c r="J232" s="196">
        <f t="shared" si="16"/>
        <v>2.81508219699829</v>
      </c>
      <c r="K232" s="172">
        <f t="shared" si="17"/>
        <v>34.093773274757</v>
      </c>
      <c r="L232" s="172">
        <f t="shared" si="18"/>
        <v>0</v>
      </c>
      <c r="M232" s="193"/>
      <c r="N232" s="193"/>
      <c r="O232" s="198"/>
      <c r="P232" s="172">
        <v>321.145</v>
      </c>
    </row>
    <row r="233" s="162" customFormat="1" ht="31.5" outlineLevel="2" spans="1:16">
      <c r="A233" s="180"/>
      <c r="B233" s="211" t="s">
        <v>296</v>
      </c>
      <c r="C233" s="211" t="s">
        <v>297</v>
      </c>
      <c r="D233" s="180" t="s">
        <v>78</v>
      </c>
      <c r="E233" s="172"/>
      <c r="F233" s="206">
        <v>15</v>
      </c>
      <c r="G233" s="206">
        <v>35</v>
      </c>
      <c r="H233" s="206"/>
      <c r="I233" s="195">
        <f t="shared" si="15"/>
        <v>2.1311517962646</v>
      </c>
      <c r="J233" s="196">
        <f t="shared" si="16"/>
        <v>4.69180366166381</v>
      </c>
      <c r="K233" s="172">
        <f t="shared" si="17"/>
        <v>56.8229554579284</v>
      </c>
      <c r="L233" s="172">
        <f t="shared" si="18"/>
        <v>0</v>
      </c>
      <c r="M233" s="193"/>
      <c r="N233" s="193"/>
      <c r="O233" s="198"/>
      <c r="P233" s="172">
        <v>321.145</v>
      </c>
    </row>
    <row r="234" s="162" customFormat="1" ht="31.5" outlineLevel="2" spans="1:16">
      <c r="A234" s="180"/>
      <c r="B234" s="211" t="s">
        <v>298</v>
      </c>
      <c r="C234" s="211" t="s">
        <v>295</v>
      </c>
      <c r="D234" s="180" t="s">
        <v>78</v>
      </c>
      <c r="E234" s="172"/>
      <c r="F234" s="206">
        <v>15</v>
      </c>
      <c r="G234" s="206">
        <v>15</v>
      </c>
      <c r="H234" s="206"/>
      <c r="I234" s="195">
        <f t="shared" si="15"/>
        <v>1.27869107775876</v>
      </c>
      <c r="J234" s="196">
        <f t="shared" si="16"/>
        <v>2.81508219699829</v>
      </c>
      <c r="K234" s="172">
        <f t="shared" si="17"/>
        <v>34.093773274757</v>
      </c>
      <c r="L234" s="172">
        <f t="shared" si="18"/>
        <v>0</v>
      </c>
      <c r="M234" s="193"/>
      <c r="N234" s="193"/>
      <c r="O234" s="198"/>
      <c r="P234" s="172">
        <v>321.145</v>
      </c>
    </row>
    <row r="235" s="162" customFormat="1" ht="42" outlineLevel="2" spans="1:16">
      <c r="A235" s="180"/>
      <c r="B235" s="211" t="s">
        <v>299</v>
      </c>
      <c r="C235" s="211" t="s">
        <v>300</v>
      </c>
      <c r="D235" s="180" t="s">
        <v>78</v>
      </c>
      <c r="E235" s="172"/>
      <c r="F235" s="206">
        <v>15</v>
      </c>
      <c r="G235" s="206">
        <v>15</v>
      </c>
      <c r="H235" s="206"/>
      <c r="I235" s="195">
        <f t="shared" si="15"/>
        <v>1.27869107775876</v>
      </c>
      <c r="J235" s="196">
        <f t="shared" si="16"/>
        <v>2.81508219699829</v>
      </c>
      <c r="K235" s="172">
        <f t="shared" si="17"/>
        <v>34.093773274757</v>
      </c>
      <c r="L235" s="172">
        <f t="shared" si="18"/>
        <v>0</v>
      </c>
      <c r="M235" s="193"/>
      <c r="N235" s="193"/>
      <c r="O235" s="198"/>
      <c r="P235" s="172">
        <v>46.5885</v>
      </c>
    </row>
    <row r="236" s="162" customFormat="1" ht="42" outlineLevel="2" spans="1:16">
      <c r="A236" s="180"/>
      <c r="B236" s="211" t="s">
        <v>301</v>
      </c>
      <c r="C236" s="211" t="s">
        <v>302</v>
      </c>
      <c r="D236" s="180" t="s">
        <v>78</v>
      </c>
      <c r="E236" s="172"/>
      <c r="F236" s="206">
        <v>15</v>
      </c>
      <c r="G236" s="206">
        <v>35</v>
      </c>
      <c r="H236" s="206"/>
      <c r="I236" s="195">
        <f t="shared" si="15"/>
        <v>2.1311517962646</v>
      </c>
      <c r="J236" s="196">
        <f t="shared" si="16"/>
        <v>4.69180366166381</v>
      </c>
      <c r="K236" s="172">
        <f t="shared" si="17"/>
        <v>56.8229554579284</v>
      </c>
      <c r="L236" s="172">
        <f t="shared" si="18"/>
        <v>0</v>
      </c>
      <c r="M236" s="193"/>
      <c r="N236" s="193"/>
      <c r="O236" s="198"/>
      <c r="P236" s="172">
        <v>46.5885</v>
      </c>
    </row>
    <row r="237" s="162" customFormat="1" ht="42" outlineLevel="2" spans="1:16">
      <c r="A237" s="180"/>
      <c r="B237" s="211" t="s">
        <v>303</v>
      </c>
      <c r="C237" s="211" t="s">
        <v>300</v>
      </c>
      <c r="D237" s="180" t="s">
        <v>78</v>
      </c>
      <c r="E237" s="172"/>
      <c r="F237" s="206">
        <v>15</v>
      </c>
      <c r="G237" s="206">
        <v>15</v>
      </c>
      <c r="H237" s="206"/>
      <c r="I237" s="195">
        <f t="shared" si="15"/>
        <v>1.27869107775876</v>
      </c>
      <c r="J237" s="196">
        <f t="shared" si="16"/>
        <v>2.81508219699829</v>
      </c>
      <c r="K237" s="172">
        <f t="shared" si="17"/>
        <v>34.093773274757</v>
      </c>
      <c r="L237" s="172">
        <f t="shared" si="18"/>
        <v>0</v>
      </c>
      <c r="M237" s="193"/>
      <c r="N237" s="193"/>
      <c r="O237" s="198"/>
      <c r="P237" s="172">
        <v>46.5885</v>
      </c>
    </row>
    <row r="238" s="162" customFormat="1" ht="42" outlineLevel="2" spans="1:16">
      <c r="A238" s="180"/>
      <c r="B238" s="211" t="s">
        <v>304</v>
      </c>
      <c r="C238" s="211" t="s">
        <v>305</v>
      </c>
      <c r="D238" s="180" t="s">
        <v>78</v>
      </c>
      <c r="E238" s="172"/>
      <c r="F238" s="206">
        <v>45</v>
      </c>
      <c r="G238" s="206">
        <v>55</v>
      </c>
      <c r="H238" s="206">
        <v>15</v>
      </c>
      <c r="I238" s="195">
        <f t="shared" si="15"/>
        <v>4.90164913140858</v>
      </c>
      <c r="J238" s="196">
        <f t="shared" si="16"/>
        <v>10.7911484218268</v>
      </c>
      <c r="K238" s="172">
        <f t="shared" si="17"/>
        <v>130.692797553235</v>
      </c>
      <c r="L238" s="172">
        <f t="shared" si="18"/>
        <v>0</v>
      </c>
      <c r="M238" s="193"/>
      <c r="N238" s="193"/>
      <c r="O238" s="198"/>
      <c r="P238" s="172">
        <v>309.025</v>
      </c>
    </row>
    <row r="239" s="162" customFormat="1" ht="21" outlineLevel="2" spans="1:16">
      <c r="A239" s="180"/>
      <c r="B239" s="211" t="s">
        <v>306</v>
      </c>
      <c r="C239" s="211" t="s">
        <v>307</v>
      </c>
      <c r="D239" s="180" t="s">
        <v>78</v>
      </c>
      <c r="E239" s="172"/>
      <c r="F239" s="206">
        <v>55</v>
      </c>
      <c r="G239" s="206">
        <v>380</v>
      </c>
      <c r="H239" s="206">
        <v>15</v>
      </c>
      <c r="I239" s="195">
        <f t="shared" si="15"/>
        <v>19.1803661663814</v>
      </c>
      <c r="J239" s="196">
        <f t="shared" si="16"/>
        <v>42.2262329549743</v>
      </c>
      <c r="K239" s="172">
        <f t="shared" si="17"/>
        <v>511.406599121356</v>
      </c>
      <c r="L239" s="172">
        <f t="shared" si="18"/>
        <v>0</v>
      </c>
      <c r="M239" s="193"/>
      <c r="N239" s="193"/>
      <c r="O239" s="198"/>
      <c r="P239" s="172">
        <v>3.51</v>
      </c>
    </row>
    <row r="240" s="162" customFormat="1" ht="21" outlineLevel="2" spans="1:16">
      <c r="A240" s="180"/>
      <c r="B240" s="211" t="s">
        <v>308</v>
      </c>
      <c r="C240" s="211" t="s">
        <v>309</v>
      </c>
      <c r="D240" s="180" t="s">
        <v>78</v>
      </c>
      <c r="E240" s="172"/>
      <c r="F240" s="206">
        <v>55</v>
      </c>
      <c r="G240" s="206">
        <v>380</v>
      </c>
      <c r="H240" s="206">
        <v>15</v>
      </c>
      <c r="I240" s="195">
        <f t="shared" si="15"/>
        <v>19.1803661663814</v>
      </c>
      <c r="J240" s="196">
        <f t="shared" si="16"/>
        <v>42.2262329549743</v>
      </c>
      <c r="K240" s="172">
        <f t="shared" si="17"/>
        <v>511.406599121356</v>
      </c>
      <c r="L240" s="172">
        <f t="shared" si="18"/>
        <v>0</v>
      </c>
      <c r="M240" s="193"/>
      <c r="N240" s="193"/>
      <c r="O240" s="198"/>
      <c r="P240" s="172">
        <v>3.6</v>
      </c>
    </row>
    <row r="241" s="162" customFormat="1" ht="42" outlineLevel="2" spans="1:16">
      <c r="A241" s="180"/>
      <c r="B241" s="211" t="s">
        <v>310</v>
      </c>
      <c r="C241" s="211" t="s">
        <v>311</v>
      </c>
      <c r="D241" s="180" t="s">
        <v>78</v>
      </c>
      <c r="E241" s="172"/>
      <c r="F241" s="206">
        <v>45</v>
      </c>
      <c r="G241" s="206">
        <v>55</v>
      </c>
      <c r="H241" s="206">
        <v>15</v>
      </c>
      <c r="I241" s="195">
        <f t="shared" si="15"/>
        <v>4.90164913140858</v>
      </c>
      <c r="J241" s="196">
        <f t="shared" si="16"/>
        <v>10.7911484218268</v>
      </c>
      <c r="K241" s="172">
        <f t="shared" si="17"/>
        <v>130.692797553235</v>
      </c>
      <c r="L241" s="172">
        <f t="shared" si="18"/>
        <v>0</v>
      </c>
      <c r="M241" s="193"/>
      <c r="N241" s="193"/>
      <c r="O241" s="198"/>
      <c r="P241" s="172">
        <v>9.23</v>
      </c>
    </row>
    <row r="242" s="162" customFormat="1" ht="42" outlineLevel="2" spans="1:16">
      <c r="A242" s="180"/>
      <c r="B242" s="211" t="s">
        <v>312</v>
      </c>
      <c r="C242" s="211" t="s">
        <v>313</v>
      </c>
      <c r="D242" s="180" t="s">
        <v>78</v>
      </c>
      <c r="E242" s="172"/>
      <c r="F242" s="206">
        <v>65</v>
      </c>
      <c r="G242" s="206">
        <v>260</v>
      </c>
      <c r="H242" s="206">
        <v>15</v>
      </c>
      <c r="I242" s="195">
        <f t="shared" si="15"/>
        <v>14.4918322145993</v>
      </c>
      <c r="J242" s="196">
        <f t="shared" si="16"/>
        <v>31.9042648993139</v>
      </c>
      <c r="K242" s="172">
        <f t="shared" si="17"/>
        <v>386.396097113913</v>
      </c>
      <c r="L242" s="172">
        <f t="shared" si="18"/>
        <v>0</v>
      </c>
      <c r="M242" s="193"/>
      <c r="N242" s="193"/>
      <c r="O242" s="198"/>
      <c r="P242" s="172">
        <v>13.56</v>
      </c>
    </row>
    <row r="243" s="162" customFormat="1" ht="42" outlineLevel="2" spans="1:16">
      <c r="A243" s="180"/>
      <c r="B243" s="211" t="s">
        <v>312</v>
      </c>
      <c r="C243" s="211" t="s">
        <v>314</v>
      </c>
      <c r="D243" s="180" t="s">
        <v>78</v>
      </c>
      <c r="E243" s="172"/>
      <c r="F243" s="206">
        <v>65</v>
      </c>
      <c r="G243" s="206">
        <v>150</v>
      </c>
      <c r="H243" s="206">
        <v>15</v>
      </c>
      <c r="I243" s="195">
        <f t="shared" si="15"/>
        <v>9.80329826281716</v>
      </c>
      <c r="J243" s="196">
        <f t="shared" si="16"/>
        <v>21.5822968436535</v>
      </c>
      <c r="K243" s="172">
        <f t="shared" si="17"/>
        <v>261.385595106471</v>
      </c>
      <c r="L243" s="172">
        <f t="shared" si="18"/>
        <v>0</v>
      </c>
      <c r="M243" s="193"/>
      <c r="N243" s="193"/>
      <c r="O243" s="198"/>
      <c r="P243" s="172">
        <v>2.55</v>
      </c>
    </row>
    <row r="244" s="162" customFormat="1" ht="31.5" outlineLevel="2" spans="1:16">
      <c r="A244" s="180"/>
      <c r="B244" s="211" t="s">
        <v>315</v>
      </c>
      <c r="C244" s="211" t="s">
        <v>316</v>
      </c>
      <c r="D244" s="180" t="s">
        <v>89</v>
      </c>
      <c r="E244" s="172"/>
      <c r="F244" s="206">
        <v>20</v>
      </c>
      <c r="G244" s="206">
        <v>260</v>
      </c>
      <c r="H244" s="206">
        <v>5</v>
      </c>
      <c r="I244" s="195">
        <f t="shared" si="15"/>
        <v>12.1475652387082</v>
      </c>
      <c r="J244" s="196">
        <f t="shared" si="16"/>
        <v>26.7432808714837</v>
      </c>
      <c r="K244" s="172">
        <f t="shared" si="17"/>
        <v>323.890846110192</v>
      </c>
      <c r="L244" s="172">
        <f t="shared" si="18"/>
        <v>0</v>
      </c>
      <c r="M244" s="193"/>
      <c r="N244" s="193"/>
      <c r="O244" s="198"/>
      <c r="P244" s="172">
        <v>19.11</v>
      </c>
    </row>
    <row r="245" s="162" customFormat="1" ht="31.5" outlineLevel="2" spans="1:16">
      <c r="A245" s="180"/>
      <c r="B245" s="211" t="s">
        <v>317</v>
      </c>
      <c r="C245" s="211" t="s">
        <v>318</v>
      </c>
      <c r="D245" s="180" t="s">
        <v>89</v>
      </c>
      <c r="E245" s="172"/>
      <c r="F245" s="206">
        <v>20</v>
      </c>
      <c r="G245" s="206">
        <v>220</v>
      </c>
      <c r="H245" s="206">
        <v>5</v>
      </c>
      <c r="I245" s="195">
        <f t="shared" si="15"/>
        <v>10.4426438016965</v>
      </c>
      <c r="J245" s="196">
        <f t="shared" si="16"/>
        <v>22.9898379421527</v>
      </c>
      <c r="K245" s="172">
        <f t="shared" si="17"/>
        <v>278.432481743849</v>
      </c>
      <c r="L245" s="172">
        <f t="shared" si="18"/>
        <v>0</v>
      </c>
      <c r="M245" s="193"/>
      <c r="N245" s="193"/>
      <c r="O245" s="198"/>
      <c r="P245" s="172">
        <v>11.79</v>
      </c>
    </row>
    <row r="246" s="162" customFormat="1" ht="31.5" outlineLevel="2" spans="1:16">
      <c r="A246" s="180"/>
      <c r="B246" s="211" t="s">
        <v>317</v>
      </c>
      <c r="C246" s="211" t="s">
        <v>319</v>
      </c>
      <c r="D246" s="180" t="s">
        <v>89</v>
      </c>
      <c r="E246" s="172"/>
      <c r="F246" s="206">
        <v>20</v>
      </c>
      <c r="G246" s="206">
        <v>35</v>
      </c>
      <c r="H246" s="206">
        <v>5</v>
      </c>
      <c r="I246" s="195">
        <f t="shared" si="15"/>
        <v>2.55738215551752</v>
      </c>
      <c r="J246" s="196">
        <f t="shared" si="16"/>
        <v>5.63016439399658</v>
      </c>
      <c r="K246" s="172">
        <f t="shared" si="17"/>
        <v>68.1875465495141</v>
      </c>
      <c r="L246" s="172">
        <f t="shared" si="18"/>
        <v>0</v>
      </c>
      <c r="M246" s="193"/>
      <c r="N246" s="193"/>
      <c r="O246" s="198"/>
      <c r="P246" s="172">
        <v>44.76</v>
      </c>
    </row>
    <row r="247" s="162" customFormat="1" ht="21" outlineLevel="2" spans="1:16">
      <c r="A247" s="180"/>
      <c r="B247" s="211" t="s">
        <v>320</v>
      </c>
      <c r="C247" s="211" t="s">
        <v>321</v>
      </c>
      <c r="D247" s="180" t="s">
        <v>89</v>
      </c>
      <c r="E247" s="172"/>
      <c r="F247" s="206">
        <v>15</v>
      </c>
      <c r="G247" s="206">
        <v>85</v>
      </c>
      <c r="H247" s="206"/>
      <c r="I247" s="195">
        <f t="shared" si="15"/>
        <v>4.2623035925292</v>
      </c>
      <c r="J247" s="196">
        <f t="shared" si="16"/>
        <v>9.38360732332763</v>
      </c>
      <c r="K247" s="172">
        <f t="shared" si="17"/>
        <v>113.645910915857</v>
      </c>
      <c r="L247" s="172">
        <f t="shared" si="18"/>
        <v>0</v>
      </c>
      <c r="M247" s="193"/>
      <c r="N247" s="193"/>
      <c r="O247" s="198"/>
      <c r="P247" s="172">
        <v>13.87</v>
      </c>
    </row>
    <row r="248" s="162" customFormat="1" ht="21" outlineLevel="2" spans="1:16">
      <c r="A248" s="180"/>
      <c r="B248" s="211" t="s">
        <v>322</v>
      </c>
      <c r="C248" s="211" t="s">
        <v>323</v>
      </c>
      <c r="D248" s="180" t="s">
        <v>89</v>
      </c>
      <c r="E248" s="172"/>
      <c r="F248" s="206">
        <v>15</v>
      </c>
      <c r="G248" s="206">
        <v>65</v>
      </c>
      <c r="H248" s="206"/>
      <c r="I248" s="195">
        <f t="shared" si="15"/>
        <v>3.40984287402336</v>
      </c>
      <c r="J248" s="196">
        <f t="shared" si="16"/>
        <v>7.5068858586621</v>
      </c>
      <c r="K248" s="172">
        <f t="shared" si="17"/>
        <v>90.9167287326855</v>
      </c>
      <c r="L248" s="172">
        <f t="shared" si="18"/>
        <v>0</v>
      </c>
      <c r="M248" s="193"/>
      <c r="N248" s="193"/>
      <c r="O248" s="198"/>
      <c r="P248" s="172">
        <v>125.21</v>
      </c>
    </row>
    <row r="249" s="162" customFormat="1" ht="31.5" outlineLevel="2" spans="1:16">
      <c r="A249" s="180"/>
      <c r="B249" s="211" t="s">
        <v>301</v>
      </c>
      <c r="C249" s="211" t="s">
        <v>324</v>
      </c>
      <c r="D249" s="180" t="s">
        <v>78</v>
      </c>
      <c r="E249" s="172"/>
      <c r="F249" s="206">
        <v>15</v>
      </c>
      <c r="G249" s="206">
        <v>35</v>
      </c>
      <c r="H249" s="206"/>
      <c r="I249" s="195">
        <f t="shared" si="15"/>
        <v>2.1311517962646</v>
      </c>
      <c r="J249" s="196">
        <f t="shared" si="16"/>
        <v>4.69180366166381</v>
      </c>
      <c r="K249" s="172">
        <f t="shared" si="17"/>
        <v>56.8229554579284</v>
      </c>
      <c r="L249" s="172">
        <f t="shared" si="18"/>
        <v>0</v>
      </c>
      <c r="M249" s="193"/>
      <c r="N249" s="193"/>
      <c r="O249" s="198"/>
      <c r="P249" s="172">
        <v>29.5858</v>
      </c>
    </row>
    <row r="250" s="162" customFormat="1" ht="31.5" outlineLevel="2" spans="1:16">
      <c r="A250" s="180"/>
      <c r="B250" s="211" t="s">
        <v>325</v>
      </c>
      <c r="C250" s="211" t="s">
        <v>326</v>
      </c>
      <c r="D250" s="180" t="s">
        <v>89</v>
      </c>
      <c r="E250" s="172"/>
      <c r="F250" s="206">
        <v>15</v>
      </c>
      <c r="G250" s="206">
        <v>95</v>
      </c>
      <c r="H250" s="206">
        <v>5</v>
      </c>
      <c r="I250" s="195">
        <f t="shared" si="15"/>
        <v>4.90164913140858</v>
      </c>
      <c r="J250" s="196">
        <f t="shared" si="16"/>
        <v>10.7911484218268</v>
      </c>
      <c r="K250" s="172">
        <f t="shared" si="17"/>
        <v>130.692797553235</v>
      </c>
      <c r="L250" s="172">
        <f t="shared" si="18"/>
        <v>0</v>
      </c>
      <c r="M250" s="193"/>
      <c r="N250" s="193"/>
      <c r="O250" s="198"/>
      <c r="P250" s="172">
        <v>13.87</v>
      </c>
    </row>
    <row r="251" s="162" customFormat="1" ht="31.5" outlineLevel="2" spans="1:16">
      <c r="A251" s="180"/>
      <c r="B251" s="211" t="s">
        <v>327</v>
      </c>
      <c r="C251" s="211" t="s">
        <v>328</v>
      </c>
      <c r="D251" s="180" t="s">
        <v>89</v>
      </c>
      <c r="E251" s="172"/>
      <c r="F251" s="206">
        <v>15</v>
      </c>
      <c r="G251" s="206">
        <v>72</v>
      </c>
      <c r="H251" s="206">
        <v>5</v>
      </c>
      <c r="I251" s="195">
        <f t="shared" si="15"/>
        <v>3.92131930512686</v>
      </c>
      <c r="J251" s="196">
        <f t="shared" si="16"/>
        <v>8.63291873746142</v>
      </c>
      <c r="K251" s="172">
        <f t="shared" si="17"/>
        <v>104.554238042588</v>
      </c>
      <c r="L251" s="172">
        <f t="shared" si="18"/>
        <v>0</v>
      </c>
      <c r="M251" s="193"/>
      <c r="N251" s="193"/>
      <c r="O251" s="198"/>
      <c r="P251" s="172">
        <v>125.21</v>
      </c>
    </row>
    <row r="252" s="162" customFormat="1" ht="42" outlineLevel="2" spans="1:16">
      <c r="A252" s="180"/>
      <c r="B252" s="211" t="s">
        <v>304</v>
      </c>
      <c r="C252" s="211" t="s">
        <v>329</v>
      </c>
      <c r="D252" s="180" t="s">
        <v>78</v>
      </c>
      <c r="E252" s="172"/>
      <c r="F252" s="206">
        <v>45</v>
      </c>
      <c r="G252" s="206">
        <v>55</v>
      </c>
      <c r="H252" s="206">
        <v>15</v>
      </c>
      <c r="I252" s="195">
        <f t="shared" si="15"/>
        <v>4.90164913140858</v>
      </c>
      <c r="J252" s="196">
        <f t="shared" si="16"/>
        <v>10.7911484218268</v>
      </c>
      <c r="K252" s="172">
        <f t="shared" si="17"/>
        <v>130.692797553235</v>
      </c>
      <c r="L252" s="172">
        <f t="shared" si="18"/>
        <v>0</v>
      </c>
      <c r="M252" s="193"/>
      <c r="N252" s="193"/>
      <c r="O252" s="198"/>
      <c r="P252" s="172">
        <v>16.592</v>
      </c>
    </row>
    <row r="253" s="162" customFormat="1" ht="63" outlineLevel="2" spans="1:16">
      <c r="A253" s="180"/>
      <c r="B253" s="211" t="s">
        <v>330</v>
      </c>
      <c r="C253" s="211" t="s">
        <v>331</v>
      </c>
      <c r="D253" s="180" t="s">
        <v>78</v>
      </c>
      <c r="E253" s="172"/>
      <c r="F253" s="179">
        <v>85</v>
      </c>
      <c r="G253" s="179">
        <v>120</v>
      </c>
      <c r="H253" s="179">
        <v>35</v>
      </c>
      <c r="I253" s="195">
        <f t="shared" si="15"/>
        <v>10.2295286220701</v>
      </c>
      <c r="J253" s="196">
        <f t="shared" si="16"/>
        <v>22.5206575759863</v>
      </c>
      <c r="K253" s="172">
        <f t="shared" si="17"/>
        <v>272.750186198056</v>
      </c>
      <c r="L253" s="172">
        <f t="shared" si="18"/>
        <v>0</v>
      </c>
      <c r="M253" s="193"/>
      <c r="N253" s="193"/>
      <c r="O253" s="198"/>
      <c r="P253" s="172">
        <v>13.481</v>
      </c>
    </row>
    <row r="254" s="162" customFormat="1" ht="21" outlineLevel="2" spans="1:16">
      <c r="A254" s="213"/>
      <c r="B254" s="211" t="s">
        <v>332</v>
      </c>
      <c r="C254" s="211" t="s">
        <v>333</v>
      </c>
      <c r="D254" s="180" t="s">
        <v>140</v>
      </c>
      <c r="E254" s="214"/>
      <c r="F254" s="206">
        <v>3000</v>
      </c>
      <c r="G254" s="206">
        <v>5500</v>
      </c>
      <c r="H254" s="206">
        <v>1000</v>
      </c>
      <c r="I254" s="195">
        <f t="shared" si="15"/>
        <v>404.918841290274</v>
      </c>
      <c r="J254" s="196">
        <f t="shared" si="16"/>
        <v>891.442695716125</v>
      </c>
      <c r="K254" s="172">
        <f t="shared" si="17"/>
        <v>10796.3615370064</v>
      </c>
      <c r="L254" s="172">
        <f t="shared" si="18"/>
        <v>0</v>
      </c>
      <c r="M254" s="193"/>
      <c r="N254" s="193"/>
      <c r="O254" s="198"/>
      <c r="P254" s="214">
        <v>0.013639375</v>
      </c>
    </row>
    <row r="255" s="162" customFormat="1" ht="31.5" outlineLevel="2" spans="1:16">
      <c r="A255" s="180"/>
      <c r="B255" s="211" t="s">
        <v>334</v>
      </c>
      <c r="C255" s="211" t="s">
        <v>335</v>
      </c>
      <c r="D255" s="180" t="s">
        <v>89</v>
      </c>
      <c r="E255" s="172"/>
      <c r="F255" s="206">
        <v>85</v>
      </c>
      <c r="G255" s="206">
        <v>320</v>
      </c>
      <c r="H255" s="206">
        <v>55</v>
      </c>
      <c r="I255" s="195">
        <f t="shared" si="15"/>
        <v>19.6065965256343</v>
      </c>
      <c r="J255" s="196">
        <f t="shared" si="16"/>
        <v>43.1645936873071</v>
      </c>
      <c r="K255" s="172">
        <f t="shared" si="17"/>
        <v>522.771190212941</v>
      </c>
      <c r="L255" s="172">
        <f t="shared" si="18"/>
        <v>0</v>
      </c>
      <c r="M255" s="193"/>
      <c r="N255" s="193"/>
      <c r="O255" s="198"/>
      <c r="P255" s="172">
        <v>20.74</v>
      </c>
    </row>
    <row r="256" s="162" customFormat="1" ht="52.5" outlineLevel="2" spans="1:16">
      <c r="A256" s="180"/>
      <c r="B256" s="211" t="s">
        <v>336</v>
      </c>
      <c r="C256" s="211" t="s">
        <v>337</v>
      </c>
      <c r="D256" s="180" t="s">
        <v>89</v>
      </c>
      <c r="E256" s="172"/>
      <c r="F256" s="206">
        <v>85</v>
      </c>
      <c r="G256" s="206">
        <v>320</v>
      </c>
      <c r="H256" s="206">
        <v>55</v>
      </c>
      <c r="I256" s="195">
        <f t="shared" si="15"/>
        <v>19.6065965256343</v>
      </c>
      <c r="J256" s="196">
        <f t="shared" si="16"/>
        <v>43.1645936873071</v>
      </c>
      <c r="K256" s="172">
        <f t="shared" si="17"/>
        <v>522.771190212941</v>
      </c>
      <c r="L256" s="172">
        <f t="shared" si="18"/>
        <v>0</v>
      </c>
      <c r="M256" s="193"/>
      <c r="N256" s="193"/>
      <c r="O256" s="198"/>
      <c r="P256" s="172">
        <v>11.5</v>
      </c>
    </row>
    <row r="257" s="162" customFormat="1" ht="31.5" outlineLevel="2" spans="1:16">
      <c r="A257" s="180"/>
      <c r="B257" s="211" t="s">
        <v>338</v>
      </c>
      <c r="C257" s="211" t="s">
        <v>339</v>
      </c>
      <c r="D257" s="180" t="s">
        <v>114</v>
      </c>
      <c r="E257" s="172"/>
      <c r="F257" s="179">
        <v>35</v>
      </c>
      <c r="G257" s="179">
        <v>3600</v>
      </c>
      <c r="H257" s="179">
        <v>50</v>
      </c>
      <c r="I257" s="195">
        <f t="shared" si="15"/>
        <v>157.065887384701</v>
      </c>
      <c r="J257" s="196">
        <f t="shared" si="16"/>
        <v>345.785929864623</v>
      </c>
      <c r="K257" s="172">
        <f t="shared" si="17"/>
        <v>4187.85181724932</v>
      </c>
      <c r="L257" s="172">
        <f t="shared" si="18"/>
        <v>0</v>
      </c>
      <c r="M257" s="193"/>
      <c r="N257" s="193"/>
      <c r="O257" s="198"/>
      <c r="P257" s="172">
        <v>23</v>
      </c>
    </row>
    <row r="258" s="162" customFormat="1" ht="11.25" outlineLevel="1" spans="1:16">
      <c r="A258" s="180"/>
      <c r="B258" s="211" t="s">
        <v>340</v>
      </c>
      <c r="C258" s="211"/>
      <c r="D258" s="180"/>
      <c r="E258" s="172"/>
      <c r="F258" s="206"/>
      <c r="G258" s="206"/>
      <c r="H258" s="206"/>
      <c r="I258" s="195">
        <f t="shared" si="15"/>
        <v>0</v>
      </c>
      <c r="J258" s="196"/>
      <c r="K258" s="172"/>
      <c r="L258" s="172"/>
      <c r="M258" s="193"/>
      <c r="N258" s="193"/>
      <c r="O258" s="198"/>
      <c r="P258" s="172"/>
    </row>
    <row r="259" s="162" customFormat="1" ht="52.5" outlineLevel="2" spans="1:16">
      <c r="A259" s="180"/>
      <c r="B259" s="211" t="s">
        <v>272</v>
      </c>
      <c r="C259" s="211" t="s">
        <v>273</v>
      </c>
      <c r="D259" s="180" t="s">
        <v>75</v>
      </c>
      <c r="E259" s="172"/>
      <c r="F259" s="206"/>
      <c r="G259" s="206"/>
      <c r="H259" s="179">
        <v>8.5</v>
      </c>
      <c r="I259" s="195">
        <f t="shared" si="15"/>
        <v>0.362295805364982</v>
      </c>
      <c r="J259" s="196">
        <f t="shared" si="16"/>
        <v>0.797606622482848</v>
      </c>
      <c r="K259" s="172">
        <f t="shared" si="17"/>
        <v>9.65990242784783</v>
      </c>
      <c r="L259" s="172">
        <f t="shared" si="18"/>
        <v>0</v>
      </c>
      <c r="M259" s="193"/>
      <c r="N259" s="193"/>
      <c r="O259" s="198"/>
      <c r="P259" s="172">
        <v>93.4875</v>
      </c>
    </row>
    <row r="260" s="162" customFormat="1" ht="31.5" outlineLevel="2" spans="1:16">
      <c r="A260" s="180"/>
      <c r="B260" s="211" t="s">
        <v>76</v>
      </c>
      <c r="C260" s="211" t="s">
        <v>341</v>
      </c>
      <c r="D260" s="180" t="s">
        <v>78</v>
      </c>
      <c r="E260" s="172"/>
      <c r="F260" s="179">
        <v>0.5</v>
      </c>
      <c r="G260" s="172"/>
      <c r="H260" s="179">
        <v>2.5</v>
      </c>
      <c r="I260" s="195">
        <f t="shared" si="15"/>
        <v>0.127869107775876</v>
      </c>
      <c r="J260" s="196">
        <f t="shared" si="16"/>
        <v>0.281508219699829</v>
      </c>
      <c r="K260" s="172">
        <f t="shared" si="17"/>
        <v>3.4093773274757</v>
      </c>
      <c r="L260" s="172">
        <f t="shared" si="18"/>
        <v>0</v>
      </c>
      <c r="M260" s="193"/>
      <c r="N260" s="193"/>
      <c r="O260" s="198"/>
      <c r="P260" s="172">
        <v>373.95</v>
      </c>
    </row>
    <row r="261" s="162" customFormat="1" ht="31.5" outlineLevel="2" spans="1:16">
      <c r="A261" s="180"/>
      <c r="B261" s="211" t="s">
        <v>79</v>
      </c>
      <c r="C261" s="211" t="s">
        <v>342</v>
      </c>
      <c r="D261" s="180" t="s">
        <v>75</v>
      </c>
      <c r="E261" s="172"/>
      <c r="F261" s="179">
        <v>10</v>
      </c>
      <c r="G261" s="180">
        <v>95</v>
      </c>
      <c r="H261" s="179">
        <v>15</v>
      </c>
      <c r="I261" s="195">
        <f t="shared" ref="I261:I324" si="19">((F261+G261+H261)*0.06)*0.7103839320882</f>
        <v>5.11476431103504</v>
      </c>
      <c r="J261" s="196">
        <f t="shared" si="16"/>
        <v>11.2603287879932</v>
      </c>
      <c r="K261" s="172">
        <f t="shared" si="17"/>
        <v>136.375093099028</v>
      </c>
      <c r="L261" s="172">
        <f t="shared" si="18"/>
        <v>0</v>
      </c>
      <c r="M261" s="193"/>
      <c r="N261" s="193"/>
      <c r="O261" s="198"/>
      <c r="P261" s="172">
        <f>56.0925/1.5</f>
        <v>37.395</v>
      </c>
    </row>
    <row r="262" s="162" customFormat="1" ht="42" outlineLevel="2" spans="1:16">
      <c r="A262" s="180"/>
      <c r="B262" s="211" t="s">
        <v>81</v>
      </c>
      <c r="C262" s="211" t="s">
        <v>343</v>
      </c>
      <c r="D262" s="180" t="s">
        <v>75</v>
      </c>
      <c r="E262" s="172"/>
      <c r="F262" s="179">
        <v>55</v>
      </c>
      <c r="G262" s="180">
        <v>445</v>
      </c>
      <c r="H262" s="179">
        <v>15</v>
      </c>
      <c r="I262" s="195">
        <f t="shared" si="19"/>
        <v>21.9508635015254</v>
      </c>
      <c r="J262" s="196">
        <f t="shared" ref="J262:J325" si="20">(F262+G262+H262+I262)*0.09</f>
        <v>48.3255777151373</v>
      </c>
      <c r="K262" s="172">
        <f t="shared" ref="K262:K325" si="21">F262+G262+H262+I262+J262</f>
        <v>585.276441216663</v>
      </c>
      <c r="L262" s="172">
        <f t="shared" ref="L262:L325" si="22">K262*E262</f>
        <v>0</v>
      </c>
      <c r="M262" s="193"/>
      <c r="N262" s="193"/>
      <c r="O262" s="198"/>
      <c r="P262" s="172">
        <v>37.395</v>
      </c>
    </row>
    <row r="263" s="162" customFormat="1" ht="31.5" outlineLevel="2" spans="1:16">
      <c r="A263" s="213"/>
      <c r="B263" s="213" t="s">
        <v>344</v>
      </c>
      <c r="C263" s="211" t="s">
        <v>345</v>
      </c>
      <c r="D263" s="202" t="s">
        <v>78</v>
      </c>
      <c r="E263" s="202"/>
      <c r="F263" s="179">
        <v>50</v>
      </c>
      <c r="G263" s="180">
        <v>65</v>
      </c>
      <c r="H263" s="179">
        <v>15</v>
      </c>
      <c r="I263" s="195">
        <f t="shared" si="19"/>
        <v>5.54099467028796</v>
      </c>
      <c r="J263" s="196">
        <f t="shared" si="20"/>
        <v>12.1986895203259</v>
      </c>
      <c r="K263" s="172">
        <f t="shared" si="21"/>
        <v>147.739684190614</v>
      </c>
      <c r="L263" s="172">
        <f t="shared" si="22"/>
        <v>0</v>
      </c>
      <c r="M263" s="193"/>
      <c r="N263" s="193"/>
      <c r="O263" s="198"/>
      <c r="P263" s="202">
        <v>3.8</v>
      </c>
    </row>
    <row r="264" s="162" customFormat="1" ht="31.5" outlineLevel="2" spans="1:16">
      <c r="A264" s="213"/>
      <c r="B264" s="213" t="s">
        <v>344</v>
      </c>
      <c r="C264" s="211" t="s">
        <v>346</v>
      </c>
      <c r="D264" s="202" t="s">
        <v>78</v>
      </c>
      <c r="E264" s="202"/>
      <c r="F264" s="179">
        <v>50</v>
      </c>
      <c r="G264" s="180">
        <v>65</v>
      </c>
      <c r="H264" s="179">
        <v>15</v>
      </c>
      <c r="I264" s="195">
        <f t="shared" si="19"/>
        <v>5.54099467028796</v>
      </c>
      <c r="J264" s="196">
        <f t="shared" si="20"/>
        <v>12.1986895203259</v>
      </c>
      <c r="K264" s="172">
        <f t="shared" si="21"/>
        <v>147.739684190614</v>
      </c>
      <c r="L264" s="172">
        <f t="shared" si="22"/>
        <v>0</v>
      </c>
      <c r="M264" s="193"/>
      <c r="N264" s="193"/>
      <c r="O264" s="198"/>
      <c r="P264" s="202">
        <v>34.32</v>
      </c>
    </row>
    <row r="265" s="162" customFormat="1" ht="31.5" outlineLevel="2" spans="1:16">
      <c r="A265" s="213"/>
      <c r="B265" s="213" t="s">
        <v>344</v>
      </c>
      <c r="C265" s="211" t="s">
        <v>347</v>
      </c>
      <c r="D265" s="202" t="s">
        <v>78</v>
      </c>
      <c r="E265" s="202"/>
      <c r="F265" s="179">
        <v>180</v>
      </c>
      <c r="G265" s="179">
        <v>320</v>
      </c>
      <c r="H265" s="179">
        <v>15</v>
      </c>
      <c r="I265" s="195">
        <f t="shared" si="19"/>
        <v>21.9508635015254</v>
      </c>
      <c r="J265" s="196">
        <f t="shared" si="20"/>
        <v>48.3255777151373</v>
      </c>
      <c r="K265" s="172">
        <f t="shared" si="21"/>
        <v>585.276441216663</v>
      </c>
      <c r="L265" s="172">
        <f t="shared" si="22"/>
        <v>0</v>
      </c>
      <c r="M265" s="193"/>
      <c r="N265" s="193"/>
      <c r="O265" s="198"/>
      <c r="P265" s="202">
        <v>108.64</v>
      </c>
    </row>
    <row r="266" s="162" customFormat="1" ht="31.5" outlineLevel="2" spans="1:16">
      <c r="A266" s="213"/>
      <c r="B266" s="213" t="s">
        <v>344</v>
      </c>
      <c r="C266" s="211" t="s">
        <v>348</v>
      </c>
      <c r="D266" s="202" t="s">
        <v>78</v>
      </c>
      <c r="E266" s="202"/>
      <c r="F266" s="179">
        <v>50</v>
      </c>
      <c r="G266" s="180">
        <v>65</v>
      </c>
      <c r="H266" s="179">
        <v>15</v>
      </c>
      <c r="I266" s="195">
        <f t="shared" si="19"/>
        <v>5.54099467028796</v>
      </c>
      <c r="J266" s="196">
        <f t="shared" si="20"/>
        <v>12.1986895203259</v>
      </c>
      <c r="K266" s="172">
        <f t="shared" si="21"/>
        <v>147.739684190614</v>
      </c>
      <c r="L266" s="172">
        <f t="shared" si="22"/>
        <v>0</v>
      </c>
      <c r="M266" s="193"/>
      <c r="N266" s="193"/>
      <c r="O266" s="198"/>
      <c r="P266" s="202">
        <v>23.76</v>
      </c>
    </row>
    <row r="267" s="162" customFormat="1" ht="31.5" outlineLevel="2" spans="1:16">
      <c r="A267" s="213"/>
      <c r="B267" s="213" t="s">
        <v>344</v>
      </c>
      <c r="C267" s="211" t="s">
        <v>349</v>
      </c>
      <c r="D267" s="202" t="s">
        <v>78</v>
      </c>
      <c r="E267" s="202"/>
      <c r="F267" s="179">
        <v>50</v>
      </c>
      <c r="G267" s="180">
        <v>65</v>
      </c>
      <c r="H267" s="179">
        <v>15</v>
      </c>
      <c r="I267" s="195">
        <f t="shared" si="19"/>
        <v>5.54099467028796</v>
      </c>
      <c r="J267" s="196">
        <f t="shared" si="20"/>
        <v>12.1986895203259</v>
      </c>
      <c r="K267" s="172">
        <f t="shared" si="21"/>
        <v>147.739684190614</v>
      </c>
      <c r="L267" s="172">
        <f t="shared" si="22"/>
        <v>0</v>
      </c>
      <c r="M267" s="193"/>
      <c r="N267" s="193"/>
      <c r="O267" s="198"/>
      <c r="P267" s="202">
        <v>7.56</v>
      </c>
    </row>
    <row r="268" s="162" customFormat="1" ht="31.5" outlineLevel="2" spans="1:16">
      <c r="A268" s="213"/>
      <c r="B268" s="213" t="s">
        <v>344</v>
      </c>
      <c r="C268" s="211" t="s">
        <v>350</v>
      </c>
      <c r="D268" s="202" t="s">
        <v>78</v>
      </c>
      <c r="E268" s="202"/>
      <c r="F268" s="179">
        <v>50</v>
      </c>
      <c r="G268" s="180">
        <v>65</v>
      </c>
      <c r="H268" s="179">
        <v>15</v>
      </c>
      <c r="I268" s="195">
        <f t="shared" si="19"/>
        <v>5.54099467028796</v>
      </c>
      <c r="J268" s="196">
        <f t="shared" si="20"/>
        <v>12.1986895203259</v>
      </c>
      <c r="K268" s="172">
        <f t="shared" si="21"/>
        <v>147.739684190614</v>
      </c>
      <c r="L268" s="172">
        <f t="shared" si="22"/>
        <v>0</v>
      </c>
      <c r="M268" s="193"/>
      <c r="N268" s="193"/>
      <c r="O268" s="198"/>
      <c r="P268" s="202">
        <v>161.36</v>
      </c>
    </row>
    <row r="269" s="162" customFormat="1" ht="31.5" outlineLevel="2" spans="1:16">
      <c r="A269" s="213"/>
      <c r="B269" s="213" t="s">
        <v>351</v>
      </c>
      <c r="C269" s="211" t="s">
        <v>352</v>
      </c>
      <c r="D269" s="202" t="s">
        <v>78</v>
      </c>
      <c r="E269" s="202"/>
      <c r="F269" s="179">
        <v>50</v>
      </c>
      <c r="G269" s="180">
        <v>65</v>
      </c>
      <c r="H269" s="179">
        <v>15</v>
      </c>
      <c r="I269" s="195">
        <f t="shared" si="19"/>
        <v>5.54099467028796</v>
      </c>
      <c r="J269" s="196">
        <f t="shared" si="20"/>
        <v>12.1986895203259</v>
      </c>
      <c r="K269" s="172">
        <f t="shared" si="21"/>
        <v>147.739684190614</v>
      </c>
      <c r="L269" s="172">
        <f t="shared" si="22"/>
        <v>0</v>
      </c>
      <c r="M269" s="193"/>
      <c r="N269" s="193"/>
      <c r="O269" s="198"/>
      <c r="P269" s="202">
        <v>12.17</v>
      </c>
    </row>
    <row r="270" s="162" customFormat="1" ht="42" outlineLevel="2" spans="1:16">
      <c r="A270" s="213"/>
      <c r="B270" s="213" t="s">
        <v>351</v>
      </c>
      <c r="C270" s="211" t="s">
        <v>353</v>
      </c>
      <c r="D270" s="202" t="s">
        <v>78</v>
      </c>
      <c r="E270" s="202"/>
      <c r="F270" s="179">
        <v>50</v>
      </c>
      <c r="G270" s="180">
        <v>65</v>
      </c>
      <c r="H270" s="179">
        <v>15</v>
      </c>
      <c r="I270" s="195">
        <f t="shared" si="19"/>
        <v>5.54099467028796</v>
      </c>
      <c r="J270" s="196">
        <f t="shared" si="20"/>
        <v>12.1986895203259</v>
      </c>
      <c r="K270" s="172">
        <f t="shared" si="21"/>
        <v>147.739684190614</v>
      </c>
      <c r="L270" s="172">
        <f t="shared" si="22"/>
        <v>0</v>
      </c>
      <c r="M270" s="193"/>
      <c r="N270" s="193"/>
      <c r="O270" s="198"/>
      <c r="P270" s="202">
        <v>1.77</v>
      </c>
    </row>
    <row r="271" s="162" customFormat="1" ht="21" outlineLevel="2" spans="1:16">
      <c r="A271" s="213"/>
      <c r="B271" s="213" t="s">
        <v>351</v>
      </c>
      <c r="C271" s="211" t="s">
        <v>354</v>
      </c>
      <c r="D271" s="202" t="s">
        <v>78</v>
      </c>
      <c r="E271" s="202"/>
      <c r="F271" s="179">
        <v>15</v>
      </c>
      <c r="G271" s="180">
        <v>95</v>
      </c>
      <c r="H271" s="179">
        <v>10</v>
      </c>
      <c r="I271" s="195">
        <f t="shared" si="19"/>
        <v>5.11476431103504</v>
      </c>
      <c r="J271" s="196">
        <f t="shared" si="20"/>
        <v>11.2603287879932</v>
      </c>
      <c r="K271" s="172">
        <f t="shared" si="21"/>
        <v>136.375093099028</v>
      </c>
      <c r="L271" s="172">
        <f t="shared" si="22"/>
        <v>0</v>
      </c>
      <c r="M271" s="193"/>
      <c r="N271" s="193"/>
      <c r="O271" s="198"/>
      <c r="P271" s="202">
        <v>8.72</v>
      </c>
    </row>
    <row r="272" s="162" customFormat="1" ht="42" outlineLevel="2" spans="1:16">
      <c r="A272" s="213"/>
      <c r="B272" s="213" t="s">
        <v>351</v>
      </c>
      <c r="C272" s="211" t="s">
        <v>355</v>
      </c>
      <c r="D272" s="202" t="s">
        <v>78</v>
      </c>
      <c r="E272" s="202"/>
      <c r="F272" s="179">
        <v>15</v>
      </c>
      <c r="G272" s="180">
        <v>95</v>
      </c>
      <c r="H272" s="179">
        <v>10</v>
      </c>
      <c r="I272" s="195">
        <f t="shared" si="19"/>
        <v>5.11476431103504</v>
      </c>
      <c r="J272" s="196">
        <f t="shared" si="20"/>
        <v>11.2603287879932</v>
      </c>
      <c r="K272" s="172">
        <f t="shared" si="21"/>
        <v>136.375093099028</v>
      </c>
      <c r="L272" s="172">
        <f t="shared" si="22"/>
        <v>0</v>
      </c>
      <c r="M272" s="193"/>
      <c r="N272" s="193"/>
      <c r="O272" s="198"/>
      <c r="P272" s="202">
        <v>11.85</v>
      </c>
    </row>
    <row r="273" s="162" customFormat="1" ht="52.5" outlineLevel="2" spans="1:16">
      <c r="A273" s="213"/>
      <c r="B273" s="213" t="s">
        <v>356</v>
      </c>
      <c r="C273" s="211" t="s">
        <v>357</v>
      </c>
      <c r="D273" s="202" t="s">
        <v>89</v>
      </c>
      <c r="E273" s="202"/>
      <c r="F273" s="206">
        <v>15</v>
      </c>
      <c r="G273" s="206">
        <v>35</v>
      </c>
      <c r="H273" s="206">
        <v>15</v>
      </c>
      <c r="I273" s="195">
        <f t="shared" si="19"/>
        <v>2.77049733514398</v>
      </c>
      <c r="J273" s="196">
        <f t="shared" si="20"/>
        <v>6.09934476016296</v>
      </c>
      <c r="K273" s="172">
        <f t="shared" si="21"/>
        <v>73.869842095307</v>
      </c>
      <c r="L273" s="172">
        <f t="shared" si="22"/>
        <v>0</v>
      </c>
      <c r="M273" s="193"/>
      <c r="N273" s="193"/>
      <c r="O273" s="198"/>
      <c r="P273" s="202">
        <v>4.1</v>
      </c>
    </row>
    <row r="274" s="162" customFormat="1" ht="11.25" outlineLevel="1" spans="1:16">
      <c r="A274" s="213"/>
      <c r="B274" s="213" t="s">
        <v>358</v>
      </c>
      <c r="C274" s="213"/>
      <c r="D274" s="202"/>
      <c r="E274" s="202"/>
      <c r="F274" s="206"/>
      <c r="G274" s="206"/>
      <c r="H274" s="206"/>
      <c r="I274" s="195">
        <f t="shared" si="19"/>
        <v>0</v>
      </c>
      <c r="J274" s="196"/>
      <c r="K274" s="172"/>
      <c r="L274" s="172"/>
      <c r="M274" s="193"/>
      <c r="N274" s="193"/>
      <c r="O274" s="198"/>
      <c r="P274" s="202"/>
    </row>
    <row r="275" s="162" customFormat="1" ht="11.25" outlineLevel="1" spans="1:16">
      <c r="A275" s="213"/>
      <c r="B275" s="213" t="s">
        <v>359</v>
      </c>
      <c r="C275" s="213"/>
      <c r="D275" s="202"/>
      <c r="E275" s="202"/>
      <c r="F275" s="206"/>
      <c r="G275" s="206"/>
      <c r="H275" s="206"/>
      <c r="I275" s="195">
        <f t="shared" si="19"/>
        <v>0</v>
      </c>
      <c r="J275" s="196"/>
      <c r="K275" s="172"/>
      <c r="L275" s="172"/>
      <c r="M275" s="193"/>
      <c r="N275" s="193"/>
      <c r="O275" s="198"/>
      <c r="P275" s="202"/>
    </row>
    <row r="276" s="162" customFormat="1" ht="52.5" outlineLevel="2" spans="1:16">
      <c r="A276" s="180"/>
      <c r="B276" s="211" t="s">
        <v>360</v>
      </c>
      <c r="C276" s="211" t="s">
        <v>273</v>
      </c>
      <c r="D276" s="180" t="s">
        <v>75</v>
      </c>
      <c r="E276" s="180"/>
      <c r="F276" s="206"/>
      <c r="G276" s="206"/>
      <c r="H276" s="179">
        <v>8.5</v>
      </c>
      <c r="I276" s="195">
        <f t="shared" si="19"/>
        <v>0.362295805364982</v>
      </c>
      <c r="J276" s="196">
        <f t="shared" si="20"/>
        <v>0.797606622482848</v>
      </c>
      <c r="K276" s="172">
        <f t="shared" si="21"/>
        <v>9.65990242784783</v>
      </c>
      <c r="L276" s="172">
        <f t="shared" si="22"/>
        <v>0</v>
      </c>
      <c r="M276" s="193"/>
      <c r="N276" s="193"/>
      <c r="O276" s="198"/>
      <c r="P276" s="180">
        <v>70.16</v>
      </c>
    </row>
    <row r="277" s="162" customFormat="1" ht="63" outlineLevel="2" spans="1:16">
      <c r="A277" s="180"/>
      <c r="B277" s="211" t="s">
        <v>162</v>
      </c>
      <c r="C277" s="211" t="s">
        <v>163</v>
      </c>
      <c r="D277" s="180" t="s">
        <v>75</v>
      </c>
      <c r="E277" s="180"/>
      <c r="F277" s="206"/>
      <c r="G277" s="206"/>
      <c r="H277" s="179">
        <v>10</v>
      </c>
      <c r="I277" s="195">
        <f t="shared" si="19"/>
        <v>0.42623035925292</v>
      </c>
      <c r="J277" s="196">
        <f t="shared" si="20"/>
        <v>0.938360732332763</v>
      </c>
      <c r="K277" s="172">
        <f t="shared" si="21"/>
        <v>11.3645910915857</v>
      </c>
      <c r="L277" s="172">
        <f t="shared" si="22"/>
        <v>0</v>
      </c>
      <c r="M277" s="193"/>
      <c r="N277" s="193"/>
      <c r="O277" s="198"/>
      <c r="P277" s="180">
        <v>61.88</v>
      </c>
    </row>
    <row r="278" s="162" customFormat="1" ht="42" outlineLevel="2" spans="1:16">
      <c r="A278" s="180"/>
      <c r="B278" s="211" t="s">
        <v>81</v>
      </c>
      <c r="C278" s="211" t="s">
        <v>276</v>
      </c>
      <c r="D278" s="180" t="s">
        <v>75</v>
      </c>
      <c r="E278" s="180"/>
      <c r="F278" s="179">
        <v>55</v>
      </c>
      <c r="G278" s="180">
        <v>445</v>
      </c>
      <c r="H278" s="179">
        <v>15</v>
      </c>
      <c r="I278" s="195">
        <f t="shared" si="19"/>
        <v>21.9508635015254</v>
      </c>
      <c r="J278" s="196">
        <f t="shared" si="20"/>
        <v>48.3255777151373</v>
      </c>
      <c r="K278" s="172">
        <f t="shared" si="21"/>
        <v>585.276441216663</v>
      </c>
      <c r="L278" s="172">
        <f t="shared" si="22"/>
        <v>0</v>
      </c>
      <c r="M278" s="193"/>
      <c r="N278" s="193"/>
      <c r="O278" s="198"/>
      <c r="P278" s="180">
        <v>1.6</v>
      </c>
    </row>
    <row r="279" s="162" customFormat="1" ht="42" outlineLevel="2" spans="1:16">
      <c r="A279" s="180"/>
      <c r="B279" s="211" t="s">
        <v>361</v>
      </c>
      <c r="C279" s="211" t="s">
        <v>362</v>
      </c>
      <c r="D279" s="180" t="s">
        <v>75</v>
      </c>
      <c r="E279" s="180"/>
      <c r="F279" s="179">
        <v>200</v>
      </c>
      <c r="G279" s="180">
        <v>485</v>
      </c>
      <c r="H279" s="179">
        <v>180</v>
      </c>
      <c r="I279" s="195">
        <f t="shared" si="19"/>
        <v>36.8689260753776</v>
      </c>
      <c r="J279" s="196">
        <f t="shared" si="20"/>
        <v>81.168203346784</v>
      </c>
      <c r="K279" s="172">
        <f t="shared" si="21"/>
        <v>983.037129422162</v>
      </c>
      <c r="L279" s="172">
        <f t="shared" si="22"/>
        <v>0</v>
      </c>
      <c r="M279" s="193"/>
      <c r="N279" s="193"/>
      <c r="O279" s="198"/>
      <c r="P279" s="180">
        <v>6.48</v>
      </c>
    </row>
    <row r="280" s="162" customFormat="1" ht="52.5" outlineLevel="2" spans="1:16">
      <c r="A280" s="180"/>
      <c r="B280" s="211" t="s">
        <v>363</v>
      </c>
      <c r="C280" s="211" t="s">
        <v>364</v>
      </c>
      <c r="D280" s="180" t="s">
        <v>75</v>
      </c>
      <c r="E280" s="180"/>
      <c r="F280" s="179">
        <v>200</v>
      </c>
      <c r="G280" s="180">
        <v>485</v>
      </c>
      <c r="H280" s="179">
        <v>180</v>
      </c>
      <c r="I280" s="195">
        <f t="shared" si="19"/>
        <v>36.8689260753776</v>
      </c>
      <c r="J280" s="196">
        <f t="shared" si="20"/>
        <v>81.168203346784</v>
      </c>
      <c r="K280" s="172">
        <f t="shared" si="21"/>
        <v>983.037129422162</v>
      </c>
      <c r="L280" s="172">
        <f t="shared" si="22"/>
        <v>0</v>
      </c>
      <c r="M280" s="193"/>
      <c r="N280" s="193"/>
      <c r="O280" s="198"/>
      <c r="P280" s="180">
        <v>1.8</v>
      </c>
    </row>
    <row r="281" s="162" customFormat="1" ht="31.5" outlineLevel="2" spans="1:16">
      <c r="A281" s="180"/>
      <c r="B281" s="211" t="s">
        <v>365</v>
      </c>
      <c r="C281" s="211" t="s">
        <v>366</v>
      </c>
      <c r="D281" s="180" t="s">
        <v>75</v>
      </c>
      <c r="E281" s="180"/>
      <c r="F281" s="179">
        <v>55</v>
      </c>
      <c r="G281" s="172">
        <v>546</v>
      </c>
      <c r="H281" s="179">
        <v>15</v>
      </c>
      <c r="I281" s="195">
        <f t="shared" si="19"/>
        <v>26.2557901299799</v>
      </c>
      <c r="J281" s="196">
        <f t="shared" si="20"/>
        <v>57.8030211116982</v>
      </c>
      <c r="K281" s="172">
        <f t="shared" si="21"/>
        <v>700.058811241678</v>
      </c>
      <c r="L281" s="172">
        <f t="shared" si="22"/>
        <v>0</v>
      </c>
      <c r="M281" s="193"/>
      <c r="N281" s="193"/>
      <c r="O281" s="198"/>
      <c r="P281" s="180">
        <v>0.43</v>
      </c>
    </row>
    <row r="282" s="162" customFormat="1" ht="11.25" outlineLevel="1" spans="1:16">
      <c r="A282" s="180"/>
      <c r="B282" s="211" t="s">
        <v>367</v>
      </c>
      <c r="C282" s="211"/>
      <c r="D282" s="180"/>
      <c r="E282" s="180"/>
      <c r="F282" s="206"/>
      <c r="G282" s="206"/>
      <c r="H282" s="206"/>
      <c r="I282" s="195">
        <f t="shared" si="19"/>
        <v>0</v>
      </c>
      <c r="J282" s="196"/>
      <c r="K282" s="172"/>
      <c r="L282" s="172"/>
      <c r="M282" s="193"/>
      <c r="N282" s="193"/>
      <c r="O282" s="198"/>
      <c r="P282" s="180"/>
    </row>
    <row r="283" s="162" customFormat="1" ht="21" outlineLevel="2" spans="1:16">
      <c r="A283" s="213"/>
      <c r="B283" s="211" t="s">
        <v>368</v>
      </c>
      <c r="C283" s="211" t="s">
        <v>369</v>
      </c>
      <c r="D283" s="180" t="s">
        <v>140</v>
      </c>
      <c r="E283" s="214"/>
      <c r="F283" s="206">
        <v>3000</v>
      </c>
      <c r="G283" s="206">
        <v>5500</v>
      </c>
      <c r="H283" s="206">
        <v>1000</v>
      </c>
      <c r="I283" s="195">
        <f t="shared" si="19"/>
        <v>404.918841290274</v>
      </c>
      <c r="J283" s="196">
        <f t="shared" si="20"/>
        <v>891.442695716125</v>
      </c>
      <c r="K283" s="172">
        <f t="shared" si="21"/>
        <v>10796.3615370064</v>
      </c>
      <c r="L283" s="172">
        <f t="shared" si="22"/>
        <v>0</v>
      </c>
      <c r="M283" s="193"/>
      <c r="N283" s="193"/>
      <c r="O283" s="198"/>
      <c r="P283" s="214">
        <v>0.237</v>
      </c>
    </row>
    <row r="284" s="162" customFormat="1" ht="42" outlineLevel="2" spans="1:16">
      <c r="A284" s="180"/>
      <c r="B284" s="211" t="s">
        <v>370</v>
      </c>
      <c r="C284" s="211" t="s">
        <v>371</v>
      </c>
      <c r="D284" s="180" t="s">
        <v>372</v>
      </c>
      <c r="E284" s="180"/>
      <c r="F284" s="206">
        <v>15</v>
      </c>
      <c r="G284" s="206">
        <v>35</v>
      </c>
      <c r="H284" s="206">
        <v>5</v>
      </c>
      <c r="I284" s="195">
        <f t="shared" si="19"/>
        <v>2.34426697589106</v>
      </c>
      <c r="J284" s="196">
        <f t="shared" si="20"/>
        <v>5.1609840278302</v>
      </c>
      <c r="K284" s="172">
        <f t="shared" si="21"/>
        <v>62.5052510037213</v>
      </c>
      <c r="L284" s="172">
        <f t="shared" si="22"/>
        <v>0</v>
      </c>
      <c r="M284" s="193"/>
      <c r="N284" s="193"/>
      <c r="O284" s="198"/>
      <c r="P284" s="180">
        <v>32</v>
      </c>
    </row>
    <row r="285" s="162" customFormat="1" ht="42" outlineLevel="2" spans="1:16">
      <c r="A285" s="180"/>
      <c r="B285" s="211" t="s">
        <v>373</v>
      </c>
      <c r="C285" s="211" t="s">
        <v>374</v>
      </c>
      <c r="D285" s="180" t="s">
        <v>140</v>
      </c>
      <c r="E285" s="180"/>
      <c r="F285" s="206">
        <v>3000</v>
      </c>
      <c r="G285" s="206">
        <v>5500</v>
      </c>
      <c r="H285" s="206">
        <v>1000</v>
      </c>
      <c r="I285" s="195">
        <f t="shared" si="19"/>
        <v>404.918841290274</v>
      </c>
      <c r="J285" s="196">
        <f t="shared" si="20"/>
        <v>891.442695716125</v>
      </c>
      <c r="K285" s="172">
        <f t="shared" si="21"/>
        <v>10796.3615370064</v>
      </c>
      <c r="L285" s="172">
        <f t="shared" si="22"/>
        <v>0</v>
      </c>
      <c r="M285" s="193"/>
      <c r="N285" s="193"/>
      <c r="O285" s="198"/>
      <c r="P285" s="180">
        <v>0.652</v>
      </c>
    </row>
    <row r="286" s="162" customFormat="1" ht="31.5" outlineLevel="2" spans="1:16">
      <c r="A286" s="180"/>
      <c r="B286" s="211" t="s">
        <v>375</v>
      </c>
      <c r="C286" s="211" t="s">
        <v>376</v>
      </c>
      <c r="D286" s="180" t="s">
        <v>140</v>
      </c>
      <c r="E286" s="180"/>
      <c r="F286" s="206">
        <v>3000</v>
      </c>
      <c r="G286" s="206">
        <v>5500</v>
      </c>
      <c r="H286" s="206">
        <v>1000</v>
      </c>
      <c r="I286" s="195">
        <f t="shared" si="19"/>
        <v>404.918841290274</v>
      </c>
      <c r="J286" s="196">
        <f t="shared" si="20"/>
        <v>891.442695716125</v>
      </c>
      <c r="K286" s="172">
        <f t="shared" si="21"/>
        <v>10796.3615370064</v>
      </c>
      <c r="L286" s="172">
        <f t="shared" si="22"/>
        <v>0</v>
      </c>
      <c r="M286" s="193"/>
      <c r="N286" s="193"/>
      <c r="O286" s="198"/>
      <c r="P286" s="180">
        <v>0.152</v>
      </c>
    </row>
    <row r="287" s="162" customFormat="1" ht="42" outlineLevel="2" spans="1:16">
      <c r="A287" s="180"/>
      <c r="B287" s="211" t="s">
        <v>377</v>
      </c>
      <c r="C287" s="211" t="s">
        <v>378</v>
      </c>
      <c r="D287" s="180" t="s">
        <v>140</v>
      </c>
      <c r="E287" s="180"/>
      <c r="F287" s="206">
        <v>3000</v>
      </c>
      <c r="G287" s="206">
        <v>5500</v>
      </c>
      <c r="H287" s="206">
        <v>1000</v>
      </c>
      <c r="I287" s="195">
        <f t="shared" si="19"/>
        <v>404.918841290274</v>
      </c>
      <c r="J287" s="196">
        <f t="shared" si="20"/>
        <v>891.442695716125</v>
      </c>
      <c r="K287" s="172">
        <f t="shared" si="21"/>
        <v>10796.3615370064</v>
      </c>
      <c r="L287" s="172">
        <f t="shared" si="22"/>
        <v>0</v>
      </c>
      <c r="M287" s="193"/>
      <c r="N287" s="193"/>
      <c r="O287" s="198"/>
      <c r="P287" s="180">
        <v>0.814</v>
      </c>
    </row>
    <row r="288" s="162" customFormat="1" ht="42" outlineLevel="2" spans="1:16">
      <c r="A288" s="180"/>
      <c r="B288" s="211" t="s">
        <v>377</v>
      </c>
      <c r="C288" s="211" t="s">
        <v>379</v>
      </c>
      <c r="D288" s="180" t="s">
        <v>140</v>
      </c>
      <c r="E288" s="180"/>
      <c r="F288" s="206">
        <v>3000</v>
      </c>
      <c r="G288" s="206">
        <v>5500</v>
      </c>
      <c r="H288" s="206">
        <v>1000</v>
      </c>
      <c r="I288" s="195">
        <f t="shared" si="19"/>
        <v>404.918841290274</v>
      </c>
      <c r="J288" s="196">
        <f t="shared" si="20"/>
        <v>891.442695716125</v>
      </c>
      <c r="K288" s="172">
        <f t="shared" si="21"/>
        <v>10796.3615370064</v>
      </c>
      <c r="L288" s="172">
        <f t="shared" si="22"/>
        <v>0</v>
      </c>
      <c r="M288" s="193"/>
      <c r="N288" s="193"/>
      <c r="O288" s="198"/>
      <c r="P288" s="180">
        <v>1.193</v>
      </c>
    </row>
    <row r="289" s="162" customFormat="1" ht="31.5" outlineLevel="2" spans="1:16">
      <c r="A289" s="180"/>
      <c r="B289" s="211" t="s">
        <v>380</v>
      </c>
      <c r="C289" s="211" t="s">
        <v>381</v>
      </c>
      <c r="D289" s="180" t="s">
        <v>140</v>
      </c>
      <c r="E289" s="180"/>
      <c r="F289" s="206">
        <v>3000</v>
      </c>
      <c r="G289" s="206">
        <v>5500</v>
      </c>
      <c r="H289" s="206">
        <v>1000</v>
      </c>
      <c r="I289" s="195">
        <f t="shared" si="19"/>
        <v>404.918841290274</v>
      </c>
      <c r="J289" s="196">
        <f t="shared" si="20"/>
        <v>891.442695716125</v>
      </c>
      <c r="K289" s="172">
        <f t="shared" si="21"/>
        <v>10796.3615370064</v>
      </c>
      <c r="L289" s="172">
        <f t="shared" si="22"/>
        <v>0</v>
      </c>
      <c r="M289" s="193"/>
      <c r="N289" s="193"/>
      <c r="O289" s="198"/>
      <c r="P289" s="180">
        <v>0.147</v>
      </c>
    </row>
    <row r="290" s="162" customFormat="1" ht="31.5" outlineLevel="2" spans="1:16">
      <c r="A290" s="180"/>
      <c r="B290" s="211" t="s">
        <v>380</v>
      </c>
      <c r="C290" s="211" t="s">
        <v>382</v>
      </c>
      <c r="D290" s="180" t="s">
        <v>140</v>
      </c>
      <c r="E290" s="180"/>
      <c r="F290" s="206">
        <v>3000</v>
      </c>
      <c r="G290" s="206">
        <v>5500</v>
      </c>
      <c r="H290" s="206">
        <v>1000</v>
      </c>
      <c r="I290" s="195">
        <f t="shared" si="19"/>
        <v>404.918841290274</v>
      </c>
      <c r="J290" s="196">
        <f t="shared" si="20"/>
        <v>891.442695716125</v>
      </c>
      <c r="K290" s="172">
        <f t="shared" si="21"/>
        <v>10796.3615370064</v>
      </c>
      <c r="L290" s="172">
        <f t="shared" si="22"/>
        <v>0</v>
      </c>
      <c r="M290" s="193"/>
      <c r="N290" s="193"/>
      <c r="O290" s="198"/>
      <c r="P290" s="180">
        <v>1.9</v>
      </c>
    </row>
    <row r="291" s="162" customFormat="1" ht="115.5" outlineLevel="2" spans="1:16">
      <c r="A291" s="180"/>
      <c r="B291" s="211" t="s">
        <v>383</v>
      </c>
      <c r="C291" s="211" t="s">
        <v>384</v>
      </c>
      <c r="D291" s="180" t="s">
        <v>78</v>
      </c>
      <c r="E291" s="180"/>
      <c r="F291" s="179">
        <v>85</v>
      </c>
      <c r="G291" s="179">
        <v>120</v>
      </c>
      <c r="H291" s="179">
        <v>35</v>
      </c>
      <c r="I291" s="195">
        <f t="shared" si="19"/>
        <v>10.2295286220701</v>
      </c>
      <c r="J291" s="196">
        <f t="shared" si="20"/>
        <v>22.5206575759863</v>
      </c>
      <c r="K291" s="172">
        <f t="shared" si="21"/>
        <v>272.750186198056</v>
      </c>
      <c r="L291" s="172">
        <f t="shared" si="22"/>
        <v>0</v>
      </c>
      <c r="M291" s="193"/>
      <c r="N291" s="193"/>
      <c r="O291" s="198"/>
      <c r="P291" s="180">
        <v>48.3</v>
      </c>
    </row>
    <row r="292" s="162" customFormat="1" ht="42" outlineLevel="2" spans="1:16">
      <c r="A292" s="180"/>
      <c r="B292" s="211" t="s">
        <v>385</v>
      </c>
      <c r="C292" s="211" t="s">
        <v>386</v>
      </c>
      <c r="D292" s="180" t="s">
        <v>78</v>
      </c>
      <c r="E292" s="180"/>
      <c r="F292" s="206">
        <v>85</v>
      </c>
      <c r="G292" s="206">
        <v>260</v>
      </c>
      <c r="H292" s="206">
        <v>50</v>
      </c>
      <c r="I292" s="195">
        <f t="shared" si="19"/>
        <v>16.8360991904903</v>
      </c>
      <c r="J292" s="196">
        <f t="shared" si="20"/>
        <v>37.0652489271441</v>
      </c>
      <c r="K292" s="172">
        <f t="shared" si="21"/>
        <v>448.901348117634</v>
      </c>
      <c r="L292" s="172">
        <f t="shared" si="22"/>
        <v>0</v>
      </c>
      <c r="M292" s="193"/>
      <c r="N292" s="193"/>
      <c r="O292" s="198"/>
      <c r="P292" s="180">
        <v>45.08</v>
      </c>
    </row>
    <row r="293" s="162" customFormat="1" ht="42" outlineLevel="2" spans="1:16">
      <c r="A293" s="180"/>
      <c r="B293" s="211" t="s">
        <v>387</v>
      </c>
      <c r="C293" s="211" t="s">
        <v>388</v>
      </c>
      <c r="D293" s="180" t="s">
        <v>78</v>
      </c>
      <c r="E293" s="180"/>
      <c r="F293" s="206">
        <v>85</v>
      </c>
      <c r="G293" s="206">
        <v>260</v>
      </c>
      <c r="H293" s="206">
        <v>50</v>
      </c>
      <c r="I293" s="195">
        <f t="shared" si="19"/>
        <v>16.8360991904903</v>
      </c>
      <c r="J293" s="196">
        <f t="shared" si="20"/>
        <v>37.0652489271441</v>
      </c>
      <c r="K293" s="172">
        <f t="shared" si="21"/>
        <v>448.901348117634</v>
      </c>
      <c r="L293" s="172">
        <f t="shared" si="22"/>
        <v>0</v>
      </c>
      <c r="M293" s="193"/>
      <c r="N293" s="193"/>
      <c r="O293" s="198"/>
      <c r="P293" s="180">
        <v>107.33</v>
      </c>
    </row>
    <row r="294" s="162" customFormat="1" ht="31.5" outlineLevel="2" spans="1:16">
      <c r="A294" s="180"/>
      <c r="B294" s="211" t="s">
        <v>389</v>
      </c>
      <c r="C294" s="211" t="s">
        <v>382</v>
      </c>
      <c r="D294" s="180" t="s">
        <v>140</v>
      </c>
      <c r="E294" s="180"/>
      <c r="F294" s="206">
        <v>3000</v>
      </c>
      <c r="G294" s="206">
        <v>5500</v>
      </c>
      <c r="H294" s="206">
        <v>1000</v>
      </c>
      <c r="I294" s="195">
        <f t="shared" si="19"/>
        <v>404.918841290274</v>
      </c>
      <c r="J294" s="196">
        <f t="shared" si="20"/>
        <v>891.442695716125</v>
      </c>
      <c r="K294" s="172">
        <f t="shared" si="21"/>
        <v>10796.3615370064</v>
      </c>
      <c r="L294" s="172">
        <f t="shared" si="22"/>
        <v>0</v>
      </c>
      <c r="M294" s="193"/>
      <c r="N294" s="193"/>
      <c r="O294" s="198"/>
      <c r="P294" s="180">
        <v>0.1</v>
      </c>
    </row>
    <row r="295" s="162" customFormat="1" ht="42" outlineLevel="2" spans="1:16">
      <c r="A295" s="180"/>
      <c r="B295" s="211" t="s">
        <v>390</v>
      </c>
      <c r="C295" s="211" t="s">
        <v>391</v>
      </c>
      <c r="D295" s="180" t="s">
        <v>78</v>
      </c>
      <c r="E295" s="180"/>
      <c r="F295" s="206">
        <v>160</v>
      </c>
      <c r="G295" s="206">
        <v>550</v>
      </c>
      <c r="H295" s="206">
        <v>85</v>
      </c>
      <c r="I295" s="195">
        <f t="shared" si="19"/>
        <v>33.8853135606071</v>
      </c>
      <c r="J295" s="196">
        <f t="shared" si="20"/>
        <v>74.5996782204546</v>
      </c>
      <c r="K295" s="172">
        <f t="shared" si="21"/>
        <v>903.484991781062</v>
      </c>
      <c r="L295" s="172">
        <f t="shared" si="22"/>
        <v>0</v>
      </c>
      <c r="M295" s="193"/>
      <c r="N295" s="193"/>
      <c r="O295" s="198"/>
      <c r="P295" s="180">
        <v>63.03</v>
      </c>
    </row>
    <row r="296" s="162" customFormat="1" ht="73.5" outlineLevel="2" spans="1:16">
      <c r="A296" s="180"/>
      <c r="B296" s="211" t="s">
        <v>392</v>
      </c>
      <c r="C296" s="211" t="s">
        <v>393</v>
      </c>
      <c r="D296" s="180" t="s">
        <v>78</v>
      </c>
      <c r="E296" s="180"/>
      <c r="F296" s="206">
        <v>1200</v>
      </c>
      <c r="G296" s="206">
        <v>5500</v>
      </c>
      <c r="H296" s="206">
        <v>200</v>
      </c>
      <c r="I296" s="195">
        <f t="shared" si="19"/>
        <v>294.098947884515</v>
      </c>
      <c r="J296" s="196">
        <f t="shared" si="20"/>
        <v>647.468905309606</v>
      </c>
      <c r="K296" s="172">
        <f t="shared" si="21"/>
        <v>7841.56785319412</v>
      </c>
      <c r="L296" s="172">
        <f t="shared" si="22"/>
        <v>0</v>
      </c>
      <c r="M296" s="193"/>
      <c r="N296" s="193"/>
      <c r="O296" s="198"/>
      <c r="P296" s="180">
        <v>0.54</v>
      </c>
    </row>
    <row r="297" s="162" customFormat="1" ht="11.25" outlineLevel="1" spans="1:16">
      <c r="A297" s="213"/>
      <c r="B297" s="213" t="s">
        <v>394</v>
      </c>
      <c r="C297" s="213"/>
      <c r="D297" s="202"/>
      <c r="E297" s="202"/>
      <c r="F297" s="206"/>
      <c r="G297" s="206"/>
      <c r="H297" s="206"/>
      <c r="I297" s="195">
        <f t="shared" si="19"/>
        <v>0</v>
      </c>
      <c r="J297" s="196"/>
      <c r="K297" s="172"/>
      <c r="L297" s="172"/>
      <c r="M297" s="193"/>
      <c r="N297" s="193"/>
      <c r="O297" s="198"/>
      <c r="P297" s="202"/>
    </row>
    <row r="298" s="162" customFormat="1" ht="52.5" outlineLevel="2" spans="1:16">
      <c r="A298" s="180"/>
      <c r="B298" s="211" t="s">
        <v>272</v>
      </c>
      <c r="C298" s="211" t="s">
        <v>273</v>
      </c>
      <c r="D298" s="180" t="s">
        <v>75</v>
      </c>
      <c r="E298" s="172"/>
      <c r="F298" s="206"/>
      <c r="G298" s="206"/>
      <c r="H298" s="179">
        <v>8.5</v>
      </c>
      <c r="I298" s="195">
        <f t="shared" si="19"/>
        <v>0.362295805364982</v>
      </c>
      <c r="J298" s="196">
        <f t="shared" si="20"/>
        <v>0.797606622482848</v>
      </c>
      <c r="K298" s="172">
        <f t="shared" si="21"/>
        <v>9.65990242784783</v>
      </c>
      <c r="L298" s="172">
        <f t="shared" si="22"/>
        <v>0</v>
      </c>
      <c r="M298" s="193"/>
      <c r="N298" s="193"/>
      <c r="O298" s="198"/>
      <c r="P298" s="172">
        <v>14.9525</v>
      </c>
    </row>
    <row r="299" s="162" customFormat="1" ht="31.5" outlineLevel="2" spans="1:16">
      <c r="A299" s="213"/>
      <c r="B299" s="211" t="s">
        <v>76</v>
      </c>
      <c r="C299" s="211" t="s">
        <v>341</v>
      </c>
      <c r="D299" s="180" t="s">
        <v>78</v>
      </c>
      <c r="E299" s="172"/>
      <c r="F299" s="179">
        <v>0.5</v>
      </c>
      <c r="G299" s="172"/>
      <c r="H299" s="179">
        <v>2.5</v>
      </c>
      <c r="I299" s="195">
        <f t="shared" si="19"/>
        <v>0.127869107775876</v>
      </c>
      <c r="J299" s="196">
        <f t="shared" si="20"/>
        <v>0.281508219699829</v>
      </c>
      <c r="K299" s="172">
        <f t="shared" si="21"/>
        <v>3.4093773274757</v>
      </c>
      <c r="L299" s="172">
        <f t="shared" si="22"/>
        <v>0</v>
      </c>
      <c r="M299" s="193"/>
      <c r="N299" s="193"/>
      <c r="O299" s="198"/>
      <c r="P299" s="172">
        <v>56.37</v>
      </c>
    </row>
    <row r="300" s="162" customFormat="1" ht="31.5" outlineLevel="2" spans="1:16">
      <c r="A300" s="213"/>
      <c r="B300" s="211" t="s">
        <v>79</v>
      </c>
      <c r="C300" s="211" t="s">
        <v>342</v>
      </c>
      <c r="D300" s="180" t="s">
        <v>75</v>
      </c>
      <c r="E300" s="172"/>
      <c r="F300" s="179">
        <v>10</v>
      </c>
      <c r="G300" s="180">
        <v>95</v>
      </c>
      <c r="H300" s="179">
        <v>15</v>
      </c>
      <c r="I300" s="195">
        <f t="shared" si="19"/>
        <v>5.11476431103504</v>
      </c>
      <c r="J300" s="196">
        <f t="shared" si="20"/>
        <v>11.2603287879932</v>
      </c>
      <c r="K300" s="172">
        <f t="shared" si="21"/>
        <v>136.375093099028</v>
      </c>
      <c r="L300" s="172">
        <f t="shared" si="22"/>
        <v>0</v>
      </c>
      <c r="M300" s="193"/>
      <c r="N300" s="193"/>
      <c r="O300" s="198"/>
      <c r="P300" s="172">
        <f>P301</f>
        <v>6.497</v>
      </c>
    </row>
    <row r="301" s="162" customFormat="1" ht="42" outlineLevel="2" spans="1:16">
      <c r="A301" s="180"/>
      <c r="B301" s="211" t="s">
        <v>81</v>
      </c>
      <c r="C301" s="211" t="s">
        <v>276</v>
      </c>
      <c r="D301" s="180" t="s">
        <v>75</v>
      </c>
      <c r="E301" s="172"/>
      <c r="F301" s="179">
        <v>55</v>
      </c>
      <c r="G301" s="180">
        <v>445</v>
      </c>
      <c r="H301" s="179">
        <v>15</v>
      </c>
      <c r="I301" s="195">
        <f t="shared" si="19"/>
        <v>21.9508635015254</v>
      </c>
      <c r="J301" s="196">
        <f t="shared" si="20"/>
        <v>48.3255777151373</v>
      </c>
      <c r="K301" s="172">
        <f t="shared" si="21"/>
        <v>585.276441216663</v>
      </c>
      <c r="L301" s="172">
        <f t="shared" si="22"/>
        <v>0</v>
      </c>
      <c r="M301" s="193"/>
      <c r="N301" s="193"/>
      <c r="O301" s="198"/>
      <c r="P301" s="172">
        <v>6.497</v>
      </c>
    </row>
    <row r="302" s="162" customFormat="1" ht="31.5" outlineLevel="2" spans="1:16">
      <c r="A302" s="213"/>
      <c r="B302" s="213" t="s">
        <v>395</v>
      </c>
      <c r="C302" s="211" t="s">
        <v>345</v>
      </c>
      <c r="D302" s="202" t="s">
        <v>78</v>
      </c>
      <c r="E302" s="202"/>
      <c r="F302" s="179">
        <v>50</v>
      </c>
      <c r="G302" s="180">
        <v>65</v>
      </c>
      <c r="H302" s="179">
        <v>15</v>
      </c>
      <c r="I302" s="195">
        <f t="shared" si="19"/>
        <v>5.54099467028796</v>
      </c>
      <c r="J302" s="196">
        <f t="shared" si="20"/>
        <v>12.1986895203259</v>
      </c>
      <c r="K302" s="172">
        <f t="shared" si="21"/>
        <v>147.739684190614</v>
      </c>
      <c r="L302" s="172">
        <f t="shared" si="22"/>
        <v>0</v>
      </c>
      <c r="M302" s="193"/>
      <c r="N302" s="193"/>
      <c r="O302" s="198"/>
      <c r="P302" s="202">
        <v>4.14</v>
      </c>
    </row>
    <row r="303" s="162" customFormat="1" ht="31.5" outlineLevel="2" spans="1:16">
      <c r="A303" s="213"/>
      <c r="B303" s="213" t="s">
        <v>344</v>
      </c>
      <c r="C303" s="211" t="s">
        <v>396</v>
      </c>
      <c r="D303" s="202" t="s">
        <v>78</v>
      </c>
      <c r="E303" s="202"/>
      <c r="F303" s="179">
        <v>65</v>
      </c>
      <c r="G303" s="180">
        <v>150</v>
      </c>
      <c r="H303" s="179">
        <v>15</v>
      </c>
      <c r="I303" s="195">
        <f t="shared" si="19"/>
        <v>9.80329826281716</v>
      </c>
      <c r="J303" s="196">
        <f t="shared" si="20"/>
        <v>21.5822968436535</v>
      </c>
      <c r="K303" s="172">
        <f t="shared" si="21"/>
        <v>261.385595106471</v>
      </c>
      <c r="L303" s="172">
        <f t="shared" si="22"/>
        <v>0</v>
      </c>
      <c r="M303" s="193"/>
      <c r="N303" s="193"/>
      <c r="O303" s="198"/>
      <c r="P303" s="202">
        <v>8.75</v>
      </c>
    </row>
    <row r="304" s="162" customFormat="1" ht="31.5" outlineLevel="2" spans="1:16">
      <c r="A304" s="213"/>
      <c r="B304" s="213" t="s">
        <v>344</v>
      </c>
      <c r="C304" s="211" t="s">
        <v>349</v>
      </c>
      <c r="D304" s="202" t="s">
        <v>78</v>
      </c>
      <c r="E304" s="202"/>
      <c r="F304" s="179">
        <v>50</v>
      </c>
      <c r="G304" s="180">
        <v>65</v>
      </c>
      <c r="H304" s="179">
        <v>15</v>
      </c>
      <c r="I304" s="195">
        <f t="shared" si="19"/>
        <v>5.54099467028796</v>
      </c>
      <c r="J304" s="196">
        <f t="shared" si="20"/>
        <v>12.1986895203259</v>
      </c>
      <c r="K304" s="172">
        <f t="shared" si="21"/>
        <v>147.739684190614</v>
      </c>
      <c r="L304" s="172">
        <f t="shared" si="22"/>
        <v>0</v>
      </c>
      <c r="M304" s="193"/>
      <c r="N304" s="193"/>
      <c r="O304" s="198"/>
      <c r="P304" s="202">
        <v>8.64</v>
      </c>
    </row>
    <row r="305" s="162" customFormat="1" ht="31.5" outlineLevel="2" spans="1:16">
      <c r="A305" s="213"/>
      <c r="B305" s="213" t="s">
        <v>344</v>
      </c>
      <c r="C305" s="211" t="s">
        <v>397</v>
      </c>
      <c r="D305" s="202" t="s">
        <v>78</v>
      </c>
      <c r="E305" s="202"/>
      <c r="F305" s="179">
        <v>50</v>
      </c>
      <c r="G305" s="180">
        <v>65</v>
      </c>
      <c r="H305" s="179">
        <v>15</v>
      </c>
      <c r="I305" s="195">
        <f t="shared" si="19"/>
        <v>5.54099467028796</v>
      </c>
      <c r="J305" s="196">
        <f t="shared" si="20"/>
        <v>12.1986895203259</v>
      </c>
      <c r="K305" s="172">
        <f t="shared" si="21"/>
        <v>147.739684190614</v>
      </c>
      <c r="L305" s="172">
        <f t="shared" si="22"/>
        <v>0</v>
      </c>
      <c r="M305" s="193"/>
      <c r="N305" s="193"/>
      <c r="O305" s="198"/>
      <c r="P305" s="202">
        <v>30.04</v>
      </c>
    </row>
    <row r="306" s="162" customFormat="1" ht="31.5" outlineLevel="2" spans="1:16">
      <c r="A306" s="213"/>
      <c r="B306" s="213" t="s">
        <v>344</v>
      </c>
      <c r="C306" s="211" t="s">
        <v>398</v>
      </c>
      <c r="D306" s="202" t="s">
        <v>78</v>
      </c>
      <c r="E306" s="202"/>
      <c r="F306" s="179">
        <v>50</v>
      </c>
      <c r="G306" s="180">
        <v>65</v>
      </c>
      <c r="H306" s="179">
        <v>15</v>
      </c>
      <c r="I306" s="195">
        <f t="shared" si="19"/>
        <v>5.54099467028796</v>
      </c>
      <c r="J306" s="196">
        <f t="shared" si="20"/>
        <v>12.1986895203259</v>
      </c>
      <c r="K306" s="172">
        <f t="shared" si="21"/>
        <v>147.739684190614</v>
      </c>
      <c r="L306" s="172">
        <f t="shared" si="22"/>
        <v>0</v>
      </c>
      <c r="M306" s="193"/>
      <c r="N306" s="193"/>
      <c r="O306" s="198"/>
      <c r="P306" s="202">
        <v>4.8</v>
      </c>
    </row>
    <row r="307" s="162" customFormat="1" ht="11.25" outlineLevel="1" spans="1:16">
      <c r="A307" s="180"/>
      <c r="B307" s="211" t="s">
        <v>399</v>
      </c>
      <c r="C307" s="211"/>
      <c r="D307" s="180"/>
      <c r="E307" s="172"/>
      <c r="F307" s="206"/>
      <c r="G307" s="206"/>
      <c r="H307" s="206"/>
      <c r="I307" s="195">
        <f t="shared" si="19"/>
        <v>0</v>
      </c>
      <c r="J307" s="196"/>
      <c r="K307" s="172"/>
      <c r="L307" s="172"/>
      <c r="M307" s="193"/>
      <c r="N307" s="193"/>
      <c r="O307" s="198"/>
      <c r="P307" s="172"/>
    </row>
    <row r="308" s="162" customFormat="1" ht="52.5" outlineLevel="2" spans="1:16">
      <c r="A308" s="180"/>
      <c r="B308" s="211" t="s">
        <v>400</v>
      </c>
      <c r="C308" s="211" t="s">
        <v>273</v>
      </c>
      <c r="D308" s="180" t="s">
        <v>75</v>
      </c>
      <c r="E308" s="180"/>
      <c r="F308" s="206"/>
      <c r="G308" s="206"/>
      <c r="H308" s="179">
        <v>8.5</v>
      </c>
      <c r="I308" s="195">
        <f t="shared" si="19"/>
        <v>0.362295805364982</v>
      </c>
      <c r="J308" s="196">
        <f t="shared" si="20"/>
        <v>0.797606622482848</v>
      </c>
      <c r="K308" s="172">
        <f t="shared" si="21"/>
        <v>9.65990242784783</v>
      </c>
      <c r="L308" s="172">
        <f t="shared" si="22"/>
        <v>0</v>
      </c>
      <c r="M308" s="193"/>
      <c r="N308" s="193"/>
      <c r="O308" s="198"/>
      <c r="P308" s="180">
        <v>39.64</v>
      </c>
    </row>
    <row r="309" s="162" customFormat="1" ht="31.5" outlineLevel="2" spans="1:16">
      <c r="A309" s="180"/>
      <c r="B309" s="211" t="s">
        <v>76</v>
      </c>
      <c r="C309" s="211" t="s">
        <v>341</v>
      </c>
      <c r="D309" s="180" t="s">
        <v>78</v>
      </c>
      <c r="E309" s="172"/>
      <c r="F309" s="179">
        <v>0.5</v>
      </c>
      <c r="G309" s="172"/>
      <c r="H309" s="179">
        <v>2.5</v>
      </c>
      <c r="I309" s="195">
        <f t="shared" si="19"/>
        <v>0.127869107775876</v>
      </c>
      <c r="J309" s="196">
        <f t="shared" si="20"/>
        <v>0.281508219699829</v>
      </c>
      <c r="K309" s="172">
        <f t="shared" si="21"/>
        <v>3.4093773274757</v>
      </c>
      <c r="L309" s="172">
        <f t="shared" si="22"/>
        <v>0</v>
      </c>
      <c r="M309" s="193"/>
      <c r="N309" s="193"/>
      <c r="O309" s="198"/>
      <c r="P309" s="172">
        <v>47.71</v>
      </c>
    </row>
    <row r="310" s="162" customFormat="1" ht="63" outlineLevel="2" spans="1:16">
      <c r="A310" s="180"/>
      <c r="B310" s="211" t="s">
        <v>162</v>
      </c>
      <c r="C310" s="211" t="s">
        <v>163</v>
      </c>
      <c r="D310" s="180" t="s">
        <v>75</v>
      </c>
      <c r="E310" s="172"/>
      <c r="F310" s="206"/>
      <c r="G310" s="206"/>
      <c r="H310" s="179">
        <v>10</v>
      </c>
      <c r="I310" s="195">
        <f t="shared" si="19"/>
        <v>0.42623035925292</v>
      </c>
      <c r="J310" s="196">
        <f t="shared" si="20"/>
        <v>0.938360732332763</v>
      </c>
      <c r="K310" s="172">
        <f t="shared" si="21"/>
        <v>11.3645910915857</v>
      </c>
      <c r="L310" s="172">
        <f t="shared" si="22"/>
        <v>0</v>
      </c>
      <c r="M310" s="193"/>
      <c r="N310" s="193"/>
      <c r="O310" s="198"/>
      <c r="P310" s="172">
        <v>24.93</v>
      </c>
    </row>
    <row r="311" s="162" customFormat="1" ht="31.5" outlineLevel="2" spans="1:16">
      <c r="A311" s="180"/>
      <c r="B311" s="211" t="s">
        <v>79</v>
      </c>
      <c r="C311" s="211" t="s">
        <v>401</v>
      </c>
      <c r="D311" s="180" t="s">
        <v>75</v>
      </c>
      <c r="E311" s="172"/>
      <c r="F311" s="179">
        <v>10</v>
      </c>
      <c r="G311" s="180">
        <v>95</v>
      </c>
      <c r="H311" s="179">
        <v>15</v>
      </c>
      <c r="I311" s="195">
        <f t="shared" si="19"/>
        <v>5.11476431103504</v>
      </c>
      <c r="J311" s="196">
        <f t="shared" si="20"/>
        <v>11.2603287879932</v>
      </c>
      <c r="K311" s="172">
        <f t="shared" si="21"/>
        <v>136.375093099028</v>
      </c>
      <c r="L311" s="172">
        <f t="shared" si="22"/>
        <v>0</v>
      </c>
      <c r="M311" s="193"/>
      <c r="N311" s="193"/>
      <c r="O311" s="198"/>
      <c r="P311" s="172">
        <v>6.645</v>
      </c>
    </row>
    <row r="312" s="162" customFormat="1" ht="42" outlineLevel="2" spans="1:16">
      <c r="A312" s="180"/>
      <c r="B312" s="211" t="s">
        <v>81</v>
      </c>
      <c r="C312" s="211" t="s">
        <v>276</v>
      </c>
      <c r="D312" s="180" t="s">
        <v>75</v>
      </c>
      <c r="E312" s="180"/>
      <c r="F312" s="179">
        <v>55</v>
      </c>
      <c r="G312" s="180">
        <v>445</v>
      </c>
      <c r="H312" s="179">
        <v>15</v>
      </c>
      <c r="I312" s="195">
        <f t="shared" si="19"/>
        <v>21.9508635015254</v>
      </c>
      <c r="J312" s="196">
        <f t="shared" si="20"/>
        <v>48.3255777151373</v>
      </c>
      <c r="K312" s="172">
        <f t="shared" si="21"/>
        <v>585.276441216663</v>
      </c>
      <c r="L312" s="172">
        <f t="shared" si="22"/>
        <v>0</v>
      </c>
      <c r="M312" s="193"/>
      <c r="N312" s="193"/>
      <c r="O312" s="198"/>
      <c r="P312" s="180">
        <v>11.85</v>
      </c>
    </row>
    <row r="313" s="162" customFormat="1" ht="31.5" outlineLevel="2" spans="1:16">
      <c r="A313" s="180"/>
      <c r="B313" s="211" t="s">
        <v>402</v>
      </c>
      <c r="C313" s="211" t="s">
        <v>291</v>
      </c>
      <c r="D313" s="180" t="s">
        <v>75</v>
      </c>
      <c r="E313" s="172"/>
      <c r="F313" s="181">
        <v>220</v>
      </c>
      <c r="G313" s="181">
        <v>260</v>
      </c>
      <c r="H313" s="181">
        <v>85</v>
      </c>
      <c r="I313" s="195">
        <f t="shared" si="19"/>
        <v>24.08201529779</v>
      </c>
      <c r="J313" s="196">
        <f t="shared" si="20"/>
        <v>53.0173813768011</v>
      </c>
      <c r="K313" s="172">
        <f t="shared" si="21"/>
        <v>642.099396674591</v>
      </c>
      <c r="L313" s="172">
        <f t="shared" si="22"/>
        <v>0</v>
      </c>
      <c r="M313" s="193"/>
      <c r="N313" s="193"/>
      <c r="O313" s="198"/>
      <c r="P313" s="172">
        <v>20.71</v>
      </c>
    </row>
    <row r="314" s="162" customFormat="1" ht="31.5" outlineLevel="2" spans="1:16">
      <c r="A314" s="180"/>
      <c r="B314" s="211" t="s">
        <v>403</v>
      </c>
      <c r="C314" s="211" t="s">
        <v>404</v>
      </c>
      <c r="D314" s="180" t="s">
        <v>78</v>
      </c>
      <c r="E314" s="172"/>
      <c r="F314" s="206">
        <v>15</v>
      </c>
      <c r="G314" s="206">
        <v>15</v>
      </c>
      <c r="H314" s="206"/>
      <c r="I314" s="195">
        <f t="shared" si="19"/>
        <v>1.27869107775876</v>
      </c>
      <c r="J314" s="196">
        <f t="shared" si="20"/>
        <v>2.81508219699829</v>
      </c>
      <c r="K314" s="172">
        <f t="shared" si="21"/>
        <v>34.093773274757</v>
      </c>
      <c r="L314" s="172">
        <f t="shared" si="22"/>
        <v>0</v>
      </c>
      <c r="M314" s="193"/>
      <c r="N314" s="193"/>
      <c r="O314" s="198"/>
      <c r="P314" s="172">
        <v>63.73</v>
      </c>
    </row>
    <row r="315" s="162" customFormat="1" ht="42" outlineLevel="2" spans="1:16">
      <c r="A315" s="180"/>
      <c r="B315" s="211" t="s">
        <v>312</v>
      </c>
      <c r="C315" s="211" t="s">
        <v>405</v>
      </c>
      <c r="D315" s="180" t="s">
        <v>78</v>
      </c>
      <c r="E315" s="172"/>
      <c r="F315" s="206">
        <v>65</v>
      </c>
      <c r="G315" s="206">
        <v>260</v>
      </c>
      <c r="H315" s="206">
        <v>15</v>
      </c>
      <c r="I315" s="195">
        <f t="shared" si="19"/>
        <v>14.4918322145993</v>
      </c>
      <c r="J315" s="196">
        <f t="shared" si="20"/>
        <v>31.9042648993139</v>
      </c>
      <c r="K315" s="172">
        <f t="shared" si="21"/>
        <v>386.396097113913</v>
      </c>
      <c r="L315" s="172">
        <f t="shared" si="22"/>
        <v>0</v>
      </c>
      <c r="M315" s="193"/>
      <c r="N315" s="193"/>
      <c r="O315" s="198"/>
      <c r="P315" s="172">
        <v>45.88</v>
      </c>
    </row>
    <row r="316" s="162" customFormat="1" ht="42" outlineLevel="2" spans="1:16">
      <c r="A316" s="180"/>
      <c r="B316" s="211" t="s">
        <v>312</v>
      </c>
      <c r="C316" s="211" t="s">
        <v>406</v>
      </c>
      <c r="D316" s="180" t="s">
        <v>78</v>
      </c>
      <c r="E316" s="172"/>
      <c r="F316" s="179">
        <v>65</v>
      </c>
      <c r="G316" s="180">
        <v>150</v>
      </c>
      <c r="H316" s="179">
        <v>15</v>
      </c>
      <c r="I316" s="195">
        <f t="shared" si="19"/>
        <v>9.80329826281716</v>
      </c>
      <c r="J316" s="196">
        <f t="shared" si="20"/>
        <v>21.5822968436535</v>
      </c>
      <c r="K316" s="172">
        <f t="shared" si="21"/>
        <v>261.385595106471</v>
      </c>
      <c r="L316" s="172">
        <f t="shared" si="22"/>
        <v>0</v>
      </c>
      <c r="M316" s="193"/>
      <c r="N316" s="193"/>
      <c r="O316" s="198"/>
      <c r="P316" s="172">
        <v>0.82</v>
      </c>
    </row>
    <row r="317" s="162" customFormat="1" ht="42" outlineLevel="2" spans="1:16">
      <c r="A317" s="180"/>
      <c r="B317" s="211" t="s">
        <v>407</v>
      </c>
      <c r="C317" s="211" t="s">
        <v>408</v>
      </c>
      <c r="D317" s="180" t="s">
        <v>78</v>
      </c>
      <c r="E317" s="172"/>
      <c r="F317" s="179">
        <v>65</v>
      </c>
      <c r="G317" s="180">
        <v>150</v>
      </c>
      <c r="H317" s="179">
        <v>15</v>
      </c>
      <c r="I317" s="195">
        <f t="shared" si="19"/>
        <v>9.80329826281716</v>
      </c>
      <c r="J317" s="196">
        <f t="shared" si="20"/>
        <v>21.5822968436535</v>
      </c>
      <c r="K317" s="172">
        <f t="shared" si="21"/>
        <v>261.385595106471</v>
      </c>
      <c r="L317" s="172">
        <f t="shared" si="22"/>
        <v>0</v>
      </c>
      <c r="M317" s="193"/>
      <c r="N317" s="193"/>
      <c r="O317" s="198"/>
      <c r="P317" s="172">
        <v>3.72</v>
      </c>
    </row>
    <row r="318" s="162" customFormat="1" ht="42" outlineLevel="2" spans="1:16">
      <c r="A318" s="180"/>
      <c r="B318" s="211" t="s">
        <v>409</v>
      </c>
      <c r="C318" s="211" t="s">
        <v>410</v>
      </c>
      <c r="D318" s="180" t="s">
        <v>78</v>
      </c>
      <c r="E318" s="172"/>
      <c r="F318" s="179">
        <v>55</v>
      </c>
      <c r="G318" s="172">
        <v>220</v>
      </c>
      <c r="H318" s="179">
        <v>15</v>
      </c>
      <c r="I318" s="195">
        <f t="shared" si="19"/>
        <v>12.3606804183347</v>
      </c>
      <c r="J318" s="196">
        <f t="shared" si="20"/>
        <v>27.2124612376501</v>
      </c>
      <c r="K318" s="172">
        <f t="shared" si="21"/>
        <v>329.573141655985</v>
      </c>
      <c r="L318" s="172">
        <f t="shared" si="22"/>
        <v>0</v>
      </c>
      <c r="M318" s="193"/>
      <c r="N318" s="193"/>
      <c r="O318" s="198"/>
      <c r="P318" s="172">
        <v>21.896</v>
      </c>
    </row>
    <row r="319" s="162" customFormat="1" ht="11.25" outlineLevel="1" collapsed="1" spans="1:16">
      <c r="A319" s="180"/>
      <c r="B319" s="211" t="s">
        <v>411</v>
      </c>
      <c r="C319" s="211"/>
      <c r="D319" s="180"/>
      <c r="E319" s="172"/>
      <c r="F319" s="206"/>
      <c r="G319" s="206"/>
      <c r="H319" s="206"/>
      <c r="I319" s="195">
        <f t="shared" si="19"/>
        <v>0</v>
      </c>
      <c r="J319" s="196"/>
      <c r="K319" s="172"/>
      <c r="L319" s="172"/>
      <c r="M319" s="193"/>
      <c r="N319" s="193"/>
      <c r="O319" s="198"/>
      <c r="P319" s="172"/>
    </row>
    <row r="320" s="162" customFormat="1" ht="31.5" outlineLevel="1" spans="1:16">
      <c r="A320" s="180"/>
      <c r="B320" s="211" t="s">
        <v>79</v>
      </c>
      <c r="C320" s="211" t="s">
        <v>401</v>
      </c>
      <c r="D320" s="180" t="s">
        <v>75</v>
      </c>
      <c r="E320" s="172"/>
      <c r="F320" s="179">
        <v>10</v>
      </c>
      <c r="G320" s="180">
        <v>95</v>
      </c>
      <c r="H320" s="179">
        <v>15</v>
      </c>
      <c r="I320" s="195">
        <f t="shared" si="19"/>
        <v>5.11476431103504</v>
      </c>
      <c r="J320" s="196">
        <f t="shared" si="20"/>
        <v>11.2603287879932</v>
      </c>
      <c r="K320" s="172">
        <f t="shared" si="21"/>
        <v>136.375093099028</v>
      </c>
      <c r="L320" s="172">
        <f t="shared" si="22"/>
        <v>0</v>
      </c>
      <c r="M320" s="193"/>
      <c r="N320" s="193"/>
      <c r="O320" s="198"/>
      <c r="P320" s="172">
        <v>1.57248</v>
      </c>
    </row>
    <row r="321" s="162" customFormat="1" ht="42" outlineLevel="1" spans="1:16">
      <c r="A321" s="180"/>
      <c r="B321" s="211" t="s">
        <v>81</v>
      </c>
      <c r="C321" s="211" t="s">
        <v>276</v>
      </c>
      <c r="D321" s="180" t="s">
        <v>75</v>
      </c>
      <c r="E321" s="172"/>
      <c r="F321" s="179">
        <v>55</v>
      </c>
      <c r="G321" s="180">
        <v>445</v>
      </c>
      <c r="H321" s="179">
        <v>15</v>
      </c>
      <c r="I321" s="195">
        <f t="shared" si="19"/>
        <v>21.9508635015254</v>
      </c>
      <c r="J321" s="196">
        <f t="shared" si="20"/>
        <v>48.3255777151373</v>
      </c>
      <c r="K321" s="172">
        <f t="shared" si="21"/>
        <v>585.276441216663</v>
      </c>
      <c r="L321" s="172">
        <f t="shared" si="22"/>
        <v>0</v>
      </c>
      <c r="M321" s="193"/>
      <c r="N321" s="193"/>
      <c r="O321" s="198"/>
      <c r="P321" s="172">
        <v>1.04832</v>
      </c>
    </row>
    <row r="322" s="162" customFormat="1" ht="42" outlineLevel="1" spans="1:16">
      <c r="A322" s="180"/>
      <c r="B322" s="211" t="s">
        <v>412</v>
      </c>
      <c r="C322" s="211" t="s">
        <v>413</v>
      </c>
      <c r="D322" s="180" t="s">
        <v>75</v>
      </c>
      <c r="E322" s="172"/>
      <c r="F322" s="179">
        <v>55</v>
      </c>
      <c r="G322" s="180">
        <v>445</v>
      </c>
      <c r="H322" s="179">
        <v>15</v>
      </c>
      <c r="I322" s="195">
        <f t="shared" si="19"/>
        <v>21.9508635015254</v>
      </c>
      <c r="J322" s="196">
        <f t="shared" si="20"/>
        <v>48.3255777151373</v>
      </c>
      <c r="K322" s="172">
        <f t="shared" si="21"/>
        <v>585.276441216663</v>
      </c>
      <c r="L322" s="172">
        <f t="shared" si="22"/>
        <v>0</v>
      </c>
      <c r="M322" s="193"/>
      <c r="N322" s="193"/>
      <c r="O322" s="198"/>
      <c r="P322" s="172">
        <v>0.936</v>
      </c>
    </row>
    <row r="323" s="162" customFormat="1" ht="31.5" outlineLevel="1" spans="1:16">
      <c r="A323" s="180"/>
      <c r="B323" s="211" t="s">
        <v>208</v>
      </c>
      <c r="C323" s="211" t="s">
        <v>288</v>
      </c>
      <c r="D323" s="180" t="s">
        <v>140</v>
      </c>
      <c r="E323" s="212"/>
      <c r="F323" s="179">
        <v>1000</v>
      </c>
      <c r="G323" s="179">
        <v>4600</v>
      </c>
      <c r="H323" s="179">
        <v>200</v>
      </c>
      <c r="I323" s="195">
        <f t="shared" si="19"/>
        <v>247.213608366694</v>
      </c>
      <c r="J323" s="196">
        <f t="shared" si="20"/>
        <v>544.249224753002</v>
      </c>
      <c r="K323" s="172">
        <f t="shared" si="21"/>
        <v>6591.4628331197</v>
      </c>
      <c r="L323" s="172">
        <f t="shared" si="22"/>
        <v>0</v>
      </c>
      <c r="M323" s="193"/>
      <c r="N323" s="193"/>
      <c r="O323" s="198"/>
      <c r="P323" s="212">
        <v>0.086220231552</v>
      </c>
    </row>
    <row r="324" s="162" customFormat="1" ht="31.5" outlineLevel="1" spans="1:16">
      <c r="A324" s="213"/>
      <c r="B324" s="213" t="s">
        <v>414</v>
      </c>
      <c r="C324" s="211" t="s">
        <v>415</v>
      </c>
      <c r="D324" s="202" t="s">
        <v>78</v>
      </c>
      <c r="E324" s="202"/>
      <c r="F324" s="179">
        <v>65</v>
      </c>
      <c r="G324" s="180">
        <v>150</v>
      </c>
      <c r="H324" s="179">
        <v>15</v>
      </c>
      <c r="I324" s="195">
        <f t="shared" si="19"/>
        <v>9.80329826281716</v>
      </c>
      <c r="J324" s="196">
        <f t="shared" si="20"/>
        <v>21.5822968436535</v>
      </c>
      <c r="K324" s="172">
        <f t="shared" si="21"/>
        <v>261.385595106471</v>
      </c>
      <c r="L324" s="172">
        <f t="shared" si="22"/>
        <v>0</v>
      </c>
      <c r="M324" s="193"/>
      <c r="N324" s="193"/>
      <c r="O324" s="198"/>
      <c r="P324" s="202">
        <v>9.36</v>
      </c>
    </row>
    <row r="325" s="162" customFormat="1" ht="31.5" outlineLevel="1" spans="1:16">
      <c r="A325" s="213"/>
      <c r="B325" s="213" t="s">
        <v>416</v>
      </c>
      <c r="C325" s="211" t="s">
        <v>417</v>
      </c>
      <c r="D325" s="202" t="s">
        <v>78</v>
      </c>
      <c r="E325" s="202"/>
      <c r="F325" s="179">
        <v>65</v>
      </c>
      <c r="G325" s="180">
        <v>150</v>
      </c>
      <c r="H325" s="179">
        <v>15</v>
      </c>
      <c r="I325" s="195">
        <f t="shared" ref="I325:I388" si="23">((F325+G325+H325)*0.06)*0.7103839320882</f>
        <v>9.80329826281716</v>
      </c>
      <c r="J325" s="196">
        <f t="shared" si="20"/>
        <v>21.5822968436535</v>
      </c>
      <c r="K325" s="172">
        <f t="shared" si="21"/>
        <v>261.385595106471</v>
      </c>
      <c r="L325" s="172">
        <f t="shared" si="22"/>
        <v>0</v>
      </c>
      <c r="M325" s="193"/>
      <c r="N325" s="193"/>
      <c r="O325" s="198"/>
      <c r="P325" s="202">
        <v>2.226</v>
      </c>
    </row>
    <row r="326" s="162" customFormat="1" ht="31.5" outlineLevel="1" spans="1:16">
      <c r="A326" s="213"/>
      <c r="B326" s="213" t="s">
        <v>418</v>
      </c>
      <c r="C326" s="211" t="s">
        <v>419</v>
      </c>
      <c r="D326" s="202" t="s">
        <v>89</v>
      </c>
      <c r="E326" s="202"/>
      <c r="F326" s="179">
        <v>20</v>
      </c>
      <c r="G326" s="180">
        <v>85</v>
      </c>
      <c r="H326" s="179">
        <v>3</v>
      </c>
      <c r="I326" s="195">
        <f t="shared" si="23"/>
        <v>4.60328787993154</v>
      </c>
      <c r="J326" s="196">
        <f t="shared" ref="J326:J389" si="24">(F326+G326+H326+I326)*0.09</f>
        <v>10.1342959091938</v>
      </c>
      <c r="K326" s="172">
        <f t="shared" ref="K326:K389" si="25">F326+G326+H326+I326+J326</f>
        <v>122.737583789125</v>
      </c>
      <c r="L326" s="172">
        <f t="shared" ref="L326:L389" si="26">K326*E326</f>
        <v>0</v>
      </c>
      <c r="M326" s="193"/>
      <c r="N326" s="193"/>
      <c r="O326" s="198"/>
      <c r="P326" s="202">
        <v>31.8</v>
      </c>
    </row>
    <row r="327" s="162" customFormat="1" ht="11.25" outlineLevel="1" spans="1:16">
      <c r="A327" s="213"/>
      <c r="B327" s="211" t="s">
        <v>420</v>
      </c>
      <c r="C327" s="211"/>
      <c r="D327" s="202"/>
      <c r="E327" s="202"/>
      <c r="F327" s="206"/>
      <c r="G327" s="206"/>
      <c r="H327" s="206"/>
      <c r="I327" s="195">
        <f t="shared" si="23"/>
        <v>0</v>
      </c>
      <c r="J327" s="196"/>
      <c r="K327" s="172"/>
      <c r="L327" s="172"/>
      <c r="M327" s="193"/>
      <c r="N327" s="193"/>
      <c r="O327" s="198"/>
      <c r="P327" s="202"/>
    </row>
    <row r="328" s="162" customFormat="1" ht="52.5" outlineLevel="1" spans="1:16">
      <c r="A328" s="213"/>
      <c r="B328" s="211" t="s">
        <v>272</v>
      </c>
      <c r="C328" s="211" t="s">
        <v>273</v>
      </c>
      <c r="D328" s="180" t="s">
        <v>75</v>
      </c>
      <c r="E328" s="202"/>
      <c r="F328" s="206"/>
      <c r="G328" s="206"/>
      <c r="H328" s="179">
        <v>8.5</v>
      </c>
      <c r="I328" s="195">
        <f t="shared" si="23"/>
        <v>0.362295805364982</v>
      </c>
      <c r="J328" s="196">
        <f t="shared" si="24"/>
        <v>0.797606622482848</v>
      </c>
      <c r="K328" s="172">
        <f t="shared" si="25"/>
        <v>9.65990242784783</v>
      </c>
      <c r="L328" s="172">
        <f t="shared" si="26"/>
        <v>0</v>
      </c>
      <c r="M328" s="193"/>
      <c r="N328" s="193"/>
      <c r="O328" s="198"/>
      <c r="P328" s="202">
        <f>P330+P331</f>
        <v>3.9318</v>
      </c>
    </row>
    <row r="329" s="162" customFormat="1" ht="31.5" outlineLevel="1" spans="1:16">
      <c r="A329" s="213"/>
      <c r="B329" s="211" t="s">
        <v>76</v>
      </c>
      <c r="C329" s="211" t="s">
        <v>341</v>
      </c>
      <c r="D329" s="180" t="s">
        <v>78</v>
      </c>
      <c r="E329" s="179"/>
      <c r="F329" s="179">
        <v>0.5</v>
      </c>
      <c r="G329" s="172"/>
      <c r="H329" s="179">
        <v>2.5</v>
      </c>
      <c r="I329" s="195">
        <f t="shared" si="23"/>
        <v>0.127869107775876</v>
      </c>
      <c r="J329" s="196">
        <f t="shared" si="24"/>
        <v>0.281508219699829</v>
      </c>
      <c r="K329" s="172">
        <f t="shared" si="25"/>
        <v>3.4093773274757</v>
      </c>
      <c r="L329" s="172">
        <f t="shared" si="26"/>
        <v>0</v>
      </c>
      <c r="M329" s="193"/>
      <c r="N329" s="193"/>
      <c r="O329" s="198"/>
      <c r="P329" s="179">
        <f>(P332+P333+P334)</f>
        <v>19.659</v>
      </c>
    </row>
    <row r="330" s="162" customFormat="1" ht="31.5" outlineLevel="1" spans="1:16">
      <c r="A330" s="213"/>
      <c r="B330" s="211" t="s">
        <v>79</v>
      </c>
      <c r="C330" s="211" t="s">
        <v>342</v>
      </c>
      <c r="D330" s="180" t="s">
        <v>75</v>
      </c>
      <c r="E330" s="179"/>
      <c r="F330" s="179">
        <v>10</v>
      </c>
      <c r="G330" s="180">
        <v>95</v>
      </c>
      <c r="H330" s="179">
        <v>15</v>
      </c>
      <c r="I330" s="195">
        <f t="shared" si="23"/>
        <v>5.11476431103504</v>
      </c>
      <c r="J330" s="196">
        <f t="shared" si="24"/>
        <v>11.2603287879932</v>
      </c>
      <c r="K330" s="172">
        <f t="shared" si="25"/>
        <v>136.375093099028</v>
      </c>
      <c r="L330" s="172">
        <f t="shared" si="26"/>
        <v>0</v>
      </c>
      <c r="M330" s="193"/>
      <c r="N330" s="193"/>
      <c r="O330" s="198"/>
      <c r="P330" s="179">
        <f>P329*0.1</f>
        <v>1.9659</v>
      </c>
    </row>
    <row r="331" s="162" customFormat="1" ht="42" outlineLevel="1" spans="1:16">
      <c r="A331" s="213"/>
      <c r="B331" s="211" t="s">
        <v>81</v>
      </c>
      <c r="C331" s="211" t="s">
        <v>276</v>
      </c>
      <c r="D331" s="180" t="s">
        <v>75</v>
      </c>
      <c r="E331" s="202"/>
      <c r="F331" s="179">
        <v>55</v>
      </c>
      <c r="G331" s="180">
        <v>445</v>
      </c>
      <c r="H331" s="179">
        <v>15</v>
      </c>
      <c r="I331" s="195">
        <f t="shared" si="23"/>
        <v>21.9508635015254</v>
      </c>
      <c r="J331" s="196">
        <f t="shared" si="24"/>
        <v>48.3255777151373</v>
      </c>
      <c r="K331" s="172">
        <f t="shared" si="25"/>
        <v>585.276441216663</v>
      </c>
      <c r="L331" s="172">
        <f t="shared" si="26"/>
        <v>0</v>
      </c>
      <c r="M331" s="193"/>
      <c r="N331" s="193"/>
      <c r="O331" s="198"/>
      <c r="P331" s="202">
        <f>P329*0.1</f>
        <v>1.9659</v>
      </c>
    </row>
    <row r="332" s="162" customFormat="1" ht="31.5" outlineLevel="1" spans="1:16">
      <c r="A332" s="213"/>
      <c r="B332" s="177" t="s">
        <v>157</v>
      </c>
      <c r="C332" s="177" t="s">
        <v>158</v>
      </c>
      <c r="D332" s="178" t="s">
        <v>78</v>
      </c>
      <c r="E332" s="202"/>
      <c r="F332" s="179">
        <v>50</v>
      </c>
      <c r="G332" s="180">
        <v>65</v>
      </c>
      <c r="H332" s="179">
        <v>15</v>
      </c>
      <c r="I332" s="195">
        <f t="shared" si="23"/>
        <v>5.54099467028796</v>
      </c>
      <c r="J332" s="196">
        <f t="shared" si="24"/>
        <v>12.1986895203259</v>
      </c>
      <c r="K332" s="172">
        <f t="shared" si="25"/>
        <v>147.739684190614</v>
      </c>
      <c r="L332" s="172">
        <f t="shared" si="26"/>
        <v>0</v>
      </c>
      <c r="M332" s="193"/>
      <c r="N332" s="193"/>
      <c r="O332" s="198"/>
      <c r="P332" s="202">
        <v>1.823</v>
      </c>
    </row>
    <row r="333" s="162" customFormat="1" ht="31.5" outlineLevel="1" spans="1:16">
      <c r="A333" s="213"/>
      <c r="B333" s="177" t="s">
        <v>153</v>
      </c>
      <c r="C333" s="177" t="s">
        <v>159</v>
      </c>
      <c r="D333" s="178" t="s">
        <v>78</v>
      </c>
      <c r="E333" s="202"/>
      <c r="F333" s="179">
        <v>50</v>
      </c>
      <c r="G333" s="180">
        <v>65</v>
      </c>
      <c r="H333" s="179">
        <v>15</v>
      </c>
      <c r="I333" s="195">
        <f t="shared" si="23"/>
        <v>5.54099467028796</v>
      </c>
      <c r="J333" s="196">
        <f t="shared" si="24"/>
        <v>12.1986895203259</v>
      </c>
      <c r="K333" s="172">
        <f t="shared" si="25"/>
        <v>147.739684190614</v>
      </c>
      <c r="L333" s="172">
        <f t="shared" si="26"/>
        <v>0</v>
      </c>
      <c r="M333" s="193"/>
      <c r="N333" s="193"/>
      <c r="O333" s="198"/>
      <c r="P333" s="202">
        <v>14.56</v>
      </c>
    </row>
    <row r="334" s="162" customFormat="1" ht="31.5" outlineLevel="1" spans="1:16">
      <c r="A334" s="213"/>
      <c r="B334" s="177" t="s">
        <v>83</v>
      </c>
      <c r="C334" s="177" t="s">
        <v>421</v>
      </c>
      <c r="D334" s="178" t="s">
        <v>78</v>
      </c>
      <c r="E334" s="202"/>
      <c r="F334" s="179">
        <v>50</v>
      </c>
      <c r="G334" s="180">
        <v>65</v>
      </c>
      <c r="H334" s="179">
        <v>15</v>
      </c>
      <c r="I334" s="195">
        <f t="shared" si="23"/>
        <v>5.54099467028796</v>
      </c>
      <c r="J334" s="196">
        <f t="shared" si="24"/>
        <v>12.1986895203259</v>
      </c>
      <c r="K334" s="172">
        <f t="shared" si="25"/>
        <v>147.739684190614</v>
      </c>
      <c r="L334" s="172">
        <f t="shared" si="26"/>
        <v>0</v>
      </c>
      <c r="M334" s="193"/>
      <c r="N334" s="193"/>
      <c r="O334" s="198"/>
      <c r="P334" s="202">
        <v>3.276</v>
      </c>
    </row>
    <row r="335" s="162" customFormat="1" ht="21" spans="1:16">
      <c r="A335" s="209" t="s">
        <v>422</v>
      </c>
      <c r="B335" s="210" t="s">
        <v>423</v>
      </c>
      <c r="C335" s="215"/>
      <c r="D335" s="216"/>
      <c r="E335" s="217"/>
      <c r="F335" s="206"/>
      <c r="G335" s="206"/>
      <c r="H335" s="206"/>
      <c r="I335" s="195">
        <f t="shared" si="23"/>
        <v>0</v>
      </c>
      <c r="J335" s="196"/>
      <c r="K335" s="172"/>
      <c r="L335" s="172"/>
      <c r="M335" s="193"/>
      <c r="N335" s="193"/>
      <c r="O335" s="198"/>
      <c r="P335" s="217"/>
    </row>
    <row r="336" s="162" customFormat="1" ht="52.5" outlineLevel="1" spans="1:16">
      <c r="A336" s="178">
        <v>1</v>
      </c>
      <c r="B336" s="177" t="s">
        <v>73</v>
      </c>
      <c r="C336" s="177" t="s">
        <v>74</v>
      </c>
      <c r="D336" s="178" t="s">
        <v>75</v>
      </c>
      <c r="E336" s="181"/>
      <c r="F336" s="206"/>
      <c r="G336" s="206"/>
      <c r="H336" s="179">
        <v>8.5</v>
      </c>
      <c r="I336" s="195">
        <f t="shared" si="23"/>
        <v>0.362295805364982</v>
      </c>
      <c r="J336" s="196">
        <f t="shared" si="24"/>
        <v>0.797606622482848</v>
      </c>
      <c r="K336" s="172">
        <f t="shared" si="25"/>
        <v>9.65990242784783</v>
      </c>
      <c r="L336" s="172">
        <f t="shared" si="26"/>
        <v>0</v>
      </c>
      <c r="M336" s="193"/>
      <c r="N336" s="193"/>
      <c r="O336" s="198"/>
      <c r="P336" s="181">
        <f>P338+P339</f>
        <v>34.928</v>
      </c>
    </row>
    <row r="337" s="162" customFormat="1" ht="21" outlineLevel="1" spans="1:16">
      <c r="A337" s="178">
        <v>2</v>
      </c>
      <c r="B337" s="177" t="s">
        <v>76</v>
      </c>
      <c r="C337" s="177" t="s">
        <v>424</v>
      </c>
      <c r="D337" s="178" t="s">
        <v>78</v>
      </c>
      <c r="E337" s="181"/>
      <c r="F337" s="179">
        <v>0.5</v>
      </c>
      <c r="G337" s="172"/>
      <c r="H337" s="179">
        <v>2.5</v>
      </c>
      <c r="I337" s="195">
        <f t="shared" si="23"/>
        <v>0.127869107775876</v>
      </c>
      <c r="J337" s="196">
        <f t="shared" si="24"/>
        <v>0.281508219699829</v>
      </c>
      <c r="K337" s="172">
        <f t="shared" si="25"/>
        <v>3.4093773274757</v>
      </c>
      <c r="L337" s="172">
        <f t="shared" si="26"/>
        <v>0</v>
      </c>
      <c r="M337" s="193"/>
      <c r="N337" s="193"/>
      <c r="O337" s="198"/>
      <c r="P337" s="181">
        <v>174.64</v>
      </c>
    </row>
    <row r="338" s="162" customFormat="1" ht="21" outlineLevel="1" spans="1:16">
      <c r="A338" s="178">
        <v>3</v>
      </c>
      <c r="B338" s="177" t="s">
        <v>79</v>
      </c>
      <c r="C338" s="177" t="s">
        <v>425</v>
      </c>
      <c r="D338" s="178" t="s">
        <v>75</v>
      </c>
      <c r="E338" s="181"/>
      <c r="F338" s="179">
        <v>10</v>
      </c>
      <c r="G338" s="180">
        <v>95</v>
      </c>
      <c r="H338" s="179">
        <v>15</v>
      </c>
      <c r="I338" s="195">
        <f t="shared" si="23"/>
        <v>5.11476431103504</v>
      </c>
      <c r="J338" s="196">
        <f t="shared" si="24"/>
        <v>11.2603287879932</v>
      </c>
      <c r="K338" s="172">
        <f t="shared" si="25"/>
        <v>136.375093099028</v>
      </c>
      <c r="L338" s="172">
        <f t="shared" si="26"/>
        <v>0</v>
      </c>
      <c r="M338" s="193"/>
      <c r="N338" s="193"/>
      <c r="O338" s="198"/>
      <c r="P338" s="181">
        <f>P337*0.1</f>
        <v>17.464</v>
      </c>
    </row>
    <row r="339" s="162" customFormat="1" ht="42" outlineLevel="1" spans="1:16">
      <c r="A339" s="178">
        <v>4</v>
      </c>
      <c r="B339" s="177" t="s">
        <v>81</v>
      </c>
      <c r="C339" s="177" t="s">
        <v>426</v>
      </c>
      <c r="D339" s="178" t="s">
        <v>75</v>
      </c>
      <c r="E339" s="181"/>
      <c r="F339" s="179">
        <v>55</v>
      </c>
      <c r="G339" s="180">
        <v>445</v>
      </c>
      <c r="H339" s="179">
        <v>15</v>
      </c>
      <c r="I339" s="195">
        <f t="shared" si="23"/>
        <v>21.9508635015254</v>
      </c>
      <c r="J339" s="196">
        <f t="shared" si="24"/>
        <v>48.3255777151373</v>
      </c>
      <c r="K339" s="172">
        <f t="shared" si="25"/>
        <v>585.276441216663</v>
      </c>
      <c r="L339" s="172">
        <f t="shared" si="26"/>
        <v>0</v>
      </c>
      <c r="M339" s="193"/>
      <c r="N339" s="193"/>
      <c r="O339" s="198"/>
      <c r="P339" s="181">
        <v>17.464</v>
      </c>
    </row>
    <row r="340" s="162" customFormat="1" ht="31.5" outlineLevel="1" spans="1:16">
      <c r="A340" s="178">
        <v>5</v>
      </c>
      <c r="B340" s="177" t="s">
        <v>344</v>
      </c>
      <c r="C340" s="177" t="s">
        <v>427</v>
      </c>
      <c r="D340" s="178" t="s">
        <v>78</v>
      </c>
      <c r="E340" s="181"/>
      <c r="F340" s="179">
        <v>50</v>
      </c>
      <c r="G340" s="180">
        <v>65</v>
      </c>
      <c r="H340" s="179">
        <v>15</v>
      </c>
      <c r="I340" s="195">
        <f t="shared" si="23"/>
        <v>5.54099467028796</v>
      </c>
      <c r="J340" s="196">
        <f t="shared" si="24"/>
        <v>12.1986895203259</v>
      </c>
      <c r="K340" s="172">
        <f t="shared" si="25"/>
        <v>147.739684190614</v>
      </c>
      <c r="L340" s="172">
        <f t="shared" si="26"/>
        <v>0</v>
      </c>
      <c r="M340" s="193"/>
      <c r="N340" s="193"/>
      <c r="O340" s="198"/>
      <c r="P340" s="181">
        <v>89.7</v>
      </c>
    </row>
    <row r="341" s="162" customFormat="1" ht="31.5" outlineLevel="1" spans="1:16">
      <c r="A341" s="178">
        <v>6</v>
      </c>
      <c r="B341" s="177" t="s">
        <v>344</v>
      </c>
      <c r="C341" s="177" t="s">
        <v>428</v>
      </c>
      <c r="D341" s="178" t="s">
        <v>78</v>
      </c>
      <c r="E341" s="181"/>
      <c r="F341" s="179">
        <v>180</v>
      </c>
      <c r="G341" s="179">
        <v>320</v>
      </c>
      <c r="H341" s="179">
        <v>15</v>
      </c>
      <c r="I341" s="195">
        <f t="shared" si="23"/>
        <v>21.9508635015254</v>
      </c>
      <c r="J341" s="196">
        <f t="shared" si="24"/>
        <v>48.3255777151373</v>
      </c>
      <c r="K341" s="172">
        <f t="shared" si="25"/>
        <v>585.276441216663</v>
      </c>
      <c r="L341" s="172">
        <f t="shared" si="26"/>
        <v>0</v>
      </c>
      <c r="M341" s="193"/>
      <c r="N341" s="193"/>
      <c r="O341" s="198"/>
      <c r="P341" s="181">
        <v>37.33</v>
      </c>
    </row>
    <row r="342" s="162" customFormat="1" ht="31.5" outlineLevel="1" spans="1:16">
      <c r="A342" s="178">
        <v>7</v>
      </c>
      <c r="B342" s="177" t="s">
        <v>344</v>
      </c>
      <c r="C342" s="177" t="s">
        <v>429</v>
      </c>
      <c r="D342" s="178" t="s">
        <v>78</v>
      </c>
      <c r="E342" s="181"/>
      <c r="F342" s="179">
        <v>55</v>
      </c>
      <c r="G342" s="172">
        <v>115</v>
      </c>
      <c r="H342" s="179">
        <v>15</v>
      </c>
      <c r="I342" s="195">
        <f t="shared" si="23"/>
        <v>7.88526164617902</v>
      </c>
      <c r="J342" s="196">
        <f t="shared" si="24"/>
        <v>17.3596735481561</v>
      </c>
      <c r="K342" s="172">
        <f t="shared" si="25"/>
        <v>210.244935194335</v>
      </c>
      <c r="L342" s="172">
        <f t="shared" si="26"/>
        <v>0</v>
      </c>
      <c r="M342" s="193"/>
      <c r="N342" s="193"/>
      <c r="O342" s="198"/>
      <c r="P342" s="181">
        <v>10.08</v>
      </c>
    </row>
    <row r="343" s="162" customFormat="1" ht="42" outlineLevel="1" spans="1:16">
      <c r="A343" s="178">
        <v>8</v>
      </c>
      <c r="B343" s="177" t="s">
        <v>344</v>
      </c>
      <c r="C343" s="177" t="s">
        <v>430</v>
      </c>
      <c r="D343" s="178" t="s">
        <v>78</v>
      </c>
      <c r="E343" s="181"/>
      <c r="F343" s="179">
        <v>50</v>
      </c>
      <c r="G343" s="180">
        <v>65</v>
      </c>
      <c r="H343" s="179">
        <v>15</v>
      </c>
      <c r="I343" s="195">
        <f t="shared" si="23"/>
        <v>5.54099467028796</v>
      </c>
      <c r="J343" s="196">
        <f t="shared" si="24"/>
        <v>12.1986895203259</v>
      </c>
      <c r="K343" s="172">
        <f t="shared" si="25"/>
        <v>147.739684190614</v>
      </c>
      <c r="L343" s="172">
        <f t="shared" si="26"/>
        <v>0</v>
      </c>
      <c r="M343" s="193"/>
      <c r="N343" s="193"/>
      <c r="O343" s="198"/>
      <c r="P343" s="181">
        <v>6.92</v>
      </c>
    </row>
    <row r="344" s="162" customFormat="1" ht="31.5" outlineLevel="1" spans="1:16">
      <c r="A344" s="178">
        <v>9</v>
      </c>
      <c r="B344" s="177" t="s">
        <v>112</v>
      </c>
      <c r="C344" s="177" t="s">
        <v>431</v>
      </c>
      <c r="D344" s="178" t="s">
        <v>114</v>
      </c>
      <c r="E344" s="181"/>
      <c r="F344" s="179">
        <v>35</v>
      </c>
      <c r="G344" s="179">
        <v>3200</v>
      </c>
      <c r="H344" s="179">
        <v>50</v>
      </c>
      <c r="I344" s="195">
        <f t="shared" si="23"/>
        <v>140.016673014584</v>
      </c>
      <c r="J344" s="196">
        <f t="shared" si="24"/>
        <v>308.251500571313</v>
      </c>
      <c r="K344" s="172">
        <f t="shared" si="25"/>
        <v>3733.2681735859</v>
      </c>
      <c r="L344" s="172">
        <f t="shared" si="26"/>
        <v>0</v>
      </c>
      <c r="M344" s="193"/>
      <c r="N344" s="193"/>
      <c r="O344" s="198"/>
      <c r="P344" s="181">
        <v>1</v>
      </c>
    </row>
    <row r="345" s="162" customFormat="1" ht="31.5" outlineLevel="1" spans="1:16">
      <c r="A345" s="178">
        <v>10</v>
      </c>
      <c r="B345" s="177" t="s">
        <v>112</v>
      </c>
      <c r="C345" s="177" t="s">
        <v>432</v>
      </c>
      <c r="D345" s="178" t="s">
        <v>114</v>
      </c>
      <c r="E345" s="181"/>
      <c r="F345" s="179">
        <v>35</v>
      </c>
      <c r="G345" s="179">
        <v>3200</v>
      </c>
      <c r="H345" s="179">
        <v>50</v>
      </c>
      <c r="I345" s="195">
        <f t="shared" si="23"/>
        <v>140.016673014584</v>
      </c>
      <c r="J345" s="196">
        <f t="shared" si="24"/>
        <v>308.251500571313</v>
      </c>
      <c r="K345" s="172">
        <f t="shared" si="25"/>
        <v>3733.2681735859</v>
      </c>
      <c r="L345" s="172">
        <f t="shared" si="26"/>
        <v>0</v>
      </c>
      <c r="M345" s="193"/>
      <c r="N345" s="193"/>
      <c r="O345" s="198"/>
      <c r="P345" s="181">
        <v>1</v>
      </c>
    </row>
    <row r="346" s="162" customFormat="1" ht="31.5" outlineLevel="1" spans="1:16">
      <c r="A346" s="178">
        <v>11</v>
      </c>
      <c r="B346" s="177" t="s">
        <v>433</v>
      </c>
      <c r="C346" s="177" t="s">
        <v>434</v>
      </c>
      <c r="D346" s="178" t="s">
        <v>89</v>
      </c>
      <c r="E346" s="181"/>
      <c r="F346" s="179">
        <v>20</v>
      </c>
      <c r="G346" s="180">
        <v>85</v>
      </c>
      <c r="H346" s="179">
        <v>3</v>
      </c>
      <c r="I346" s="195">
        <f t="shared" si="23"/>
        <v>4.60328787993154</v>
      </c>
      <c r="J346" s="196">
        <f t="shared" si="24"/>
        <v>10.1342959091938</v>
      </c>
      <c r="K346" s="172">
        <f t="shared" si="25"/>
        <v>122.737583789125</v>
      </c>
      <c r="L346" s="172">
        <f t="shared" si="26"/>
        <v>0</v>
      </c>
      <c r="M346" s="193"/>
      <c r="N346" s="193"/>
      <c r="O346" s="198"/>
      <c r="P346" s="181">
        <v>79.8</v>
      </c>
    </row>
    <row r="347" s="162" customFormat="1" ht="31.5" outlineLevel="1" spans="1:16">
      <c r="A347" s="178">
        <v>12</v>
      </c>
      <c r="B347" s="218" t="s">
        <v>435</v>
      </c>
      <c r="C347" s="177" t="s">
        <v>436</v>
      </c>
      <c r="D347" s="178" t="s">
        <v>78</v>
      </c>
      <c r="E347" s="181"/>
      <c r="F347" s="179">
        <v>65</v>
      </c>
      <c r="G347" s="180">
        <v>150</v>
      </c>
      <c r="H347" s="179">
        <v>15</v>
      </c>
      <c r="I347" s="195">
        <f t="shared" si="23"/>
        <v>9.80329826281716</v>
      </c>
      <c r="J347" s="196">
        <f t="shared" si="24"/>
        <v>21.5822968436535</v>
      </c>
      <c r="K347" s="172">
        <f t="shared" si="25"/>
        <v>261.385595106471</v>
      </c>
      <c r="L347" s="172">
        <f t="shared" si="26"/>
        <v>0</v>
      </c>
      <c r="M347" s="193"/>
      <c r="N347" s="193"/>
      <c r="O347" s="198"/>
      <c r="P347" s="181">
        <v>25.02</v>
      </c>
    </row>
    <row r="348" s="162" customFormat="1" ht="31.5" outlineLevel="1" spans="1:16">
      <c r="A348" s="178">
        <v>13</v>
      </c>
      <c r="B348" s="218" t="s">
        <v>437</v>
      </c>
      <c r="C348" s="177" t="s">
        <v>438</v>
      </c>
      <c r="D348" s="178" t="s">
        <v>78</v>
      </c>
      <c r="E348" s="181"/>
      <c r="F348" s="179">
        <v>65</v>
      </c>
      <c r="G348" s="180">
        <v>150</v>
      </c>
      <c r="H348" s="179">
        <v>15</v>
      </c>
      <c r="I348" s="195">
        <f t="shared" si="23"/>
        <v>9.80329826281716</v>
      </c>
      <c r="J348" s="196">
        <f t="shared" si="24"/>
        <v>21.5822968436535</v>
      </c>
      <c r="K348" s="172">
        <f t="shared" si="25"/>
        <v>261.385595106471</v>
      </c>
      <c r="L348" s="172">
        <f t="shared" si="26"/>
        <v>0</v>
      </c>
      <c r="M348" s="193"/>
      <c r="N348" s="193"/>
      <c r="O348" s="198"/>
      <c r="P348" s="181">
        <v>5.59</v>
      </c>
    </row>
    <row r="349" s="162" customFormat="1" ht="21" spans="1:16">
      <c r="A349" s="209" t="s">
        <v>439</v>
      </c>
      <c r="B349" s="210" t="s">
        <v>440</v>
      </c>
      <c r="C349" s="215"/>
      <c r="D349" s="178"/>
      <c r="E349" s="181"/>
      <c r="F349" s="206"/>
      <c r="G349" s="206"/>
      <c r="H349" s="206"/>
      <c r="I349" s="195">
        <f t="shared" si="23"/>
        <v>0</v>
      </c>
      <c r="J349" s="196"/>
      <c r="K349" s="172"/>
      <c r="L349" s="172"/>
      <c r="M349" s="193"/>
      <c r="N349" s="193"/>
      <c r="O349" s="198"/>
      <c r="P349" s="181"/>
    </row>
    <row r="350" s="162" customFormat="1" ht="52.5" outlineLevel="1" spans="1:16">
      <c r="A350" s="178">
        <v>1</v>
      </c>
      <c r="B350" s="177" t="s">
        <v>73</v>
      </c>
      <c r="C350" s="177" t="s">
        <v>74</v>
      </c>
      <c r="D350" s="178" t="s">
        <v>75</v>
      </c>
      <c r="E350" s="181"/>
      <c r="F350" s="206"/>
      <c r="G350" s="206"/>
      <c r="H350" s="179">
        <v>8.5</v>
      </c>
      <c r="I350" s="195">
        <f t="shared" si="23"/>
        <v>0.362295805364982</v>
      </c>
      <c r="J350" s="196">
        <f t="shared" si="24"/>
        <v>0.797606622482848</v>
      </c>
      <c r="K350" s="172">
        <f t="shared" si="25"/>
        <v>9.65990242784783</v>
      </c>
      <c r="L350" s="172">
        <f t="shared" si="26"/>
        <v>0</v>
      </c>
      <c r="M350" s="193"/>
      <c r="N350" s="193"/>
      <c r="O350" s="198"/>
      <c r="P350" s="181">
        <f>P352+P353</f>
        <v>50.632</v>
      </c>
    </row>
    <row r="351" s="162" customFormat="1" ht="21" outlineLevel="1" spans="1:16">
      <c r="A351" s="178">
        <v>2</v>
      </c>
      <c r="B351" s="177" t="s">
        <v>76</v>
      </c>
      <c r="C351" s="177" t="s">
        <v>424</v>
      </c>
      <c r="D351" s="178" t="s">
        <v>78</v>
      </c>
      <c r="E351" s="181"/>
      <c r="F351" s="179">
        <v>0.5</v>
      </c>
      <c r="G351" s="172"/>
      <c r="H351" s="179">
        <v>2.5</v>
      </c>
      <c r="I351" s="195">
        <f t="shared" si="23"/>
        <v>0.127869107775876</v>
      </c>
      <c r="J351" s="196">
        <f t="shared" si="24"/>
        <v>0.281508219699829</v>
      </c>
      <c r="K351" s="172">
        <f t="shared" si="25"/>
        <v>3.4093773274757</v>
      </c>
      <c r="L351" s="172">
        <f t="shared" si="26"/>
        <v>0</v>
      </c>
      <c r="M351" s="193"/>
      <c r="N351" s="193"/>
      <c r="O351" s="198"/>
      <c r="P351" s="181">
        <v>253.16</v>
      </c>
    </row>
    <row r="352" s="162" customFormat="1" ht="21" outlineLevel="1" spans="1:16">
      <c r="A352" s="178">
        <v>3</v>
      </c>
      <c r="B352" s="177" t="s">
        <v>79</v>
      </c>
      <c r="C352" s="177" t="s">
        <v>425</v>
      </c>
      <c r="D352" s="178" t="s">
        <v>75</v>
      </c>
      <c r="E352" s="181"/>
      <c r="F352" s="179">
        <v>10</v>
      </c>
      <c r="G352" s="180">
        <v>95</v>
      </c>
      <c r="H352" s="179">
        <v>15</v>
      </c>
      <c r="I352" s="195">
        <f t="shared" si="23"/>
        <v>5.11476431103504</v>
      </c>
      <c r="J352" s="196">
        <f t="shared" si="24"/>
        <v>11.2603287879932</v>
      </c>
      <c r="K352" s="172">
        <f t="shared" si="25"/>
        <v>136.375093099028</v>
      </c>
      <c r="L352" s="172">
        <f t="shared" si="26"/>
        <v>0</v>
      </c>
      <c r="M352" s="193"/>
      <c r="N352" s="193"/>
      <c r="O352" s="198"/>
      <c r="P352" s="181">
        <f>P351*0.1</f>
        <v>25.316</v>
      </c>
    </row>
    <row r="353" s="162" customFormat="1" ht="42" outlineLevel="1" spans="1:16">
      <c r="A353" s="178">
        <v>4</v>
      </c>
      <c r="B353" s="177" t="s">
        <v>81</v>
      </c>
      <c r="C353" s="177" t="s">
        <v>426</v>
      </c>
      <c r="D353" s="178" t="s">
        <v>75</v>
      </c>
      <c r="E353" s="181"/>
      <c r="F353" s="179">
        <v>55</v>
      </c>
      <c r="G353" s="180">
        <v>445</v>
      </c>
      <c r="H353" s="179">
        <v>15</v>
      </c>
      <c r="I353" s="195">
        <f t="shared" si="23"/>
        <v>21.9508635015254</v>
      </c>
      <c r="J353" s="196">
        <f t="shared" si="24"/>
        <v>48.3255777151373</v>
      </c>
      <c r="K353" s="172">
        <f t="shared" si="25"/>
        <v>585.276441216663</v>
      </c>
      <c r="L353" s="172">
        <f t="shared" si="26"/>
        <v>0</v>
      </c>
      <c r="M353" s="193"/>
      <c r="N353" s="193"/>
      <c r="O353" s="198"/>
      <c r="P353" s="181">
        <v>25.316</v>
      </c>
    </row>
    <row r="354" s="162" customFormat="1" ht="31.5" outlineLevel="1" spans="1:16">
      <c r="A354" s="178">
        <v>5</v>
      </c>
      <c r="B354" s="177" t="s">
        <v>344</v>
      </c>
      <c r="C354" s="177" t="s">
        <v>441</v>
      </c>
      <c r="D354" s="178" t="s">
        <v>78</v>
      </c>
      <c r="E354" s="181"/>
      <c r="F354" s="179">
        <v>50</v>
      </c>
      <c r="G354" s="180">
        <v>65</v>
      </c>
      <c r="H354" s="179">
        <v>15</v>
      </c>
      <c r="I354" s="195">
        <f t="shared" si="23"/>
        <v>5.54099467028796</v>
      </c>
      <c r="J354" s="196">
        <f t="shared" si="24"/>
        <v>12.1986895203259</v>
      </c>
      <c r="K354" s="172">
        <f t="shared" si="25"/>
        <v>147.739684190614</v>
      </c>
      <c r="L354" s="172">
        <f t="shared" si="26"/>
        <v>0</v>
      </c>
      <c r="M354" s="193"/>
      <c r="N354" s="193"/>
      <c r="O354" s="198"/>
      <c r="P354" s="181">
        <v>58.69</v>
      </c>
    </row>
    <row r="355" s="162" customFormat="1" ht="31.5" outlineLevel="1" spans="1:16">
      <c r="A355" s="178">
        <v>6</v>
      </c>
      <c r="B355" s="177" t="s">
        <v>344</v>
      </c>
      <c r="C355" s="177" t="s">
        <v>427</v>
      </c>
      <c r="D355" s="178" t="s">
        <v>78</v>
      </c>
      <c r="E355" s="181"/>
      <c r="F355" s="179">
        <v>50</v>
      </c>
      <c r="G355" s="180">
        <v>65</v>
      </c>
      <c r="H355" s="179">
        <v>15</v>
      </c>
      <c r="I355" s="195">
        <f t="shared" si="23"/>
        <v>5.54099467028796</v>
      </c>
      <c r="J355" s="196">
        <f t="shared" si="24"/>
        <v>12.1986895203259</v>
      </c>
      <c r="K355" s="172">
        <f t="shared" si="25"/>
        <v>147.739684190614</v>
      </c>
      <c r="L355" s="172">
        <f t="shared" si="26"/>
        <v>0</v>
      </c>
      <c r="M355" s="193"/>
      <c r="N355" s="193"/>
      <c r="O355" s="198"/>
      <c r="P355" s="181">
        <v>14.52</v>
      </c>
    </row>
    <row r="356" s="162" customFormat="1" ht="42" outlineLevel="1" spans="1:16">
      <c r="A356" s="178">
        <v>7</v>
      </c>
      <c r="B356" s="177" t="s">
        <v>442</v>
      </c>
      <c r="C356" s="177" t="s">
        <v>443</v>
      </c>
      <c r="D356" s="178" t="s">
        <v>78</v>
      </c>
      <c r="E356" s="181"/>
      <c r="F356" s="179">
        <v>15</v>
      </c>
      <c r="G356" s="180">
        <v>95</v>
      </c>
      <c r="H356" s="179">
        <v>10</v>
      </c>
      <c r="I356" s="195">
        <f t="shared" si="23"/>
        <v>5.11476431103504</v>
      </c>
      <c r="J356" s="196">
        <f t="shared" si="24"/>
        <v>11.2603287879932</v>
      </c>
      <c r="K356" s="172">
        <f t="shared" si="25"/>
        <v>136.375093099028</v>
      </c>
      <c r="L356" s="172">
        <f t="shared" si="26"/>
        <v>0</v>
      </c>
      <c r="M356" s="193"/>
      <c r="N356" s="193"/>
      <c r="O356" s="198"/>
      <c r="P356" s="181">
        <v>179.95</v>
      </c>
    </row>
    <row r="357" s="162" customFormat="1" ht="21" outlineLevel="1" spans="1:16">
      <c r="A357" s="178">
        <v>8</v>
      </c>
      <c r="B357" s="177" t="s">
        <v>444</v>
      </c>
      <c r="C357" s="177" t="s">
        <v>445</v>
      </c>
      <c r="D357" s="178" t="s">
        <v>89</v>
      </c>
      <c r="E357" s="181"/>
      <c r="F357" s="206">
        <v>15</v>
      </c>
      <c r="G357" s="206">
        <v>35</v>
      </c>
      <c r="H357" s="206">
        <v>15</v>
      </c>
      <c r="I357" s="195">
        <f t="shared" si="23"/>
        <v>2.77049733514398</v>
      </c>
      <c r="J357" s="196">
        <f t="shared" si="24"/>
        <v>6.09934476016296</v>
      </c>
      <c r="K357" s="172">
        <f t="shared" si="25"/>
        <v>73.869842095307</v>
      </c>
      <c r="L357" s="172">
        <f t="shared" si="26"/>
        <v>0</v>
      </c>
      <c r="M357" s="193"/>
      <c r="N357" s="193"/>
      <c r="O357" s="198"/>
      <c r="P357" s="181">
        <v>52.64</v>
      </c>
    </row>
    <row r="358" s="162" customFormat="1" ht="52.5" outlineLevel="1" spans="1:16">
      <c r="A358" s="178">
        <v>9</v>
      </c>
      <c r="B358" s="177" t="s">
        <v>446</v>
      </c>
      <c r="C358" s="177" t="s">
        <v>447</v>
      </c>
      <c r="D358" s="178" t="s">
        <v>78</v>
      </c>
      <c r="E358" s="181"/>
      <c r="F358" s="206">
        <v>85</v>
      </c>
      <c r="G358" s="206">
        <v>220</v>
      </c>
      <c r="H358" s="206">
        <v>35</v>
      </c>
      <c r="I358" s="195">
        <f t="shared" si="23"/>
        <v>14.4918322145993</v>
      </c>
      <c r="J358" s="196">
        <f t="shared" si="24"/>
        <v>31.9042648993139</v>
      </c>
      <c r="K358" s="172">
        <f t="shared" si="25"/>
        <v>386.396097113913</v>
      </c>
      <c r="L358" s="172">
        <f t="shared" si="26"/>
        <v>0</v>
      </c>
      <c r="M358" s="193"/>
      <c r="N358" s="193"/>
      <c r="O358" s="198"/>
      <c r="P358" s="181">
        <v>5.19</v>
      </c>
    </row>
    <row r="359" s="162" customFormat="1" ht="31.5" outlineLevel="1" spans="1:16">
      <c r="A359" s="178">
        <v>10</v>
      </c>
      <c r="B359" s="177" t="s">
        <v>448</v>
      </c>
      <c r="C359" s="177" t="s">
        <v>449</v>
      </c>
      <c r="D359" s="178" t="s">
        <v>78</v>
      </c>
      <c r="E359" s="181"/>
      <c r="F359" s="179">
        <v>55</v>
      </c>
      <c r="G359" s="172">
        <v>120</v>
      </c>
      <c r="H359" s="179">
        <v>15</v>
      </c>
      <c r="I359" s="195">
        <f t="shared" si="23"/>
        <v>8.09837682580548</v>
      </c>
      <c r="J359" s="196">
        <f t="shared" si="24"/>
        <v>17.8288539143225</v>
      </c>
      <c r="K359" s="172">
        <f t="shared" si="25"/>
        <v>215.927230740128</v>
      </c>
      <c r="L359" s="172">
        <f t="shared" si="26"/>
        <v>0</v>
      </c>
      <c r="M359" s="193"/>
      <c r="N359" s="193"/>
      <c r="O359" s="198"/>
      <c r="P359" s="181">
        <v>2.31</v>
      </c>
    </row>
    <row r="360" s="162" customFormat="1" ht="31.5" outlineLevel="1" spans="1:16">
      <c r="A360" s="178">
        <v>11</v>
      </c>
      <c r="B360" s="177" t="s">
        <v>450</v>
      </c>
      <c r="C360" s="177" t="s">
        <v>449</v>
      </c>
      <c r="D360" s="178" t="s">
        <v>78</v>
      </c>
      <c r="E360" s="181"/>
      <c r="F360" s="179">
        <v>55</v>
      </c>
      <c r="G360" s="172">
        <v>120</v>
      </c>
      <c r="H360" s="179">
        <v>15</v>
      </c>
      <c r="I360" s="195">
        <f t="shared" si="23"/>
        <v>8.09837682580548</v>
      </c>
      <c r="J360" s="196">
        <f t="shared" si="24"/>
        <v>17.8288539143225</v>
      </c>
      <c r="K360" s="172">
        <f t="shared" si="25"/>
        <v>215.927230740128</v>
      </c>
      <c r="L360" s="172">
        <f t="shared" si="26"/>
        <v>0</v>
      </c>
      <c r="M360" s="193"/>
      <c r="N360" s="193"/>
      <c r="O360" s="198"/>
      <c r="P360" s="181">
        <v>10.73</v>
      </c>
    </row>
    <row r="361" s="162" customFormat="1" ht="21" outlineLevel="1" spans="1:16">
      <c r="A361" s="178">
        <v>12</v>
      </c>
      <c r="B361" s="177" t="s">
        <v>451</v>
      </c>
      <c r="C361" s="177" t="s">
        <v>452</v>
      </c>
      <c r="D361" s="178" t="s">
        <v>75</v>
      </c>
      <c r="E361" s="181"/>
      <c r="F361" s="181">
        <v>220</v>
      </c>
      <c r="G361" s="181">
        <v>260</v>
      </c>
      <c r="H361" s="181">
        <v>85</v>
      </c>
      <c r="I361" s="195">
        <f t="shared" si="23"/>
        <v>24.08201529779</v>
      </c>
      <c r="J361" s="196">
        <f t="shared" si="24"/>
        <v>53.0173813768011</v>
      </c>
      <c r="K361" s="172">
        <f t="shared" si="25"/>
        <v>642.099396674591</v>
      </c>
      <c r="L361" s="172">
        <f t="shared" si="26"/>
        <v>0</v>
      </c>
      <c r="M361" s="193"/>
      <c r="N361" s="193"/>
      <c r="O361" s="198"/>
      <c r="P361" s="181">
        <v>2.33</v>
      </c>
    </row>
    <row r="362" s="162" customFormat="1" ht="31.5" outlineLevel="1" spans="1:16">
      <c r="A362" s="178">
        <v>13</v>
      </c>
      <c r="B362" s="177" t="s">
        <v>453</v>
      </c>
      <c r="C362" s="177" t="s">
        <v>454</v>
      </c>
      <c r="D362" s="178" t="s">
        <v>114</v>
      </c>
      <c r="E362" s="181"/>
      <c r="F362" s="179">
        <v>35</v>
      </c>
      <c r="G362" s="179">
        <v>16000</v>
      </c>
      <c r="H362" s="179">
        <v>50</v>
      </c>
      <c r="I362" s="195">
        <f t="shared" si="23"/>
        <v>685.591532858322</v>
      </c>
      <c r="J362" s="196">
        <f t="shared" si="24"/>
        <v>1509.35323795725</v>
      </c>
      <c r="K362" s="172">
        <f t="shared" si="25"/>
        <v>18279.9447708156</v>
      </c>
      <c r="L362" s="172">
        <f t="shared" si="26"/>
        <v>0</v>
      </c>
      <c r="M362" s="193"/>
      <c r="N362" s="193"/>
      <c r="O362" s="198"/>
      <c r="P362" s="181">
        <v>1</v>
      </c>
    </row>
    <row r="363" s="162" customFormat="1" ht="31.5" outlineLevel="1" spans="1:16">
      <c r="A363" s="178">
        <v>14</v>
      </c>
      <c r="B363" s="177" t="s">
        <v>112</v>
      </c>
      <c r="C363" s="177" t="s">
        <v>455</v>
      </c>
      <c r="D363" s="178" t="s">
        <v>114</v>
      </c>
      <c r="E363" s="181"/>
      <c r="F363" s="179">
        <v>35</v>
      </c>
      <c r="G363" s="179">
        <v>5000</v>
      </c>
      <c r="H363" s="179">
        <v>50</v>
      </c>
      <c r="I363" s="195">
        <f t="shared" si="23"/>
        <v>216.73813768011</v>
      </c>
      <c r="J363" s="196">
        <f t="shared" si="24"/>
        <v>477.15643239121</v>
      </c>
      <c r="K363" s="172">
        <f t="shared" si="25"/>
        <v>5778.89457007132</v>
      </c>
      <c r="L363" s="172">
        <f t="shared" si="26"/>
        <v>0</v>
      </c>
      <c r="M363" s="193"/>
      <c r="N363" s="193"/>
      <c r="O363" s="198"/>
      <c r="P363" s="181">
        <v>1</v>
      </c>
    </row>
    <row r="364" s="162" customFormat="1" ht="31.5" outlineLevel="1" spans="1:16">
      <c r="A364" s="178">
        <v>15</v>
      </c>
      <c r="B364" s="177" t="s">
        <v>112</v>
      </c>
      <c r="C364" s="177" t="s">
        <v>456</v>
      </c>
      <c r="D364" s="178" t="s">
        <v>114</v>
      </c>
      <c r="E364" s="181"/>
      <c r="F364" s="179">
        <v>35</v>
      </c>
      <c r="G364" s="179">
        <v>8200</v>
      </c>
      <c r="H364" s="179">
        <v>50</v>
      </c>
      <c r="I364" s="195">
        <f t="shared" si="23"/>
        <v>353.131852641044</v>
      </c>
      <c r="J364" s="196">
        <f t="shared" si="24"/>
        <v>777.431866737694</v>
      </c>
      <c r="K364" s="172">
        <f t="shared" si="25"/>
        <v>9415.56371937874</v>
      </c>
      <c r="L364" s="172">
        <f t="shared" si="26"/>
        <v>0</v>
      </c>
      <c r="M364" s="193"/>
      <c r="N364" s="193"/>
      <c r="O364" s="198"/>
      <c r="P364" s="181">
        <v>1</v>
      </c>
    </row>
    <row r="365" s="162" customFormat="1" ht="31.5" outlineLevel="1" spans="1:16">
      <c r="A365" s="178">
        <v>16</v>
      </c>
      <c r="B365" s="177" t="s">
        <v>112</v>
      </c>
      <c r="C365" s="177" t="s">
        <v>457</v>
      </c>
      <c r="D365" s="178" t="s">
        <v>114</v>
      </c>
      <c r="E365" s="181"/>
      <c r="F365" s="179">
        <v>35</v>
      </c>
      <c r="G365" s="179">
        <v>3000</v>
      </c>
      <c r="H365" s="179">
        <v>50</v>
      </c>
      <c r="I365" s="195">
        <f t="shared" si="23"/>
        <v>131.492065829526</v>
      </c>
      <c r="J365" s="196">
        <f t="shared" si="24"/>
        <v>289.484285924657</v>
      </c>
      <c r="K365" s="172">
        <f t="shared" si="25"/>
        <v>3505.97635175418</v>
      </c>
      <c r="L365" s="172">
        <f t="shared" si="26"/>
        <v>0</v>
      </c>
      <c r="M365" s="193"/>
      <c r="N365" s="193"/>
      <c r="O365" s="198"/>
      <c r="P365" s="181">
        <v>1</v>
      </c>
    </row>
    <row r="366" s="162" customFormat="1" ht="31.5" outlineLevel="1" spans="1:16">
      <c r="A366" s="178">
        <v>17</v>
      </c>
      <c r="B366" s="177" t="s">
        <v>112</v>
      </c>
      <c r="C366" s="177" t="s">
        <v>458</v>
      </c>
      <c r="D366" s="178" t="s">
        <v>114</v>
      </c>
      <c r="E366" s="181"/>
      <c r="F366" s="179">
        <v>35</v>
      </c>
      <c r="G366" s="179">
        <v>11000</v>
      </c>
      <c r="H366" s="179">
        <v>50</v>
      </c>
      <c r="I366" s="195">
        <f t="shared" si="23"/>
        <v>472.476353231862</v>
      </c>
      <c r="J366" s="196">
        <f t="shared" si="24"/>
        <v>1040.17287179087</v>
      </c>
      <c r="K366" s="172">
        <f t="shared" si="25"/>
        <v>12597.6492250227</v>
      </c>
      <c r="L366" s="172">
        <f t="shared" si="26"/>
        <v>0</v>
      </c>
      <c r="M366" s="193"/>
      <c r="N366" s="193"/>
      <c r="O366" s="198"/>
      <c r="P366" s="181">
        <v>1</v>
      </c>
    </row>
    <row r="367" s="162" customFormat="1" ht="31.5" outlineLevel="1" spans="1:16">
      <c r="A367" s="178">
        <v>18</v>
      </c>
      <c r="B367" s="177" t="s">
        <v>112</v>
      </c>
      <c r="C367" s="177" t="s">
        <v>459</v>
      </c>
      <c r="D367" s="178" t="s">
        <v>114</v>
      </c>
      <c r="E367" s="181"/>
      <c r="F367" s="179">
        <v>35</v>
      </c>
      <c r="G367" s="179">
        <v>11000</v>
      </c>
      <c r="H367" s="179">
        <v>50</v>
      </c>
      <c r="I367" s="195">
        <f t="shared" si="23"/>
        <v>472.476353231862</v>
      </c>
      <c r="J367" s="196">
        <f t="shared" si="24"/>
        <v>1040.17287179087</v>
      </c>
      <c r="K367" s="172">
        <f t="shared" si="25"/>
        <v>12597.6492250227</v>
      </c>
      <c r="L367" s="172">
        <f t="shared" si="26"/>
        <v>0</v>
      </c>
      <c r="M367" s="193"/>
      <c r="N367" s="193"/>
      <c r="O367" s="198"/>
      <c r="P367" s="181">
        <v>1</v>
      </c>
    </row>
    <row r="368" s="162" customFormat="1" ht="21" spans="1:16">
      <c r="A368" s="209" t="s">
        <v>460</v>
      </c>
      <c r="B368" s="210" t="s">
        <v>461</v>
      </c>
      <c r="C368" s="215"/>
      <c r="D368" s="216"/>
      <c r="E368" s="217"/>
      <c r="F368" s="206"/>
      <c r="G368" s="206"/>
      <c r="H368" s="206"/>
      <c r="I368" s="195">
        <f t="shared" si="23"/>
        <v>0</v>
      </c>
      <c r="J368" s="196"/>
      <c r="K368" s="172"/>
      <c r="L368" s="172"/>
      <c r="M368" s="193"/>
      <c r="N368" s="193"/>
      <c r="O368" s="198"/>
      <c r="P368" s="217"/>
    </row>
    <row r="369" s="162" customFormat="1" ht="52.5" outlineLevel="1" spans="1:16">
      <c r="A369" s="178">
        <v>1</v>
      </c>
      <c r="B369" s="177" t="s">
        <v>73</v>
      </c>
      <c r="C369" s="177" t="s">
        <v>74</v>
      </c>
      <c r="D369" s="178" t="s">
        <v>75</v>
      </c>
      <c r="E369" s="181"/>
      <c r="F369" s="206"/>
      <c r="G369" s="206"/>
      <c r="H369" s="179">
        <v>8.5</v>
      </c>
      <c r="I369" s="195">
        <f t="shared" si="23"/>
        <v>0.362295805364982</v>
      </c>
      <c r="J369" s="196">
        <f t="shared" si="24"/>
        <v>0.797606622482848</v>
      </c>
      <c r="K369" s="172">
        <f t="shared" si="25"/>
        <v>9.65990242784783</v>
      </c>
      <c r="L369" s="172">
        <f t="shared" si="26"/>
        <v>0</v>
      </c>
      <c r="M369" s="193"/>
      <c r="N369" s="193"/>
      <c r="O369" s="198"/>
      <c r="P369" s="181">
        <f>P371+P372</f>
        <v>51.785</v>
      </c>
    </row>
    <row r="370" s="162" customFormat="1" ht="21" outlineLevel="1" spans="1:16">
      <c r="A370" s="178">
        <v>2</v>
      </c>
      <c r="B370" s="177" t="s">
        <v>76</v>
      </c>
      <c r="C370" s="177" t="s">
        <v>424</v>
      </c>
      <c r="D370" s="178" t="s">
        <v>78</v>
      </c>
      <c r="E370" s="181"/>
      <c r="F370" s="179">
        <v>0.5</v>
      </c>
      <c r="G370" s="172"/>
      <c r="H370" s="179">
        <v>2.5</v>
      </c>
      <c r="I370" s="195">
        <f t="shared" si="23"/>
        <v>0.127869107775876</v>
      </c>
      <c r="J370" s="196">
        <f t="shared" si="24"/>
        <v>0.281508219699829</v>
      </c>
      <c r="K370" s="172">
        <f t="shared" si="25"/>
        <v>3.4093773274757</v>
      </c>
      <c r="L370" s="172">
        <f t="shared" si="26"/>
        <v>0</v>
      </c>
      <c r="M370" s="193"/>
      <c r="N370" s="193"/>
      <c r="O370" s="198"/>
      <c r="P370" s="181">
        <v>207.14</v>
      </c>
    </row>
    <row r="371" s="162" customFormat="1" ht="21" outlineLevel="1" spans="1:16">
      <c r="A371" s="178">
        <v>3</v>
      </c>
      <c r="B371" s="177" t="s">
        <v>79</v>
      </c>
      <c r="C371" s="177" t="s">
        <v>462</v>
      </c>
      <c r="D371" s="178" t="s">
        <v>75</v>
      </c>
      <c r="E371" s="181"/>
      <c r="F371" s="179">
        <v>10</v>
      </c>
      <c r="G371" s="180">
        <v>95</v>
      </c>
      <c r="H371" s="179">
        <v>15</v>
      </c>
      <c r="I371" s="195">
        <f t="shared" si="23"/>
        <v>5.11476431103504</v>
      </c>
      <c r="J371" s="196">
        <f t="shared" si="24"/>
        <v>11.2603287879932</v>
      </c>
      <c r="K371" s="172">
        <f t="shared" si="25"/>
        <v>136.375093099028</v>
      </c>
      <c r="L371" s="172">
        <f t="shared" si="26"/>
        <v>0</v>
      </c>
      <c r="M371" s="193"/>
      <c r="N371" s="193"/>
      <c r="O371" s="198"/>
      <c r="P371" s="181">
        <f>P370*0.15</f>
        <v>31.071</v>
      </c>
    </row>
    <row r="372" s="162" customFormat="1" ht="52.5" outlineLevel="1" spans="1:16">
      <c r="A372" s="178">
        <v>4</v>
      </c>
      <c r="B372" s="177" t="s">
        <v>81</v>
      </c>
      <c r="C372" s="177" t="s">
        <v>463</v>
      </c>
      <c r="D372" s="178" t="s">
        <v>75</v>
      </c>
      <c r="E372" s="181"/>
      <c r="F372" s="179">
        <v>55</v>
      </c>
      <c r="G372" s="172">
        <v>465</v>
      </c>
      <c r="H372" s="179">
        <v>15</v>
      </c>
      <c r="I372" s="195">
        <f t="shared" si="23"/>
        <v>22.8033242200312</v>
      </c>
      <c r="J372" s="196">
        <f t="shared" si="24"/>
        <v>50.2022991798028</v>
      </c>
      <c r="K372" s="172">
        <f t="shared" si="25"/>
        <v>608.005623399834</v>
      </c>
      <c r="L372" s="172">
        <f t="shared" si="26"/>
        <v>0</v>
      </c>
      <c r="M372" s="193"/>
      <c r="N372" s="193"/>
      <c r="O372" s="198"/>
      <c r="P372" s="181">
        <f>P370*0.1</f>
        <v>20.714</v>
      </c>
    </row>
    <row r="373" s="162" customFormat="1" ht="21" outlineLevel="1" spans="1:16">
      <c r="A373" s="178">
        <v>5</v>
      </c>
      <c r="B373" s="177" t="s">
        <v>464</v>
      </c>
      <c r="C373" s="177" t="s">
        <v>465</v>
      </c>
      <c r="D373" s="178" t="s">
        <v>78</v>
      </c>
      <c r="E373" s="181"/>
      <c r="F373" s="206">
        <v>55</v>
      </c>
      <c r="G373" s="206">
        <v>85</v>
      </c>
      <c r="H373" s="206">
        <v>15</v>
      </c>
      <c r="I373" s="195">
        <f t="shared" si="23"/>
        <v>6.60657056842026</v>
      </c>
      <c r="J373" s="196">
        <f t="shared" si="24"/>
        <v>14.5445913511578</v>
      </c>
      <c r="K373" s="172">
        <f t="shared" si="25"/>
        <v>176.151161919578</v>
      </c>
      <c r="L373" s="172">
        <f t="shared" si="26"/>
        <v>0</v>
      </c>
      <c r="M373" s="193"/>
      <c r="N373" s="193"/>
      <c r="O373" s="198"/>
      <c r="P373" s="181">
        <v>199.67</v>
      </c>
    </row>
    <row r="374" s="162" customFormat="1" ht="31.5" outlineLevel="1" spans="1:16">
      <c r="A374" s="178">
        <v>6</v>
      </c>
      <c r="B374" s="177" t="s">
        <v>344</v>
      </c>
      <c r="C374" s="177" t="s">
        <v>466</v>
      </c>
      <c r="D374" s="178" t="s">
        <v>78</v>
      </c>
      <c r="E374" s="181"/>
      <c r="F374" s="179">
        <v>50</v>
      </c>
      <c r="G374" s="180">
        <v>65</v>
      </c>
      <c r="H374" s="179">
        <v>15</v>
      </c>
      <c r="I374" s="195">
        <f t="shared" si="23"/>
        <v>5.54099467028796</v>
      </c>
      <c r="J374" s="196">
        <f t="shared" si="24"/>
        <v>12.1986895203259</v>
      </c>
      <c r="K374" s="172">
        <f t="shared" si="25"/>
        <v>147.739684190614</v>
      </c>
      <c r="L374" s="172">
        <f t="shared" si="26"/>
        <v>0</v>
      </c>
      <c r="M374" s="193"/>
      <c r="N374" s="193"/>
      <c r="O374" s="198"/>
      <c r="P374" s="181">
        <f>7.47+22.77/0.1*0.06</f>
        <v>21.132</v>
      </c>
    </row>
    <row r="375" s="162" customFormat="1" ht="31.5" outlineLevel="1" spans="1:16">
      <c r="A375" s="178">
        <v>7</v>
      </c>
      <c r="B375" s="177" t="s">
        <v>112</v>
      </c>
      <c r="C375" s="177" t="s">
        <v>467</v>
      </c>
      <c r="D375" s="178" t="s">
        <v>114</v>
      </c>
      <c r="E375" s="181"/>
      <c r="F375" s="179">
        <v>35</v>
      </c>
      <c r="G375" s="179">
        <v>2200</v>
      </c>
      <c r="H375" s="179">
        <v>50</v>
      </c>
      <c r="I375" s="195">
        <f t="shared" si="23"/>
        <v>97.3936370892922</v>
      </c>
      <c r="J375" s="196">
        <f t="shared" si="24"/>
        <v>214.415427338036</v>
      </c>
      <c r="K375" s="172">
        <f t="shared" si="25"/>
        <v>2596.80906442733</v>
      </c>
      <c r="L375" s="172">
        <f t="shared" si="26"/>
        <v>0</v>
      </c>
      <c r="M375" s="193"/>
      <c r="N375" s="193"/>
      <c r="O375" s="198"/>
      <c r="P375" s="181">
        <v>1</v>
      </c>
    </row>
    <row r="376" s="162" customFormat="1" ht="21" outlineLevel="1" spans="1:16">
      <c r="A376" s="178">
        <v>8</v>
      </c>
      <c r="B376" s="177" t="s">
        <v>292</v>
      </c>
      <c r="C376" s="177" t="s">
        <v>452</v>
      </c>
      <c r="D376" s="178" t="s">
        <v>75</v>
      </c>
      <c r="E376" s="181"/>
      <c r="F376" s="181">
        <v>220</v>
      </c>
      <c r="G376" s="181">
        <v>260</v>
      </c>
      <c r="H376" s="181">
        <v>85</v>
      </c>
      <c r="I376" s="195">
        <f t="shared" si="23"/>
        <v>24.08201529779</v>
      </c>
      <c r="J376" s="196">
        <f t="shared" si="24"/>
        <v>53.0173813768011</v>
      </c>
      <c r="K376" s="172">
        <f t="shared" si="25"/>
        <v>642.099396674591</v>
      </c>
      <c r="L376" s="172">
        <f t="shared" si="26"/>
        <v>0</v>
      </c>
      <c r="M376" s="193"/>
      <c r="N376" s="193"/>
      <c r="O376" s="198"/>
      <c r="P376" s="181">
        <v>0.26</v>
      </c>
    </row>
    <row r="377" s="162" customFormat="1" ht="52.5" outlineLevel="1" spans="1:16">
      <c r="A377" s="178">
        <v>9</v>
      </c>
      <c r="B377" s="177" t="s">
        <v>446</v>
      </c>
      <c r="C377" s="177" t="s">
        <v>447</v>
      </c>
      <c r="D377" s="178" t="s">
        <v>78</v>
      </c>
      <c r="E377" s="181"/>
      <c r="F377" s="206">
        <v>85</v>
      </c>
      <c r="G377" s="206">
        <v>220</v>
      </c>
      <c r="H377" s="206">
        <v>35</v>
      </c>
      <c r="I377" s="195">
        <f t="shared" si="23"/>
        <v>14.4918322145993</v>
      </c>
      <c r="J377" s="196">
        <f t="shared" si="24"/>
        <v>31.9042648993139</v>
      </c>
      <c r="K377" s="172">
        <f t="shared" si="25"/>
        <v>386.396097113913</v>
      </c>
      <c r="L377" s="172">
        <f t="shared" si="26"/>
        <v>0</v>
      </c>
      <c r="M377" s="193"/>
      <c r="N377" s="193"/>
      <c r="O377" s="198"/>
      <c r="P377" s="181">
        <v>7.05</v>
      </c>
    </row>
    <row r="378" s="162" customFormat="1" ht="31.5" outlineLevel="1" spans="1:16">
      <c r="A378" s="178">
        <v>10</v>
      </c>
      <c r="B378" s="177" t="s">
        <v>448</v>
      </c>
      <c r="C378" s="177" t="s">
        <v>449</v>
      </c>
      <c r="D378" s="178" t="s">
        <v>78</v>
      </c>
      <c r="E378" s="181"/>
      <c r="F378" s="179">
        <v>55</v>
      </c>
      <c r="G378" s="172">
        <v>120</v>
      </c>
      <c r="H378" s="179">
        <v>15</v>
      </c>
      <c r="I378" s="195">
        <f t="shared" si="23"/>
        <v>8.09837682580548</v>
      </c>
      <c r="J378" s="196">
        <f t="shared" si="24"/>
        <v>17.8288539143225</v>
      </c>
      <c r="K378" s="172">
        <f t="shared" si="25"/>
        <v>215.927230740128</v>
      </c>
      <c r="L378" s="172">
        <f t="shared" si="26"/>
        <v>0</v>
      </c>
      <c r="M378" s="193"/>
      <c r="N378" s="193"/>
      <c r="O378" s="198"/>
      <c r="P378" s="181">
        <f>1.56+1.48</f>
        <v>3.04</v>
      </c>
    </row>
    <row r="379" s="162" customFormat="1" ht="31.5" outlineLevel="1" spans="1:16">
      <c r="A379" s="178">
        <v>11</v>
      </c>
      <c r="B379" s="177" t="s">
        <v>450</v>
      </c>
      <c r="C379" s="177" t="s">
        <v>468</v>
      </c>
      <c r="D379" s="178" t="s">
        <v>78</v>
      </c>
      <c r="E379" s="181"/>
      <c r="F379" s="179">
        <v>85</v>
      </c>
      <c r="G379" s="172">
        <v>120</v>
      </c>
      <c r="H379" s="179">
        <v>15</v>
      </c>
      <c r="I379" s="195">
        <f t="shared" si="23"/>
        <v>9.37706790356424</v>
      </c>
      <c r="J379" s="196">
        <f t="shared" si="24"/>
        <v>20.6439361113208</v>
      </c>
      <c r="K379" s="172">
        <f t="shared" si="25"/>
        <v>250.021004014885</v>
      </c>
      <c r="L379" s="172">
        <f t="shared" si="26"/>
        <v>0</v>
      </c>
      <c r="M379" s="193"/>
      <c r="N379" s="193"/>
      <c r="O379" s="198"/>
      <c r="P379" s="181">
        <f>8.52+7.06</f>
        <v>15.58</v>
      </c>
    </row>
    <row r="380" s="162" customFormat="1" ht="21" outlineLevel="1" spans="1:16">
      <c r="A380" s="178">
        <v>12</v>
      </c>
      <c r="B380" s="177" t="s">
        <v>451</v>
      </c>
      <c r="C380" s="177" t="s">
        <v>452</v>
      </c>
      <c r="D380" s="178" t="s">
        <v>75</v>
      </c>
      <c r="E380" s="181"/>
      <c r="F380" s="181">
        <v>220</v>
      </c>
      <c r="G380" s="181">
        <v>260</v>
      </c>
      <c r="H380" s="181">
        <v>85</v>
      </c>
      <c r="I380" s="195">
        <f t="shared" si="23"/>
        <v>24.08201529779</v>
      </c>
      <c r="J380" s="196">
        <f t="shared" si="24"/>
        <v>53.0173813768011</v>
      </c>
      <c r="K380" s="172">
        <f t="shared" si="25"/>
        <v>642.099396674591</v>
      </c>
      <c r="L380" s="172">
        <f t="shared" si="26"/>
        <v>0</v>
      </c>
      <c r="M380" s="193"/>
      <c r="N380" s="193"/>
      <c r="O380" s="198"/>
      <c r="P380" s="181">
        <v>3.39</v>
      </c>
    </row>
    <row r="381" s="162" customFormat="1" ht="21" spans="1:16">
      <c r="A381" s="209" t="s">
        <v>469</v>
      </c>
      <c r="B381" s="210" t="s">
        <v>470</v>
      </c>
      <c r="C381" s="215"/>
      <c r="D381" s="216"/>
      <c r="E381" s="181"/>
      <c r="F381" s="206"/>
      <c r="G381" s="206"/>
      <c r="H381" s="206"/>
      <c r="I381" s="195">
        <f t="shared" si="23"/>
        <v>0</v>
      </c>
      <c r="J381" s="196"/>
      <c r="K381" s="172"/>
      <c r="L381" s="172"/>
      <c r="M381" s="193"/>
      <c r="N381" s="193"/>
      <c r="O381" s="198"/>
      <c r="P381" s="181"/>
    </row>
    <row r="382" s="162" customFormat="1" ht="52.5" outlineLevel="1" spans="1:16">
      <c r="A382" s="178">
        <v>1</v>
      </c>
      <c r="B382" s="177" t="s">
        <v>73</v>
      </c>
      <c r="C382" s="177" t="s">
        <v>74</v>
      </c>
      <c r="D382" s="178" t="s">
        <v>75</v>
      </c>
      <c r="E382" s="181"/>
      <c r="F382" s="206"/>
      <c r="G382" s="206"/>
      <c r="H382" s="179">
        <v>8.5</v>
      </c>
      <c r="I382" s="195">
        <f t="shared" si="23"/>
        <v>0.362295805364982</v>
      </c>
      <c r="J382" s="196">
        <f t="shared" si="24"/>
        <v>0.797606622482848</v>
      </c>
      <c r="K382" s="172">
        <f t="shared" si="25"/>
        <v>9.65990242784783</v>
      </c>
      <c r="L382" s="172">
        <f t="shared" si="26"/>
        <v>0</v>
      </c>
      <c r="M382" s="193"/>
      <c r="N382" s="193"/>
      <c r="O382" s="198"/>
      <c r="P382" s="181">
        <f>P384+P385</f>
        <v>248.328</v>
      </c>
    </row>
    <row r="383" s="162" customFormat="1" ht="21" outlineLevel="1" spans="1:16">
      <c r="A383" s="178">
        <v>2</v>
      </c>
      <c r="B383" s="177" t="s">
        <v>76</v>
      </c>
      <c r="C383" s="177" t="s">
        <v>424</v>
      </c>
      <c r="D383" s="178" t="s">
        <v>78</v>
      </c>
      <c r="E383" s="181"/>
      <c r="F383" s="179">
        <v>0.5</v>
      </c>
      <c r="G383" s="172"/>
      <c r="H383" s="179">
        <v>2.5</v>
      </c>
      <c r="I383" s="195">
        <f t="shared" si="23"/>
        <v>0.127869107775876</v>
      </c>
      <c r="J383" s="196">
        <f t="shared" si="24"/>
        <v>0.281508219699829</v>
      </c>
      <c r="K383" s="172">
        <f t="shared" si="25"/>
        <v>3.4093773274757</v>
      </c>
      <c r="L383" s="172">
        <f t="shared" si="26"/>
        <v>0</v>
      </c>
      <c r="M383" s="193"/>
      <c r="N383" s="193"/>
      <c r="O383" s="198"/>
      <c r="P383" s="181">
        <v>620.82</v>
      </c>
    </row>
    <row r="384" s="162" customFormat="1" ht="21" outlineLevel="1" spans="1:16">
      <c r="A384" s="178">
        <v>3</v>
      </c>
      <c r="B384" s="177" t="s">
        <v>79</v>
      </c>
      <c r="C384" s="177" t="s">
        <v>471</v>
      </c>
      <c r="D384" s="178" t="s">
        <v>75</v>
      </c>
      <c r="E384" s="181"/>
      <c r="F384" s="179">
        <v>10</v>
      </c>
      <c r="G384" s="180">
        <v>95</v>
      </c>
      <c r="H384" s="179">
        <v>15</v>
      </c>
      <c r="I384" s="195">
        <f t="shared" si="23"/>
        <v>5.11476431103504</v>
      </c>
      <c r="J384" s="196">
        <f t="shared" si="24"/>
        <v>11.2603287879932</v>
      </c>
      <c r="K384" s="172">
        <f t="shared" si="25"/>
        <v>136.375093099028</v>
      </c>
      <c r="L384" s="172">
        <f t="shared" si="26"/>
        <v>0</v>
      </c>
      <c r="M384" s="193"/>
      <c r="N384" s="193"/>
      <c r="O384" s="198"/>
      <c r="P384" s="181">
        <v>124.164</v>
      </c>
    </row>
    <row r="385" s="162" customFormat="1" ht="42" outlineLevel="1" spans="1:16">
      <c r="A385" s="178">
        <v>4</v>
      </c>
      <c r="B385" s="177" t="s">
        <v>81</v>
      </c>
      <c r="C385" s="177" t="s">
        <v>472</v>
      </c>
      <c r="D385" s="178" t="s">
        <v>75</v>
      </c>
      <c r="E385" s="181"/>
      <c r="F385" s="179">
        <v>55</v>
      </c>
      <c r="G385" s="172">
        <v>465</v>
      </c>
      <c r="H385" s="179">
        <v>15</v>
      </c>
      <c r="I385" s="195">
        <f t="shared" si="23"/>
        <v>22.8033242200312</v>
      </c>
      <c r="J385" s="196">
        <f t="shared" si="24"/>
        <v>50.2022991798028</v>
      </c>
      <c r="K385" s="172">
        <f t="shared" si="25"/>
        <v>608.005623399834</v>
      </c>
      <c r="L385" s="172">
        <f t="shared" si="26"/>
        <v>0</v>
      </c>
      <c r="M385" s="193"/>
      <c r="N385" s="193"/>
      <c r="O385" s="198"/>
      <c r="P385" s="181">
        <v>124.164</v>
      </c>
    </row>
    <row r="386" s="162" customFormat="1" ht="42" outlineLevel="1" spans="1:16">
      <c r="A386" s="178">
        <v>5</v>
      </c>
      <c r="B386" s="177" t="s">
        <v>473</v>
      </c>
      <c r="C386" s="177" t="s">
        <v>474</v>
      </c>
      <c r="D386" s="178" t="s">
        <v>78</v>
      </c>
      <c r="E386" s="181"/>
      <c r="F386" s="179">
        <v>15</v>
      </c>
      <c r="G386" s="180">
        <v>85</v>
      </c>
      <c r="H386" s="179">
        <v>10</v>
      </c>
      <c r="I386" s="195">
        <f t="shared" si="23"/>
        <v>4.68853395178212</v>
      </c>
      <c r="J386" s="196">
        <f t="shared" si="24"/>
        <v>10.3219680556604</v>
      </c>
      <c r="K386" s="172">
        <f t="shared" si="25"/>
        <v>125.010502007443</v>
      </c>
      <c r="L386" s="172">
        <f t="shared" si="26"/>
        <v>0</v>
      </c>
      <c r="M386" s="193"/>
      <c r="N386" s="193"/>
      <c r="O386" s="198"/>
      <c r="P386" s="181">
        <v>479.95</v>
      </c>
    </row>
    <row r="387" s="162" customFormat="1" ht="31.5" outlineLevel="1" spans="1:16">
      <c r="A387" s="178">
        <v>6</v>
      </c>
      <c r="B387" s="177" t="s">
        <v>344</v>
      </c>
      <c r="C387" s="177" t="s">
        <v>427</v>
      </c>
      <c r="D387" s="178" t="s">
        <v>78</v>
      </c>
      <c r="E387" s="181"/>
      <c r="F387" s="179">
        <v>50</v>
      </c>
      <c r="G387" s="180">
        <v>65</v>
      </c>
      <c r="H387" s="179">
        <v>15</v>
      </c>
      <c r="I387" s="195">
        <f t="shared" si="23"/>
        <v>5.54099467028796</v>
      </c>
      <c r="J387" s="196">
        <f t="shared" si="24"/>
        <v>12.1986895203259</v>
      </c>
      <c r="K387" s="172">
        <f t="shared" si="25"/>
        <v>147.739684190614</v>
      </c>
      <c r="L387" s="172">
        <f t="shared" si="26"/>
        <v>0</v>
      </c>
      <c r="M387" s="193"/>
      <c r="N387" s="193"/>
      <c r="O387" s="198"/>
      <c r="P387" s="181">
        <v>140.87</v>
      </c>
    </row>
    <row r="388" s="162" customFormat="1" ht="52.5" outlineLevel="1" spans="1:16">
      <c r="A388" s="178">
        <v>7</v>
      </c>
      <c r="B388" s="177" t="s">
        <v>446</v>
      </c>
      <c r="C388" s="177" t="s">
        <v>447</v>
      </c>
      <c r="D388" s="178" t="s">
        <v>78</v>
      </c>
      <c r="E388" s="181"/>
      <c r="F388" s="206">
        <v>85</v>
      </c>
      <c r="G388" s="206">
        <v>220</v>
      </c>
      <c r="H388" s="206">
        <v>35</v>
      </c>
      <c r="I388" s="195">
        <f t="shared" si="23"/>
        <v>14.4918322145993</v>
      </c>
      <c r="J388" s="196">
        <f t="shared" si="24"/>
        <v>31.9042648993139</v>
      </c>
      <c r="K388" s="172">
        <f t="shared" si="25"/>
        <v>386.396097113913</v>
      </c>
      <c r="L388" s="172">
        <f t="shared" si="26"/>
        <v>0</v>
      </c>
      <c r="M388" s="193"/>
      <c r="N388" s="193"/>
      <c r="O388" s="198"/>
      <c r="P388" s="181">
        <v>2.88</v>
      </c>
    </row>
    <row r="389" s="162" customFormat="1" ht="31.5" outlineLevel="1" spans="1:16">
      <c r="A389" s="178">
        <v>8</v>
      </c>
      <c r="B389" s="177" t="s">
        <v>448</v>
      </c>
      <c r="C389" s="177" t="s">
        <v>449</v>
      </c>
      <c r="D389" s="178" t="s">
        <v>78</v>
      </c>
      <c r="E389" s="181"/>
      <c r="F389" s="179">
        <v>55</v>
      </c>
      <c r="G389" s="172">
        <v>120</v>
      </c>
      <c r="H389" s="179">
        <v>15</v>
      </c>
      <c r="I389" s="195">
        <f t="shared" ref="I389:I452" si="27">((F389+G389+H389)*0.06)*0.7103839320882</f>
        <v>8.09837682580548</v>
      </c>
      <c r="J389" s="196">
        <f t="shared" si="24"/>
        <v>17.8288539143225</v>
      </c>
      <c r="K389" s="172">
        <f t="shared" si="25"/>
        <v>215.927230740128</v>
      </c>
      <c r="L389" s="172">
        <f t="shared" si="26"/>
        <v>0</v>
      </c>
      <c r="M389" s="193"/>
      <c r="N389" s="193"/>
      <c r="O389" s="198"/>
      <c r="P389" s="181">
        <v>0.72</v>
      </c>
    </row>
    <row r="390" s="162" customFormat="1" ht="31.5" outlineLevel="1" spans="1:16">
      <c r="A390" s="178">
        <v>9</v>
      </c>
      <c r="B390" s="177" t="s">
        <v>450</v>
      </c>
      <c r="C390" s="177" t="s">
        <v>468</v>
      </c>
      <c r="D390" s="178" t="s">
        <v>78</v>
      </c>
      <c r="E390" s="181"/>
      <c r="F390" s="179">
        <v>85</v>
      </c>
      <c r="G390" s="172">
        <v>120</v>
      </c>
      <c r="H390" s="179">
        <v>15</v>
      </c>
      <c r="I390" s="195">
        <f t="shared" si="27"/>
        <v>9.37706790356424</v>
      </c>
      <c r="J390" s="196">
        <f t="shared" ref="J390:J453" si="28">(F390+G390+H390+I390)*0.09</f>
        <v>20.6439361113208</v>
      </c>
      <c r="K390" s="172">
        <f t="shared" ref="K390:K453" si="29">F390+G390+H390+I390+J390</f>
        <v>250.021004014885</v>
      </c>
      <c r="L390" s="172">
        <f t="shared" ref="L390:L453" si="30">K390*E390</f>
        <v>0</v>
      </c>
      <c r="M390" s="193"/>
      <c r="N390" s="193"/>
      <c r="O390" s="198"/>
      <c r="P390" s="181">
        <v>5.38</v>
      </c>
    </row>
    <row r="391" s="162" customFormat="1" ht="21" outlineLevel="1" spans="1:16">
      <c r="A391" s="178">
        <v>10</v>
      </c>
      <c r="B391" s="177" t="s">
        <v>451</v>
      </c>
      <c r="C391" s="177" t="s">
        <v>452</v>
      </c>
      <c r="D391" s="178" t="s">
        <v>75</v>
      </c>
      <c r="E391" s="181"/>
      <c r="F391" s="181">
        <v>220</v>
      </c>
      <c r="G391" s="181">
        <v>260</v>
      </c>
      <c r="H391" s="181">
        <v>85</v>
      </c>
      <c r="I391" s="195">
        <f t="shared" si="27"/>
        <v>24.08201529779</v>
      </c>
      <c r="J391" s="196">
        <f t="shared" si="28"/>
        <v>53.0173813768011</v>
      </c>
      <c r="K391" s="172">
        <f t="shared" si="29"/>
        <v>642.099396674591</v>
      </c>
      <c r="L391" s="172">
        <f t="shared" si="30"/>
        <v>0</v>
      </c>
      <c r="M391" s="193"/>
      <c r="N391" s="193"/>
      <c r="O391" s="198"/>
      <c r="P391" s="181">
        <v>1.15</v>
      </c>
    </row>
    <row r="392" s="162" customFormat="1" ht="21" outlineLevel="1" spans="1:16">
      <c r="A392" s="178">
        <v>11</v>
      </c>
      <c r="B392" s="177" t="s">
        <v>475</v>
      </c>
      <c r="C392" s="177" t="s">
        <v>476</v>
      </c>
      <c r="D392" s="178" t="s">
        <v>78</v>
      </c>
      <c r="E392" s="181"/>
      <c r="F392" s="206">
        <v>35</v>
      </c>
      <c r="G392" s="206">
        <v>65</v>
      </c>
      <c r="H392" s="206">
        <v>5</v>
      </c>
      <c r="I392" s="195">
        <f t="shared" si="27"/>
        <v>4.47541877215566</v>
      </c>
      <c r="J392" s="196">
        <f t="shared" si="28"/>
        <v>9.85278768949401</v>
      </c>
      <c r="K392" s="172">
        <f t="shared" si="29"/>
        <v>119.32820646165</v>
      </c>
      <c r="L392" s="172">
        <f t="shared" si="30"/>
        <v>0</v>
      </c>
      <c r="M392" s="193"/>
      <c r="N392" s="193"/>
      <c r="O392" s="198"/>
      <c r="P392" s="181">
        <v>42.51</v>
      </c>
    </row>
    <row r="393" s="162" customFormat="1" ht="21" outlineLevel="1" spans="1:16">
      <c r="A393" s="178">
        <v>12</v>
      </c>
      <c r="B393" s="177" t="s">
        <v>477</v>
      </c>
      <c r="C393" s="177" t="s">
        <v>478</v>
      </c>
      <c r="D393" s="178" t="s">
        <v>479</v>
      </c>
      <c r="E393" s="181"/>
      <c r="F393" s="206">
        <v>15</v>
      </c>
      <c r="G393" s="206">
        <v>160</v>
      </c>
      <c r="H393" s="206">
        <v>10</v>
      </c>
      <c r="I393" s="195">
        <f t="shared" si="27"/>
        <v>7.88526164617902</v>
      </c>
      <c r="J393" s="196">
        <f t="shared" si="28"/>
        <v>17.3596735481561</v>
      </c>
      <c r="K393" s="172">
        <f t="shared" si="29"/>
        <v>210.244935194335</v>
      </c>
      <c r="L393" s="172">
        <f t="shared" si="30"/>
        <v>0</v>
      </c>
      <c r="M393" s="193"/>
      <c r="N393" s="193"/>
      <c r="O393" s="198"/>
      <c r="P393" s="181">
        <v>1</v>
      </c>
    </row>
    <row r="394" s="162" customFormat="1" ht="21" outlineLevel="1" spans="1:16">
      <c r="A394" s="178">
        <v>13</v>
      </c>
      <c r="B394" s="177" t="s">
        <v>480</v>
      </c>
      <c r="C394" s="177" t="s">
        <v>478</v>
      </c>
      <c r="D394" s="178" t="s">
        <v>479</v>
      </c>
      <c r="E394" s="181"/>
      <c r="F394" s="206">
        <v>15</v>
      </c>
      <c r="G394" s="206">
        <v>160</v>
      </c>
      <c r="H394" s="206">
        <v>10</v>
      </c>
      <c r="I394" s="195">
        <f t="shared" si="27"/>
        <v>7.88526164617902</v>
      </c>
      <c r="J394" s="196">
        <f t="shared" si="28"/>
        <v>17.3596735481561</v>
      </c>
      <c r="K394" s="172">
        <f t="shared" si="29"/>
        <v>210.244935194335</v>
      </c>
      <c r="L394" s="172">
        <f t="shared" si="30"/>
        <v>0</v>
      </c>
      <c r="M394" s="193"/>
      <c r="N394" s="193"/>
      <c r="O394" s="198"/>
      <c r="P394" s="181">
        <v>3</v>
      </c>
    </row>
    <row r="395" s="162" customFormat="1" ht="21" outlineLevel="1" spans="1:16">
      <c r="A395" s="178">
        <v>14</v>
      </c>
      <c r="B395" s="177" t="s">
        <v>481</v>
      </c>
      <c r="C395" s="177" t="s">
        <v>478</v>
      </c>
      <c r="D395" s="178" t="s">
        <v>479</v>
      </c>
      <c r="E395" s="181"/>
      <c r="F395" s="206">
        <v>15</v>
      </c>
      <c r="G395" s="206">
        <v>160</v>
      </c>
      <c r="H395" s="206">
        <v>10</v>
      </c>
      <c r="I395" s="195">
        <f t="shared" si="27"/>
        <v>7.88526164617902</v>
      </c>
      <c r="J395" s="196">
        <f t="shared" si="28"/>
        <v>17.3596735481561</v>
      </c>
      <c r="K395" s="172">
        <f t="shared" si="29"/>
        <v>210.244935194335</v>
      </c>
      <c r="L395" s="172">
        <f t="shared" si="30"/>
        <v>0</v>
      </c>
      <c r="M395" s="193"/>
      <c r="N395" s="193"/>
      <c r="O395" s="198"/>
      <c r="P395" s="181">
        <v>1</v>
      </c>
    </row>
    <row r="396" s="162" customFormat="1" ht="21" outlineLevel="1" spans="1:16">
      <c r="A396" s="178">
        <v>15</v>
      </c>
      <c r="B396" s="177" t="s">
        <v>482</v>
      </c>
      <c r="C396" s="177" t="s">
        <v>478</v>
      </c>
      <c r="D396" s="178" t="s">
        <v>479</v>
      </c>
      <c r="E396" s="181"/>
      <c r="F396" s="206">
        <v>15</v>
      </c>
      <c r="G396" s="206">
        <v>160</v>
      </c>
      <c r="H396" s="206">
        <v>10</v>
      </c>
      <c r="I396" s="195">
        <f t="shared" si="27"/>
        <v>7.88526164617902</v>
      </c>
      <c r="J396" s="196">
        <f t="shared" si="28"/>
        <v>17.3596735481561</v>
      </c>
      <c r="K396" s="172">
        <f t="shared" si="29"/>
        <v>210.244935194335</v>
      </c>
      <c r="L396" s="172">
        <f t="shared" si="30"/>
        <v>0</v>
      </c>
      <c r="M396" s="193"/>
      <c r="N396" s="193"/>
      <c r="O396" s="198"/>
      <c r="P396" s="181">
        <v>1</v>
      </c>
    </row>
    <row r="397" s="162" customFormat="1" ht="21" outlineLevel="1" spans="1:16">
      <c r="A397" s="178">
        <v>16</v>
      </c>
      <c r="B397" s="177" t="s">
        <v>483</v>
      </c>
      <c r="C397" s="177" t="s">
        <v>478</v>
      </c>
      <c r="D397" s="178" t="s">
        <v>479</v>
      </c>
      <c r="E397" s="181"/>
      <c r="F397" s="206">
        <v>15</v>
      </c>
      <c r="G397" s="206">
        <v>160</v>
      </c>
      <c r="H397" s="206">
        <v>10</v>
      </c>
      <c r="I397" s="195">
        <f t="shared" si="27"/>
        <v>7.88526164617902</v>
      </c>
      <c r="J397" s="196">
        <f t="shared" si="28"/>
        <v>17.3596735481561</v>
      </c>
      <c r="K397" s="172">
        <f t="shared" si="29"/>
        <v>210.244935194335</v>
      </c>
      <c r="L397" s="172">
        <f t="shared" si="30"/>
        <v>0</v>
      </c>
      <c r="M397" s="193"/>
      <c r="N397" s="193"/>
      <c r="O397" s="198"/>
      <c r="P397" s="181">
        <v>2</v>
      </c>
    </row>
    <row r="398" s="162" customFormat="1" ht="21" outlineLevel="1" spans="1:16">
      <c r="A398" s="178">
        <v>17</v>
      </c>
      <c r="B398" s="177" t="s">
        <v>484</v>
      </c>
      <c r="C398" s="177" t="s">
        <v>478</v>
      </c>
      <c r="D398" s="178" t="s">
        <v>479</v>
      </c>
      <c r="E398" s="181"/>
      <c r="F398" s="206">
        <v>15</v>
      </c>
      <c r="G398" s="206">
        <v>160</v>
      </c>
      <c r="H398" s="206">
        <v>10</v>
      </c>
      <c r="I398" s="195">
        <f t="shared" si="27"/>
        <v>7.88526164617902</v>
      </c>
      <c r="J398" s="196">
        <f t="shared" si="28"/>
        <v>17.3596735481561</v>
      </c>
      <c r="K398" s="172">
        <f t="shared" si="29"/>
        <v>210.244935194335</v>
      </c>
      <c r="L398" s="172">
        <f t="shared" si="30"/>
        <v>0</v>
      </c>
      <c r="M398" s="193"/>
      <c r="N398" s="193"/>
      <c r="O398" s="198"/>
      <c r="P398" s="181">
        <v>1</v>
      </c>
    </row>
    <row r="399" s="162" customFormat="1" ht="21" outlineLevel="1" spans="1:16">
      <c r="A399" s="178">
        <v>18</v>
      </c>
      <c r="B399" s="177" t="s">
        <v>485</v>
      </c>
      <c r="C399" s="177" t="s">
        <v>478</v>
      </c>
      <c r="D399" s="178" t="s">
        <v>479</v>
      </c>
      <c r="E399" s="181"/>
      <c r="F399" s="206">
        <v>15</v>
      </c>
      <c r="G399" s="206">
        <v>160</v>
      </c>
      <c r="H399" s="206">
        <v>10</v>
      </c>
      <c r="I399" s="195">
        <f t="shared" si="27"/>
        <v>7.88526164617902</v>
      </c>
      <c r="J399" s="196">
        <f t="shared" si="28"/>
        <v>17.3596735481561</v>
      </c>
      <c r="K399" s="172">
        <f t="shared" si="29"/>
        <v>210.244935194335</v>
      </c>
      <c r="L399" s="172">
        <f t="shared" si="30"/>
        <v>0</v>
      </c>
      <c r="M399" s="193"/>
      <c r="N399" s="193"/>
      <c r="O399" s="198"/>
      <c r="P399" s="181">
        <v>1</v>
      </c>
    </row>
    <row r="400" s="162" customFormat="1" ht="21" outlineLevel="1" spans="1:16">
      <c r="A400" s="178">
        <v>19</v>
      </c>
      <c r="B400" s="177" t="s">
        <v>486</v>
      </c>
      <c r="C400" s="177" t="s">
        <v>478</v>
      </c>
      <c r="D400" s="178" t="s">
        <v>479</v>
      </c>
      <c r="E400" s="181"/>
      <c r="F400" s="206">
        <v>15</v>
      </c>
      <c r="G400" s="206">
        <v>160</v>
      </c>
      <c r="H400" s="206">
        <v>10</v>
      </c>
      <c r="I400" s="195">
        <f t="shared" si="27"/>
        <v>7.88526164617902</v>
      </c>
      <c r="J400" s="196">
        <f t="shared" si="28"/>
        <v>17.3596735481561</v>
      </c>
      <c r="K400" s="172">
        <f t="shared" si="29"/>
        <v>210.244935194335</v>
      </c>
      <c r="L400" s="172">
        <f t="shared" si="30"/>
        <v>0</v>
      </c>
      <c r="M400" s="193"/>
      <c r="N400" s="193"/>
      <c r="O400" s="198"/>
      <c r="P400" s="181">
        <v>1</v>
      </c>
    </row>
    <row r="401" s="162" customFormat="1" ht="21" outlineLevel="1" spans="1:16">
      <c r="A401" s="178">
        <v>20</v>
      </c>
      <c r="B401" s="177" t="s">
        <v>487</v>
      </c>
      <c r="C401" s="177" t="s">
        <v>478</v>
      </c>
      <c r="D401" s="178" t="s">
        <v>479</v>
      </c>
      <c r="E401" s="181"/>
      <c r="F401" s="206">
        <v>15</v>
      </c>
      <c r="G401" s="206">
        <v>160</v>
      </c>
      <c r="H401" s="206">
        <v>10</v>
      </c>
      <c r="I401" s="195">
        <f t="shared" si="27"/>
        <v>7.88526164617902</v>
      </c>
      <c r="J401" s="196">
        <f t="shared" si="28"/>
        <v>17.3596735481561</v>
      </c>
      <c r="K401" s="172">
        <f t="shared" si="29"/>
        <v>210.244935194335</v>
      </c>
      <c r="L401" s="172">
        <f t="shared" si="30"/>
        <v>0</v>
      </c>
      <c r="M401" s="193"/>
      <c r="N401" s="193"/>
      <c r="O401" s="198"/>
      <c r="P401" s="181">
        <v>1</v>
      </c>
    </row>
    <row r="402" s="162" customFormat="1" ht="21" outlineLevel="1" spans="1:16">
      <c r="A402" s="178">
        <v>21</v>
      </c>
      <c r="B402" s="177" t="s">
        <v>488</v>
      </c>
      <c r="C402" s="177" t="s">
        <v>478</v>
      </c>
      <c r="D402" s="178" t="s">
        <v>479</v>
      </c>
      <c r="E402" s="181"/>
      <c r="F402" s="206">
        <v>15</v>
      </c>
      <c r="G402" s="206">
        <v>160</v>
      </c>
      <c r="H402" s="206">
        <v>10</v>
      </c>
      <c r="I402" s="195">
        <f t="shared" si="27"/>
        <v>7.88526164617902</v>
      </c>
      <c r="J402" s="196">
        <f t="shared" si="28"/>
        <v>17.3596735481561</v>
      </c>
      <c r="K402" s="172">
        <f t="shared" si="29"/>
        <v>210.244935194335</v>
      </c>
      <c r="L402" s="172">
        <f t="shared" si="30"/>
        <v>0</v>
      </c>
      <c r="M402" s="193"/>
      <c r="N402" s="193"/>
      <c r="O402" s="198"/>
      <c r="P402" s="181">
        <v>1</v>
      </c>
    </row>
    <row r="403" s="162" customFormat="1" ht="21" outlineLevel="1" spans="1:16">
      <c r="A403" s="178">
        <v>22</v>
      </c>
      <c r="B403" s="177" t="s">
        <v>489</v>
      </c>
      <c r="C403" s="177" t="s">
        <v>478</v>
      </c>
      <c r="D403" s="178" t="s">
        <v>479</v>
      </c>
      <c r="E403" s="181"/>
      <c r="F403" s="206">
        <v>15</v>
      </c>
      <c r="G403" s="206">
        <v>160</v>
      </c>
      <c r="H403" s="206">
        <v>10</v>
      </c>
      <c r="I403" s="195">
        <f t="shared" si="27"/>
        <v>7.88526164617902</v>
      </c>
      <c r="J403" s="196">
        <f t="shared" si="28"/>
        <v>17.3596735481561</v>
      </c>
      <c r="K403" s="172">
        <f t="shared" si="29"/>
        <v>210.244935194335</v>
      </c>
      <c r="L403" s="172">
        <f t="shared" si="30"/>
        <v>0</v>
      </c>
      <c r="M403" s="193"/>
      <c r="N403" s="193"/>
      <c r="O403" s="198"/>
      <c r="P403" s="181">
        <v>1</v>
      </c>
    </row>
    <row r="404" s="162" customFormat="1" ht="21" outlineLevel="1" spans="1:16">
      <c r="A404" s="178">
        <v>23</v>
      </c>
      <c r="B404" s="177" t="s">
        <v>490</v>
      </c>
      <c r="C404" s="177" t="s">
        <v>478</v>
      </c>
      <c r="D404" s="178" t="s">
        <v>479</v>
      </c>
      <c r="E404" s="181"/>
      <c r="F404" s="206">
        <v>15</v>
      </c>
      <c r="G404" s="206">
        <v>160</v>
      </c>
      <c r="H404" s="206">
        <v>10</v>
      </c>
      <c r="I404" s="195">
        <f t="shared" si="27"/>
        <v>7.88526164617902</v>
      </c>
      <c r="J404" s="196">
        <f t="shared" si="28"/>
        <v>17.3596735481561</v>
      </c>
      <c r="K404" s="172">
        <f t="shared" si="29"/>
        <v>210.244935194335</v>
      </c>
      <c r="L404" s="172">
        <f t="shared" si="30"/>
        <v>0</v>
      </c>
      <c r="M404" s="193"/>
      <c r="N404" s="193"/>
      <c r="O404" s="198"/>
      <c r="P404" s="181">
        <v>15</v>
      </c>
    </row>
    <row r="405" s="162" customFormat="1" ht="21" outlineLevel="1" spans="1:16">
      <c r="A405" s="178">
        <v>24</v>
      </c>
      <c r="B405" s="177" t="s">
        <v>491</v>
      </c>
      <c r="C405" s="177" t="s">
        <v>478</v>
      </c>
      <c r="D405" s="178" t="s">
        <v>479</v>
      </c>
      <c r="E405" s="181"/>
      <c r="F405" s="206">
        <v>15</v>
      </c>
      <c r="G405" s="206">
        <v>160</v>
      </c>
      <c r="H405" s="206">
        <v>10</v>
      </c>
      <c r="I405" s="195">
        <f t="shared" si="27"/>
        <v>7.88526164617902</v>
      </c>
      <c r="J405" s="196">
        <f t="shared" si="28"/>
        <v>17.3596735481561</v>
      </c>
      <c r="K405" s="172">
        <f t="shared" si="29"/>
        <v>210.244935194335</v>
      </c>
      <c r="L405" s="172">
        <f t="shared" si="30"/>
        <v>0</v>
      </c>
      <c r="M405" s="193"/>
      <c r="N405" s="193"/>
      <c r="O405" s="198"/>
      <c r="P405" s="181">
        <v>1</v>
      </c>
    </row>
    <row r="406" s="162" customFormat="1" ht="21" outlineLevel="1" spans="1:16">
      <c r="A406" s="178">
        <v>25</v>
      </c>
      <c r="B406" s="177" t="s">
        <v>492</v>
      </c>
      <c r="C406" s="177" t="s">
        <v>478</v>
      </c>
      <c r="D406" s="178" t="s">
        <v>479</v>
      </c>
      <c r="E406" s="181"/>
      <c r="F406" s="206">
        <v>15</v>
      </c>
      <c r="G406" s="206">
        <v>160</v>
      </c>
      <c r="H406" s="206">
        <v>10</v>
      </c>
      <c r="I406" s="195">
        <f t="shared" si="27"/>
        <v>7.88526164617902</v>
      </c>
      <c r="J406" s="196">
        <f t="shared" si="28"/>
        <v>17.3596735481561</v>
      </c>
      <c r="K406" s="172">
        <f t="shared" si="29"/>
        <v>210.244935194335</v>
      </c>
      <c r="L406" s="172">
        <f t="shared" si="30"/>
        <v>0</v>
      </c>
      <c r="M406" s="193"/>
      <c r="N406" s="193"/>
      <c r="O406" s="198"/>
      <c r="P406" s="181">
        <v>1</v>
      </c>
    </row>
    <row r="407" s="162" customFormat="1" ht="21" outlineLevel="1" spans="1:16">
      <c r="A407" s="178">
        <v>26</v>
      </c>
      <c r="B407" s="177" t="s">
        <v>493</v>
      </c>
      <c r="C407" s="177" t="s">
        <v>478</v>
      </c>
      <c r="D407" s="178" t="s">
        <v>479</v>
      </c>
      <c r="E407" s="181"/>
      <c r="F407" s="206">
        <v>15</v>
      </c>
      <c r="G407" s="206">
        <v>160</v>
      </c>
      <c r="H407" s="206">
        <v>10</v>
      </c>
      <c r="I407" s="195">
        <f t="shared" si="27"/>
        <v>7.88526164617902</v>
      </c>
      <c r="J407" s="196">
        <f t="shared" si="28"/>
        <v>17.3596735481561</v>
      </c>
      <c r="K407" s="172">
        <f t="shared" si="29"/>
        <v>210.244935194335</v>
      </c>
      <c r="L407" s="172">
        <f t="shared" si="30"/>
        <v>0</v>
      </c>
      <c r="M407" s="193"/>
      <c r="N407" s="193"/>
      <c r="O407" s="198"/>
      <c r="P407" s="181">
        <v>2</v>
      </c>
    </row>
    <row r="408" s="162" customFormat="1" ht="21" outlineLevel="1" spans="1:16">
      <c r="A408" s="178">
        <v>27</v>
      </c>
      <c r="B408" s="177" t="s">
        <v>494</v>
      </c>
      <c r="C408" s="177" t="s">
        <v>478</v>
      </c>
      <c r="D408" s="178" t="s">
        <v>479</v>
      </c>
      <c r="E408" s="181"/>
      <c r="F408" s="206">
        <v>15</v>
      </c>
      <c r="G408" s="206">
        <v>160</v>
      </c>
      <c r="H408" s="206">
        <v>10</v>
      </c>
      <c r="I408" s="195">
        <f t="shared" si="27"/>
        <v>7.88526164617902</v>
      </c>
      <c r="J408" s="196">
        <f t="shared" si="28"/>
        <v>17.3596735481561</v>
      </c>
      <c r="K408" s="172">
        <f t="shared" si="29"/>
        <v>210.244935194335</v>
      </c>
      <c r="L408" s="172">
        <f t="shared" si="30"/>
        <v>0</v>
      </c>
      <c r="M408" s="193"/>
      <c r="N408" s="193"/>
      <c r="O408" s="198"/>
      <c r="P408" s="181">
        <v>1</v>
      </c>
    </row>
    <row r="409" s="162" customFormat="1" ht="11.25" spans="1:16">
      <c r="A409" s="209" t="s">
        <v>495</v>
      </c>
      <c r="B409" s="210" t="s">
        <v>496</v>
      </c>
      <c r="C409" s="215"/>
      <c r="D409" s="216"/>
      <c r="E409" s="217"/>
      <c r="F409" s="206"/>
      <c r="G409" s="206"/>
      <c r="H409" s="206"/>
      <c r="I409" s="195">
        <f t="shared" si="27"/>
        <v>0</v>
      </c>
      <c r="J409" s="196"/>
      <c r="K409" s="172"/>
      <c r="L409" s="172"/>
      <c r="M409" s="193"/>
      <c r="N409" s="193"/>
      <c r="O409" s="198"/>
      <c r="P409" s="217"/>
    </row>
    <row r="410" s="162" customFormat="1" ht="52.5" outlineLevel="1" spans="1:16">
      <c r="A410" s="178">
        <v>1</v>
      </c>
      <c r="B410" s="177" t="s">
        <v>73</v>
      </c>
      <c r="C410" s="177" t="s">
        <v>74</v>
      </c>
      <c r="D410" s="178" t="s">
        <v>75</v>
      </c>
      <c r="E410" s="181"/>
      <c r="F410" s="206"/>
      <c r="G410" s="206"/>
      <c r="H410" s="179">
        <v>8.5</v>
      </c>
      <c r="I410" s="195">
        <f t="shared" si="27"/>
        <v>0.362295805364982</v>
      </c>
      <c r="J410" s="196">
        <f t="shared" si="28"/>
        <v>0.797606622482848</v>
      </c>
      <c r="K410" s="172">
        <f t="shared" si="29"/>
        <v>9.65990242784783</v>
      </c>
      <c r="L410" s="172">
        <f t="shared" si="30"/>
        <v>0</v>
      </c>
      <c r="M410" s="193"/>
      <c r="N410" s="193"/>
      <c r="O410" s="198"/>
      <c r="P410" s="181">
        <f>P412+P413</f>
        <v>95.52</v>
      </c>
    </row>
    <row r="411" s="162" customFormat="1" ht="21" outlineLevel="1" spans="1:16">
      <c r="A411" s="178">
        <v>2</v>
      </c>
      <c r="B411" s="177" t="s">
        <v>76</v>
      </c>
      <c r="C411" s="177" t="s">
        <v>424</v>
      </c>
      <c r="D411" s="178" t="s">
        <v>78</v>
      </c>
      <c r="E411" s="217"/>
      <c r="F411" s="179">
        <v>0.5</v>
      </c>
      <c r="G411" s="172"/>
      <c r="H411" s="179">
        <v>2.5</v>
      </c>
      <c r="I411" s="195">
        <f t="shared" si="27"/>
        <v>0.127869107775876</v>
      </c>
      <c r="J411" s="196">
        <f t="shared" si="28"/>
        <v>0.281508219699829</v>
      </c>
      <c r="K411" s="172">
        <f t="shared" si="29"/>
        <v>3.4093773274757</v>
      </c>
      <c r="L411" s="172">
        <f t="shared" si="30"/>
        <v>0</v>
      </c>
      <c r="M411" s="193"/>
      <c r="N411" s="193"/>
      <c r="O411" s="198"/>
      <c r="P411" s="217">
        <v>238.8</v>
      </c>
    </row>
    <row r="412" s="162" customFormat="1" ht="21" outlineLevel="1" spans="1:16">
      <c r="A412" s="178">
        <v>3</v>
      </c>
      <c r="B412" s="177" t="s">
        <v>79</v>
      </c>
      <c r="C412" s="177" t="s">
        <v>471</v>
      </c>
      <c r="D412" s="178" t="s">
        <v>75</v>
      </c>
      <c r="E412" s="181"/>
      <c r="F412" s="179">
        <v>10</v>
      </c>
      <c r="G412" s="180">
        <v>95</v>
      </c>
      <c r="H412" s="179">
        <v>15</v>
      </c>
      <c r="I412" s="195">
        <f t="shared" si="27"/>
        <v>5.11476431103504</v>
      </c>
      <c r="J412" s="196">
        <f t="shared" si="28"/>
        <v>11.2603287879932</v>
      </c>
      <c r="K412" s="172">
        <f t="shared" si="29"/>
        <v>136.375093099028</v>
      </c>
      <c r="L412" s="172">
        <f t="shared" si="30"/>
        <v>0</v>
      </c>
      <c r="M412" s="193"/>
      <c r="N412" s="193"/>
      <c r="O412" s="198"/>
      <c r="P412" s="181">
        <v>47.76</v>
      </c>
    </row>
    <row r="413" s="162" customFormat="1" ht="42" outlineLevel="1" spans="1:16">
      <c r="A413" s="178">
        <v>4</v>
      </c>
      <c r="B413" s="177" t="s">
        <v>81</v>
      </c>
      <c r="C413" s="177" t="s">
        <v>472</v>
      </c>
      <c r="D413" s="178" t="s">
        <v>75</v>
      </c>
      <c r="E413" s="181"/>
      <c r="F413" s="179">
        <v>55</v>
      </c>
      <c r="G413" s="172">
        <v>465</v>
      </c>
      <c r="H413" s="179">
        <v>15</v>
      </c>
      <c r="I413" s="195">
        <f t="shared" si="27"/>
        <v>22.8033242200312</v>
      </c>
      <c r="J413" s="196">
        <f t="shared" si="28"/>
        <v>50.2022991798028</v>
      </c>
      <c r="K413" s="172">
        <f t="shared" si="29"/>
        <v>608.005623399834</v>
      </c>
      <c r="L413" s="172">
        <f t="shared" si="30"/>
        <v>0</v>
      </c>
      <c r="M413" s="193"/>
      <c r="N413" s="193"/>
      <c r="O413" s="198"/>
      <c r="P413" s="181">
        <v>47.76</v>
      </c>
    </row>
    <row r="414" s="162" customFormat="1" ht="31.5" outlineLevel="1" spans="1:16">
      <c r="A414" s="178">
        <v>5</v>
      </c>
      <c r="B414" s="177" t="s">
        <v>344</v>
      </c>
      <c r="C414" s="177" t="s">
        <v>466</v>
      </c>
      <c r="D414" s="178" t="s">
        <v>78</v>
      </c>
      <c r="E414" s="181"/>
      <c r="F414" s="179">
        <v>50</v>
      </c>
      <c r="G414" s="180">
        <v>65</v>
      </c>
      <c r="H414" s="179">
        <v>15</v>
      </c>
      <c r="I414" s="195">
        <f t="shared" si="27"/>
        <v>5.54099467028796</v>
      </c>
      <c r="J414" s="196">
        <f t="shared" si="28"/>
        <v>12.1986895203259</v>
      </c>
      <c r="K414" s="172">
        <f t="shared" si="29"/>
        <v>147.739684190614</v>
      </c>
      <c r="L414" s="172">
        <f t="shared" si="30"/>
        <v>0</v>
      </c>
      <c r="M414" s="193"/>
      <c r="N414" s="193"/>
      <c r="O414" s="198"/>
      <c r="P414" s="181">
        <v>92.82</v>
      </c>
    </row>
    <row r="415" s="162" customFormat="1" ht="42" outlineLevel="1" spans="1:16">
      <c r="A415" s="178">
        <v>6</v>
      </c>
      <c r="B415" s="177" t="s">
        <v>473</v>
      </c>
      <c r="C415" s="177" t="s">
        <v>474</v>
      </c>
      <c r="D415" s="178" t="s">
        <v>78</v>
      </c>
      <c r="E415" s="181"/>
      <c r="F415" s="179">
        <v>15</v>
      </c>
      <c r="G415" s="180">
        <v>85</v>
      </c>
      <c r="H415" s="179">
        <v>10</v>
      </c>
      <c r="I415" s="195">
        <f t="shared" si="27"/>
        <v>4.68853395178212</v>
      </c>
      <c r="J415" s="196">
        <f t="shared" si="28"/>
        <v>10.3219680556604</v>
      </c>
      <c r="K415" s="172">
        <f t="shared" si="29"/>
        <v>125.010502007443</v>
      </c>
      <c r="L415" s="172">
        <f t="shared" si="30"/>
        <v>0</v>
      </c>
      <c r="M415" s="193"/>
      <c r="N415" s="193"/>
      <c r="O415" s="198"/>
      <c r="P415" s="181">
        <v>82.1</v>
      </c>
    </row>
    <row r="416" s="162" customFormat="1" ht="21" outlineLevel="1" spans="1:16">
      <c r="A416" s="178">
        <v>7</v>
      </c>
      <c r="B416" s="177" t="s">
        <v>497</v>
      </c>
      <c r="C416" s="177" t="s">
        <v>498</v>
      </c>
      <c r="D416" s="178" t="s">
        <v>78</v>
      </c>
      <c r="E416" s="181"/>
      <c r="F416" s="206">
        <v>35</v>
      </c>
      <c r="G416" s="206">
        <v>65</v>
      </c>
      <c r="H416" s="206">
        <v>5</v>
      </c>
      <c r="I416" s="195">
        <f t="shared" si="27"/>
        <v>4.47541877215566</v>
      </c>
      <c r="J416" s="196">
        <f t="shared" si="28"/>
        <v>9.85278768949401</v>
      </c>
      <c r="K416" s="172">
        <f t="shared" si="29"/>
        <v>119.32820646165</v>
      </c>
      <c r="L416" s="172">
        <f t="shared" si="30"/>
        <v>0</v>
      </c>
      <c r="M416" s="193"/>
      <c r="N416" s="193"/>
      <c r="O416" s="198"/>
      <c r="P416" s="181">
        <v>5.62</v>
      </c>
    </row>
    <row r="417" s="162" customFormat="1" ht="31.5" outlineLevel="1" spans="1:16">
      <c r="A417" s="178">
        <v>8</v>
      </c>
      <c r="B417" s="177" t="s">
        <v>344</v>
      </c>
      <c r="C417" s="177" t="s">
        <v>499</v>
      </c>
      <c r="D417" s="178" t="s">
        <v>78</v>
      </c>
      <c r="E417" s="181"/>
      <c r="F417" s="179">
        <v>50</v>
      </c>
      <c r="G417" s="180">
        <v>65</v>
      </c>
      <c r="H417" s="179">
        <v>15</v>
      </c>
      <c r="I417" s="195">
        <f t="shared" si="27"/>
        <v>5.54099467028796</v>
      </c>
      <c r="J417" s="196">
        <f t="shared" si="28"/>
        <v>12.1986895203259</v>
      </c>
      <c r="K417" s="172">
        <f t="shared" si="29"/>
        <v>147.739684190614</v>
      </c>
      <c r="L417" s="172">
        <f t="shared" si="30"/>
        <v>0</v>
      </c>
      <c r="M417" s="193"/>
      <c r="N417" s="193"/>
      <c r="O417" s="198"/>
      <c r="P417" s="181">
        <v>12.16</v>
      </c>
    </row>
    <row r="418" s="162" customFormat="1" ht="31.5" outlineLevel="1" spans="1:16">
      <c r="A418" s="178">
        <v>9</v>
      </c>
      <c r="B418" s="177" t="s">
        <v>344</v>
      </c>
      <c r="C418" s="177" t="s">
        <v>500</v>
      </c>
      <c r="D418" s="178" t="s">
        <v>78</v>
      </c>
      <c r="E418" s="181"/>
      <c r="F418" s="179">
        <v>50</v>
      </c>
      <c r="G418" s="180">
        <v>65</v>
      </c>
      <c r="H418" s="179">
        <v>15</v>
      </c>
      <c r="I418" s="195">
        <f t="shared" si="27"/>
        <v>5.54099467028796</v>
      </c>
      <c r="J418" s="196">
        <f t="shared" si="28"/>
        <v>12.1986895203259</v>
      </c>
      <c r="K418" s="172">
        <f t="shared" si="29"/>
        <v>147.739684190614</v>
      </c>
      <c r="L418" s="172">
        <f t="shared" si="30"/>
        <v>0</v>
      </c>
      <c r="M418" s="193"/>
      <c r="N418" s="193"/>
      <c r="O418" s="198"/>
      <c r="P418" s="181">
        <v>24.68</v>
      </c>
    </row>
    <row r="419" s="162" customFormat="1" ht="31.5" outlineLevel="1" spans="1:16">
      <c r="A419" s="178">
        <v>10</v>
      </c>
      <c r="B419" s="177" t="s">
        <v>344</v>
      </c>
      <c r="C419" s="177" t="s">
        <v>429</v>
      </c>
      <c r="D419" s="178" t="s">
        <v>78</v>
      </c>
      <c r="E419" s="181"/>
      <c r="F419" s="179">
        <v>55</v>
      </c>
      <c r="G419" s="172">
        <v>135</v>
      </c>
      <c r="H419" s="179">
        <v>15</v>
      </c>
      <c r="I419" s="195">
        <f t="shared" si="27"/>
        <v>8.73772236468486</v>
      </c>
      <c r="J419" s="196">
        <f t="shared" si="28"/>
        <v>19.2363950128216</v>
      </c>
      <c r="K419" s="172">
        <f t="shared" si="29"/>
        <v>232.974117377507</v>
      </c>
      <c r="L419" s="172">
        <f t="shared" si="30"/>
        <v>0</v>
      </c>
      <c r="M419" s="193"/>
      <c r="N419" s="193"/>
      <c r="O419" s="198"/>
      <c r="P419" s="181">
        <v>27.04</v>
      </c>
    </row>
    <row r="420" s="162" customFormat="1" ht="31.5" outlineLevel="1" spans="1:16">
      <c r="A420" s="178">
        <v>11</v>
      </c>
      <c r="B420" s="177" t="s">
        <v>501</v>
      </c>
      <c r="C420" s="177" t="s">
        <v>502</v>
      </c>
      <c r="D420" s="178" t="s">
        <v>193</v>
      </c>
      <c r="E420" s="181"/>
      <c r="F420" s="206">
        <v>100</v>
      </c>
      <c r="G420" s="206">
        <v>550</v>
      </c>
      <c r="H420" s="206">
        <v>30</v>
      </c>
      <c r="I420" s="195">
        <f t="shared" si="27"/>
        <v>28.9836644291986</v>
      </c>
      <c r="J420" s="196">
        <f t="shared" si="28"/>
        <v>63.8085297986279</v>
      </c>
      <c r="K420" s="172">
        <f t="shared" si="29"/>
        <v>772.792194227826</v>
      </c>
      <c r="L420" s="172">
        <f t="shared" si="30"/>
        <v>0</v>
      </c>
      <c r="M420" s="193"/>
      <c r="N420" s="193"/>
      <c r="O420" s="198"/>
      <c r="P420" s="181">
        <v>6</v>
      </c>
    </row>
    <row r="421" s="162" customFormat="1" ht="42" outlineLevel="1" spans="1:16">
      <c r="A421" s="178">
        <v>12</v>
      </c>
      <c r="B421" s="177" t="s">
        <v>503</v>
      </c>
      <c r="C421" s="177" t="s">
        <v>504</v>
      </c>
      <c r="D421" s="178" t="s">
        <v>193</v>
      </c>
      <c r="E421" s="181"/>
      <c r="F421" s="206">
        <v>100</v>
      </c>
      <c r="G421" s="206">
        <v>550</v>
      </c>
      <c r="H421" s="206">
        <v>30</v>
      </c>
      <c r="I421" s="195">
        <f t="shared" si="27"/>
        <v>28.9836644291986</v>
      </c>
      <c r="J421" s="196">
        <f t="shared" si="28"/>
        <v>63.8085297986279</v>
      </c>
      <c r="K421" s="172">
        <f t="shared" si="29"/>
        <v>772.792194227826</v>
      </c>
      <c r="L421" s="172">
        <f t="shared" si="30"/>
        <v>0</v>
      </c>
      <c r="M421" s="193"/>
      <c r="N421" s="193"/>
      <c r="O421" s="198"/>
      <c r="P421" s="181">
        <v>5</v>
      </c>
    </row>
    <row r="422" s="162" customFormat="1" ht="21" spans="1:16">
      <c r="A422" s="209" t="s">
        <v>505</v>
      </c>
      <c r="B422" s="210" t="s">
        <v>506</v>
      </c>
      <c r="C422" s="177"/>
      <c r="D422" s="178"/>
      <c r="E422" s="181"/>
      <c r="F422" s="206"/>
      <c r="G422" s="206"/>
      <c r="H422" s="206"/>
      <c r="I422" s="195">
        <f t="shared" si="27"/>
        <v>0</v>
      </c>
      <c r="J422" s="196"/>
      <c r="K422" s="172"/>
      <c r="L422" s="172"/>
      <c r="M422" s="193"/>
      <c r="N422" s="193"/>
      <c r="O422" s="198"/>
      <c r="P422" s="181"/>
    </row>
    <row r="423" s="162" customFormat="1" ht="52.5" outlineLevel="1" spans="1:16">
      <c r="A423" s="178">
        <v>1</v>
      </c>
      <c r="B423" s="177" t="s">
        <v>73</v>
      </c>
      <c r="C423" s="177" t="s">
        <v>74</v>
      </c>
      <c r="D423" s="178" t="s">
        <v>75</v>
      </c>
      <c r="E423" s="181"/>
      <c r="F423" s="206"/>
      <c r="G423" s="206"/>
      <c r="H423" s="179">
        <v>8.5</v>
      </c>
      <c r="I423" s="195">
        <f t="shared" si="27"/>
        <v>0.362295805364982</v>
      </c>
      <c r="J423" s="196">
        <f t="shared" si="28"/>
        <v>0.797606622482848</v>
      </c>
      <c r="K423" s="172">
        <f t="shared" si="29"/>
        <v>9.65990242784783</v>
      </c>
      <c r="L423" s="172">
        <f t="shared" si="30"/>
        <v>0</v>
      </c>
      <c r="M423" s="193"/>
      <c r="N423" s="193"/>
      <c r="O423" s="198"/>
      <c r="P423" s="181">
        <f>P425+P426</f>
        <v>57.3168</v>
      </c>
    </row>
    <row r="424" s="162" customFormat="1" ht="21" outlineLevel="1" spans="1:16">
      <c r="A424" s="178">
        <v>2</v>
      </c>
      <c r="B424" s="177" t="s">
        <v>76</v>
      </c>
      <c r="C424" s="177" t="s">
        <v>424</v>
      </c>
      <c r="D424" s="178" t="s">
        <v>78</v>
      </c>
      <c r="E424" s="181"/>
      <c r="F424" s="179">
        <v>0.5</v>
      </c>
      <c r="G424" s="172"/>
      <c r="H424" s="179">
        <v>2.5</v>
      </c>
      <c r="I424" s="195">
        <f t="shared" si="27"/>
        <v>0.127869107775876</v>
      </c>
      <c r="J424" s="196">
        <f t="shared" si="28"/>
        <v>0.281508219699829</v>
      </c>
      <c r="K424" s="172">
        <f t="shared" si="29"/>
        <v>3.4093773274757</v>
      </c>
      <c r="L424" s="172">
        <f t="shared" si="30"/>
        <v>0</v>
      </c>
      <c r="M424" s="193"/>
      <c r="N424" s="193"/>
      <c r="O424" s="198"/>
      <c r="P424" s="181">
        <v>238.82</v>
      </c>
    </row>
    <row r="425" s="162" customFormat="1" ht="21" outlineLevel="1" spans="1:16">
      <c r="A425" s="178">
        <v>3</v>
      </c>
      <c r="B425" s="177" t="s">
        <v>79</v>
      </c>
      <c r="C425" s="177" t="s">
        <v>471</v>
      </c>
      <c r="D425" s="178" t="s">
        <v>75</v>
      </c>
      <c r="E425" s="181"/>
      <c r="F425" s="179">
        <v>10</v>
      </c>
      <c r="G425" s="180">
        <v>95</v>
      </c>
      <c r="H425" s="179">
        <v>15</v>
      </c>
      <c r="I425" s="195">
        <f t="shared" si="27"/>
        <v>5.11476431103504</v>
      </c>
      <c r="J425" s="196">
        <f t="shared" si="28"/>
        <v>11.2603287879932</v>
      </c>
      <c r="K425" s="172">
        <f t="shared" si="29"/>
        <v>136.375093099028</v>
      </c>
      <c r="L425" s="172">
        <f t="shared" si="30"/>
        <v>0</v>
      </c>
      <c r="M425" s="193"/>
      <c r="N425" s="193"/>
      <c r="O425" s="198"/>
      <c r="P425" s="181">
        <v>47.764</v>
      </c>
    </row>
    <row r="426" s="162" customFormat="1" ht="42" outlineLevel="1" spans="1:16">
      <c r="A426" s="178">
        <v>4</v>
      </c>
      <c r="B426" s="177" t="s">
        <v>81</v>
      </c>
      <c r="C426" s="177" t="s">
        <v>472</v>
      </c>
      <c r="D426" s="178" t="s">
        <v>75</v>
      </c>
      <c r="E426" s="181"/>
      <c r="F426" s="179">
        <v>55</v>
      </c>
      <c r="G426" s="172">
        <v>465</v>
      </c>
      <c r="H426" s="179">
        <v>15</v>
      </c>
      <c r="I426" s="195">
        <f t="shared" si="27"/>
        <v>22.8033242200312</v>
      </c>
      <c r="J426" s="196">
        <f t="shared" si="28"/>
        <v>50.2022991798028</v>
      </c>
      <c r="K426" s="172">
        <f t="shared" si="29"/>
        <v>608.005623399834</v>
      </c>
      <c r="L426" s="172">
        <f t="shared" si="30"/>
        <v>0</v>
      </c>
      <c r="M426" s="193"/>
      <c r="N426" s="193"/>
      <c r="O426" s="198"/>
      <c r="P426" s="181">
        <v>9.5528</v>
      </c>
    </row>
    <row r="427" s="162" customFormat="1" ht="31.5" outlineLevel="1" spans="1:16">
      <c r="A427" s="178">
        <v>5</v>
      </c>
      <c r="B427" s="219" t="s">
        <v>344</v>
      </c>
      <c r="C427" s="215" t="s">
        <v>500</v>
      </c>
      <c r="D427" s="178" t="s">
        <v>78</v>
      </c>
      <c r="E427" s="181"/>
      <c r="F427" s="179">
        <v>50</v>
      </c>
      <c r="G427" s="180">
        <v>65</v>
      </c>
      <c r="H427" s="179">
        <v>15</v>
      </c>
      <c r="I427" s="195">
        <f t="shared" si="27"/>
        <v>5.54099467028796</v>
      </c>
      <c r="J427" s="196">
        <f t="shared" si="28"/>
        <v>12.1986895203259</v>
      </c>
      <c r="K427" s="172">
        <f t="shared" si="29"/>
        <v>147.739684190614</v>
      </c>
      <c r="L427" s="172">
        <f t="shared" si="30"/>
        <v>0</v>
      </c>
      <c r="M427" s="193"/>
      <c r="N427" s="193"/>
      <c r="O427" s="198"/>
      <c r="P427" s="181">
        <v>15.91</v>
      </c>
    </row>
    <row r="428" s="162" customFormat="1" ht="31.5" outlineLevel="1" spans="1:16">
      <c r="A428" s="178">
        <v>6</v>
      </c>
      <c r="B428" s="219" t="s">
        <v>344</v>
      </c>
      <c r="C428" s="215" t="s">
        <v>466</v>
      </c>
      <c r="D428" s="178" t="s">
        <v>78</v>
      </c>
      <c r="E428" s="181"/>
      <c r="F428" s="179">
        <v>50</v>
      </c>
      <c r="G428" s="180">
        <v>65</v>
      </c>
      <c r="H428" s="179">
        <v>15</v>
      </c>
      <c r="I428" s="195">
        <f t="shared" si="27"/>
        <v>5.54099467028796</v>
      </c>
      <c r="J428" s="196">
        <f t="shared" si="28"/>
        <v>12.1986895203259</v>
      </c>
      <c r="K428" s="172">
        <f t="shared" si="29"/>
        <v>147.739684190614</v>
      </c>
      <c r="L428" s="172">
        <f t="shared" si="30"/>
        <v>0</v>
      </c>
      <c r="M428" s="193"/>
      <c r="N428" s="193"/>
      <c r="O428" s="198"/>
      <c r="P428" s="181">
        <v>65.76</v>
      </c>
    </row>
    <row r="429" s="162" customFormat="1" ht="31.5" outlineLevel="1" spans="1:16">
      <c r="A429" s="178">
        <v>7</v>
      </c>
      <c r="B429" s="219" t="s">
        <v>344</v>
      </c>
      <c r="C429" s="215" t="s">
        <v>499</v>
      </c>
      <c r="D429" s="178" t="s">
        <v>78</v>
      </c>
      <c r="E429" s="181"/>
      <c r="F429" s="179">
        <v>50</v>
      </c>
      <c r="G429" s="180">
        <v>65</v>
      </c>
      <c r="H429" s="179">
        <v>15</v>
      </c>
      <c r="I429" s="195">
        <f t="shared" si="27"/>
        <v>5.54099467028796</v>
      </c>
      <c r="J429" s="196">
        <f t="shared" si="28"/>
        <v>12.1986895203259</v>
      </c>
      <c r="K429" s="172">
        <f t="shared" si="29"/>
        <v>147.739684190614</v>
      </c>
      <c r="L429" s="172">
        <f t="shared" si="30"/>
        <v>0</v>
      </c>
      <c r="M429" s="193"/>
      <c r="N429" s="193"/>
      <c r="O429" s="198"/>
      <c r="P429" s="181">
        <v>7.52</v>
      </c>
    </row>
    <row r="430" s="162" customFormat="1" ht="42" outlineLevel="1" spans="1:16">
      <c r="A430" s="178">
        <v>8</v>
      </c>
      <c r="B430" s="215" t="s">
        <v>473</v>
      </c>
      <c r="C430" s="177" t="s">
        <v>474</v>
      </c>
      <c r="D430" s="178" t="s">
        <v>78</v>
      </c>
      <c r="E430" s="181"/>
      <c r="F430" s="179">
        <v>15</v>
      </c>
      <c r="G430" s="180">
        <v>85</v>
      </c>
      <c r="H430" s="179">
        <v>10</v>
      </c>
      <c r="I430" s="195">
        <f t="shared" si="27"/>
        <v>4.68853395178212</v>
      </c>
      <c r="J430" s="196">
        <f t="shared" si="28"/>
        <v>10.3219680556604</v>
      </c>
      <c r="K430" s="172">
        <f t="shared" si="29"/>
        <v>125.010502007443</v>
      </c>
      <c r="L430" s="172">
        <f t="shared" si="30"/>
        <v>0</v>
      </c>
      <c r="M430" s="193"/>
      <c r="N430" s="193"/>
      <c r="O430" s="198"/>
      <c r="P430" s="181">
        <v>56.1</v>
      </c>
    </row>
    <row r="431" s="162" customFormat="1" ht="42" outlineLevel="1" spans="1:16">
      <c r="A431" s="178">
        <v>9</v>
      </c>
      <c r="B431" s="177" t="s">
        <v>442</v>
      </c>
      <c r="C431" s="177" t="s">
        <v>443</v>
      </c>
      <c r="D431" s="178" t="s">
        <v>78</v>
      </c>
      <c r="E431" s="181"/>
      <c r="F431" s="179">
        <v>15</v>
      </c>
      <c r="G431" s="180">
        <v>95</v>
      </c>
      <c r="H431" s="179">
        <v>10</v>
      </c>
      <c r="I431" s="195">
        <f t="shared" si="27"/>
        <v>5.11476431103504</v>
      </c>
      <c r="J431" s="196">
        <f t="shared" si="28"/>
        <v>11.2603287879932</v>
      </c>
      <c r="K431" s="172">
        <f t="shared" si="29"/>
        <v>136.375093099028</v>
      </c>
      <c r="L431" s="172">
        <f t="shared" si="30"/>
        <v>0</v>
      </c>
      <c r="M431" s="193"/>
      <c r="N431" s="193"/>
      <c r="O431" s="198"/>
      <c r="P431" s="181">
        <v>87</v>
      </c>
    </row>
    <row r="432" s="162" customFormat="1" ht="52.5" outlineLevel="1" spans="1:16">
      <c r="A432" s="178">
        <v>10</v>
      </c>
      <c r="B432" s="177" t="s">
        <v>507</v>
      </c>
      <c r="C432" s="177" t="s">
        <v>508</v>
      </c>
      <c r="D432" s="178" t="s">
        <v>78</v>
      </c>
      <c r="E432" s="181"/>
      <c r="F432" s="179">
        <v>15</v>
      </c>
      <c r="G432" s="180">
        <v>95</v>
      </c>
      <c r="H432" s="179">
        <v>10</v>
      </c>
      <c r="I432" s="195">
        <f t="shared" si="27"/>
        <v>5.11476431103504</v>
      </c>
      <c r="J432" s="196">
        <f t="shared" si="28"/>
        <v>11.2603287879932</v>
      </c>
      <c r="K432" s="172">
        <f t="shared" si="29"/>
        <v>136.375093099028</v>
      </c>
      <c r="L432" s="172">
        <f t="shared" si="30"/>
        <v>0</v>
      </c>
      <c r="M432" s="193"/>
      <c r="N432" s="193"/>
      <c r="O432" s="198"/>
      <c r="P432" s="181">
        <v>6.53</v>
      </c>
    </row>
    <row r="433" s="162" customFormat="1" ht="31.5" outlineLevel="1" spans="1:16">
      <c r="A433" s="178">
        <v>11</v>
      </c>
      <c r="B433" s="220" t="s">
        <v>453</v>
      </c>
      <c r="C433" s="177" t="s">
        <v>509</v>
      </c>
      <c r="D433" s="216" t="s">
        <v>114</v>
      </c>
      <c r="E433" s="181"/>
      <c r="F433" s="179">
        <v>35</v>
      </c>
      <c r="G433" s="179">
        <v>2200</v>
      </c>
      <c r="H433" s="179">
        <v>50</v>
      </c>
      <c r="I433" s="195">
        <f t="shared" si="27"/>
        <v>97.3936370892922</v>
      </c>
      <c r="J433" s="196">
        <f t="shared" si="28"/>
        <v>214.415427338036</v>
      </c>
      <c r="K433" s="172">
        <f t="shared" si="29"/>
        <v>2596.80906442733</v>
      </c>
      <c r="L433" s="172">
        <f t="shared" si="30"/>
        <v>0</v>
      </c>
      <c r="M433" s="193"/>
      <c r="N433" s="193"/>
      <c r="O433" s="198"/>
      <c r="P433" s="181">
        <v>1</v>
      </c>
    </row>
    <row r="434" s="162" customFormat="1" ht="31.5" outlineLevel="1" spans="1:16">
      <c r="A434" s="178">
        <v>12</v>
      </c>
      <c r="B434" s="220" t="s">
        <v>453</v>
      </c>
      <c r="C434" s="177" t="s">
        <v>510</v>
      </c>
      <c r="D434" s="216" t="s">
        <v>114</v>
      </c>
      <c r="E434" s="181"/>
      <c r="F434" s="179">
        <v>35</v>
      </c>
      <c r="G434" s="179">
        <v>850</v>
      </c>
      <c r="H434" s="179">
        <v>50</v>
      </c>
      <c r="I434" s="195">
        <f t="shared" si="27"/>
        <v>39.852538590148</v>
      </c>
      <c r="J434" s="196">
        <f t="shared" si="28"/>
        <v>87.7367284731133</v>
      </c>
      <c r="K434" s="172">
        <f t="shared" si="29"/>
        <v>1062.58926706326</v>
      </c>
      <c r="L434" s="172">
        <f t="shared" si="30"/>
        <v>0</v>
      </c>
      <c r="M434" s="193"/>
      <c r="N434" s="193"/>
      <c r="O434" s="198"/>
      <c r="P434" s="181">
        <v>1</v>
      </c>
    </row>
    <row r="435" s="162" customFormat="1" ht="31.5" outlineLevel="1" spans="1:16">
      <c r="A435" s="178">
        <v>13</v>
      </c>
      <c r="B435" s="220" t="s">
        <v>453</v>
      </c>
      <c r="C435" s="177" t="s">
        <v>511</v>
      </c>
      <c r="D435" s="216" t="s">
        <v>114</v>
      </c>
      <c r="E435" s="181"/>
      <c r="F435" s="179">
        <v>35</v>
      </c>
      <c r="G435" s="179">
        <v>850</v>
      </c>
      <c r="H435" s="179">
        <v>50</v>
      </c>
      <c r="I435" s="195">
        <f t="shared" si="27"/>
        <v>39.852538590148</v>
      </c>
      <c r="J435" s="196">
        <f t="shared" si="28"/>
        <v>87.7367284731133</v>
      </c>
      <c r="K435" s="172">
        <f t="shared" si="29"/>
        <v>1062.58926706326</v>
      </c>
      <c r="L435" s="172">
        <f t="shared" si="30"/>
        <v>0</v>
      </c>
      <c r="M435" s="193"/>
      <c r="N435" s="193"/>
      <c r="O435" s="198"/>
      <c r="P435" s="181">
        <v>1</v>
      </c>
    </row>
    <row r="436" s="162" customFormat="1" ht="21" spans="1:16">
      <c r="A436" s="209" t="s">
        <v>512</v>
      </c>
      <c r="B436" s="210" t="s">
        <v>513</v>
      </c>
      <c r="C436" s="215"/>
      <c r="D436" s="216"/>
      <c r="E436" s="181"/>
      <c r="F436" s="206"/>
      <c r="G436" s="206"/>
      <c r="H436" s="206"/>
      <c r="I436" s="195">
        <f t="shared" si="27"/>
        <v>0</v>
      </c>
      <c r="J436" s="196"/>
      <c r="K436" s="172"/>
      <c r="L436" s="172"/>
      <c r="M436" s="193"/>
      <c r="N436" s="193"/>
      <c r="O436" s="198"/>
      <c r="P436" s="181"/>
    </row>
    <row r="437" s="162" customFormat="1" ht="52.5" outlineLevel="1" spans="1:16">
      <c r="A437" s="178">
        <v>1</v>
      </c>
      <c r="B437" s="177" t="s">
        <v>73</v>
      </c>
      <c r="C437" s="177" t="s">
        <v>74</v>
      </c>
      <c r="D437" s="178" t="s">
        <v>75</v>
      </c>
      <c r="E437" s="181"/>
      <c r="F437" s="206"/>
      <c r="G437" s="206"/>
      <c r="H437" s="179">
        <v>8.5</v>
      </c>
      <c r="I437" s="195">
        <f t="shared" si="27"/>
        <v>0.362295805364982</v>
      </c>
      <c r="J437" s="196">
        <f t="shared" si="28"/>
        <v>0.797606622482848</v>
      </c>
      <c r="K437" s="172">
        <f t="shared" si="29"/>
        <v>9.65990242784783</v>
      </c>
      <c r="L437" s="172">
        <f t="shared" si="30"/>
        <v>0</v>
      </c>
      <c r="M437" s="193"/>
      <c r="N437" s="193"/>
      <c r="O437" s="198"/>
      <c r="P437" s="181">
        <f>P439+P440</f>
        <v>285.396</v>
      </c>
    </row>
    <row r="438" s="162" customFormat="1" ht="21" outlineLevel="1" spans="1:16">
      <c r="A438" s="178">
        <v>2</v>
      </c>
      <c r="B438" s="177" t="s">
        <v>76</v>
      </c>
      <c r="C438" s="177" t="s">
        <v>424</v>
      </c>
      <c r="D438" s="178" t="s">
        <v>78</v>
      </c>
      <c r="E438" s="181"/>
      <c r="F438" s="179">
        <v>0.5</v>
      </c>
      <c r="G438" s="172"/>
      <c r="H438" s="179">
        <v>2.5</v>
      </c>
      <c r="I438" s="195">
        <f t="shared" si="27"/>
        <v>0.127869107775876</v>
      </c>
      <c r="J438" s="196">
        <f t="shared" si="28"/>
        <v>0.281508219699829</v>
      </c>
      <c r="K438" s="172">
        <f t="shared" si="29"/>
        <v>3.4093773274757</v>
      </c>
      <c r="L438" s="172">
        <f t="shared" si="30"/>
        <v>0</v>
      </c>
      <c r="M438" s="193"/>
      <c r="N438" s="193"/>
      <c r="O438" s="198"/>
      <c r="P438" s="181">
        <f>P441+P442</f>
        <v>713.49</v>
      </c>
    </row>
    <row r="439" s="162" customFormat="1" ht="21" outlineLevel="1" spans="1:16">
      <c r="A439" s="178">
        <v>3</v>
      </c>
      <c r="B439" s="177" t="s">
        <v>79</v>
      </c>
      <c r="C439" s="177" t="s">
        <v>471</v>
      </c>
      <c r="D439" s="178" t="s">
        <v>75</v>
      </c>
      <c r="E439" s="181"/>
      <c r="F439" s="179">
        <v>10</v>
      </c>
      <c r="G439" s="180">
        <v>95</v>
      </c>
      <c r="H439" s="179">
        <v>15</v>
      </c>
      <c r="I439" s="195">
        <f t="shared" si="27"/>
        <v>5.11476431103504</v>
      </c>
      <c r="J439" s="196">
        <f t="shared" si="28"/>
        <v>11.2603287879932</v>
      </c>
      <c r="K439" s="172">
        <f t="shared" si="29"/>
        <v>136.375093099028</v>
      </c>
      <c r="L439" s="172">
        <f t="shared" si="30"/>
        <v>0</v>
      </c>
      <c r="M439" s="193"/>
      <c r="N439" s="193"/>
      <c r="O439" s="198"/>
      <c r="P439" s="181">
        <f>P438*0.2</f>
        <v>142.698</v>
      </c>
    </row>
    <row r="440" s="162" customFormat="1" ht="42" outlineLevel="1" spans="1:16">
      <c r="A440" s="178">
        <v>4</v>
      </c>
      <c r="B440" s="177" t="s">
        <v>81</v>
      </c>
      <c r="C440" s="177" t="s">
        <v>472</v>
      </c>
      <c r="D440" s="178" t="s">
        <v>75</v>
      </c>
      <c r="E440" s="181"/>
      <c r="F440" s="179">
        <v>55</v>
      </c>
      <c r="G440" s="172">
        <v>465</v>
      </c>
      <c r="H440" s="179">
        <v>15</v>
      </c>
      <c r="I440" s="195">
        <f t="shared" si="27"/>
        <v>22.8033242200312</v>
      </c>
      <c r="J440" s="196">
        <f t="shared" si="28"/>
        <v>50.2022991798028</v>
      </c>
      <c r="K440" s="172">
        <f t="shared" si="29"/>
        <v>608.005623399834</v>
      </c>
      <c r="L440" s="172">
        <f t="shared" si="30"/>
        <v>0</v>
      </c>
      <c r="M440" s="193"/>
      <c r="N440" s="193"/>
      <c r="O440" s="198"/>
      <c r="P440" s="181">
        <f>P438*0.2</f>
        <v>142.698</v>
      </c>
    </row>
    <row r="441" s="162" customFormat="1" ht="42" outlineLevel="1" spans="1:16">
      <c r="A441" s="178">
        <v>5</v>
      </c>
      <c r="B441" s="215" t="s">
        <v>473</v>
      </c>
      <c r="C441" s="177" t="s">
        <v>474</v>
      </c>
      <c r="D441" s="178" t="s">
        <v>78</v>
      </c>
      <c r="E441" s="181"/>
      <c r="F441" s="179">
        <v>15</v>
      </c>
      <c r="G441" s="180">
        <v>85</v>
      </c>
      <c r="H441" s="179">
        <v>10</v>
      </c>
      <c r="I441" s="195">
        <f t="shared" si="27"/>
        <v>4.68853395178212</v>
      </c>
      <c r="J441" s="196">
        <f t="shared" si="28"/>
        <v>10.3219680556604</v>
      </c>
      <c r="K441" s="172">
        <f t="shared" si="29"/>
        <v>125.010502007443</v>
      </c>
      <c r="L441" s="172">
        <f t="shared" si="30"/>
        <v>0</v>
      </c>
      <c r="M441" s="193"/>
      <c r="N441" s="193"/>
      <c r="O441" s="198"/>
      <c r="P441" s="181">
        <v>517.06</v>
      </c>
    </row>
    <row r="442" s="162" customFormat="1" ht="31.5" outlineLevel="1" spans="1:16">
      <c r="A442" s="178">
        <v>6</v>
      </c>
      <c r="B442" s="215" t="s">
        <v>344</v>
      </c>
      <c r="C442" s="177" t="s">
        <v>427</v>
      </c>
      <c r="D442" s="178" t="s">
        <v>78</v>
      </c>
      <c r="E442" s="181"/>
      <c r="F442" s="179">
        <v>50</v>
      </c>
      <c r="G442" s="180">
        <v>65</v>
      </c>
      <c r="H442" s="179">
        <v>15</v>
      </c>
      <c r="I442" s="195">
        <f t="shared" si="27"/>
        <v>5.54099467028796</v>
      </c>
      <c r="J442" s="196">
        <f t="shared" si="28"/>
        <v>12.1986895203259</v>
      </c>
      <c r="K442" s="172">
        <f t="shared" si="29"/>
        <v>147.739684190614</v>
      </c>
      <c r="L442" s="172">
        <f t="shared" si="30"/>
        <v>0</v>
      </c>
      <c r="M442" s="193"/>
      <c r="N442" s="193"/>
      <c r="O442" s="198"/>
      <c r="P442" s="181">
        <v>196.43</v>
      </c>
    </row>
    <row r="443" s="162" customFormat="1" ht="21" outlineLevel="1" spans="1:16">
      <c r="A443" s="178">
        <v>7</v>
      </c>
      <c r="B443" s="177" t="s">
        <v>475</v>
      </c>
      <c r="C443" s="177" t="s">
        <v>476</v>
      </c>
      <c r="D443" s="178" t="s">
        <v>78</v>
      </c>
      <c r="E443" s="181"/>
      <c r="F443" s="206">
        <v>35</v>
      </c>
      <c r="G443" s="206">
        <v>65</v>
      </c>
      <c r="H443" s="206">
        <v>5</v>
      </c>
      <c r="I443" s="195">
        <f t="shared" si="27"/>
        <v>4.47541877215566</v>
      </c>
      <c r="J443" s="196">
        <f t="shared" si="28"/>
        <v>9.85278768949401</v>
      </c>
      <c r="K443" s="172">
        <f t="shared" si="29"/>
        <v>119.32820646165</v>
      </c>
      <c r="L443" s="172">
        <f t="shared" si="30"/>
        <v>0</v>
      </c>
      <c r="M443" s="193"/>
      <c r="N443" s="193"/>
      <c r="O443" s="198"/>
      <c r="P443" s="181">
        <v>74.53</v>
      </c>
    </row>
    <row r="444" s="162" customFormat="1" ht="52.5" outlineLevel="1" spans="1:16">
      <c r="A444" s="178">
        <v>8</v>
      </c>
      <c r="B444" s="177" t="s">
        <v>446</v>
      </c>
      <c r="C444" s="177" t="s">
        <v>447</v>
      </c>
      <c r="D444" s="178" t="s">
        <v>78</v>
      </c>
      <c r="E444" s="181"/>
      <c r="F444" s="206">
        <v>85</v>
      </c>
      <c r="G444" s="206">
        <v>220</v>
      </c>
      <c r="H444" s="206">
        <v>35</v>
      </c>
      <c r="I444" s="195">
        <f t="shared" si="27"/>
        <v>14.4918322145993</v>
      </c>
      <c r="J444" s="196">
        <f t="shared" si="28"/>
        <v>31.9042648993139</v>
      </c>
      <c r="K444" s="172">
        <f t="shared" si="29"/>
        <v>386.396097113913</v>
      </c>
      <c r="L444" s="172">
        <f t="shared" si="30"/>
        <v>0</v>
      </c>
      <c r="M444" s="193"/>
      <c r="N444" s="193"/>
      <c r="O444" s="198"/>
      <c r="P444" s="181">
        <v>3.6</v>
      </c>
    </row>
    <row r="445" s="162" customFormat="1" ht="31.5" outlineLevel="1" spans="1:16">
      <c r="A445" s="178">
        <v>9</v>
      </c>
      <c r="B445" s="177" t="s">
        <v>448</v>
      </c>
      <c r="C445" s="177" t="s">
        <v>449</v>
      </c>
      <c r="D445" s="178" t="s">
        <v>78</v>
      </c>
      <c r="E445" s="181"/>
      <c r="F445" s="179">
        <v>55</v>
      </c>
      <c r="G445" s="172">
        <v>120</v>
      </c>
      <c r="H445" s="179">
        <v>15</v>
      </c>
      <c r="I445" s="195">
        <f t="shared" si="27"/>
        <v>8.09837682580548</v>
      </c>
      <c r="J445" s="196">
        <f t="shared" si="28"/>
        <v>17.8288539143225</v>
      </c>
      <c r="K445" s="172">
        <f t="shared" si="29"/>
        <v>215.927230740128</v>
      </c>
      <c r="L445" s="172">
        <f t="shared" si="30"/>
        <v>0</v>
      </c>
      <c r="M445" s="193"/>
      <c r="N445" s="193"/>
      <c r="O445" s="198"/>
      <c r="P445" s="181">
        <v>1.44</v>
      </c>
    </row>
    <row r="446" s="162" customFormat="1" ht="31.5" outlineLevel="1" spans="1:16">
      <c r="A446" s="178">
        <v>10</v>
      </c>
      <c r="B446" s="177" t="s">
        <v>450</v>
      </c>
      <c r="C446" s="177" t="s">
        <v>468</v>
      </c>
      <c r="D446" s="178" t="s">
        <v>78</v>
      </c>
      <c r="E446" s="181"/>
      <c r="F446" s="179">
        <v>85</v>
      </c>
      <c r="G446" s="172">
        <v>120</v>
      </c>
      <c r="H446" s="179">
        <v>15</v>
      </c>
      <c r="I446" s="195">
        <f t="shared" si="27"/>
        <v>9.37706790356424</v>
      </c>
      <c r="J446" s="196">
        <f t="shared" si="28"/>
        <v>20.6439361113208</v>
      </c>
      <c r="K446" s="172">
        <f t="shared" si="29"/>
        <v>250.021004014885</v>
      </c>
      <c r="L446" s="172">
        <f t="shared" si="30"/>
        <v>0</v>
      </c>
      <c r="M446" s="193"/>
      <c r="N446" s="193"/>
      <c r="O446" s="198"/>
      <c r="P446" s="181">
        <v>7.58</v>
      </c>
    </row>
    <row r="447" s="162" customFormat="1" ht="21" outlineLevel="1" spans="1:16">
      <c r="A447" s="178">
        <v>11</v>
      </c>
      <c r="B447" s="177" t="s">
        <v>451</v>
      </c>
      <c r="C447" s="177" t="s">
        <v>452</v>
      </c>
      <c r="D447" s="178" t="s">
        <v>75</v>
      </c>
      <c r="E447" s="181"/>
      <c r="F447" s="181">
        <v>220</v>
      </c>
      <c r="G447" s="181">
        <v>260</v>
      </c>
      <c r="H447" s="181">
        <v>85</v>
      </c>
      <c r="I447" s="195">
        <f t="shared" si="27"/>
        <v>24.08201529779</v>
      </c>
      <c r="J447" s="196">
        <f t="shared" si="28"/>
        <v>53.0173813768011</v>
      </c>
      <c r="K447" s="172">
        <f t="shared" si="29"/>
        <v>642.099396674591</v>
      </c>
      <c r="L447" s="172">
        <f t="shared" si="30"/>
        <v>0</v>
      </c>
      <c r="M447" s="193"/>
      <c r="N447" s="193"/>
      <c r="O447" s="198"/>
      <c r="P447" s="181">
        <v>1.65</v>
      </c>
    </row>
    <row r="448" s="162" customFormat="1" ht="21" outlineLevel="1" spans="1:16">
      <c r="A448" s="178">
        <v>12</v>
      </c>
      <c r="B448" s="177" t="s">
        <v>477</v>
      </c>
      <c r="C448" s="177" t="s">
        <v>478</v>
      </c>
      <c r="D448" s="178" t="s">
        <v>479</v>
      </c>
      <c r="E448" s="181"/>
      <c r="F448" s="206">
        <v>15</v>
      </c>
      <c r="G448" s="206">
        <v>160</v>
      </c>
      <c r="H448" s="206">
        <v>10</v>
      </c>
      <c r="I448" s="195">
        <f t="shared" si="27"/>
        <v>7.88526164617902</v>
      </c>
      <c r="J448" s="196">
        <f t="shared" si="28"/>
        <v>17.3596735481561</v>
      </c>
      <c r="K448" s="172">
        <f t="shared" si="29"/>
        <v>210.244935194335</v>
      </c>
      <c r="L448" s="172">
        <f t="shared" si="30"/>
        <v>0</v>
      </c>
      <c r="M448" s="193"/>
      <c r="N448" s="193"/>
      <c r="O448" s="198"/>
      <c r="P448" s="181">
        <v>2</v>
      </c>
    </row>
    <row r="449" s="162" customFormat="1" ht="21" outlineLevel="1" spans="1:16">
      <c r="A449" s="178">
        <v>13</v>
      </c>
      <c r="B449" s="177" t="s">
        <v>480</v>
      </c>
      <c r="C449" s="177" t="s">
        <v>478</v>
      </c>
      <c r="D449" s="178" t="s">
        <v>479</v>
      </c>
      <c r="E449" s="181"/>
      <c r="F449" s="206">
        <v>15</v>
      </c>
      <c r="G449" s="206">
        <v>160</v>
      </c>
      <c r="H449" s="206">
        <v>10</v>
      </c>
      <c r="I449" s="195">
        <f t="shared" si="27"/>
        <v>7.88526164617902</v>
      </c>
      <c r="J449" s="196">
        <f t="shared" si="28"/>
        <v>17.3596735481561</v>
      </c>
      <c r="K449" s="172">
        <f t="shared" si="29"/>
        <v>210.244935194335</v>
      </c>
      <c r="L449" s="172">
        <f t="shared" si="30"/>
        <v>0</v>
      </c>
      <c r="M449" s="193"/>
      <c r="N449" s="193"/>
      <c r="O449" s="198"/>
      <c r="P449" s="181">
        <v>3</v>
      </c>
    </row>
    <row r="450" s="162" customFormat="1" ht="21" outlineLevel="1" spans="1:16">
      <c r="A450" s="178">
        <v>14</v>
      </c>
      <c r="B450" s="177" t="s">
        <v>481</v>
      </c>
      <c r="C450" s="177" t="s">
        <v>478</v>
      </c>
      <c r="D450" s="178" t="s">
        <v>479</v>
      </c>
      <c r="E450" s="181"/>
      <c r="F450" s="206">
        <v>15</v>
      </c>
      <c r="G450" s="206">
        <v>160</v>
      </c>
      <c r="H450" s="206">
        <v>10</v>
      </c>
      <c r="I450" s="195">
        <f t="shared" si="27"/>
        <v>7.88526164617902</v>
      </c>
      <c r="J450" s="196">
        <f t="shared" si="28"/>
        <v>17.3596735481561</v>
      </c>
      <c r="K450" s="172">
        <f t="shared" si="29"/>
        <v>210.244935194335</v>
      </c>
      <c r="L450" s="172">
        <f t="shared" si="30"/>
        <v>0</v>
      </c>
      <c r="M450" s="193"/>
      <c r="N450" s="193"/>
      <c r="O450" s="198"/>
      <c r="P450" s="181">
        <v>1</v>
      </c>
    </row>
    <row r="451" s="162" customFormat="1" ht="21" outlineLevel="1" spans="1:16">
      <c r="A451" s="178">
        <v>15</v>
      </c>
      <c r="B451" s="177" t="s">
        <v>482</v>
      </c>
      <c r="C451" s="177" t="s">
        <v>478</v>
      </c>
      <c r="D451" s="178" t="s">
        <v>479</v>
      </c>
      <c r="E451" s="181"/>
      <c r="F451" s="206">
        <v>15</v>
      </c>
      <c r="G451" s="206">
        <v>160</v>
      </c>
      <c r="H451" s="206">
        <v>10</v>
      </c>
      <c r="I451" s="195">
        <f t="shared" si="27"/>
        <v>7.88526164617902</v>
      </c>
      <c r="J451" s="196">
        <f t="shared" si="28"/>
        <v>17.3596735481561</v>
      </c>
      <c r="K451" s="172">
        <f t="shared" si="29"/>
        <v>210.244935194335</v>
      </c>
      <c r="L451" s="172">
        <f t="shared" si="30"/>
        <v>0</v>
      </c>
      <c r="M451" s="193"/>
      <c r="N451" s="193"/>
      <c r="O451" s="198"/>
      <c r="P451" s="181">
        <v>1</v>
      </c>
    </row>
    <row r="452" s="162" customFormat="1" ht="21" outlineLevel="1" spans="1:16">
      <c r="A452" s="178">
        <v>16</v>
      </c>
      <c r="B452" s="177" t="s">
        <v>483</v>
      </c>
      <c r="C452" s="177" t="s">
        <v>478</v>
      </c>
      <c r="D452" s="178" t="s">
        <v>479</v>
      </c>
      <c r="E452" s="181"/>
      <c r="F452" s="206">
        <v>15</v>
      </c>
      <c r="G452" s="206">
        <v>160</v>
      </c>
      <c r="H452" s="206">
        <v>10</v>
      </c>
      <c r="I452" s="195">
        <f t="shared" si="27"/>
        <v>7.88526164617902</v>
      </c>
      <c r="J452" s="196">
        <f t="shared" si="28"/>
        <v>17.3596735481561</v>
      </c>
      <c r="K452" s="172">
        <f t="shared" si="29"/>
        <v>210.244935194335</v>
      </c>
      <c r="L452" s="172">
        <f t="shared" si="30"/>
        <v>0</v>
      </c>
      <c r="M452" s="193"/>
      <c r="N452" s="193"/>
      <c r="O452" s="198"/>
      <c r="P452" s="181">
        <v>1</v>
      </c>
    </row>
    <row r="453" s="162" customFormat="1" ht="21" outlineLevel="1" spans="1:16">
      <c r="A453" s="178">
        <v>17</v>
      </c>
      <c r="B453" s="177" t="s">
        <v>484</v>
      </c>
      <c r="C453" s="177" t="s">
        <v>478</v>
      </c>
      <c r="D453" s="178" t="s">
        <v>479</v>
      </c>
      <c r="E453" s="181"/>
      <c r="F453" s="206">
        <v>15</v>
      </c>
      <c r="G453" s="206">
        <v>160</v>
      </c>
      <c r="H453" s="206">
        <v>10</v>
      </c>
      <c r="I453" s="195">
        <f t="shared" ref="I453:I516" si="31">((F453+G453+H453)*0.06)*0.7103839320882</f>
        <v>7.88526164617902</v>
      </c>
      <c r="J453" s="196">
        <f t="shared" si="28"/>
        <v>17.3596735481561</v>
      </c>
      <c r="K453" s="172">
        <f t="shared" si="29"/>
        <v>210.244935194335</v>
      </c>
      <c r="L453" s="172">
        <f t="shared" si="30"/>
        <v>0</v>
      </c>
      <c r="M453" s="193"/>
      <c r="N453" s="193"/>
      <c r="O453" s="198"/>
      <c r="P453" s="181">
        <v>1</v>
      </c>
    </row>
    <row r="454" s="162" customFormat="1" ht="21" outlineLevel="1" spans="1:16">
      <c r="A454" s="178">
        <v>18</v>
      </c>
      <c r="B454" s="177" t="s">
        <v>485</v>
      </c>
      <c r="C454" s="177" t="s">
        <v>478</v>
      </c>
      <c r="D454" s="178" t="s">
        <v>479</v>
      </c>
      <c r="E454" s="181"/>
      <c r="F454" s="206">
        <v>15</v>
      </c>
      <c r="G454" s="206">
        <v>160</v>
      </c>
      <c r="H454" s="206">
        <v>10</v>
      </c>
      <c r="I454" s="195">
        <f t="shared" si="31"/>
        <v>7.88526164617902</v>
      </c>
      <c r="J454" s="196">
        <f t="shared" ref="J454:J516" si="32">(F454+G454+H454+I454)*0.09</f>
        <v>17.3596735481561</v>
      </c>
      <c r="K454" s="172">
        <f t="shared" ref="K454:K516" si="33">F454+G454+H454+I454+J454</f>
        <v>210.244935194335</v>
      </c>
      <c r="L454" s="172">
        <f t="shared" ref="L454:L516" si="34">K454*E454</f>
        <v>0</v>
      </c>
      <c r="M454" s="193"/>
      <c r="N454" s="193"/>
      <c r="O454" s="198"/>
      <c r="P454" s="181">
        <v>1</v>
      </c>
    </row>
    <row r="455" s="162" customFormat="1" ht="21" outlineLevel="1" spans="1:16">
      <c r="A455" s="178">
        <v>19</v>
      </c>
      <c r="B455" s="177" t="s">
        <v>486</v>
      </c>
      <c r="C455" s="177" t="s">
        <v>478</v>
      </c>
      <c r="D455" s="178" t="s">
        <v>479</v>
      </c>
      <c r="E455" s="181"/>
      <c r="F455" s="206">
        <v>15</v>
      </c>
      <c r="G455" s="206">
        <v>160</v>
      </c>
      <c r="H455" s="206">
        <v>10</v>
      </c>
      <c r="I455" s="195">
        <f t="shared" si="31"/>
        <v>7.88526164617902</v>
      </c>
      <c r="J455" s="196">
        <f t="shared" si="32"/>
        <v>17.3596735481561</v>
      </c>
      <c r="K455" s="172">
        <f t="shared" si="33"/>
        <v>210.244935194335</v>
      </c>
      <c r="L455" s="172">
        <f t="shared" si="34"/>
        <v>0</v>
      </c>
      <c r="M455" s="193"/>
      <c r="N455" s="193"/>
      <c r="O455" s="198"/>
      <c r="P455" s="181">
        <v>1</v>
      </c>
    </row>
    <row r="456" s="162" customFormat="1" ht="21" outlineLevel="1" spans="1:16">
      <c r="A456" s="178">
        <v>20</v>
      </c>
      <c r="B456" s="177" t="s">
        <v>487</v>
      </c>
      <c r="C456" s="177" t="s">
        <v>478</v>
      </c>
      <c r="D456" s="178" t="s">
        <v>479</v>
      </c>
      <c r="E456" s="181"/>
      <c r="F456" s="206">
        <v>15</v>
      </c>
      <c r="G456" s="206">
        <v>160</v>
      </c>
      <c r="H456" s="206">
        <v>10</v>
      </c>
      <c r="I456" s="195">
        <f t="shared" si="31"/>
        <v>7.88526164617902</v>
      </c>
      <c r="J456" s="196">
        <f t="shared" si="32"/>
        <v>17.3596735481561</v>
      </c>
      <c r="K456" s="172">
        <f t="shared" si="33"/>
        <v>210.244935194335</v>
      </c>
      <c r="L456" s="172">
        <f t="shared" si="34"/>
        <v>0</v>
      </c>
      <c r="M456" s="193"/>
      <c r="N456" s="193"/>
      <c r="O456" s="198"/>
      <c r="P456" s="181">
        <v>1</v>
      </c>
    </row>
    <row r="457" s="162" customFormat="1" ht="21" outlineLevel="1" spans="1:16">
      <c r="A457" s="178">
        <v>21</v>
      </c>
      <c r="B457" s="177" t="s">
        <v>488</v>
      </c>
      <c r="C457" s="177" t="s">
        <v>478</v>
      </c>
      <c r="D457" s="178" t="s">
        <v>479</v>
      </c>
      <c r="E457" s="181"/>
      <c r="F457" s="206">
        <v>15</v>
      </c>
      <c r="G457" s="206">
        <v>160</v>
      </c>
      <c r="H457" s="206">
        <v>10</v>
      </c>
      <c r="I457" s="195">
        <f t="shared" si="31"/>
        <v>7.88526164617902</v>
      </c>
      <c r="J457" s="196">
        <f t="shared" si="32"/>
        <v>17.3596735481561</v>
      </c>
      <c r="K457" s="172">
        <f t="shared" si="33"/>
        <v>210.244935194335</v>
      </c>
      <c r="L457" s="172">
        <f t="shared" si="34"/>
        <v>0</v>
      </c>
      <c r="M457" s="193"/>
      <c r="N457" s="193"/>
      <c r="O457" s="198"/>
      <c r="P457" s="181">
        <v>2</v>
      </c>
    </row>
    <row r="458" s="162" customFormat="1" ht="21" outlineLevel="1" spans="1:16">
      <c r="A458" s="178">
        <v>22</v>
      </c>
      <c r="B458" s="177" t="s">
        <v>489</v>
      </c>
      <c r="C458" s="177" t="s">
        <v>478</v>
      </c>
      <c r="D458" s="178" t="s">
        <v>479</v>
      </c>
      <c r="E458" s="181"/>
      <c r="F458" s="206">
        <v>15</v>
      </c>
      <c r="G458" s="206">
        <v>160</v>
      </c>
      <c r="H458" s="206">
        <v>10</v>
      </c>
      <c r="I458" s="195">
        <f t="shared" si="31"/>
        <v>7.88526164617902</v>
      </c>
      <c r="J458" s="196">
        <f t="shared" si="32"/>
        <v>17.3596735481561</v>
      </c>
      <c r="K458" s="172">
        <f t="shared" si="33"/>
        <v>210.244935194335</v>
      </c>
      <c r="L458" s="172">
        <f t="shared" si="34"/>
        <v>0</v>
      </c>
      <c r="M458" s="193"/>
      <c r="N458" s="193"/>
      <c r="O458" s="198"/>
      <c r="P458" s="181">
        <v>1</v>
      </c>
    </row>
    <row r="459" s="162" customFormat="1" ht="21" outlineLevel="1" spans="1:16">
      <c r="A459" s="178">
        <v>23</v>
      </c>
      <c r="B459" s="177" t="s">
        <v>490</v>
      </c>
      <c r="C459" s="177" t="s">
        <v>478</v>
      </c>
      <c r="D459" s="178" t="s">
        <v>479</v>
      </c>
      <c r="E459" s="181"/>
      <c r="F459" s="206">
        <v>15</v>
      </c>
      <c r="G459" s="206">
        <v>160</v>
      </c>
      <c r="H459" s="206">
        <v>10</v>
      </c>
      <c r="I459" s="195">
        <f t="shared" si="31"/>
        <v>7.88526164617902</v>
      </c>
      <c r="J459" s="196">
        <f t="shared" si="32"/>
        <v>17.3596735481561</v>
      </c>
      <c r="K459" s="172">
        <f t="shared" si="33"/>
        <v>210.244935194335</v>
      </c>
      <c r="L459" s="172">
        <f t="shared" si="34"/>
        <v>0</v>
      </c>
      <c r="M459" s="193"/>
      <c r="N459" s="193"/>
      <c r="O459" s="198"/>
      <c r="P459" s="181">
        <v>3</v>
      </c>
    </row>
    <row r="460" s="162" customFormat="1" ht="21" outlineLevel="1" spans="1:16">
      <c r="A460" s="178">
        <v>24</v>
      </c>
      <c r="B460" s="177" t="s">
        <v>491</v>
      </c>
      <c r="C460" s="177" t="s">
        <v>478</v>
      </c>
      <c r="D460" s="178" t="s">
        <v>479</v>
      </c>
      <c r="E460" s="181"/>
      <c r="F460" s="206">
        <v>15</v>
      </c>
      <c r="G460" s="206">
        <v>160</v>
      </c>
      <c r="H460" s="206">
        <v>10</v>
      </c>
      <c r="I460" s="195">
        <f t="shared" si="31"/>
        <v>7.88526164617902</v>
      </c>
      <c r="J460" s="196">
        <f t="shared" si="32"/>
        <v>17.3596735481561</v>
      </c>
      <c r="K460" s="172">
        <f t="shared" si="33"/>
        <v>210.244935194335</v>
      </c>
      <c r="L460" s="172">
        <f t="shared" si="34"/>
        <v>0</v>
      </c>
      <c r="M460" s="193"/>
      <c r="N460" s="193"/>
      <c r="O460" s="198"/>
      <c r="P460" s="181">
        <v>1</v>
      </c>
    </row>
    <row r="461" s="162" customFormat="1" ht="21" spans="1:16">
      <c r="A461" s="221" t="s">
        <v>514</v>
      </c>
      <c r="B461" s="176" t="s">
        <v>515</v>
      </c>
      <c r="C461" s="177"/>
      <c r="D461" s="178"/>
      <c r="E461" s="181"/>
      <c r="F461" s="206"/>
      <c r="G461" s="206"/>
      <c r="H461" s="206"/>
      <c r="I461" s="195">
        <f t="shared" si="31"/>
        <v>0</v>
      </c>
      <c r="J461" s="196"/>
      <c r="K461" s="172"/>
      <c r="L461" s="172"/>
      <c r="M461" s="193"/>
      <c r="N461" s="193"/>
      <c r="O461" s="198"/>
      <c r="P461" s="181"/>
    </row>
    <row r="462" s="162" customFormat="1" ht="11.25" outlineLevel="1" spans="1:16">
      <c r="A462" s="178">
        <v>1</v>
      </c>
      <c r="B462" s="177" t="s">
        <v>516</v>
      </c>
      <c r="C462" s="177"/>
      <c r="D462" s="178"/>
      <c r="E462" s="181"/>
      <c r="F462" s="201"/>
      <c r="G462" s="201"/>
      <c r="H462" s="222"/>
      <c r="I462" s="195">
        <f t="shared" si="31"/>
        <v>0</v>
      </c>
      <c r="J462" s="196"/>
      <c r="K462" s="172"/>
      <c r="L462" s="172"/>
      <c r="M462" s="182"/>
      <c r="N462" s="182"/>
      <c r="O462" s="198"/>
      <c r="P462" s="181"/>
    </row>
    <row r="463" s="162" customFormat="1" ht="21" outlineLevel="1" spans="1:16">
      <c r="A463" s="178">
        <v>1.1</v>
      </c>
      <c r="B463" s="177" t="s">
        <v>517</v>
      </c>
      <c r="C463" s="177"/>
      <c r="D463" s="178"/>
      <c r="E463" s="181"/>
      <c r="F463" s="201"/>
      <c r="G463" s="201"/>
      <c r="H463" s="222"/>
      <c r="I463" s="195">
        <f t="shared" si="31"/>
        <v>0</v>
      </c>
      <c r="J463" s="196"/>
      <c r="K463" s="172"/>
      <c r="L463" s="172"/>
      <c r="M463" s="182"/>
      <c r="N463" s="182"/>
      <c r="O463" s="198"/>
      <c r="P463" s="181"/>
    </row>
    <row r="464" s="162" customFormat="1" ht="21" outlineLevel="2" spans="1:16">
      <c r="A464" s="178"/>
      <c r="B464" s="177" t="s">
        <v>76</v>
      </c>
      <c r="C464" s="177" t="s">
        <v>109</v>
      </c>
      <c r="D464" s="178" t="s">
        <v>78</v>
      </c>
      <c r="E464" s="181"/>
      <c r="F464" s="179">
        <v>0.5</v>
      </c>
      <c r="G464" s="172"/>
      <c r="H464" s="179">
        <v>2.5</v>
      </c>
      <c r="I464" s="195">
        <f t="shared" si="31"/>
        <v>0.127869107775876</v>
      </c>
      <c r="J464" s="196">
        <f t="shared" si="32"/>
        <v>0.281508219699829</v>
      </c>
      <c r="K464" s="172">
        <f t="shared" si="33"/>
        <v>3.4093773274757</v>
      </c>
      <c r="L464" s="172">
        <f t="shared" si="34"/>
        <v>0</v>
      </c>
      <c r="M464" s="182"/>
      <c r="N464" s="182"/>
      <c r="O464" s="198"/>
      <c r="P464" s="181">
        <v>219.98</v>
      </c>
    </row>
    <row r="465" s="162" customFormat="1" ht="21" outlineLevel="2" spans="1:16">
      <c r="A465" s="178"/>
      <c r="B465" s="177" t="s">
        <v>79</v>
      </c>
      <c r="C465" s="177" t="s">
        <v>80</v>
      </c>
      <c r="D465" s="178" t="s">
        <v>75</v>
      </c>
      <c r="E465" s="181"/>
      <c r="F465" s="179">
        <v>10</v>
      </c>
      <c r="G465" s="180">
        <v>95</v>
      </c>
      <c r="H465" s="179">
        <v>15</v>
      </c>
      <c r="I465" s="195">
        <f t="shared" si="31"/>
        <v>5.11476431103504</v>
      </c>
      <c r="J465" s="196">
        <f t="shared" si="32"/>
        <v>11.2603287879932</v>
      </c>
      <c r="K465" s="172">
        <f t="shared" si="33"/>
        <v>136.375093099028</v>
      </c>
      <c r="L465" s="172">
        <f t="shared" si="34"/>
        <v>0</v>
      </c>
      <c r="M465" s="182"/>
      <c r="N465" s="182"/>
      <c r="O465" s="198"/>
      <c r="P465" s="181">
        <f>P464*0.2</f>
        <v>43.996</v>
      </c>
    </row>
    <row r="466" s="162" customFormat="1" ht="42" outlineLevel="2" spans="1:16">
      <c r="A466" s="178"/>
      <c r="B466" s="177" t="s">
        <v>81</v>
      </c>
      <c r="C466" s="177" t="s">
        <v>82</v>
      </c>
      <c r="D466" s="178" t="s">
        <v>75</v>
      </c>
      <c r="E466" s="181"/>
      <c r="F466" s="179">
        <v>55</v>
      </c>
      <c r="G466" s="180">
        <v>445</v>
      </c>
      <c r="H466" s="179">
        <v>15</v>
      </c>
      <c r="I466" s="195">
        <f t="shared" si="31"/>
        <v>21.9508635015254</v>
      </c>
      <c r="J466" s="196">
        <f t="shared" si="32"/>
        <v>48.3255777151373</v>
      </c>
      <c r="K466" s="172">
        <f t="shared" si="33"/>
        <v>585.276441216663</v>
      </c>
      <c r="L466" s="172">
        <f t="shared" si="34"/>
        <v>0</v>
      </c>
      <c r="M466" s="182"/>
      <c r="N466" s="182"/>
      <c r="O466" s="198"/>
      <c r="P466" s="181">
        <f>P464*0.2</f>
        <v>43.996</v>
      </c>
    </row>
    <row r="467" s="162" customFormat="1" ht="31.5" outlineLevel="2" spans="1:16">
      <c r="A467" s="178"/>
      <c r="B467" s="177" t="s">
        <v>518</v>
      </c>
      <c r="C467" s="177" t="s">
        <v>519</v>
      </c>
      <c r="D467" s="178" t="s">
        <v>78</v>
      </c>
      <c r="E467" s="181"/>
      <c r="F467" s="179">
        <v>50</v>
      </c>
      <c r="G467" s="180">
        <v>65</v>
      </c>
      <c r="H467" s="179">
        <v>15</v>
      </c>
      <c r="I467" s="195">
        <f t="shared" si="31"/>
        <v>5.54099467028796</v>
      </c>
      <c r="J467" s="196">
        <f t="shared" si="32"/>
        <v>12.1986895203259</v>
      </c>
      <c r="K467" s="172">
        <f t="shared" si="33"/>
        <v>147.739684190614</v>
      </c>
      <c r="L467" s="172">
        <f t="shared" si="34"/>
        <v>0</v>
      </c>
      <c r="M467" s="182"/>
      <c r="N467" s="182"/>
      <c r="O467" s="198"/>
      <c r="P467" s="181">
        <v>41.44</v>
      </c>
    </row>
    <row r="468" s="162" customFormat="1" ht="31.5" outlineLevel="2" spans="1:16">
      <c r="A468" s="178"/>
      <c r="B468" s="177" t="s">
        <v>157</v>
      </c>
      <c r="C468" s="177" t="s">
        <v>520</v>
      </c>
      <c r="D468" s="178" t="s">
        <v>78</v>
      </c>
      <c r="E468" s="181"/>
      <c r="F468" s="179">
        <v>50</v>
      </c>
      <c r="G468" s="180">
        <v>65</v>
      </c>
      <c r="H468" s="179">
        <v>15</v>
      </c>
      <c r="I468" s="195">
        <f t="shared" si="31"/>
        <v>5.54099467028796</v>
      </c>
      <c r="J468" s="196">
        <f t="shared" si="32"/>
        <v>12.1986895203259</v>
      </c>
      <c r="K468" s="172">
        <f t="shared" si="33"/>
        <v>147.739684190614</v>
      </c>
      <c r="L468" s="172">
        <f t="shared" si="34"/>
        <v>0</v>
      </c>
      <c r="M468" s="182"/>
      <c r="N468" s="182"/>
      <c r="O468" s="198"/>
      <c r="P468" s="181">
        <f>5.54+9.81</f>
        <v>15.35</v>
      </c>
    </row>
    <row r="469" s="162" customFormat="1" ht="31.5" outlineLevel="2" spans="1:16">
      <c r="A469" s="178"/>
      <c r="B469" s="177" t="s">
        <v>521</v>
      </c>
      <c r="C469" s="177" t="s">
        <v>522</v>
      </c>
      <c r="D469" s="178" t="s">
        <v>78</v>
      </c>
      <c r="E469" s="181"/>
      <c r="F469" s="179">
        <v>50</v>
      </c>
      <c r="G469" s="180">
        <v>65</v>
      </c>
      <c r="H469" s="179">
        <v>15</v>
      </c>
      <c r="I469" s="195">
        <f t="shared" si="31"/>
        <v>5.54099467028796</v>
      </c>
      <c r="J469" s="196">
        <f t="shared" si="32"/>
        <v>12.1986895203259</v>
      </c>
      <c r="K469" s="172">
        <f t="shared" si="33"/>
        <v>147.739684190614</v>
      </c>
      <c r="L469" s="172">
        <f t="shared" si="34"/>
        <v>0</v>
      </c>
      <c r="M469" s="182"/>
      <c r="N469" s="182"/>
      <c r="O469" s="198"/>
      <c r="P469" s="181">
        <v>19.85</v>
      </c>
    </row>
    <row r="470" s="162" customFormat="1" ht="31.5" outlineLevel="2" spans="1:16">
      <c r="A470" s="178"/>
      <c r="B470" s="177" t="s">
        <v>153</v>
      </c>
      <c r="C470" s="177" t="s">
        <v>523</v>
      </c>
      <c r="D470" s="178" t="s">
        <v>78</v>
      </c>
      <c r="E470" s="181"/>
      <c r="F470" s="179">
        <v>50</v>
      </c>
      <c r="G470" s="180">
        <v>65</v>
      </c>
      <c r="H470" s="179">
        <v>15</v>
      </c>
      <c r="I470" s="195">
        <f t="shared" si="31"/>
        <v>5.54099467028796</v>
      </c>
      <c r="J470" s="196">
        <f t="shared" si="32"/>
        <v>12.1986895203259</v>
      </c>
      <c r="K470" s="172">
        <f t="shared" si="33"/>
        <v>147.739684190614</v>
      </c>
      <c r="L470" s="172">
        <f t="shared" si="34"/>
        <v>0</v>
      </c>
      <c r="M470" s="182"/>
      <c r="N470" s="182"/>
      <c r="O470" s="198"/>
      <c r="P470" s="181">
        <v>115.84</v>
      </c>
    </row>
    <row r="471" s="162" customFormat="1" ht="31.5" outlineLevel="2" spans="1:16">
      <c r="A471" s="178"/>
      <c r="B471" s="177" t="s">
        <v>524</v>
      </c>
      <c r="C471" s="177" t="s">
        <v>525</v>
      </c>
      <c r="D471" s="178" t="s">
        <v>78</v>
      </c>
      <c r="E471" s="181"/>
      <c r="F471" s="201">
        <v>15</v>
      </c>
      <c r="G471" s="201">
        <v>85</v>
      </c>
      <c r="H471" s="222">
        <v>15</v>
      </c>
      <c r="I471" s="195">
        <f t="shared" si="31"/>
        <v>4.90164913140858</v>
      </c>
      <c r="J471" s="196">
        <f t="shared" si="32"/>
        <v>10.7911484218268</v>
      </c>
      <c r="K471" s="172">
        <f t="shared" si="33"/>
        <v>130.692797553235</v>
      </c>
      <c r="L471" s="172">
        <f t="shared" si="34"/>
        <v>0</v>
      </c>
      <c r="M471" s="182"/>
      <c r="N471" s="182"/>
      <c r="O471" s="198"/>
      <c r="P471" s="181">
        <v>27.5</v>
      </c>
    </row>
    <row r="472" s="162" customFormat="1" ht="11.25" outlineLevel="1" spans="1:16">
      <c r="A472" s="178">
        <v>1.2</v>
      </c>
      <c r="B472" s="177" t="s">
        <v>526</v>
      </c>
      <c r="C472" s="177"/>
      <c r="D472" s="178"/>
      <c r="E472" s="181"/>
      <c r="F472" s="201"/>
      <c r="G472" s="201"/>
      <c r="H472" s="222"/>
      <c r="I472" s="195">
        <f t="shared" si="31"/>
        <v>0</v>
      </c>
      <c r="J472" s="196"/>
      <c r="K472" s="172"/>
      <c r="L472" s="172"/>
      <c r="M472" s="182"/>
      <c r="N472" s="182"/>
      <c r="O472" s="198"/>
      <c r="P472" s="181"/>
    </row>
    <row r="473" s="162" customFormat="1" ht="31.5" outlineLevel="2" spans="1:16">
      <c r="A473" s="178"/>
      <c r="B473" s="177" t="s">
        <v>73</v>
      </c>
      <c r="C473" s="177" t="s">
        <v>527</v>
      </c>
      <c r="D473" s="178" t="s">
        <v>75</v>
      </c>
      <c r="E473" s="181"/>
      <c r="F473" s="201"/>
      <c r="G473" s="201"/>
      <c r="H473" s="179">
        <v>8.5</v>
      </c>
      <c r="I473" s="195">
        <f t="shared" si="31"/>
        <v>0.362295805364982</v>
      </c>
      <c r="J473" s="196">
        <f t="shared" si="32"/>
        <v>0.797606622482848</v>
      </c>
      <c r="K473" s="172">
        <f t="shared" si="33"/>
        <v>9.65990242784783</v>
      </c>
      <c r="L473" s="172">
        <f t="shared" si="34"/>
        <v>0</v>
      </c>
      <c r="M473" s="182"/>
      <c r="N473" s="182"/>
      <c r="O473" s="198"/>
      <c r="P473" s="181">
        <v>33.64</v>
      </c>
    </row>
    <row r="474" s="162" customFormat="1" ht="63" outlineLevel="2" spans="1:16">
      <c r="A474" s="178"/>
      <c r="B474" s="177" t="s">
        <v>162</v>
      </c>
      <c r="C474" s="177" t="s">
        <v>163</v>
      </c>
      <c r="D474" s="178" t="s">
        <v>75</v>
      </c>
      <c r="E474" s="181"/>
      <c r="F474" s="201"/>
      <c r="G474" s="201"/>
      <c r="H474" s="179">
        <v>10</v>
      </c>
      <c r="I474" s="195">
        <f t="shared" si="31"/>
        <v>0.42623035925292</v>
      </c>
      <c r="J474" s="196">
        <f t="shared" si="32"/>
        <v>0.938360732332763</v>
      </c>
      <c r="K474" s="172">
        <f t="shared" si="33"/>
        <v>11.3645910915857</v>
      </c>
      <c r="L474" s="172">
        <f t="shared" si="34"/>
        <v>0</v>
      </c>
      <c r="M474" s="182"/>
      <c r="N474" s="182"/>
      <c r="O474" s="198"/>
      <c r="P474" s="181">
        <f>33.64-9.32-6.21-10.2</f>
        <v>7.91</v>
      </c>
    </row>
    <row r="475" s="162" customFormat="1" ht="21" outlineLevel="2" spans="1:16">
      <c r="A475" s="178"/>
      <c r="B475" s="177" t="s">
        <v>76</v>
      </c>
      <c r="C475" s="177" t="s">
        <v>109</v>
      </c>
      <c r="D475" s="178" t="s">
        <v>78</v>
      </c>
      <c r="E475" s="181"/>
      <c r="F475" s="179">
        <v>0.5</v>
      </c>
      <c r="G475" s="172"/>
      <c r="H475" s="179">
        <v>2.5</v>
      </c>
      <c r="I475" s="195">
        <f t="shared" si="31"/>
        <v>0.127869107775876</v>
      </c>
      <c r="J475" s="196">
        <f t="shared" si="32"/>
        <v>0.281508219699829</v>
      </c>
      <c r="K475" s="172">
        <f t="shared" si="33"/>
        <v>3.4093773274757</v>
      </c>
      <c r="L475" s="172">
        <f t="shared" si="34"/>
        <v>0</v>
      </c>
      <c r="M475" s="182"/>
      <c r="N475" s="182"/>
      <c r="O475" s="198"/>
      <c r="P475" s="181">
        <v>62.12</v>
      </c>
    </row>
    <row r="476" s="162" customFormat="1" ht="21" outlineLevel="2" spans="1:16">
      <c r="A476" s="178"/>
      <c r="B476" s="177" t="s">
        <v>79</v>
      </c>
      <c r="C476" s="177" t="s">
        <v>168</v>
      </c>
      <c r="D476" s="178" t="s">
        <v>75</v>
      </c>
      <c r="E476" s="181"/>
      <c r="F476" s="179">
        <v>10</v>
      </c>
      <c r="G476" s="180">
        <v>95</v>
      </c>
      <c r="H476" s="179">
        <v>15</v>
      </c>
      <c r="I476" s="195">
        <f t="shared" si="31"/>
        <v>5.11476431103504</v>
      </c>
      <c r="J476" s="196">
        <f t="shared" si="32"/>
        <v>11.2603287879932</v>
      </c>
      <c r="K476" s="172">
        <f t="shared" si="33"/>
        <v>136.375093099028</v>
      </c>
      <c r="L476" s="172">
        <f t="shared" si="34"/>
        <v>0</v>
      </c>
      <c r="M476" s="182"/>
      <c r="N476" s="182"/>
      <c r="O476" s="198"/>
      <c r="P476" s="181">
        <v>9.32</v>
      </c>
    </row>
    <row r="477" s="162" customFormat="1" ht="42" outlineLevel="2" spans="1:16">
      <c r="A477" s="178"/>
      <c r="B477" s="177" t="s">
        <v>81</v>
      </c>
      <c r="C477" s="177" t="s">
        <v>426</v>
      </c>
      <c r="D477" s="178" t="s">
        <v>75</v>
      </c>
      <c r="E477" s="181"/>
      <c r="F477" s="179">
        <v>55</v>
      </c>
      <c r="G477" s="180">
        <v>445</v>
      </c>
      <c r="H477" s="179">
        <v>15</v>
      </c>
      <c r="I477" s="195">
        <f t="shared" si="31"/>
        <v>21.9508635015254</v>
      </c>
      <c r="J477" s="196">
        <f t="shared" si="32"/>
        <v>48.3255777151373</v>
      </c>
      <c r="K477" s="172">
        <f t="shared" si="33"/>
        <v>585.276441216663</v>
      </c>
      <c r="L477" s="172">
        <f t="shared" si="34"/>
        <v>0</v>
      </c>
      <c r="M477" s="182"/>
      <c r="N477" s="182"/>
      <c r="O477" s="198"/>
      <c r="P477" s="181">
        <v>6.21</v>
      </c>
    </row>
    <row r="478" s="162" customFormat="1" ht="42" outlineLevel="2" spans="1:16">
      <c r="A478" s="178"/>
      <c r="B478" s="177" t="s">
        <v>166</v>
      </c>
      <c r="C478" s="177" t="s">
        <v>167</v>
      </c>
      <c r="D478" s="178" t="s">
        <v>75</v>
      </c>
      <c r="E478" s="181"/>
      <c r="F478" s="181">
        <v>220</v>
      </c>
      <c r="G478" s="181">
        <v>260</v>
      </c>
      <c r="H478" s="181">
        <v>85</v>
      </c>
      <c r="I478" s="195">
        <f t="shared" si="31"/>
        <v>24.08201529779</v>
      </c>
      <c r="J478" s="196">
        <f t="shared" si="32"/>
        <v>53.0173813768011</v>
      </c>
      <c r="K478" s="172">
        <f t="shared" si="33"/>
        <v>642.099396674591</v>
      </c>
      <c r="L478" s="172">
        <f t="shared" si="34"/>
        <v>0</v>
      </c>
      <c r="M478" s="182"/>
      <c r="N478" s="182"/>
      <c r="O478" s="198"/>
      <c r="P478" s="181">
        <v>24.45</v>
      </c>
    </row>
    <row r="479" s="162" customFormat="1" ht="21" outlineLevel="2" spans="1:16">
      <c r="A479" s="178"/>
      <c r="B479" s="177" t="s">
        <v>528</v>
      </c>
      <c r="C479" s="177" t="s">
        <v>529</v>
      </c>
      <c r="D479" s="178" t="s">
        <v>78</v>
      </c>
      <c r="E479" s="181"/>
      <c r="F479" s="201">
        <v>15</v>
      </c>
      <c r="G479" s="201">
        <v>15</v>
      </c>
      <c r="H479" s="222"/>
      <c r="I479" s="195">
        <f t="shared" si="31"/>
        <v>1.27869107775876</v>
      </c>
      <c r="J479" s="196">
        <f t="shared" si="32"/>
        <v>2.81508219699829</v>
      </c>
      <c r="K479" s="172">
        <f t="shared" si="33"/>
        <v>34.093773274757</v>
      </c>
      <c r="L479" s="172">
        <f t="shared" si="34"/>
        <v>0</v>
      </c>
      <c r="M479" s="182"/>
      <c r="N479" s="182"/>
      <c r="O479" s="198"/>
      <c r="P479" s="181">
        <v>81.63</v>
      </c>
    </row>
    <row r="480" s="162" customFormat="1" ht="42" outlineLevel="2" spans="1:16">
      <c r="A480" s="178"/>
      <c r="B480" s="177" t="s">
        <v>530</v>
      </c>
      <c r="C480" s="177" t="s">
        <v>531</v>
      </c>
      <c r="D480" s="178" t="s">
        <v>78</v>
      </c>
      <c r="E480" s="181"/>
      <c r="F480" s="179">
        <v>65</v>
      </c>
      <c r="G480" s="179">
        <v>280</v>
      </c>
      <c r="H480" s="179">
        <v>15</v>
      </c>
      <c r="I480" s="195">
        <f t="shared" si="31"/>
        <v>15.3442929331051</v>
      </c>
      <c r="J480" s="196">
        <f t="shared" si="32"/>
        <v>33.7809863639795</v>
      </c>
      <c r="K480" s="172">
        <f t="shared" si="33"/>
        <v>409.125279297085</v>
      </c>
      <c r="L480" s="172">
        <f t="shared" si="34"/>
        <v>0</v>
      </c>
      <c r="M480" s="182"/>
      <c r="N480" s="182"/>
      <c r="O480" s="198"/>
      <c r="P480" s="181">
        <f>9.57+17.78</f>
        <v>27.35</v>
      </c>
    </row>
    <row r="481" s="162" customFormat="1" ht="31.5" outlineLevel="2" spans="1:16">
      <c r="A481" s="178"/>
      <c r="B481" s="177" t="s">
        <v>532</v>
      </c>
      <c r="C481" s="177" t="s">
        <v>533</v>
      </c>
      <c r="D481" s="178" t="s">
        <v>78</v>
      </c>
      <c r="E481" s="181"/>
      <c r="F481" s="206">
        <v>65</v>
      </c>
      <c r="G481" s="206">
        <v>260</v>
      </c>
      <c r="H481" s="206">
        <v>15</v>
      </c>
      <c r="I481" s="195">
        <f t="shared" si="31"/>
        <v>14.4918322145993</v>
      </c>
      <c r="J481" s="196">
        <f t="shared" si="32"/>
        <v>31.9042648993139</v>
      </c>
      <c r="K481" s="172">
        <f t="shared" si="33"/>
        <v>386.396097113913</v>
      </c>
      <c r="L481" s="172">
        <f t="shared" si="34"/>
        <v>0</v>
      </c>
      <c r="M481" s="182"/>
      <c r="N481" s="182"/>
      <c r="O481" s="198"/>
      <c r="P481" s="181">
        <f>8.12+42.22</f>
        <v>50.34</v>
      </c>
    </row>
    <row r="482" s="162" customFormat="1" ht="11.25" outlineLevel="1" collapsed="1" spans="1:16">
      <c r="A482" s="178">
        <v>1.3</v>
      </c>
      <c r="B482" s="177" t="s">
        <v>534</v>
      </c>
      <c r="C482" s="177"/>
      <c r="D482" s="178"/>
      <c r="E482" s="181"/>
      <c r="F482" s="201"/>
      <c r="G482" s="201"/>
      <c r="H482" s="222"/>
      <c r="I482" s="195">
        <f t="shared" si="31"/>
        <v>0</v>
      </c>
      <c r="J482" s="196"/>
      <c r="K482" s="172"/>
      <c r="L482" s="172"/>
      <c r="M482" s="182"/>
      <c r="N482" s="182"/>
      <c r="O482" s="198"/>
      <c r="P482" s="181"/>
    </row>
    <row r="483" s="162" customFormat="1" ht="31.5" outlineLevel="1" spans="1:16">
      <c r="A483" s="178"/>
      <c r="B483" s="177" t="s">
        <v>73</v>
      </c>
      <c r="C483" s="177" t="s">
        <v>527</v>
      </c>
      <c r="D483" s="178" t="s">
        <v>75</v>
      </c>
      <c r="E483" s="181"/>
      <c r="F483" s="201"/>
      <c r="G483" s="201"/>
      <c r="H483" s="179">
        <v>8.5</v>
      </c>
      <c r="I483" s="195">
        <f t="shared" si="31"/>
        <v>0.362295805364982</v>
      </c>
      <c r="J483" s="196">
        <f t="shared" si="32"/>
        <v>0.797606622482848</v>
      </c>
      <c r="K483" s="172">
        <f t="shared" si="33"/>
        <v>9.65990242784783</v>
      </c>
      <c r="L483" s="172">
        <f t="shared" si="34"/>
        <v>0</v>
      </c>
      <c r="M483" s="182"/>
      <c r="N483" s="182"/>
      <c r="O483" s="198"/>
      <c r="P483" s="181">
        <v>33.55</v>
      </c>
    </row>
    <row r="484" s="162" customFormat="1" ht="63" outlineLevel="1" spans="1:16">
      <c r="A484" s="178"/>
      <c r="B484" s="177" t="s">
        <v>162</v>
      </c>
      <c r="C484" s="177" t="s">
        <v>163</v>
      </c>
      <c r="D484" s="178" t="s">
        <v>75</v>
      </c>
      <c r="E484" s="181"/>
      <c r="F484" s="201"/>
      <c r="G484" s="201"/>
      <c r="H484" s="179">
        <v>10</v>
      </c>
      <c r="I484" s="195">
        <f t="shared" si="31"/>
        <v>0.42623035925292</v>
      </c>
      <c r="J484" s="196">
        <f t="shared" si="32"/>
        <v>0.938360732332763</v>
      </c>
      <c r="K484" s="172">
        <f t="shared" si="33"/>
        <v>11.3645910915857</v>
      </c>
      <c r="L484" s="172">
        <f t="shared" si="34"/>
        <v>0</v>
      </c>
      <c r="M484" s="182"/>
      <c r="N484" s="182"/>
      <c r="O484" s="198"/>
      <c r="P484" s="181">
        <f>33.55-7.31-4.88-9.25-1.65-2.91</f>
        <v>7.55</v>
      </c>
    </row>
    <row r="485" s="162" customFormat="1" ht="21" outlineLevel="1" spans="1:16">
      <c r="A485" s="178"/>
      <c r="B485" s="177" t="s">
        <v>76</v>
      </c>
      <c r="C485" s="177" t="s">
        <v>109</v>
      </c>
      <c r="D485" s="178" t="s">
        <v>78</v>
      </c>
      <c r="E485" s="181"/>
      <c r="F485" s="179">
        <v>0.5</v>
      </c>
      <c r="G485" s="172"/>
      <c r="H485" s="179">
        <v>2.5</v>
      </c>
      <c r="I485" s="195">
        <f t="shared" si="31"/>
        <v>0.127869107775876</v>
      </c>
      <c r="J485" s="196">
        <f t="shared" si="32"/>
        <v>0.281508219699829</v>
      </c>
      <c r="K485" s="172">
        <f t="shared" si="33"/>
        <v>3.4093773274757</v>
      </c>
      <c r="L485" s="172">
        <f t="shared" si="34"/>
        <v>0</v>
      </c>
      <c r="M485" s="182"/>
      <c r="N485" s="182"/>
      <c r="O485" s="198"/>
      <c r="P485" s="181">
        <v>48.76</v>
      </c>
    </row>
    <row r="486" s="162" customFormat="1" ht="21" outlineLevel="1" spans="1:16">
      <c r="A486" s="178"/>
      <c r="B486" s="177" t="s">
        <v>79</v>
      </c>
      <c r="C486" s="177" t="s">
        <v>168</v>
      </c>
      <c r="D486" s="178" t="s">
        <v>75</v>
      </c>
      <c r="E486" s="181"/>
      <c r="F486" s="179">
        <v>10</v>
      </c>
      <c r="G486" s="180">
        <v>95</v>
      </c>
      <c r="H486" s="179">
        <v>15</v>
      </c>
      <c r="I486" s="195">
        <f t="shared" si="31"/>
        <v>5.11476431103504</v>
      </c>
      <c r="J486" s="196">
        <f t="shared" si="32"/>
        <v>11.2603287879932</v>
      </c>
      <c r="K486" s="172">
        <f t="shared" si="33"/>
        <v>136.375093099028</v>
      </c>
      <c r="L486" s="172">
        <f t="shared" si="34"/>
        <v>0</v>
      </c>
      <c r="M486" s="182"/>
      <c r="N486" s="182"/>
      <c r="O486" s="198"/>
      <c r="P486" s="181">
        <v>7.31</v>
      </c>
    </row>
    <row r="487" s="162" customFormat="1" ht="42" outlineLevel="1" spans="1:16">
      <c r="A487" s="178"/>
      <c r="B487" s="177" t="s">
        <v>81</v>
      </c>
      <c r="C487" s="177" t="s">
        <v>426</v>
      </c>
      <c r="D487" s="178" t="s">
        <v>75</v>
      </c>
      <c r="E487" s="181"/>
      <c r="F487" s="179">
        <v>55</v>
      </c>
      <c r="G487" s="180">
        <v>445</v>
      </c>
      <c r="H487" s="179">
        <v>15</v>
      </c>
      <c r="I487" s="195">
        <f t="shared" si="31"/>
        <v>21.9508635015254</v>
      </c>
      <c r="J487" s="196">
        <f t="shared" si="32"/>
        <v>48.3255777151373</v>
      </c>
      <c r="K487" s="172">
        <f t="shared" si="33"/>
        <v>585.276441216663</v>
      </c>
      <c r="L487" s="172">
        <f t="shared" si="34"/>
        <v>0</v>
      </c>
      <c r="M487" s="182"/>
      <c r="N487" s="182"/>
      <c r="O487" s="198"/>
      <c r="P487" s="181">
        <v>4.88</v>
      </c>
    </row>
    <row r="488" s="162" customFormat="1" ht="42" outlineLevel="1" spans="1:16">
      <c r="A488" s="178"/>
      <c r="B488" s="177" t="s">
        <v>535</v>
      </c>
      <c r="C488" s="177" t="s">
        <v>536</v>
      </c>
      <c r="D488" s="178" t="s">
        <v>75</v>
      </c>
      <c r="E488" s="181"/>
      <c r="F488" s="179">
        <v>200</v>
      </c>
      <c r="G488" s="180">
        <v>465</v>
      </c>
      <c r="H488" s="179">
        <v>180</v>
      </c>
      <c r="I488" s="195">
        <f t="shared" si="31"/>
        <v>36.0164653568717</v>
      </c>
      <c r="J488" s="196">
        <f t="shared" si="32"/>
        <v>79.2914818821185</v>
      </c>
      <c r="K488" s="172">
        <f t="shared" si="33"/>
        <v>960.30794723899</v>
      </c>
      <c r="L488" s="172">
        <f t="shared" si="34"/>
        <v>0</v>
      </c>
      <c r="M488" s="182"/>
      <c r="N488" s="182"/>
      <c r="O488" s="198"/>
      <c r="P488" s="181">
        <v>9.25</v>
      </c>
    </row>
    <row r="489" s="162" customFormat="1" ht="42" outlineLevel="1" spans="1:16">
      <c r="A489" s="178"/>
      <c r="B489" s="177" t="s">
        <v>537</v>
      </c>
      <c r="C489" s="177" t="s">
        <v>538</v>
      </c>
      <c r="D489" s="178" t="s">
        <v>75</v>
      </c>
      <c r="E489" s="181"/>
      <c r="F489" s="179">
        <v>200</v>
      </c>
      <c r="G489" s="180">
        <v>465</v>
      </c>
      <c r="H489" s="179">
        <v>180</v>
      </c>
      <c r="I489" s="195">
        <f t="shared" si="31"/>
        <v>36.0164653568717</v>
      </c>
      <c r="J489" s="196">
        <f t="shared" si="32"/>
        <v>79.2914818821185</v>
      </c>
      <c r="K489" s="172">
        <f t="shared" si="33"/>
        <v>960.30794723899</v>
      </c>
      <c r="L489" s="172">
        <f t="shared" si="34"/>
        <v>0</v>
      </c>
      <c r="M489" s="182"/>
      <c r="N489" s="182"/>
      <c r="O489" s="198"/>
      <c r="P489" s="181">
        <v>5.67</v>
      </c>
    </row>
    <row r="490" s="162" customFormat="1" ht="42" outlineLevel="1" spans="1:16">
      <c r="A490" s="178"/>
      <c r="B490" s="177" t="s">
        <v>166</v>
      </c>
      <c r="C490" s="177" t="s">
        <v>167</v>
      </c>
      <c r="D490" s="178" t="s">
        <v>75</v>
      </c>
      <c r="E490" s="181"/>
      <c r="F490" s="181">
        <v>220</v>
      </c>
      <c r="G490" s="181">
        <v>260</v>
      </c>
      <c r="H490" s="181">
        <v>85</v>
      </c>
      <c r="I490" s="195">
        <f t="shared" si="31"/>
        <v>24.08201529779</v>
      </c>
      <c r="J490" s="196">
        <f t="shared" si="32"/>
        <v>53.0173813768011</v>
      </c>
      <c r="K490" s="172">
        <f t="shared" si="33"/>
        <v>642.099396674591</v>
      </c>
      <c r="L490" s="172">
        <f t="shared" si="34"/>
        <v>0</v>
      </c>
      <c r="M490" s="182"/>
      <c r="N490" s="182"/>
      <c r="O490" s="198"/>
      <c r="P490" s="181">
        <v>5.01</v>
      </c>
    </row>
    <row r="491" s="162" customFormat="1" ht="42" outlineLevel="1" spans="1:16">
      <c r="A491" s="178"/>
      <c r="B491" s="177" t="s">
        <v>259</v>
      </c>
      <c r="C491" s="177" t="s">
        <v>539</v>
      </c>
      <c r="D491" s="178" t="s">
        <v>75</v>
      </c>
      <c r="E491" s="181"/>
      <c r="F491" s="179">
        <v>200</v>
      </c>
      <c r="G491" s="180">
        <v>465</v>
      </c>
      <c r="H491" s="179">
        <v>180</v>
      </c>
      <c r="I491" s="195">
        <f t="shared" si="31"/>
        <v>36.0164653568717</v>
      </c>
      <c r="J491" s="196">
        <f t="shared" si="32"/>
        <v>79.2914818821185</v>
      </c>
      <c r="K491" s="172">
        <f t="shared" si="33"/>
        <v>960.30794723899</v>
      </c>
      <c r="L491" s="172">
        <f t="shared" si="34"/>
        <v>0</v>
      </c>
      <c r="M491" s="182"/>
      <c r="N491" s="182"/>
      <c r="O491" s="198"/>
      <c r="P491" s="181">
        <v>1.63</v>
      </c>
    </row>
    <row r="492" s="163" customFormat="1" ht="31.5" outlineLevel="1" spans="1:19">
      <c r="A492" s="178"/>
      <c r="B492" s="177" t="s">
        <v>208</v>
      </c>
      <c r="C492" s="177" t="s">
        <v>540</v>
      </c>
      <c r="D492" s="178" t="s">
        <v>140</v>
      </c>
      <c r="E492" s="200"/>
      <c r="F492" s="179">
        <v>1000</v>
      </c>
      <c r="G492" s="179">
        <v>4600</v>
      </c>
      <c r="H492" s="179">
        <v>200</v>
      </c>
      <c r="I492" s="195">
        <f t="shared" si="31"/>
        <v>247.213608366694</v>
      </c>
      <c r="J492" s="196">
        <f t="shared" si="32"/>
        <v>544.249224753002</v>
      </c>
      <c r="K492" s="172">
        <f t="shared" si="33"/>
        <v>6591.4628331197</v>
      </c>
      <c r="L492" s="172">
        <f t="shared" si="34"/>
        <v>0</v>
      </c>
      <c r="M492" s="182"/>
      <c r="N492" s="182"/>
      <c r="O492" s="198"/>
      <c r="P492" s="200">
        <v>0.382</v>
      </c>
      <c r="R492" s="162"/>
      <c r="S492" s="162"/>
    </row>
    <row r="493" s="163" customFormat="1" ht="31.5" outlineLevel="1" spans="1:19">
      <c r="A493" s="178"/>
      <c r="B493" s="177" t="s">
        <v>208</v>
      </c>
      <c r="C493" s="177" t="s">
        <v>541</v>
      </c>
      <c r="D493" s="178" t="s">
        <v>140</v>
      </c>
      <c r="E493" s="200"/>
      <c r="F493" s="179">
        <v>1000</v>
      </c>
      <c r="G493" s="179">
        <v>4600</v>
      </c>
      <c r="H493" s="179">
        <v>200</v>
      </c>
      <c r="I493" s="195">
        <f t="shared" si="31"/>
        <v>247.213608366694</v>
      </c>
      <c r="J493" s="196">
        <f t="shared" si="32"/>
        <v>544.249224753002</v>
      </c>
      <c r="K493" s="172">
        <f t="shared" si="33"/>
        <v>6591.4628331197</v>
      </c>
      <c r="L493" s="172">
        <f t="shared" si="34"/>
        <v>0</v>
      </c>
      <c r="M493" s="182"/>
      <c r="N493" s="182"/>
      <c r="O493" s="198"/>
      <c r="P493" s="200">
        <v>0.512</v>
      </c>
      <c r="R493" s="162"/>
      <c r="S493" s="162"/>
    </row>
    <row r="494" s="163" customFormat="1" ht="63" outlineLevel="1" spans="1:19">
      <c r="A494" s="178"/>
      <c r="B494" s="177" t="s">
        <v>542</v>
      </c>
      <c r="C494" s="177" t="s">
        <v>543</v>
      </c>
      <c r="D494" s="178" t="s">
        <v>89</v>
      </c>
      <c r="E494" s="200"/>
      <c r="F494" s="206">
        <v>65</v>
      </c>
      <c r="G494" s="206">
        <v>220</v>
      </c>
      <c r="H494" s="206">
        <v>25</v>
      </c>
      <c r="I494" s="195">
        <f t="shared" si="31"/>
        <v>13.2131411368405</v>
      </c>
      <c r="J494" s="196">
        <f t="shared" si="32"/>
        <v>29.0891827023156</v>
      </c>
      <c r="K494" s="172">
        <f t="shared" si="33"/>
        <v>352.302323839156</v>
      </c>
      <c r="L494" s="172">
        <f t="shared" si="34"/>
        <v>0</v>
      </c>
      <c r="M494" s="182"/>
      <c r="N494" s="182"/>
      <c r="O494" s="198"/>
      <c r="P494" s="200">
        <v>28.22</v>
      </c>
      <c r="R494" s="162"/>
      <c r="S494" s="162"/>
    </row>
    <row r="495" s="162" customFormat="1" ht="21" outlineLevel="1" spans="1:16">
      <c r="A495" s="178"/>
      <c r="B495" s="177" t="s">
        <v>544</v>
      </c>
      <c r="C495" s="177" t="s">
        <v>545</v>
      </c>
      <c r="D495" s="178" t="s">
        <v>78</v>
      </c>
      <c r="E495" s="200"/>
      <c r="F495" s="179">
        <v>20</v>
      </c>
      <c r="G495" s="179">
        <v>30</v>
      </c>
      <c r="H495" s="179">
        <v>10</v>
      </c>
      <c r="I495" s="195">
        <f t="shared" si="31"/>
        <v>2.55738215551752</v>
      </c>
      <c r="J495" s="196">
        <f t="shared" si="32"/>
        <v>5.63016439399658</v>
      </c>
      <c r="K495" s="172">
        <f t="shared" si="33"/>
        <v>68.1875465495141</v>
      </c>
      <c r="L495" s="172">
        <f t="shared" si="34"/>
        <v>0</v>
      </c>
      <c r="M495" s="182"/>
      <c r="N495" s="182"/>
      <c r="O495" s="198"/>
      <c r="P495" s="200">
        <v>94.22</v>
      </c>
    </row>
    <row r="496" s="162" customFormat="1" ht="42" outlineLevel="1" spans="1:16">
      <c r="A496" s="178"/>
      <c r="B496" s="177" t="s">
        <v>546</v>
      </c>
      <c r="C496" s="177" t="s">
        <v>531</v>
      </c>
      <c r="D496" s="178" t="s">
        <v>78</v>
      </c>
      <c r="E496" s="181"/>
      <c r="F496" s="179">
        <v>65</v>
      </c>
      <c r="G496" s="179">
        <v>280</v>
      </c>
      <c r="H496" s="179">
        <v>15</v>
      </c>
      <c r="I496" s="195">
        <f t="shared" si="31"/>
        <v>15.3442929331051</v>
      </c>
      <c r="J496" s="196">
        <f t="shared" si="32"/>
        <v>33.7809863639795</v>
      </c>
      <c r="K496" s="172">
        <f t="shared" si="33"/>
        <v>409.125279297085</v>
      </c>
      <c r="L496" s="172">
        <f t="shared" si="34"/>
        <v>0</v>
      </c>
      <c r="M496" s="182"/>
      <c r="N496" s="182"/>
      <c r="O496" s="198"/>
      <c r="P496" s="181">
        <v>14.29</v>
      </c>
    </row>
    <row r="497" s="162" customFormat="1" ht="31.5" spans="1:16">
      <c r="A497" s="209" t="s">
        <v>547</v>
      </c>
      <c r="B497" s="209" t="s">
        <v>548</v>
      </c>
      <c r="C497" s="177"/>
      <c r="D497" s="178"/>
      <c r="E497" s="178"/>
      <c r="F497" s="201"/>
      <c r="G497" s="201"/>
      <c r="H497" s="222"/>
      <c r="I497" s="195">
        <f t="shared" si="31"/>
        <v>0</v>
      </c>
      <c r="J497" s="196"/>
      <c r="K497" s="172"/>
      <c r="L497" s="172"/>
      <c r="M497" s="182"/>
      <c r="N497" s="182"/>
      <c r="O497" s="198"/>
      <c r="P497" s="178"/>
    </row>
    <row r="498" s="162" customFormat="1" ht="21" outlineLevel="1" spans="1:16">
      <c r="A498" s="178">
        <v>1</v>
      </c>
      <c r="B498" s="177" t="s">
        <v>549</v>
      </c>
      <c r="C498" s="177"/>
      <c r="D498" s="178"/>
      <c r="E498" s="181"/>
      <c r="F498" s="201"/>
      <c r="G498" s="201"/>
      <c r="H498" s="222"/>
      <c r="I498" s="195">
        <f t="shared" si="31"/>
        <v>0</v>
      </c>
      <c r="J498" s="196"/>
      <c r="K498" s="172"/>
      <c r="L498" s="172"/>
      <c r="M498" s="182"/>
      <c r="N498" s="182"/>
      <c r="O498" s="198"/>
      <c r="P498" s="181"/>
    </row>
    <row r="499" s="162" customFormat="1" ht="21" outlineLevel="2" spans="1:16">
      <c r="A499" s="178"/>
      <c r="B499" s="177" t="s">
        <v>76</v>
      </c>
      <c r="C499" s="177" t="s">
        <v>109</v>
      </c>
      <c r="D499" s="178" t="s">
        <v>78</v>
      </c>
      <c r="E499" s="181"/>
      <c r="F499" s="179">
        <v>0.5</v>
      </c>
      <c r="G499" s="172"/>
      <c r="H499" s="179">
        <v>2.5</v>
      </c>
      <c r="I499" s="195">
        <f t="shared" si="31"/>
        <v>0.127869107775876</v>
      </c>
      <c r="J499" s="196">
        <f t="shared" si="32"/>
        <v>0.281508219699829</v>
      </c>
      <c r="K499" s="172">
        <f t="shared" si="33"/>
        <v>3.4093773274757</v>
      </c>
      <c r="L499" s="172">
        <f t="shared" si="34"/>
        <v>0</v>
      </c>
      <c r="M499" s="182"/>
      <c r="N499" s="182"/>
      <c r="O499" s="198"/>
      <c r="P499" s="181">
        <f>78.84</f>
        <v>78.84</v>
      </c>
    </row>
    <row r="500" s="162" customFormat="1" ht="21" outlineLevel="2" spans="1:16">
      <c r="A500" s="178"/>
      <c r="B500" s="177" t="s">
        <v>79</v>
      </c>
      <c r="C500" s="177" t="s">
        <v>80</v>
      </c>
      <c r="D500" s="178" t="s">
        <v>75</v>
      </c>
      <c r="E500" s="181"/>
      <c r="F500" s="179">
        <v>10</v>
      </c>
      <c r="G500" s="180">
        <v>95</v>
      </c>
      <c r="H500" s="179">
        <v>15</v>
      </c>
      <c r="I500" s="195">
        <f t="shared" si="31"/>
        <v>5.11476431103504</v>
      </c>
      <c r="J500" s="196">
        <f t="shared" si="32"/>
        <v>11.2603287879932</v>
      </c>
      <c r="K500" s="172">
        <f t="shared" si="33"/>
        <v>136.375093099028</v>
      </c>
      <c r="L500" s="172">
        <f t="shared" si="34"/>
        <v>0</v>
      </c>
      <c r="M500" s="182"/>
      <c r="N500" s="182"/>
      <c r="O500" s="198"/>
      <c r="P500" s="181">
        <f>P499*0.2</f>
        <v>15.768</v>
      </c>
    </row>
    <row r="501" s="162" customFormat="1" ht="42" outlineLevel="2" spans="1:16">
      <c r="A501" s="178"/>
      <c r="B501" s="177" t="s">
        <v>81</v>
      </c>
      <c r="C501" s="177" t="s">
        <v>82</v>
      </c>
      <c r="D501" s="178" t="s">
        <v>75</v>
      </c>
      <c r="E501" s="181"/>
      <c r="F501" s="179">
        <v>55</v>
      </c>
      <c r="G501" s="180">
        <v>445</v>
      </c>
      <c r="H501" s="179">
        <v>15</v>
      </c>
      <c r="I501" s="195">
        <f t="shared" si="31"/>
        <v>21.9508635015254</v>
      </c>
      <c r="J501" s="196">
        <f t="shared" si="32"/>
        <v>48.3255777151373</v>
      </c>
      <c r="K501" s="172">
        <f t="shared" si="33"/>
        <v>585.276441216663</v>
      </c>
      <c r="L501" s="172">
        <f t="shared" si="34"/>
        <v>0</v>
      </c>
      <c r="M501" s="182"/>
      <c r="N501" s="182"/>
      <c r="O501" s="198"/>
      <c r="P501" s="181">
        <f>P499*0.2</f>
        <v>15.768</v>
      </c>
    </row>
    <row r="502" s="162" customFormat="1" ht="31.5" outlineLevel="2" spans="1:16">
      <c r="A502" s="178"/>
      <c r="B502" s="177" t="s">
        <v>518</v>
      </c>
      <c r="C502" s="177" t="s">
        <v>550</v>
      </c>
      <c r="D502" s="178" t="s">
        <v>78</v>
      </c>
      <c r="E502" s="181"/>
      <c r="F502" s="179">
        <v>50</v>
      </c>
      <c r="G502" s="180">
        <v>65</v>
      </c>
      <c r="H502" s="179">
        <v>15</v>
      </c>
      <c r="I502" s="195">
        <f t="shared" si="31"/>
        <v>5.54099467028796</v>
      </c>
      <c r="J502" s="196">
        <f t="shared" si="32"/>
        <v>12.1986895203259</v>
      </c>
      <c r="K502" s="172">
        <f t="shared" si="33"/>
        <v>147.739684190614</v>
      </c>
      <c r="L502" s="172">
        <f t="shared" si="34"/>
        <v>0</v>
      </c>
      <c r="M502" s="182"/>
      <c r="N502" s="182"/>
      <c r="O502" s="198"/>
      <c r="P502" s="181">
        <v>9</v>
      </c>
    </row>
    <row r="503" s="162" customFormat="1" ht="31.5" outlineLevel="2" spans="1:16">
      <c r="A503" s="178"/>
      <c r="B503" s="177" t="s">
        <v>157</v>
      </c>
      <c r="C503" s="177" t="s">
        <v>520</v>
      </c>
      <c r="D503" s="178" t="s">
        <v>78</v>
      </c>
      <c r="E503" s="181"/>
      <c r="F503" s="179">
        <v>50</v>
      </c>
      <c r="G503" s="180">
        <v>65</v>
      </c>
      <c r="H503" s="179">
        <v>15</v>
      </c>
      <c r="I503" s="195">
        <f t="shared" si="31"/>
        <v>5.54099467028796</v>
      </c>
      <c r="J503" s="196">
        <f t="shared" si="32"/>
        <v>12.1986895203259</v>
      </c>
      <c r="K503" s="172">
        <f t="shared" si="33"/>
        <v>147.739684190614</v>
      </c>
      <c r="L503" s="172">
        <f t="shared" si="34"/>
        <v>0</v>
      </c>
      <c r="M503" s="182"/>
      <c r="N503" s="182"/>
      <c r="O503" s="198"/>
      <c r="P503" s="181">
        <f>1.24+3.52</f>
        <v>4.76</v>
      </c>
    </row>
    <row r="504" s="162" customFormat="1" ht="31.5" outlineLevel="2" spans="1:16">
      <c r="A504" s="178"/>
      <c r="B504" s="177" t="s">
        <v>521</v>
      </c>
      <c r="C504" s="177" t="s">
        <v>522</v>
      </c>
      <c r="D504" s="178" t="s">
        <v>78</v>
      </c>
      <c r="E504" s="181"/>
      <c r="F504" s="179">
        <v>50</v>
      </c>
      <c r="G504" s="180">
        <v>65</v>
      </c>
      <c r="H504" s="179">
        <v>15</v>
      </c>
      <c r="I504" s="195">
        <f t="shared" si="31"/>
        <v>5.54099467028796</v>
      </c>
      <c r="J504" s="196">
        <f t="shared" si="32"/>
        <v>12.1986895203259</v>
      </c>
      <c r="K504" s="172">
        <f t="shared" si="33"/>
        <v>147.739684190614</v>
      </c>
      <c r="L504" s="172">
        <f t="shared" si="34"/>
        <v>0</v>
      </c>
      <c r="M504" s="182"/>
      <c r="N504" s="182"/>
      <c r="O504" s="198"/>
      <c r="P504" s="181">
        <f>2.72+7.28</f>
        <v>10</v>
      </c>
    </row>
    <row r="505" s="162" customFormat="1" ht="31.5" outlineLevel="2" spans="1:16">
      <c r="A505" s="178"/>
      <c r="B505" s="177" t="s">
        <v>153</v>
      </c>
      <c r="C505" s="177" t="s">
        <v>551</v>
      </c>
      <c r="D505" s="178" t="s">
        <v>78</v>
      </c>
      <c r="E505" s="181"/>
      <c r="F505" s="179">
        <v>50</v>
      </c>
      <c r="G505" s="180">
        <v>65</v>
      </c>
      <c r="H505" s="179">
        <v>15</v>
      </c>
      <c r="I505" s="195">
        <f t="shared" si="31"/>
        <v>5.54099467028796</v>
      </c>
      <c r="J505" s="196">
        <f t="shared" si="32"/>
        <v>12.1986895203259</v>
      </c>
      <c r="K505" s="172">
        <f t="shared" si="33"/>
        <v>147.739684190614</v>
      </c>
      <c r="L505" s="172">
        <f t="shared" si="34"/>
        <v>0</v>
      </c>
      <c r="M505" s="182"/>
      <c r="N505" s="182"/>
      <c r="O505" s="198"/>
      <c r="P505" s="181">
        <v>55.08</v>
      </c>
    </row>
    <row r="506" s="162" customFormat="1" ht="11.25" outlineLevel="1" spans="1:16">
      <c r="A506" s="178">
        <v>2</v>
      </c>
      <c r="B506" s="177" t="s">
        <v>552</v>
      </c>
      <c r="C506" s="177"/>
      <c r="D506" s="178"/>
      <c r="E506" s="181"/>
      <c r="F506" s="201"/>
      <c r="G506" s="201"/>
      <c r="H506" s="222"/>
      <c r="I506" s="195">
        <f t="shared" si="31"/>
        <v>0</v>
      </c>
      <c r="J506" s="196"/>
      <c r="K506" s="172"/>
      <c r="L506" s="172"/>
      <c r="M506" s="182"/>
      <c r="N506" s="182"/>
      <c r="O506" s="198"/>
      <c r="P506" s="181"/>
    </row>
    <row r="507" s="162" customFormat="1" ht="11.25" outlineLevel="1" spans="1:16">
      <c r="A507" s="178">
        <v>2.1</v>
      </c>
      <c r="B507" s="177" t="s">
        <v>553</v>
      </c>
      <c r="C507" s="177"/>
      <c r="D507" s="178"/>
      <c r="E507" s="181"/>
      <c r="F507" s="201"/>
      <c r="G507" s="201"/>
      <c r="H507" s="222"/>
      <c r="I507" s="195">
        <f t="shared" si="31"/>
        <v>0</v>
      </c>
      <c r="J507" s="196"/>
      <c r="K507" s="172"/>
      <c r="L507" s="172"/>
      <c r="M507" s="182"/>
      <c r="N507" s="182"/>
      <c r="O507" s="198"/>
      <c r="P507" s="181"/>
    </row>
    <row r="508" s="163" customFormat="1" ht="52.5" outlineLevel="2" spans="1:19">
      <c r="A508" s="178"/>
      <c r="B508" s="177" t="s">
        <v>554</v>
      </c>
      <c r="C508" s="177" t="s">
        <v>74</v>
      </c>
      <c r="D508" s="178" t="s">
        <v>75</v>
      </c>
      <c r="E508" s="181"/>
      <c r="F508" s="201"/>
      <c r="G508" s="201"/>
      <c r="H508" s="179">
        <v>8.5</v>
      </c>
      <c r="I508" s="195">
        <f t="shared" si="31"/>
        <v>0.362295805364982</v>
      </c>
      <c r="J508" s="196">
        <f t="shared" si="32"/>
        <v>0.797606622482848</v>
      </c>
      <c r="K508" s="172">
        <f t="shared" si="33"/>
        <v>9.65990242784783</v>
      </c>
      <c r="L508" s="172">
        <f t="shared" si="34"/>
        <v>0</v>
      </c>
      <c r="M508" s="182"/>
      <c r="N508" s="182"/>
      <c r="O508" s="198"/>
      <c r="P508" s="181">
        <v>22.05</v>
      </c>
      <c r="R508" s="162"/>
      <c r="S508" s="162"/>
    </row>
    <row r="509" s="163" customFormat="1" ht="63" outlineLevel="2" spans="1:19">
      <c r="A509" s="178"/>
      <c r="B509" s="177" t="s">
        <v>162</v>
      </c>
      <c r="C509" s="177" t="s">
        <v>163</v>
      </c>
      <c r="D509" s="178" t="s">
        <v>75</v>
      </c>
      <c r="E509" s="181"/>
      <c r="F509" s="201"/>
      <c r="G509" s="201"/>
      <c r="H509" s="179">
        <v>10</v>
      </c>
      <c r="I509" s="195">
        <f t="shared" si="31"/>
        <v>0.42623035925292</v>
      </c>
      <c r="J509" s="196">
        <f t="shared" si="32"/>
        <v>0.938360732332763</v>
      </c>
      <c r="K509" s="172">
        <f t="shared" si="33"/>
        <v>11.3645910915857</v>
      </c>
      <c r="L509" s="172">
        <f t="shared" si="34"/>
        <v>0</v>
      </c>
      <c r="M509" s="182"/>
      <c r="N509" s="182"/>
      <c r="O509" s="198"/>
      <c r="P509" s="181">
        <v>14.26</v>
      </c>
      <c r="R509" s="162"/>
      <c r="S509" s="162"/>
    </row>
    <row r="510" s="163" customFormat="1" ht="42" outlineLevel="2" spans="1:19">
      <c r="A510" s="178"/>
      <c r="B510" s="177" t="s">
        <v>555</v>
      </c>
      <c r="C510" s="177" t="s">
        <v>556</v>
      </c>
      <c r="D510" s="178" t="s">
        <v>75</v>
      </c>
      <c r="E510" s="181"/>
      <c r="F510" s="179">
        <v>200</v>
      </c>
      <c r="G510" s="180">
        <v>465</v>
      </c>
      <c r="H510" s="179">
        <v>180</v>
      </c>
      <c r="I510" s="195">
        <f t="shared" si="31"/>
        <v>36.0164653568717</v>
      </c>
      <c r="J510" s="196">
        <f t="shared" si="32"/>
        <v>79.2914818821185</v>
      </c>
      <c r="K510" s="172">
        <f t="shared" si="33"/>
        <v>960.30794723899</v>
      </c>
      <c r="L510" s="172">
        <f t="shared" si="34"/>
        <v>0</v>
      </c>
      <c r="M510" s="182"/>
      <c r="N510" s="182"/>
      <c r="O510" s="198"/>
      <c r="P510" s="181">
        <v>2.61</v>
      </c>
      <c r="R510" s="162"/>
      <c r="S510" s="162"/>
    </row>
    <row r="511" s="163" customFormat="1" ht="42" outlineLevel="2" spans="1:19">
      <c r="A511" s="178"/>
      <c r="B511" s="177" t="s">
        <v>557</v>
      </c>
      <c r="C511" s="177" t="s">
        <v>558</v>
      </c>
      <c r="D511" s="178" t="s">
        <v>75</v>
      </c>
      <c r="E511" s="181"/>
      <c r="F511" s="179">
        <v>200</v>
      </c>
      <c r="G511" s="180">
        <v>465</v>
      </c>
      <c r="H511" s="179">
        <v>180</v>
      </c>
      <c r="I511" s="195">
        <f t="shared" si="31"/>
        <v>36.0164653568717</v>
      </c>
      <c r="J511" s="196">
        <f t="shared" si="32"/>
        <v>79.2914818821185</v>
      </c>
      <c r="K511" s="172">
        <f t="shared" si="33"/>
        <v>960.30794723899</v>
      </c>
      <c r="L511" s="172">
        <f t="shared" si="34"/>
        <v>0</v>
      </c>
      <c r="M511" s="182"/>
      <c r="N511" s="182"/>
      <c r="O511" s="198"/>
      <c r="P511" s="181">
        <v>2.38</v>
      </c>
      <c r="R511" s="162"/>
      <c r="S511" s="162"/>
    </row>
    <row r="512" s="163" customFormat="1" ht="52.5" outlineLevel="2" spans="1:19">
      <c r="A512" s="178"/>
      <c r="B512" s="177" t="s">
        <v>559</v>
      </c>
      <c r="C512" s="177" t="s">
        <v>560</v>
      </c>
      <c r="D512" s="178" t="s">
        <v>75</v>
      </c>
      <c r="E512" s="181"/>
      <c r="F512" s="179">
        <v>200</v>
      </c>
      <c r="G512" s="180">
        <v>465</v>
      </c>
      <c r="H512" s="179">
        <v>180</v>
      </c>
      <c r="I512" s="195">
        <f t="shared" si="31"/>
        <v>36.0164653568717</v>
      </c>
      <c r="J512" s="196">
        <f t="shared" si="32"/>
        <v>79.2914818821185</v>
      </c>
      <c r="K512" s="172">
        <f t="shared" si="33"/>
        <v>960.30794723899</v>
      </c>
      <c r="L512" s="172">
        <f t="shared" si="34"/>
        <v>0</v>
      </c>
      <c r="M512" s="182"/>
      <c r="N512" s="182"/>
      <c r="O512" s="198"/>
      <c r="P512" s="181">
        <v>1.09</v>
      </c>
      <c r="R512" s="162"/>
      <c r="S512" s="162"/>
    </row>
    <row r="513" s="163" customFormat="1" ht="42" outlineLevel="2" spans="1:19">
      <c r="A513" s="178"/>
      <c r="B513" s="177" t="s">
        <v>166</v>
      </c>
      <c r="C513" s="177" t="s">
        <v>167</v>
      </c>
      <c r="D513" s="178" t="s">
        <v>75</v>
      </c>
      <c r="E513" s="181"/>
      <c r="F513" s="181">
        <v>220</v>
      </c>
      <c r="G513" s="181">
        <v>260</v>
      </c>
      <c r="H513" s="181">
        <v>85</v>
      </c>
      <c r="I513" s="195">
        <f t="shared" si="31"/>
        <v>24.08201529779</v>
      </c>
      <c r="J513" s="196">
        <f t="shared" si="32"/>
        <v>53.0173813768011</v>
      </c>
      <c r="K513" s="172">
        <f t="shared" si="33"/>
        <v>642.099396674591</v>
      </c>
      <c r="L513" s="172">
        <f t="shared" si="34"/>
        <v>0</v>
      </c>
      <c r="M513" s="182"/>
      <c r="N513" s="182"/>
      <c r="O513" s="198"/>
      <c r="P513" s="181">
        <v>3.82</v>
      </c>
      <c r="R513" s="162"/>
      <c r="S513" s="162"/>
    </row>
    <row r="514" s="163" customFormat="1" ht="42" outlineLevel="2" spans="1:19">
      <c r="A514" s="178"/>
      <c r="B514" s="177" t="s">
        <v>561</v>
      </c>
      <c r="C514" s="177" t="s">
        <v>562</v>
      </c>
      <c r="D514" s="178" t="s">
        <v>75</v>
      </c>
      <c r="E514" s="181"/>
      <c r="F514" s="181">
        <v>220</v>
      </c>
      <c r="G514" s="181">
        <v>260</v>
      </c>
      <c r="H514" s="181">
        <v>85</v>
      </c>
      <c r="I514" s="195">
        <f t="shared" si="31"/>
        <v>24.08201529779</v>
      </c>
      <c r="J514" s="196">
        <f t="shared" si="32"/>
        <v>53.0173813768011</v>
      </c>
      <c r="K514" s="172">
        <f t="shared" si="33"/>
        <v>642.099396674591</v>
      </c>
      <c r="L514" s="172">
        <f t="shared" si="34"/>
        <v>0</v>
      </c>
      <c r="M514" s="182"/>
      <c r="N514" s="182"/>
      <c r="O514" s="198"/>
      <c r="P514" s="181">
        <v>4.92</v>
      </c>
      <c r="R514" s="162"/>
      <c r="S514" s="162"/>
    </row>
    <row r="515" s="163" customFormat="1" ht="31.5" outlineLevel="2" spans="1:19">
      <c r="A515" s="178"/>
      <c r="B515" s="177" t="s">
        <v>208</v>
      </c>
      <c r="C515" s="177" t="s">
        <v>540</v>
      </c>
      <c r="D515" s="178" t="s">
        <v>140</v>
      </c>
      <c r="E515" s="200"/>
      <c r="F515" s="179">
        <v>1000</v>
      </c>
      <c r="G515" s="179">
        <v>4600</v>
      </c>
      <c r="H515" s="179">
        <v>200</v>
      </c>
      <c r="I515" s="195">
        <f t="shared" si="31"/>
        <v>247.213608366694</v>
      </c>
      <c r="J515" s="196">
        <f t="shared" si="32"/>
        <v>544.249224753002</v>
      </c>
      <c r="K515" s="172">
        <f t="shared" si="33"/>
        <v>6591.4628331197</v>
      </c>
      <c r="L515" s="172">
        <f t="shared" si="34"/>
        <v>0</v>
      </c>
      <c r="M515" s="182"/>
      <c r="N515" s="182"/>
      <c r="O515" s="198"/>
      <c r="P515" s="200">
        <f>(57.63+218.65+153.88)/1000-0.258</f>
        <v>0.17216</v>
      </c>
      <c r="R515" s="162"/>
      <c r="S515" s="162"/>
    </row>
    <row r="516" s="163" customFormat="1" ht="31.5" outlineLevel="2" spans="1:19">
      <c r="A516" s="178"/>
      <c r="B516" s="177" t="s">
        <v>208</v>
      </c>
      <c r="C516" s="177" t="s">
        <v>541</v>
      </c>
      <c r="D516" s="178" t="s">
        <v>140</v>
      </c>
      <c r="E516" s="200"/>
      <c r="F516" s="179">
        <v>1000</v>
      </c>
      <c r="G516" s="179">
        <v>4600</v>
      </c>
      <c r="H516" s="179">
        <v>200</v>
      </c>
      <c r="I516" s="195">
        <f t="shared" si="31"/>
        <v>247.213608366694</v>
      </c>
      <c r="J516" s="196">
        <f t="shared" si="32"/>
        <v>544.249224753002</v>
      </c>
      <c r="K516" s="172">
        <f t="shared" si="33"/>
        <v>6591.4628331197</v>
      </c>
      <c r="L516" s="172">
        <f t="shared" si="34"/>
        <v>0</v>
      </c>
      <c r="M516" s="182"/>
      <c r="N516" s="182"/>
      <c r="O516" s="198"/>
      <c r="P516" s="200">
        <f>(39.56+130+88.07)/1000</f>
        <v>0.25763</v>
      </c>
      <c r="R516" s="162"/>
      <c r="S516" s="162"/>
    </row>
    <row r="517" s="163" customFormat="1" ht="11.25" outlineLevel="1" spans="1:19">
      <c r="A517" s="178">
        <v>2.2</v>
      </c>
      <c r="B517" s="177" t="s">
        <v>563</v>
      </c>
      <c r="C517" s="177"/>
      <c r="D517" s="178"/>
      <c r="E517" s="200"/>
      <c r="F517" s="201"/>
      <c r="G517" s="201"/>
      <c r="H517" s="222"/>
      <c r="I517" s="195">
        <f t="shared" ref="I517:I580" si="35">((F517+G517+H517)*0.06)*0.7103839320882</f>
        <v>0</v>
      </c>
      <c r="J517" s="196"/>
      <c r="K517" s="172"/>
      <c r="L517" s="172"/>
      <c r="M517" s="182"/>
      <c r="N517" s="182"/>
      <c r="O517" s="198"/>
      <c r="P517" s="200"/>
      <c r="R517" s="162"/>
      <c r="S517" s="162"/>
    </row>
    <row r="518" s="163" customFormat="1" ht="42" outlineLevel="2" spans="1:19">
      <c r="A518" s="178"/>
      <c r="B518" s="177" t="s">
        <v>564</v>
      </c>
      <c r="C518" s="177" t="s">
        <v>565</v>
      </c>
      <c r="D518" s="178" t="s">
        <v>78</v>
      </c>
      <c r="E518" s="200"/>
      <c r="F518" s="179">
        <v>20</v>
      </c>
      <c r="G518" s="179">
        <v>30</v>
      </c>
      <c r="H518" s="179">
        <v>10</v>
      </c>
      <c r="I518" s="195">
        <f t="shared" si="35"/>
        <v>2.55738215551752</v>
      </c>
      <c r="J518" s="196">
        <f t="shared" ref="J518:J581" si="36">(F518+G518+H518+I518)*0.09</f>
        <v>5.63016439399658</v>
      </c>
      <c r="K518" s="172">
        <f t="shared" ref="K518:K581" si="37">F518+G518+H518+I518+J518</f>
        <v>68.1875465495141</v>
      </c>
      <c r="L518" s="172">
        <f t="shared" ref="L518:L581" si="38">K518*E518</f>
        <v>0</v>
      </c>
      <c r="M518" s="182"/>
      <c r="N518" s="182"/>
      <c r="O518" s="198"/>
      <c r="P518" s="200">
        <v>18.64</v>
      </c>
      <c r="R518" s="162"/>
      <c r="S518" s="162"/>
    </row>
    <row r="519" s="163" customFormat="1" ht="52.5" outlineLevel="2" spans="1:19">
      <c r="A519" s="178"/>
      <c r="B519" s="177" t="s">
        <v>566</v>
      </c>
      <c r="C519" s="177" t="s">
        <v>567</v>
      </c>
      <c r="D519" s="178" t="s">
        <v>78</v>
      </c>
      <c r="E519" s="200"/>
      <c r="F519" s="179">
        <v>85</v>
      </c>
      <c r="G519" s="179">
        <v>120</v>
      </c>
      <c r="H519" s="179">
        <v>35</v>
      </c>
      <c r="I519" s="195">
        <f t="shared" si="35"/>
        <v>10.2295286220701</v>
      </c>
      <c r="J519" s="196">
        <f t="shared" si="36"/>
        <v>22.5206575759863</v>
      </c>
      <c r="K519" s="172">
        <f t="shared" si="37"/>
        <v>272.750186198056</v>
      </c>
      <c r="L519" s="172">
        <f t="shared" si="38"/>
        <v>0</v>
      </c>
      <c r="M519" s="182"/>
      <c r="N519" s="182"/>
      <c r="O519" s="198"/>
      <c r="P519" s="200">
        <v>13.82</v>
      </c>
      <c r="R519" s="162"/>
      <c r="S519" s="162"/>
    </row>
    <row r="520" s="163" customFormat="1" ht="63" outlineLevel="2" spans="1:19">
      <c r="A520" s="178"/>
      <c r="B520" s="177" t="s">
        <v>568</v>
      </c>
      <c r="C520" s="177" t="s">
        <v>569</v>
      </c>
      <c r="D520" s="178" t="s">
        <v>78</v>
      </c>
      <c r="E520" s="200"/>
      <c r="F520" s="179">
        <v>85</v>
      </c>
      <c r="G520" s="179">
        <v>120</v>
      </c>
      <c r="H520" s="179">
        <v>35</v>
      </c>
      <c r="I520" s="195">
        <f t="shared" si="35"/>
        <v>10.2295286220701</v>
      </c>
      <c r="J520" s="196">
        <f t="shared" si="36"/>
        <v>22.5206575759863</v>
      </c>
      <c r="K520" s="172">
        <f t="shared" si="37"/>
        <v>272.750186198056</v>
      </c>
      <c r="L520" s="172">
        <f t="shared" si="38"/>
        <v>0</v>
      </c>
      <c r="M520" s="182"/>
      <c r="N520" s="182"/>
      <c r="O520" s="198"/>
      <c r="P520" s="200">
        <v>6.17</v>
      </c>
      <c r="R520" s="162"/>
      <c r="S520" s="162"/>
    </row>
    <row r="521" s="163" customFormat="1" ht="52.5" outlineLevel="2" spans="1:19">
      <c r="A521" s="178"/>
      <c r="B521" s="177" t="s">
        <v>566</v>
      </c>
      <c r="C521" s="177" t="s">
        <v>570</v>
      </c>
      <c r="D521" s="178" t="s">
        <v>78</v>
      </c>
      <c r="E521" s="200"/>
      <c r="F521" s="179">
        <v>85</v>
      </c>
      <c r="G521" s="179">
        <v>120</v>
      </c>
      <c r="H521" s="179">
        <v>35</v>
      </c>
      <c r="I521" s="195">
        <f t="shared" si="35"/>
        <v>10.2295286220701</v>
      </c>
      <c r="J521" s="196">
        <f t="shared" si="36"/>
        <v>22.5206575759863</v>
      </c>
      <c r="K521" s="172">
        <f t="shared" si="37"/>
        <v>272.750186198056</v>
      </c>
      <c r="L521" s="172">
        <f t="shared" si="38"/>
        <v>0</v>
      </c>
      <c r="M521" s="182"/>
      <c r="N521" s="182"/>
      <c r="O521" s="198"/>
      <c r="P521" s="200">
        <v>9.1</v>
      </c>
      <c r="R521" s="162"/>
      <c r="S521" s="162"/>
    </row>
    <row r="522" s="163" customFormat="1" ht="63" outlineLevel="2" spans="1:19">
      <c r="A522" s="178"/>
      <c r="B522" s="177" t="s">
        <v>571</v>
      </c>
      <c r="C522" s="177" t="s">
        <v>572</v>
      </c>
      <c r="D522" s="178" t="s">
        <v>78</v>
      </c>
      <c r="E522" s="200"/>
      <c r="F522" s="179">
        <v>85</v>
      </c>
      <c r="G522" s="179">
        <v>180</v>
      </c>
      <c r="H522" s="179">
        <v>35</v>
      </c>
      <c r="I522" s="195">
        <f t="shared" si="35"/>
        <v>12.7869107775876</v>
      </c>
      <c r="J522" s="196">
        <f t="shared" si="36"/>
        <v>28.1508219699829</v>
      </c>
      <c r="K522" s="172">
        <f t="shared" si="37"/>
        <v>340.93773274757</v>
      </c>
      <c r="L522" s="172">
        <f t="shared" si="38"/>
        <v>0</v>
      </c>
      <c r="M522" s="182"/>
      <c r="N522" s="182"/>
      <c r="O522" s="198"/>
      <c r="P522" s="200">
        <v>0.79</v>
      </c>
      <c r="R522" s="162"/>
      <c r="S522" s="162"/>
    </row>
    <row r="523" s="163" customFormat="1" ht="63" outlineLevel="2" spans="1:19">
      <c r="A523" s="178"/>
      <c r="B523" s="177" t="s">
        <v>573</v>
      </c>
      <c r="C523" s="177" t="s">
        <v>574</v>
      </c>
      <c r="D523" s="178" t="s">
        <v>89</v>
      </c>
      <c r="E523" s="200"/>
      <c r="F523" s="206">
        <v>15</v>
      </c>
      <c r="G523" s="206">
        <v>120</v>
      </c>
      <c r="H523" s="206">
        <v>15</v>
      </c>
      <c r="I523" s="195">
        <f t="shared" si="35"/>
        <v>6.3934553887938</v>
      </c>
      <c r="J523" s="196">
        <f t="shared" si="36"/>
        <v>14.0754109849914</v>
      </c>
      <c r="K523" s="172">
        <f t="shared" si="37"/>
        <v>170.468866373785</v>
      </c>
      <c r="L523" s="172">
        <f t="shared" si="38"/>
        <v>0</v>
      </c>
      <c r="M523" s="182"/>
      <c r="N523" s="182"/>
      <c r="O523" s="198"/>
      <c r="P523" s="200">
        <v>4.8</v>
      </c>
      <c r="R523" s="162"/>
      <c r="S523" s="162"/>
    </row>
    <row r="524" s="163" customFormat="1" ht="63" outlineLevel="2" spans="1:19">
      <c r="A524" s="178"/>
      <c r="B524" s="177" t="s">
        <v>232</v>
      </c>
      <c r="C524" s="177" t="s">
        <v>575</v>
      </c>
      <c r="D524" s="178" t="s">
        <v>78</v>
      </c>
      <c r="E524" s="200"/>
      <c r="F524" s="179">
        <v>180</v>
      </c>
      <c r="G524" s="179">
        <v>150</v>
      </c>
      <c r="H524" s="179">
        <v>85</v>
      </c>
      <c r="I524" s="195">
        <f t="shared" si="35"/>
        <v>17.6885599089962</v>
      </c>
      <c r="J524" s="196">
        <f t="shared" si="36"/>
        <v>38.9419703918097</v>
      </c>
      <c r="K524" s="172">
        <f t="shared" si="37"/>
        <v>471.630530300806</v>
      </c>
      <c r="L524" s="172">
        <f t="shared" si="38"/>
        <v>0</v>
      </c>
      <c r="M524" s="182"/>
      <c r="N524" s="182"/>
      <c r="O524" s="198"/>
      <c r="P524" s="200">
        <v>14.62</v>
      </c>
      <c r="R524" s="162"/>
      <c r="S524" s="162"/>
    </row>
    <row r="525" s="163" customFormat="1" ht="52.5" outlineLevel="2" spans="1:19">
      <c r="A525" s="178"/>
      <c r="B525" s="177" t="s">
        <v>232</v>
      </c>
      <c r="C525" s="177" t="s">
        <v>576</v>
      </c>
      <c r="D525" s="178" t="s">
        <v>78</v>
      </c>
      <c r="E525" s="200"/>
      <c r="F525" s="179">
        <v>180</v>
      </c>
      <c r="G525" s="179">
        <v>150</v>
      </c>
      <c r="H525" s="179">
        <v>85</v>
      </c>
      <c r="I525" s="195">
        <f t="shared" si="35"/>
        <v>17.6885599089962</v>
      </c>
      <c r="J525" s="196">
        <f t="shared" si="36"/>
        <v>38.9419703918097</v>
      </c>
      <c r="K525" s="172">
        <f t="shared" si="37"/>
        <v>471.630530300806</v>
      </c>
      <c r="L525" s="172">
        <f t="shared" si="38"/>
        <v>0</v>
      </c>
      <c r="M525" s="182"/>
      <c r="N525" s="182"/>
      <c r="O525" s="198"/>
      <c r="P525" s="200">
        <v>14.28</v>
      </c>
      <c r="R525" s="162"/>
      <c r="S525" s="162"/>
    </row>
    <row r="526" s="163" customFormat="1" ht="52.5" outlineLevel="2" spans="1:19">
      <c r="A526" s="178"/>
      <c r="B526" s="177" t="s">
        <v>577</v>
      </c>
      <c r="C526" s="177" t="s">
        <v>578</v>
      </c>
      <c r="D526" s="178" t="s">
        <v>51</v>
      </c>
      <c r="E526" s="200"/>
      <c r="F526" s="201">
        <v>200</v>
      </c>
      <c r="G526" s="201">
        <v>2000</v>
      </c>
      <c r="H526" s="222">
        <v>50</v>
      </c>
      <c r="I526" s="195">
        <f t="shared" si="35"/>
        <v>95.901830831907</v>
      </c>
      <c r="J526" s="196">
        <f t="shared" si="36"/>
        <v>211.131164774872</v>
      </c>
      <c r="K526" s="172">
        <f t="shared" si="37"/>
        <v>2557.03299560678</v>
      </c>
      <c r="L526" s="172">
        <f t="shared" si="38"/>
        <v>0</v>
      </c>
      <c r="M526" s="182"/>
      <c r="N526" s="182"/>
      <c r="O526" s="198"/>
      <c r="P526" s="200">
        <v>1</v>
      </c>
      <c r="R526" s="162"/>
      <c r="S526" s="162"/>
    </row>
    <row r="527" s="163" customFormat="1" ht="11.25" outlineLevel="1" spans="1:19">
      <c r="A527" s="178">
        <v>2.3</v>
      </c>
      <c r="B527" s="177" t="s">
        <v>579</v>
      </c>
      <c r="C527" s="177"/>
      <c r="D527" s="178"/>
      <c r="E527" s="200"/>
      <c r="F527" s="201"/>
      <c r="G527" s="201"/>
      <c r="H527" s="222"/>
      <c r="I527" s="195">
        <f t="shared" si="35"/>
        <v>0</v>
      </c>
      <c r="J527" s="196"/>
      <c r="K527" s="172"/>
      <c r="L527" s="172"/>
      <c r="M527" s="182"/>
      <c r="N527" s="182"/>
      <c r="O527" s="198"/>
      <c r="P527" s="200"/>
      <c r="R527" s="162"/>
      <c r="S527" s="162"/>
    </row>
    <row r="528" s="163" customFormat="1" ht="52.5" outlineLevel="2" spans="1:19">
      <c r="A528" s="178"/>
      <c r="B528" s="177" t="s">
        <v>554</v>
      </c>
      <c r="C528" s="177" t="s">
        <v>74</v>
      </c>
      <c r="D528" s="178" t="s">
        <v>75</v>
      </c>
      <c r="E528" s="181"/>
      <c r="F528" s="201"/>
      <c r="G528" s="201"/>
      <c r="H528" s="179">
        <v>8.5</v>
      </c>
      <c r="I528" s="195">
        <f t="shared" si="35"/>
        <v>0.362295805364982</v>
      </c>
      <c r="J528" s="196">
        <f t="shared" si="36"/>
        <v>0.797606622482848</v>
      </c>
      <c r="K528" s="172">
        <f t="shared" si="37"/>
        <v>9.65990242784783</v>
      </c>
      <c r="L528" s="172">
        <f t="shared" si="38"/>
        <v>0</v>
      </c>
      <c r="M528" s="182"/>
      <c r="N528" s="182"/>
      <c r="O528" s="198"/>
      <c r="P528" s="181">
        <v>59.84</v>
      </c>
      <c r="R528" s="162"/>
      <c r="S528" s="162"/>
    </row>
    <row r="529" s="163" customFormat="1" ht="63" outlineLevel="2" spans="1:19">
      <c r="A529" s="178"/>
      <c r="B529" s="177" t="s">
        <v>162</v>
      </c>
      <c r="C529" s="177" t="s">
        <v>163</v>
      </c>
      <c r="D529" s="178" t="s">
        <v>75</v>
      </c>
      <c r="E529" s="181"/>
      <c r="F529" s="201"/>
      <c r="G529" s="201"/>
      <c r="H529" s="179">
        <v>10</v>
      </c>
      <c r="I529" s="195">
        <f t="shared" si="35"/>
        <v>0.42623035925292</v>
      </c>
      <c r="J529" s="196">
        <f t="shared" si="36"/>
        <v>0.938360732332763</v>
      </c>
      <c r="K529" s="172">
        <f t="shared" si="37"/>
        <v>11.3645910915857</v>
      </c>
      <c r="L529" s="172">
        <f t="shared" si="38"/>
        <v>0</v>
      </c>
      <c r="M529" s="182"/>
      <c r="N529" s="182"/>
      <c r="O529" s="198"/>
      <c r="P529" s="181">
        <f>59.84-3.81-5.71-8.8-5.97</f>
        <v>35.55</v>
      </c>
      <c r="R529" s="162"/>
      <c r="S529" s="162"/>
    </row>
    <row r="530" s="163" customFormat="1" ht="21" outlineLevel="2" spans="1:19">
      <c r="A530" s="178"/>
      <c r="B530" s="177" t="s">
        <v>76</v>
      </c>
      <c r="C530" s="177" t="s">
        <v>109</v>
      </c>
      <c r="D530" s="178" t="s">
        <v>78</v>
      </c>
      <c r="E530" s="181"/>
      <c r="F530" s="179">
        <v>0.5</v>
      </c>
      <c r="G530" s="172"/>
      <c r="H530" s="179">
        <v>2.5</v>
      </c>
      <c r="I530" s="195">
        <f t="shared" si="35"/>
        <v>0.127869107775876</v>
      </c>
      <c r="J530" s="196">
        <f t="shared" si="36"/>
        <v>0.281508219699829</v>
      </c>
      <c r="K530" s="172">
        <f t="shared" si="37"/>
        <v>3.4093773274757</v>
      </c>
      <c r="L530" s="172">
        <f t="shared" si="38"/>
        <v>0</v>
      </c>
      <c r="M530" s="182"/>
      <c r="N530" s="182"/>
      <c r="O530" s="198"/>
      <c r="P530" s="181">
        <v>38.1</v>
      </c>
      <c r="R530" s="162"/>
      <c r="S530" s="162"/>
    </row>
    <row r="531" s="163" customFormat="1" ht="42" outlineLevel="2" spans="1:19">
      <c r="A531" s="178"/>
      <c r="B531" s="177" t="s">
        <v>81</v>
      </c>
      <c r="C531" s="177" t="s">
        <v>164</v>
      </c>
      <c r="D531" s="178" t="s">
        <v>75</v>
      </c>
      <c r="E531" s="181"/>
      <c r="F531" s="179">
        <v>55</v>
      </c>
      <c r="G531" s="180">
        <v>445</v>
      </c>
      <c r="H531" s="179">
        <v>15</v>
      </c>
      <c r="I531" s="195">
        <f t="shared" si="35"/>
        <v>21.9508635015254</v>
      </c>
      <c r="J531" s="196">
        <f t="shared" si="36"/>
        <v>48.3255777151373</v>
      </c>
      <c r="K531" s="172">
        <f t="shared" si="37"/>
        <v>585.276441216663</v>
      </c>
      <c r="L531" s="172">
        <f t="shared" si="38"/>
        <v>0</v>
      </c>
      <c r="M531" s="182"/>
      <c r="N531" s="182"/>
      <c r="O531" s="198"/>
      <c r="P531" s="181">
        <v>3.81</v>
      </c>
      <c r="R531" s="162"/>
      <c r="S531" s="162"/>
    </row>
    <row r="532" s="163" customFormat="1" ht="21" outlineLevel="2" spans="1:19">
      <c r="A532" s="178"/>
      <c r="B532" s="177" t="s">
        <v>79</v>
      </c>
      <c r="C532" s="177" t="s">
        <v>580</v>
      </c>
      <c r="D532" s="178" t="s">
        <v>75</v>
      </c>
      <c r="E532" s="181"/>
      <c r="F532" s="179">
        <v>10</v>
      </c>
      <c r="G532" s="180">
        <v>95</v>
      </c>
      <c r="H532" s="179">
        <v>15</v>
      </c>
      <c r="I532" s="195">
        <f t="shared" si="35"/>
        <v>5.11476431103504</v>
      </c>
      <c r="J532" s="196">
        <f t="shared" si="36"/>
        <v>11.2603287879932</v>
      </c>
      <c r="K532" s="172">
        <f t="shared" si="37"/>
        <v>136.375093099028</v>
      </c>
      <c r="L532" s="172">
        <f t="shared" si="38"/>
        <v>0</v>
      </c>
      <c r="M532" s="182"/>
      <c r="N532" s="182"/>
      <c r="O532" s="198"/>
      <c r="P532" s="181">
        <v>5.71</v>
      </c>
      <c r="R532" s="162"/>
      <c r="S532" s="162"/>
    </row>
    <row r="533" s="163" customFormat="1" ht="42" outlineLevel="2" spans="1:19">
      <c r="A533" s="178"/>
      <c r="B533" s="177" t="s">
        <v>555</v>
      </c>
      <c r="C533" s="177" t="s">
        <v>556</v>
      </c>
      <c r="D533" s="178" t="s">
        <v>75</v>
      </c>
      <c r="E533" s="181"/>
      <c r="F533" s="179">
        <v>200</v>
      </c>
      <c r="G533" s="180">
        <v>465</v>
      </c>
      <c r="H533" s="179">
        <v>180</v>
      </c>
      <c r="I533" s="195">
        <f t="shared" si="35"/>
        <v>36.0164653568717</v>
      </c>
      <c r="J533" s="196">
        <f t="shared" si="36"/>
        <v>79.2914818821185</v>
      </c>
      <c r="K533" s="172">
        <f t="shared" si="37"/>
        <v>960.30794723899</v>
      </c>
      <c r="L533" s="172">
        <f t="shared" si="38"/>
        <v>0</v>
      </c>
      <c r="M533" s="182"/>
      <c r="N533" s="182"/>
      <c r="O533" s="198"/>
      <c r="P533" s="181">
        <v>8.8</v>
      </c>
      <c r="R533" s="162"/>
      <c r="S533" s="162"/>
    </row>
    <row r="534" s="163" customFormat="1" ht="42" outlineLevel="2" spans="1:19">
      <c r="A534" s="178"/>
      <c r="B534" s="177" t="s">
        <v>537</v>
      </c>
      <c r="C534" s="177" t="s">
        <v>556</v>
      </c>
      <c r="D534" s="178" t="s">
        <v>75</v>
      </c>
      <c r="E534" s="181"/>
      <c r="F534" s="179">
        <v>200</v>
      </c>
      <c r="G534" s="180">
        <v>465</v>
      </c>
      <c r="H534" s="179">
        <v>180</v>
      </c>
      <c r="I534" s="195">
        <f t="shared" si="35"/>
        <v>36.0164653568717</v>
      </c>
      <c r="J534" s="196">
        <f t="shared" si="36"/>
        <v>79.2914818821185</v>
      </c>
      <c r="K534" s="172">
        <f t="shared" si="37"/>
        <v>960.30794723899</v>
      </c>
      <c r="L534" s="172">
        <f t="shared" si="38"/>
        <v>0</v>
      </c>
      <c r="M534" s="182"/>
      <c r="N534" s="182"/>
      <c r="O534" s="198"/>
      <c r="P534" s="181">
        <v>5.97</v>
      </c>
      <c r="R534" s="162"/>
      <c r="S534" s="162"/>
    </row>
    <row r="535" s="163" customFormat="1" ht="31.5" outlineLevel="2" spans="1:19">
      <c r="A535" s="178"/>
      <c r="B535" s="177" t="s">
        <v>208</v>
      </c>
      <c r="C535" s="177" t="s">
        <v>540</v>
      </c>
      <c r="D535" s="178" t="s">
        <v>140</v>
      </c>
      <c r="E535" s="200"/>
      <c r="F535" s="179">
        <v>1000</v>
      </c>
      <c r="G535" s="179">
        <v>4600</v>
      </c>
      <c r="H535" s="179">
        <v>200</v>
      </c>
      <c r="I535" s="195">
        <f t="shared" si="35"/>
        <v>247.213608366694</v>
      </c>
      <c r="J535" s="196">
        <f t="shared" si="36"/>
        <v>544.249224753002</v>
      </c>
      <c r="K535" s="172">
        <f t="shared" si="37"/>
        <v>6591.4628331197</v>
      </c>
      <c r="L535" s="172">
        <f t="shared" si="38"/>
        <v>0</v>
      </c>
      <c r="M535" s="182"/>
      <c r="N535" s="182"/>
      <c r="O535" s="198"/>
      <c r="P535" s="200">
        <f>1.075-0.739</f>
        <v>0.336</v>
      </c>
      <c r="R535" s="162"/>
      <c r="S535" s="162"/>
    </row>
    <row r="536" s="163" customFormat="1" ht="31.5" outlineLevel="2" spans="1:19">
      <c r="A536" s="178"/>
      <c r="B536" s="177" t="s">
        <v>208</v>
      </c>
      <c r="C536" s="177" t="s">
        <v>541</v>
      </c>
      <c r="D536" s="178" t="s">
        <v>140</v>
      </c>
      <c r="E536" s="200"/>
      <c r="F536" s="179">
        <v>1000</v>
      </c>
      <c r="G536" s="179">
        <v>4600</v>
      </c>
      <c r="H536" s="179">
        <v>200</v>
      </c>
      <c r="I536" s="195">
        <f t="shared" si="35"/>
        <v>247.213608366694</v>
      </c>
      <c r="J536" s="196">
        <f t="shared" si="36"/>
        <v>544.249224753002</v>
      </c>
      <c r="K536" s="172">
        <f t="shared" si="37"/>
        <v>6591.4628331197</v>
      </c>
      <c r="L536" s="172">
        <f t="shared" si="38"/>
        <v>0</v>
      </c>
      <c r="M536" s="182"/>
      <c r="N536" s="182"/>
      <c r="O536" s="198"/>
      <c r="P536" s="200">
        <v>0.739</v>
      </c>
      <c r="R536" s="162"/>
      <c r="S536" s="162"/>
    </row>
    <row r="537" s="162" customFormat="1" ht="42" outlineLevel="2" spans="1:16">
      <c r="A537" s="178"/>
      <c r="B537" s="177" t="s">
        <v>581</v>
      </c>
      <c r="C537" s="177" t="s">
        <v>582</v>
      </c>
      <c r="D537" s="178" t="s">
        <v>78</v>
      </c>
      <c r="E537" s="181"/>
      <c r="F537" s="179">
        <v>55</v>
      </c>
      <c r="G537" s="172">
        <v>220</v>
      </c>
      <c r="H537" s="179">
        <v>15</v>
      </c>
      <c r="I537" s="195">
        <f t="shared" si="35"/>
        <v>12.3606804183347</v>
      </c>
      <c r="J537" s="196">
        <f t="shared" si="36"/>
        <v>27.2124612376501</v>
      </c>
      <c r="K537" s="172">
        <f t="shared" si="37"/>
        <v>329.573141655985</v>
      </c>
      <c r="L537" s="172">
        <f t="shared" si="38"/>
        <v>0</v>
      </c>
      <c r="M537" s="182"/>
      <c r="N537" s="182"/>
      <c r="O537" s="198"/>
      <c r="P537" s="181">
        <v>7.34</v>
      </c>
    </row>
    <row r="538" s="162" customFormat="1" ht="31.5" outlineLevel="2" spans="1:16">
      <c r="A538" s="178"/>
      <c r="B538" s="177" t="s">
        <v>583</v>
      </c>
      <c r="C538" s="177" t="s">
        <v>584</v>
      </c>
      <c r="D538" s="178" t="s">
        <v>78</v>
      </c>
      <c r="E538" s="181"/>
      <c r="F538" s="206">
        <v>65</v>
      </c>
      <c r="G538" s="206">
        <v>260</v>
      </c>
      <c r="H538" s="206">
        <v>15</v>
      </c>
      <c r="I538" s="195">
        <f t="shared" si="35"/>
        <v>14.4918322145993</v>
      </c>
      <c r="J538" s="196">
        <f t="shared" si="36"/>
        <v>31.9042648993139</v>
      </c>
      <c r="K538" s="172">
        <f t="shared" si="37"/>
        <v>386.396097113913</v>
      </c>
      <c r="L538" s="172">
        <f t="shared" si="38"/>
        <v>0</v>
      </c>
      <c r="M538" s="182"/>
      <c r="N538" s="182"/>
      <c r="O538" s="198"/>
      <c r="P538" s="181">
        <v>20.77</v>
      </c>
    </row>
    <row r="539" s="162" customFormat="1" ht="21" outlineLevel="2" spans="1:16">
      <c r="A539" s="178"/>
      <c r="B539" s="177" t="s">
        <v>528</v>
      </c>
      <c r="C539" s="177" t="s">
        <v>529</v>
      </c>
      <c r="D539" s="178" t="s">
        <v>78</v>
      </c>
      <c r="E539" s="181"/>
      <c r="F539" s="201">
        <v>15</v>
      </c>
      <c r="G539" s="201">
        <v>15</v>
      </c>
      <c r="H539" s="222"/>
      <c r="I539" s="195">
        <f t="shared" si="35"/>
        <v>1.27869107775876</v>
      </c>
      <c r="J539" s="196">
        <f t="shared" si="36"/>
        <v>2.81508219699829</v>
      </c>
      <c r="K539" s="172">
        <f t="shared" si="37"/>
        <v>34.093773274757</v>
      </c>
      <c r="L539" s="172">
        <f t="shared" si="38"/>
        <v>0</v>
      </c>
      <c r="M539" s="182"/>
      <c r="N539" s="182"/>
      <c r="O539" s="198"/>
      <c r="P539" s="181">
        <v>29.83</v>
      </c>
    </row>
    <row r="540" s="162" customFormat="1" ht="11.25" outlineLevel="1" collapsed="1" spans="1:16">
      <c r="A540" s="178">
        <v>3</v>
      </c>
      <c r="B540" s="177" t="s">
        <v>585</v>
      </c>
      <c r="C540" s="177"/>
      <c r="D540" s="178"/>
      <c r="E540" s="181"/>
      <c r="F540" s="201"/>
      <c r="G540" s="201"/>
      <c r="H540" s="222"/>
      <c r="I540" s="195">
        <f t="shared" si="35"/>
        <v>0</v>
      </c>
      <c r="J540" s="196"/>
      <c r="K540" s="172"/>
      <c r="L540" s="172"/>
      <c r="M540" s="182"/>
      <c r="N540" s="182"/>
      <c r="O540" s="198"/>
      <c r="P540" s="181"/>
    </row>
    <row r="541" s="163" customFormat="1" ht="31.5" outlineLevel="1" spans="1:19">
      <c r="A541" s="178"/>
      <c r="B541" s="177" t="s">
        <v>76</v>
      </c>
      <c r="C541" s="177" t="s">
        <v>586</v>
      </c>
      <c r="D541" s="178" t="s">
        <v>78</v>
      </c>
      <c r="E541" s="181"/>
      <c r="F541" s="179">
        <v>0.5</v>
      </c>
      <c r="G541" s="172"/>
      <c r="H541" s="179">
        <v>2.5</v>
      </c>
      <c r="I541" s="195">
        <f t="shared" si="35"/>
        <v>0.127869107775876</v>
      </c>
      <c r="J541" s="196">
        <f t="shared" si="36"/>
        <v>0.281508219699829</v>
      </c>
      <c r="K541" s="172">
        <f t="shared" si="37"/>
        <v>3.4093773274757</v>
      </c>
      <c r="L541" s="172">
        <f t="shared" si="38"/>
        <v>0</v>
      </c>
      <c r="M541" s="182"/>
      <c r="N541" s="182"/>
      <c r="O541" s="198"/>
      <c r="P541" s="181">
        <v>7.2</v>
      </c>
      <c r="R541" s="162"/>
      <c r="S541" s="162"/>
    </row>
    <row r="542" s="163" customFormat="1" ht="52.5" outlineLevel="1" spans="1:19">
      <c r="A542" s="178"/>
      <c r="B542" s="177" t="s">
        <v>81</v>
      </c>
      <c r="C542" s="177" t="s">
        <v>587</v>
      </c>
      <c r="D542" s="178" t="s">
        <v>75</v>
      </c>
      <c r="E542" s="181"/>
      <c r="F542" s="179">
        <v>55</v>
      </c>
      <c r="G542" s="180">
        <v>445</v>
      </c>
      <c r="H542" s="179">
        <v>15</v>
      </c>
      <c r="I542" s="195">
        <f t="shared" si="35"/>
        <v>21.9508635015254</v>
      </c>
      <c r="J542" s="196">
        <f t="shared" si="36"/>
        <v>48.3255777151373</v>
      </c>
      <c r="K542" s="172">
        <f t="shared" si="37"/>
        <v>585.276441216663</v>
      </c>
      <c r="L542" s="172">
        <f t="shared" si="38"/>
        <v>0</v>
      </c>
      <c r="M542" s="182"/>
      <c r="N542" s="182"/>
      <c r="O542" s="198"/>
      <c r="P542" s="181">
        <f>7.2*0.1</f>
        <v>0.72</v>
      </c>
      <c r="R542" s="162"/>
      <c r="S542" s="162"/>
    </row>
    <row r="543" s="163" customFormat="1" ht="31.5" outlineLevel="1" spans="1:19">
      <c r="A543" s="178"/>
      <c r="B543" s="177" t="s">
        <v>79</v>
      </c>
      <c r="C543" s="177" t="s">
        <v>588</v>
      </c>
      <c r="D543" s="178" t="s">
        <v>75</v>
      </c>
      <c r="E543" s="181"/>
      <c r="F543" s="179">
        <v>10</v>
      </c>
      <c r="G543" s="180">
        <v>95</v>
      </c>
      <c r="H543" s="179">
        <v>15</v>
      </c>
      <c r="I543" s="195">
        <f t="shared" si="35"/>
        <v>5.11476431103504</v>
      </c>
      <c r="J543" s="196">
        <f t="shared" si="36"/>
        <v>11.2603287879932</v>
      </c>
      <c r="K543" s="172">
        <f t="shared" si="37"/>
        <v>136.375093099028</v>
      </c>
      <c r="L543" s="172">
        <f t="shared" si="38"/>
        <v>0</v>
      </c>
      <c r="M543" s="182"/>
      <c r="N543" s="182"/>
      <c r="O543" s="198"/>
      <c r="P543" s="181">
        <f>7.2*0.12</f>
        <v>0.864</v>
      </c>
      <c r="R543" s="162"/>
      <c r="S543" s="162"/>
    </row>
    <row r="544" s="162" customFormat="1" ht="31.5" outlineLevel="1" spans="1:16">
      <c r="A544" s="178"/>
      <c r="B544" s="177" t="s">
        <v>344</v>
      </c>
      <c r="C544" s="177" t="s">
        <v>589</v>
      </c>
      <c r="D544" s="178" t="s">
        <v>78</v>
      </c>
      <c r="E544" s="181"/>
      <c r="F544" s="179">
        <v>50</v>
      </c>
      <c r="G544" s="180">
        <v>65</v>
      </c>
      <c r="H544" s="179">
        <v>15</v>
      </c>
      <c r="I544" s="195">
        <f t="shared" si="35"/>
        <v>5.54099467028796</v>
      </c>
      <c r="J544" s="196">
        <f t="shared" si="36"/>
        <v>12.1986895203259</v>
      </c>
      <c r="K544" s="172">
        <f t="shared" si="37"/>
        <v>147.739684190614</v>
      </c>
      <c r="L544" s="172">
        <f t="shared" si="38"/>
        <v>0</v>
      </c>
      <c r="M544" s="182"/>
      <c r="N544" s="182"/>
      <c r="O544" s="198"/>
      <c r="P544" s="181">
        <v>18.82</v>
      </c>
    </row>
    <row r="545" s="162" customFormat="1" ht="31.5" outlineLevel="1" spans="1:16">
      <c r="A545" s="178"/>
      <c r="B545" s="177" t="s">
        <v>435</v>
      </c>
      <c r="C545" s="177" t="s">
        <v>590</v>
      </c>
      <c r="D545" s="178" t="s">
        <v>78</v>
      </c>
      <c r="E545" s="181"/>
      <c r="F545" s="179">
        <v>65</v>
      </c>
      <c r="G545" s="180">
        <v>150</v>
      </c>
      <c r="H545" s="179">
        <v>15</v>
      </c>
      <c r="I545" s="195">
        <f t="shared" si="35"/>
        <v>9.80329826281716</v>
      </c>
      <c r="J545" s="196">
        <f t="shared" si="36"/>
        <v>21.5822968436535</v>
      </c>
      <c r="K545" s="172">
        <f t="shared" si="37"/>
        <v>261.385595106471</v>
      </c>
      <c r="L545" s="172">
        <f t="shared" si="38"/>
        <v>0</v>
      </c>
      <c r="M545" s="182"/>
      <c r="N545" s="182"/>
      <c r="O545" s="198"/>
      <c r="P545" s="181">
        <v>12.47</v>
      </c>
    </row>
    <row r="546" s="162" customFormat="1" ht="31.5" outlineLevel="1" spans="1:16">
      <c r="A546" s="178"/>
      <c r="B546" s="177" t="s">
        <v>591</v>
      </c>
      <c r="C546" s="177" t="s">
        <v>592</v>
      </c>
      <c r="D546" s="178" t="s">
        <v>78</v>
      </c>
      <c r="E546" s="181"/>
      <c r="F546" s="179">
        <v>65</v>
      </c>
      <c r="G546" s="180">
        <v>150</v>
      </c>
      <c r="H546" s="179">
        <v>15</v>
      </c>
      <c r="I546" s="195">
        <f t="shared" si="35"/>
        <v>9.80329826281716</v>
      </c>
      <c r="J546" s="196">
        <f t="shared" si="36"/>
        <v>21.5822968436535</v>
      </c>
      <c r="K546" s="172">
        <f t="shared" si="37"/>
        <v>261.385595106471</v>
      </c>
      <c r="L546" s="172">
        <f t="shared" si="38"/>
        <v>0</v>
      </c>
      <c r="M546" s="182"/>
      <c r="N546" s="182"/>
      <c r="O546" s="198"/>
      <c r="P546" s="181">
        <v>3.82</v>
      </c>
    </row>
    <row r="547" s="162" customFormat="1" ht="31.5" outlineLevel="1" spans="1:16">
      <c r="A547" s="178"/>
      <c r="B547" s="177" t="s">
        <v>593</v>
      </c>
      <c r="C547" s="177" t="s">
        <v>594</v>
      </c>
      <c r="D547" s="178" t="s">
        <v>89</v>
      </c>
      <c r="E547" s="181"/>
      <c r="F547" s="179">
        <v>20</v>
      </c>
      <c r="G547" s="180">
        <v>85</v>
      </c>
      <c r="H547" s="179">
        <v>3</v>
      </c>
      <c r="I547" s="195">
        <f t="shared" si="35"/>
        <v>4.60328787993154</v>
      </c>
      <c r="J547" s="196">
        <f t="shared" si="36"/>
        <v>10.1342959091938</v>
      </c>
      <c r="K547" s="172">
        <f t="shared" si="37"/>
        <v>122.737583789125</v>
      </c>
      <c r="L547" s="172">
        <f t="shared" si="38"/>
        <v>0</v>
      </c>
      <c r="M547" s="182"/>
      <c r="N547" s="182"/>
      <c r="O547" s="198"/>
      <c r="P547" s="181">
        <v>50.9</v>
      </c>
    </row>
    <row r="548" s="162" customFormat="1" ht="31.5" outlineLevel="1" spans="1:16">
      <c r="A548" s="178"/>
      <c r="B548" s="177" t="s">
        <v>564</v>
      </c>
      <c r="C548" s="177" t="s">
        <v>595</v>
      </c>
      <c r="D548" s="178" t="s">
        <v>78</v>
      </c>
      <c r="E548" s="181"/>
      <c r="F548" s="179">
        <v>20</v>
      </c>
      <c r="G548" s="179">
        <v>30</v>
      </c>
      <c r="H548" s="179">
        <v>10</v>
      </c>
      <c r="I548" s="195">
        <f t="shared" si="35"/>
        <v>2.55738215551752</v>
      </c>
      <c r="J548" s="196">
        <f t="shared" si="36"/>
        <v>5.63016439399658</v>
      </c>
      <c r="K548" s="172">
        <f t="shared" si="37"/>
        <v>68.1875465495141</v>
      </c>
      <c r="L548" s="172">
        <f t="shared" si="38"/>
        <v>0</v>
      </c>
      <c r="M548" s="182"/>
      <c r="N548" s="182"/>
      <c r="O548" s="198"/>
      <c r="P548" s="181">
        <f>(37.06+26.39+2.3*3.38)+(5.22*2-2.1*1+1.8*1)+(10.81-1.8)</f>
        <v>90.374</v>
      </c>
    </row>
    <row r="549" s="162" customFormat="1" ht="31.5" outlineLevel="1" spans="1:16">
      <c r="A549" s="178"/>
      <c r="B549" s="177" t="s">
        <v>596</v>
      </c>
      <c r="C549" s="177" t="s">
        <v>597</v>
      </c>
      <c r="D549" s="178" t="s">
        <v>78</v>
      </c>
      <c r="E549" s="181"/>
      <c r="F549" s="179">
        <v>65</v>
      </c>
      <c r="G549" s="179">
        <v>280</v>
      </c>
      <c r="H549" s="179">
        <v>15</v>
      </c>
      <c r="I549" s="195">
        <f t="shared" si="35"/>
        <v>15.3442929331051</v>
      </c>
      <c r="J549" s="196">
        <f t="shared" si="36"/>
        <v>33.7809863639795</v>
      </c>
      <c r="K549" s="172">
        <f t="shared" si="37"/>
        <v>409.125279297085</v>
      </c>
      <c r="L549" s="172">
        <f t="shared" si="38"/>
        <v>0</v>
      </c>
      <c r="M549" s="182"/>
      <c r="N549" s="182"/>
      <c r="O549" s="198"/>
      <c r="P549" s="181">
        <f>(8.65+2.3+2.095)*0.2</f>
        <v>2.609</v>
      </c>
    </row>
    <row r="550" s="162" customFormat="1" ht="31.5" outlineLevel="1" spans="1:16">
      <c r="A550" s="178"/>
      <c r="B550" s="177" t="s">
        <v>596</v>
      </c>
      <c r="C550" s="177" t="s">
        <v>597</v>
      </c>
      <c r="D550" s="178" t="s">
        <v>78</v>
      </c>
      <c r="E550" s="181"/>
      <c r="F550" s="179">
        <v>65</v>
      </c>
      <c r="G550" s="179">
        <v>280</v>
      </c>
      <c r="H550" s="179">
        <v>15</v>
      </c>
      <c r="I550" s="195">
        <f t="shared" si="35"/>
        <v>15.3442929331051</v>
      </c>
      <c r="J550" s="196">
        <f t="shared" si="36"/>
        <v>33.7809863639795</v>
      </c>
      <c r="K550" s="172">
        <f t="shared" si="37"/>
        <v>409.125279297085</v>
      </c>
      <c r="L550" s="172">
        <f t="shared" si="38"/>
        <v>0</v>
      </c>
      <c r="M550" s="182"/>
      <c r="N550" s="182"/>
      <c r="O550" s="198"/>
      <c r="P550" s="181">
        <f>(1.116+3.566+3.908+3.905+12.371+2.088+2.085)*0.2</f>
        <v>5.8078</v>
      </c>
    </row>
    <row r="551" s="162" customFormat="1" ht="63" outlineLevel="1" spans="1:16">
      <c r="A551" s="178"/>
      <c r="B551" s="177" t="s">
        <v>542</v>
      </c>
      <c r="C551" s="177" t="s">
        <v>543</v>
      </c>
      <c r="D551" s="178" t="s">
        <v>89</v>
      </c>
      <c r="E551" s="181"/>
      <c r="F551" s="206">
        <v>65</v>
      </c>
      <c r="G551" s="206">
        <v>220</v>
      </c>
      <c r="H551" s="206">
        <v>25</v>
      </c>
      <c r="I551" s="195">
        <f t="shared" si="35"/>
        <v>13.2131411368405</v>
      </c>
      <c r="J551" s="196">
        <f t="shared" si="36"/>
        <v>29.0891827023156</v>
      </c>
      <c r="K551" s="172">
        <f t="shared" si="37"/>
        <v>352.302323839156</v>
      </c>
      <c r="L551" s="172">
        <f t="shared" si="38"/>
        <v>0</v>
      </c>
      <c r="M551" s="182"/>
      <c r="N551" s="182"/>
      <c r="O551" s="198"/>
      <c r="P551" s="181">
        <f>(1.116+3.566+3.908+3.905+12.371+2.088+2.085)</f>
        <v>29.039</v>
      </c>
    </row>
    <row r="552" s="162" customFormat="1" ht="31.5" outlineLevel="1" spans="1:16">
      <c r="A552" s="178"/>
      <c r="B552" s="177" t="s">
        <v>564</v>
      </c>
      <c r="C552" s="177" t="s">
        <v>595</v>
      </c>
      <c r="D552" s="178" t="s">
        <v>78</v>
      </c>
      <c r="E552" s="181"/>
      <c r="F552" s="179">
        <v>20</v>
      </c>
      <c r="G552" s="179">
        <v>30</v>
      </c>
      <c r="H552" s="179">
        <v>10</v>
      </c>
      <c r="I552" s="195">
        <f t="shared" si="35"/>
        <v>2.55738215551752</v>
      </c>
      <c r="J552" s="196">
        <f t="shared" si="36"/>
        <v>5.63016439399658</v>
      </c>
      <c r="K552" s="172">
        <f t="shared" si="37"/>
        <v>68.1875465495141</v>
      </c>
      <c r="L552" s="172">
        <f t="shared" si="38"/>
        <v>0</v>
      </c>
      <c r="M552" s="182"/>
      <c r="N552" s="182"/>
      <c r="O552" s="198"/>
      <c r="P552" s="181">
        <f>(4.4+0.3)*(2.085+2.088+3.566)</f>
        <v>36.3733</v>
      </c>
    </row>
    <row r="553" s="162" customFormat="1" ht="21" spans="1:16">
      <c r="A553" s="175" t="s">
        <v>598</v>
      </c>
      <c r="B553" s="176" t="s">
        <v>599</v>
      </c>
      <c r="C553" s="177"/>
      <c r="D553" s="178"/>
      <c r="E553" s="208"/>
      <c r="F553" s="206"/>
      <c r="G553" s="206"/>
      <c r="H553" s="206"/>
      <c r="I553" s="195">
        <f t="shared" si="35"/>
        <v>0</v>
      </c>
      <c r="J553" s="196"/>
      <c r="K553" s="172"/>
      <c r="L553" s="172"/>
      <c r="M553" s="193"/>
      <c r="N553" s="193"/>
      <c r="O553" s="198"/>
      <c r="P553" s="208"/>
    </row>
    <row r="554" s="162" customFormat="1" ht="52.5" outlineLevel="1" spans="1:16">
      <c r="A554" s="178">
        <v>1</v>
      </c>
      <c r="B554" s="177" t="s">
        <v>73</v>
      </c>
      <c r="C554" s="177" t="s">
        <v>74</v>
      </c>
      <c r="D554" s="178" t="s">
        <v>75</v>
      </c>
      <c r="E554" s="181"/>
      <c r="F554" s="206"/>
      <c r="G554" s="206"/>
      <c r="H554" s="179">
        <v>8.5</v>
      </c>
      <c r="I554" s="195">
        <f t="shared" si="35"/>
        <v>0.362295805364982</v>
      </c>
      <c r="J554" s="196">
        <f t="shared" si="36"/>
        <v>0.797606622482848</v>
      </c>
      <c r="K554" s="172">
        <f t="shared" si="37"/>
        <v>9.65990242784783</v>
      </c>
      <c r="L554" s="172">
        <f t="shared" si="38"/>
        <v>0</v>
      </c>
      <c r="M554" s="193"/>
      <c r="N554" s="193"/>
      <c r="O554" s="198"/>
      <c r="P554" s="181">
        <f>P556+P557</f>
        <v>33.498</v>
      </c>
    </row>
    <row r="555" s="162" customFormat="1" ht="21" outlineLevel="1" spans="1:16">
      <c r="A555" s="178">
        <v>2</v>
      </c>
      <c r="B555" s="177" t="s">
        <v>76</v>
      </c>
      <c r="C555" s="177" t="s">
        <v>77</v>
      </c>
      <c r="D555" s="178" t="s">
        <v>78</v>
      </c>
      <c r="E555" s="181"/>
      <c r="F555" s="179">
        <v>0.5</v>
      </c>
      <c r="G555" s="172"/>
      <c r="H555" s="179">
        <v>2.5</v>
      </c>
      <c r="I555" s="195">
        <f t="shared" si="35"/>
        <v>0.127869107775876</v>
      </c>
      <c r="J555" s="196">
        <f t="shared" si="36"/>
        <v>0.281508219699829</v>
      </c>
      <c r="K555" s="172">
        <f t="shared" si="37"/>
        <v>3.4093773274757</v>
      </c>
      <c r="L555" s="172">
        <f t="shared" si="38"/>
        <v>0</v>
      </c>
      <c r="M555" s="193"/>
      <c r="N555" s="193"/>
      <c r="O555" s="198"/>
      <c r="P555" s="181">
        <v>167.49</v>
      </c>
    </row>
    <row r="556" s="162" customFormat="1" ht="21" outlineLevel="1" spans="1:16">
      <c r="A556" s="178">
        <v>3</v>
      </c>
      <c r="B556" s="177" t="s">
        <v>79</v>
      </c>
      <c r="C556" s="177" t="s">
        <v>96</v>
      </c>
      <c r="D556" s="178" t="s">
        <v>75</v>
      </c>
      <c r="E556" s="181"/>
      <c r="F556" s="179">
        <v>10</v>
      </c>
      <c r="G556" s="180">
        <v>95</v>
      </c>
      <c r="H556" s="179">
        <v>15</v>
      </c>
      <c r="I556" s="195">
        <f t="shared" si="35"/>
        <v>5.11476431103504</v>
      </c>
      <c r="J556" s="196">
        <f t="shared" si="36"/>
        <v>11.2603287879932</v>
      </c>
      <c r="K556" s="172">
        <f t="shared" si="37"/>
        <v>136.375093099028</v>
      </c>
      <c r="L556" s="172">
        <f t="shared" si="38"/>
        <v>0</v>
      </c>
      <c r="M556" s="193"/>
      <c r="N556" s="193"/>
      <c r="O556" s="198"/>
      <c r="P556" s="181">
        <v>16.749</v>
      </c>
    </row>
    <row r="557" s="162" customFormat="1" ht="42" outlineLevel="1" spans="1:16">
      <c r="A557" s="178">
        <v>4</v>
      </c>
      <c r="B557" s="177" t="s">
        <v>81</v>
      </c>
      <c r="C557" s="177" t="s">
        <v>97</v>
      </c>
      <c r="D557" s="178" t="s">
        <v>75</v>
      </c>
      <c r="E557" s="181"/>
      <c r="F557" s="179">
        <v>55</v>
      </c>
      <c r="G557" s="180">
        <v>445</v>
      </c>
      <c r="H557" s="179">
        <v>15</v>
      </c>
      <c r="I557" s="195">
        <f t="shared" si="35"/>
        <v>21.9508635015254</v>
      </c>
      <c r="J557" s="196">
        <f t="shared" si="36"/>
        <v>48.3255777151373</v>
      </c>
      <c r="K557" s="172">
        <f t="shared" si="37"/>
        <v>585.276441216663</v>
      </c>
      <c r="L557" s="172">
        <f t="shared" si="38"/>
        <v>0</v>
      </c>
      <c r="M557" s="193"/>
      <c r="N557" s="193"/>
      <c r="O557" s="198"/>
      <c r="P557" s="181">
        <v>16.749</v>
      </c>
    </row>
    <row r="558" s="162" customFormat="1" ht="31.5" outlineLevel="1" spans="1:16">
      <c r="A558" s="178">
        <v>5</v>
      </c>
      <c r="B558" s="177" t="s">
        <v>600</v>
      </c>
      <c r="C558" s="177" t="s">
        <v>601</v>
      </c>
      <c r="D558" s="202" t="s">
        <v>78</v>
      </c>
      <c r="E558" s="208"/>
      <c r="F558" s="179">
        <v>65</v>
      </c>
      <c r="G558" s="172">
        <v>150</v>
      </c>
      <c r="H558" s="179">
        <v>15</v>
      </c>
      <c r="I558" s="195">
        <f t="shared" si="35"/>
        <v>9.80329826281716</v>
      </c>
      <c r="J558" s="196">
        <f t="shared" si="36"/>
        <v>21.5822968436535</v>
      </c>
      <c r="K558" s="172">
        <f t="shared" si="37"/>
        <v>261.385595106471</v>
      </c>
      <c r="L558" s="172">
        <f t="shared" si="38"/>
        <v>0</v>
      </c>
      <c r="M558" s="193"/>
      <c r="N558" s="193"/>
      <c r="O558" s="198"/>
      <c r="P558" s="208">
        <v>11.51</v>
      </c>
    </row>
    <row r="559" s="162" customFormat="1" ht="31.5" outlineLevel="1" spans="1:16">
      <c r="A559" s="178">
        <v>6</v>
      </c>
      <c r="B559" s="177" t="s">
        <v>602</v>
      </c>
      <c r="C559" s="177" t="s">
        <v>603</v>
      </c>
      <c r="D559" s="202" t="s">
        <v>78</v>
      </c>
      <c r="E559" s="208"/>
      <c r="F559" s="206">
        <v>55</v>
      </c>
      <c r="G559" s="206">
        <v>180</v>
      </c>
      <c r="H559" s="206">
        <v>15</v>
      </c>
      <c r="I559" s="195">
        <f t="shared" si="35"/>
        <v>10.655758981323</v>
      </c>
      <c r="J559" s="196">
        <f t="shared" si="36"/>
        <v>23.4590183083191</v>
      </c>
      <c r="K559" s="172">
        <f t="shared" si="37"/>
        <v>284.114777289642</v>
      </c>
      <c r="L559" s="172">
        <f t="shared" si="38"/>
        <v>0</v>
      </c>
      <c r="M559" s="193"/>
      <c r="N559" s="193"/>
      <c r="O559" s="198"/>
      <c r="P559" s="208">
        <v>5.4</v>
      </c>
    </row>
    <row r="560" s="162" customFormat="1" ht="31.5" outlineLevel="1" spans="1:16">
      <c r="A560" s="178">
        <v>7</v>
      </c>
      <c r="B560" s="177" t="s">
        <v>604</v>
      </c>
      <c r="C560" s="177" t="s">
        <v>605</v>
      </c>
      <c r="D560" s="202" t="s">
        <v>78</v>
      </c>
      <c r="E560" s="208"/>
      <c r="F560" s="206">
        <v>55</v>
      </c>
      <c r="G560" s="179">
        <v>105</v>
      </c>
      <c r="H560" s="206">
        <v>15</v>
      </c>
      <c r="I560" s="195">
        <f t="shared" si="35"/>
        <v>7.4590312869261</v>
      </c>
      <c r="J560" s="196">
        <f t="shared" si="36"/>
        <v>16.4213128158233</v>
      </c>
      <c r="K560" s="172">
        <f t="shared" si="37"/>
        <v>198.880344102749</v>
      </c>
      <c r="L560" s="172">
        <f t="shared" si="38"/>
        <v>0</v>
      </c>
      <c r="M560" s="193"/>
      <c r="N560" s="193"/>
      <c r="O560" s="198"/>
      <c r="P560" s="208">
        <v>46.52</v>
      </c>
    </row>
    <row r="561" s="162" customFormat="1" ht="31.5" outlineLevel="1" spans="1:16">
      <c r="A561" s="178">
        <v>8</v>
      </c>
      <c r="B561" s="177" t="s">
        <v>606</v>
      </c>
      <c r="C561" s="177" t="s">
        <v>607</v>
      </c>
      <c r="D561" s="202" t="s">
        <v>78</v>
      </c>
      <c r="E561" s="208"/>
      <c r="F561" s="206">
        <v>55</v>
      </c>
      <c r="G561" s="206">
        <v>380</v>
      </c>
      <c r="H561" s="206">
        <v>15</v>
      </c>
      <c r="I561" s="195">
        <f t="shared" si="35"/>
        <v>19.1803661663814</v>
      </c>
      <c r="J561" s="196">
        <f t="shared" si="36"/>
        <v>42.2262329549743</v>
      </c>
      <c r="K561" s="172">
        <f t="shared" si="37"/>
        <v>511.406599121356</v>
      </c>
      <c r="L561" s="172">
        <f t="shared" si="38"/>
        <v>0</v>
      </c>
      <c r="M561" s="193"/>
      <c r="N561" s="193"/>
      <c r="O561" s="198"/>
      <c r="P561" s="208">
        <v>12.95</v>
      </c>
    </row>
    <row r="562" s="162" customFormat="1" ht="31.5" outlineLevel="1" spans="1:16">
      <c r="A562" s="178">
        <v>9</v>
      </c>
      <c r="B562" s="177" t="s">
        <v>153</v>
      </c>
      <c r="C562" s="177" t="s">
        <v>608</v>
      </c>
      <c r="D562" s="202" t="s">
        <v>78</v>
      </c>
      <c r="E562" s="208"/>
      <c r="F562" s="179">
        <v>50</v>
      </c>
      <c r="G562" s="180">
        <v>65</v>
      </c>
      <c r="H562" s="179">
        <v>15</v>
      </c>
      <c r="I562" s="195">
        <f t="shared" si="35"/>
        <v>5.54099467028796</v>
      </c>
      <c r="J562" s="196">
        <f t="shared" si="36"/>
        <v>12.1986895203259</v>
      </c>
      <c r="K562" s="172">
        <f t="shared" si="37"/>
        <v>147.739684190614</v>
      </c>
      <c r="L562" s="172">
        <f t="shared" si="38"/>
        <v>0</v>
      </c>
      <c r="M562" s="193"/>
      <c r="N562" s="193"/>
      <c r="O562" s="198"/>
      <c r="P562" s="208">
        <v>8.38</v>
      </c>
    </row>
    <row r="563" s="162" customFormat="1" ht="31.5" outlineLevel="1" spans="1:16">
      <c r="A563" s="178">
        <v>10</v>
      </c>
      <c r="B563" s="177" t="s">
        <v>609</v>
      </c>
      <c r="C563" s="177" t="s">
        <v>610</v>
      </c>
      <c r="D563" s="202" t="s">
        <v>78</v>
      </c>
      <c r="E563" s="208"/>
      <c r="F563" s="179">
        <v>55</v>
      </c>
      <c r="G563" s="172">
        <v>220</v>
      </c>
      <c r="H563" s="179">
        <v>15</v>
      </c>
      <c r="I563" s="195">
        <f t="shared" si="35"/>
        <v>12.3606804183347</v>
      </c>
      <c r="J563" s="196">
        <f t="shared" si="36"/>
        <v>27.2124612376501</v>
      </c>
      <c r="K563" s="172">
        <f t="shared" si="37"/>
        <v>329.573141655985</v>
      </c>
      <c r="L563" s="172">
        <f t="shared" si="38"/>
        <v>0</v>
      </c>
      <c r="M563" s="193"/>
      <c r="N563" s="193"/>
      <c r="O563" s="198"/>
      <c r="P563" s="208">
        <v>3.7</v>
      </c>
    </row>
    <row r="564" s="162" customFormat="1" ht="31.5" outlineLevel="1" spans="1:16">
      <c r="A564" s="178">
        <v>11</v>
      </c>
      <c r="B564" s="177" t="s">
        <v>609</v>
      </c>
      <c r="C564" s="177" t="s">
        <v>611</v>
      </c>
      <c r="D564" s="202" t="s">
        <v>78</v>
      </c>
      <c r="E564" s="208"/>
      <c r="F564" s="179">
        <v>55</v>
      </c>
      <c r="G564" s="172">
        <v>220</v>
      </c>
      <c r="H564" s="179">
        <v>15</v>
      </c>
      <c r="I564" s="195">
        <f t="shared" si="35"/>
        <v>12.3606804183347</v>
      </c>
      <c r="J564" s="196">
        <f t="shared" si="36"/>
        <v>27.2124612376501</v>
      </c>
      <c r="K564" s="172">
        <f t="shared" si="37"/>
        <v>329.573141655985</v>
      </c>
      <c r="L564" s="172">
        <f t="shared" si="38"/>
        <v>0</v>
      </c>
      <c r="M564" s="193"/>
      <c r="N564" s="193"/>
      <c r="O564" s="198"/>
      <c r="P564" s="208">
        <v>1.96</v>
      </c>
    </row>
    <row r="565" s="162" customFormat="1" ht="31.5" outlineLevel="1" spans="1:16">
      <c r="A565" s="178">
        <v>12</v>
      </c>
      <c r="B565" s="177" t="s">
        <v>609</v>
      </c>
      <c r="C565" s="177" t="s">
        <v>612</v>
      </c>
      <c r="D565" s="202" t="s">
        <v>78</v>
      </c>
      <c r="E565" s="208"/>
      <c r="F565" s="179">
        <v>65</v>
      </c>
      <c r="G565" s="172">
        <v>460</v>
      </c>
      <c r="H565" s="179">
        <v>15</v>
      </c>
      <c r="I565" s="195">
        <f t="shared" si="35"/>
        <v>23.0164393996577</v>
      </c>
      <c r="J565" s="196">
        <f t="shared" si="36"/>
        <v>50.6714795459692</v>
      </c>
      <c r="K565" s="172">
        <f t="shared" si="37"/>
        <v>613.687918945627</v>
      </c>
      <c r="L565" s="172">
        <f t="shared" si="38"/>
        <v>0</v>
      </c>
      <c r="M565" s="193"/>
      <c r="N565" s="193"/>
      <c r="O565" s="198"/>
      <c r="P565" s="208">
        <v>4.04</v>
      </c>
    </row>
    <row r="566" s="162" customFormat="1" ht="31.5" outlineLevel="1" spans="1:16">
      <c r="A566" s="178">
        <v>13</v>
      </c>
      <c r="B566" s="177" t="s">
        <v>609</v>
      </c>
      <c r="C566" s="177" t="s">
        <v>613</v>
      </c>
      <c r="D566" s="202" t="s">
        <v>78</v>
      </c>
      <c r="E566" s="208"/>
      <c r="F566" s="179">
        <v>65</v>
      </c>
      <c r="G566" s="172">
        <v>460</v>
      </c>
      <c r="H566" s="179">
        <v>15</v>
      </c>
      <c r="I566" s="195">
        <f t="shared" si="35"/>
        <v>23.0164393996577</v>
      </c>
      <c r="J566" s="196">
        <f t="shared" si="36"/>
        <v>50.6714795459692</v>
      </c>
      <c r="K566" s="172">
        <f t="shared" si="37"/>
        <v>613.687918945627</v>
      </c>
      <c r="L566" s="172">
        <f t="shared" si="38"/>
        <v>0</v>
      </c>
      <c r="M566" s="193"/>
      <c r="N566" s="193"/>
      <c r="O566" s="198"/>
      <c r="P566" s="208">
        <v>12.14</v>
      </c>
    </row>
    <row r="567" s="162" customFormat="1" ht="31.5" outlineLevel="1" spans="1:16">
      <c r="A567" s="178">
        <v>14</v>
      </c>
      <c r="B567" s="177" t="s">
        <v>600</v>
      </c>
      <c r="C567" s="177" t="s">
        <v>601</v>
      </c>
      <c r="D567" s="202" t="s">
        <v>78</v>
      </c>
      <c r="E567" s="208"/>
      <c r="F567" s="179">
        <v>65</v>
      </c>
      <c r="G567" s="172">
        <v>150</v>
      </c>
      <c r="H567" s="179">
        <v>15</v>
      </c>
      <c r="I567" s="195">
        <f t="shared" si="35"/>
        <v>9.80329826281716</v>
      </c>
      <c r="J567" s="196">
        <f t="shared" si="36"/>
        <v>21.5822968436535</v>
      </c>
      <c r="K567" s="172">
        <f t="shared" si="37"/>
        <v>261.385595106471</v>
      </c>
      <c r="L567" s="172">
        <f t="shared" si="38"/>
        <v>0</v>
      </c>
      <c r="M567" s="193"/>
      <c r="N567" s="193"/>
      <c r="O567" s="198"/>
      <c r="P567" s="208">
        <v>6.19</v>
      </c>
    </row>
    <row r="568" s="162" customFormat="1" ht="31.5" outlineLevel="1" spans="1:16">
      <c r="A568" s="178">
        <v>15</v>
      </c>
      <c r="B568" s="177" t="s">
        <v>602</v>
      </c>
      <c r="C568" s="177" t="s">
        <v>603</v>
      </c>
      <c r="D568" s="202" t="s">
        <v>78</v>
      </c>
      <c r="E568" s="208"/>
      <c r="F568" s="206">
        <v>55</v>
      </c>
      <c r="G568" s="206">
        <v>180</v>
      </c>
      <c r="H568" s="206">
        <v>15</v>
      </c>
      <c r="I568" s="195">
        <f t="shared" si="35"/>
        <v>10.655758981323</v>
      </c>
      <c r="J568" s="196">
        <f t="shared" si="36"/>
        <v>23.4590183083191</v>
      </c>
      <c r="K568" s="172">
        <f t="shared" si="37"/>
        <v>284.114777289642</v>
      </c>
      <c r="L568" s="172">
        <f t="shared" si="38"/>
        <v>0</v>
      </c>
      <c r="M568" s="193"/>
      <c r="N568" s="193"/>
      <c r="O568" s="198"/>
      <c r="P568" s="208">
        <v>6.31</v>
      </c>
    </row>
    <row r="569" s="162" customFormat="1" ht="31.5" outlineLevel="1" spans="1:16">
      <c r="A569" s="178">
        <v>16</v>
      </c>
      <c r="B569" s="177" t="s">
        <v>604</v>
      </c>
      <c r="C569" s="177" t="s">
        <v>614</v>
      </c>
      <c r="D569" s="202" t="s">
        <v>78</v>
      </c>
      <c r="E569" s="208"/>
      <c r="F569" s="206">
        <v>55</v>
      </c>
      <c r="G569" s="179">
        <v>105</v>
      </c>
      <c r="H569" s="206">
        <v>15</v>
      </c>
      <c r="I569" s="195">
        <f t="shared" si="35"/>
        <v>7.4590312869261</v>
      </c>
      <c r="J569" s="196">
        <f t="shared" si="36"/>
        <v>16.4213128158233</v>
      </c>
      <c r="K569" s="172">
        <f t="shared" si="37"/>
        <v>198.880344102749</v>
      </c>
      <c r="L569" s="172">
        <f t="shared" si="38"/>
        <v>0</v>
      </c>
      <c r="M569" s="193"/>
      <c r="N569" s="193"/>
      <c r="O569" s="198"/>
      <c r="P569" s="208">
        <v>6.86</v>
      </c>
    </row>
    <row r="570" s="162" customFormat="1" ht="31.5" outlineLevel="1" spans="1:16">
      <c r="A570" s="178">
        <v>17</v>
      </c>
      <c r="B570" s="177" t="s">
        <v>604</v>
      </c>
      <c r="C570" s="177" t="s">
        <v>615</v>
      </c>
      <c r="D570" s="202" t="s">
        <v>78</v>
      </c>
      <c r="E570" s="208"/>
      <c r="F570" s="206">
        <v>55</v>
      </c>
      <c r="G570" s="179">
        <v>105</v>
      </c>
      <c r="H570" s="206">
        <v>15</v>
      </c>
      <c r="I570" s="195">
        <f t="shared" si="35"/>
        <v>7.4590312869261</v>
      </c>
      <c r="J570" s="196">
        <f t="shared" si="36"/>
        <v>16.4213128158233</v>
      </c>
      <c r="K570" s="172">
        <f t="shared" si="37"/>
        <v>198.880344102749</v>
      </c>
      <c r="L570" s="172">
        <f t="shared" si="38"/>
        <v>0</v>
      </c>
      <c r="M570" s="193"/>
      <c r="N570" s="193"/>
      <c r="O570" s="198"/>
      <c r="P570" s="208">
        <v>0.16</v>
      </c>
    </row>
    <row r="571" s="162" customFormat="1" ht="31.5" outlineLevel="1" spans="1:16">
      <c r="A571" s="178">
        <v>18</v>
      </c>
      <c r="B571" s="177" t="s">
        <v>604</v>
      </c>
      <c r="C571" s="177" t="s">
        <v>605</v>
      </c>
      <c r="D571" s="202" t="s">
        <v>78</v>
      </c>
      <c r="E571" s="208"/>
      <c r="F571" s="206">
        <v>55</v>
      </c>
      <c r="G571" s="179">
        <v>105</v>
      </c>
      <c r="H571" s="206">
        <v>15</v>
      </c>
      <c r="I571" s="195">
        <f t="shared" si="35"/>
        <v>7.4590312869261</v>
      </c>
      <c r="J571" s="196">
        <f t="shared" si="36"/>
        <v>16.4213128158233</v>
      </c>
      <c r="K571" s="172">
        <f t="shared" si="37"/>
        <v>198.880344102749</v>
      </c>
      <c r="L571" s="172">
        <f t="shared" si="38"/>
        <v>0</v>
      </c>
      <c r="M571" s="193"/>
      <c r="N571" s="193"/>
      <c r="O571" s="198"/>
      <c r="P571" s="208">
        <v>41.37</v>
      </c>
    </row>
    <row r="572" s="162" customFormat="1" ht="63" outlineLevel="1" spans="1:16">
      <c r="A572" s="178">
        <v>19</v>
      </c>
      <c r="B572" s="177" t="s">
        <v>85</v>
      </c>
      <c r="C572" s="177" t="s">
        <v>616</v>
      </c>
      <c r="D572" s="178" t="s">
        <v>78</v>
      </c>
      <c r="E572" s="181"/>
      <c r="F572" s="179">
        <v>10</v>
      </c>
      <c r="G572" s="179">
        <f>8*12</f>
        <v>96</v>
      </c>
      <c r="H572" s="179">
        <v>25</v>
      </c>
      <c r="I572" s="195">
        <f t="shared" si="35"/>
        <v>5.58361770621325</v>
      </c>
      <c r="J572" s="196">
        <f t="shared" si="36"/>
        <v>12.2925255935592</v>
      </c>
      <c r="K572" s="172">
        <f t="shared" si="37"/>
        <v>148.876143299772</v>
      </c>
      <c r="L572" s="172">
        <f t="shared" si="38"/>
        <v>0</v>
      </c>
      <c r="M572" s="193"/>
      <c r="N572" s="193"/>
      <c r="O572" s="198"/>
      <c r="P572" s="181">
        <v>128.15</v>
      </c>
    </row>
    <row r="573" s="162" customFormat="1" ht="31.5" outlineLevel="1" spans="1:16">
      <c r="A573" s="178">
        <v>20</v>
      </c>
      <c r="B573" s="177" t="s">
        <v>617</v>
      </c>
      <c r="C573" s="177" t="s">
        <v>618</v>
      </c>
      <c r="D573" s="178" t="s">
        <v>89</v>
      </c>
      <c r="E573" s="208"/>
      <c r="F573" s="179">
        <v>25</v>
      </c>
      <c r="G573" s="180">
        <v>65</v>
      </c>
      <c r="H573" s="179">
        <v>5</v>
      </c>
      <c r="I573" s="195">
        <f t="shared" si="35"/>
        <v>4.04918841290274</v>
      </c>
      <c r="J573" s="196">
        <f t="shared" si="36"/>
        <v>8.91442695716125</v>
      </c>
      <c r="K573" s="172">
        <f t="shared" si="37"/>
        <v>107.963615370064</v>
      </c>
      <c r="L573" s="172">
        <f t="shared" si="38"/>
        <v>0</v>
      </c>
      <c r="M573" s="193"/>
      <c r="N573" s="193"/>
      <c r="O573" s="198"/>
      <c r="P573" s="208">
        <f>[2]零星!$F$22</f>
        <v>53.6</v>
      </c>
    </row>
    <row r="574" s="162" customFormat="1" ht="52.5" outlineLevel="1" spans="1:16">
      <c r="A574" s="178">
        <v>21</v>
      </c>
      <c r="B574" s="177" t="s">
        <v>73</v>
      </c>
      <c r="C574" s="177" t="s">
        <v>74</v>
      </c>
      <c r="D574" s="178" t="s">
        <v>75</v>
      </c>
      <c r="E574" s="181"/>
      <c r="F574" s="206"/>
      <c r="G574" s="206"/>
      <c r="H574" s="179">
        <v>8.5</v>
      </c>
      <c r="I574" s="195">
        <f t="shared" si="35"/>
        <v>0.362295805364982</v>
      </c>
      <c r="J574" s="196">
        <f t="shared" si="36"/>
        <v>0.797606622482848</v>
      </c>
      <c r="K574" s="172">
        <f t="shared" si="37"/>
        <v>9.65990242784783</v>
      </c>
      <c r="L574" s="172">
        <f t="shared" si="38"/>
        <v>0</v>
      </c>
      <c r="M574" s="193"/>
      <c r="N574" s="193"/>
      <c r="O574" s="198"/>
      <c r="P574" s="181">
        <f>P576+P577</f>
        <v>72.7</v>
      </c>
    </row>
    <row r="575" s="162" customFormat="1" ht="21" outlineLevel="1" spans="1:16">
      <c r="A575" s="178">
        <v>22</v>
      </c>
      <c r="B575" s="177" t="s">
        <v>76</v>
      </c>
      <c r="C575" s="177" t="s">
        <v>104</v>
      </c>
      <c r="D575" s="178" t="s">
        <v>78</v>
      </c>
      <c r="E575" s="181"/>
      <c r="F575" s="179">
        <v>0.5</v>
      </c>
      <c r="G575" s="172"/>
      <c r="H575" s="179">
        <v>2.5</v>
      </c>
      <c r="I575" s="195">
        <f t="shared" si="35"/>
        <v>0.127869107775876</v>
      </c>
      <c r="J575" s="196">
        <f t="shared" si="36"/>
        <v>0.281508219699829</v>
      </c>
      <c r="K575" s="172">
        <f t="shared" si="37"/>
        <v>3.4093773274757</v>
      </c>
      <c r="L575" s="172">
        <f t="shared" si="38"/>
        <v>0</v>
      </c>
      <c r="M575" s="193"/>
      <c r="N575" s="193"/>
      <c r="O575" s="198"/>
      <c r="P575" s="181">
        <v>128.15</v>
      </c>
    </row>
    <row r="576" s="162" customFormat="1" ht="21" outlineLevel="1" spans="1:16">
      <c r="A576" s="178">
        <v>23</v>
      </c>
      <c r="B576" s="177" t="s">
        <v>79</v>
      </c>
      <c r="C576" s="177" t="s">
        <v>80</v>
      </c>
      <c r="D576" s="178" t="s">
        <v>75</v>
      </c>
      <c r="E576" s="181"/>
      <c r="F576" s="179">
        <v>10</v>
      </c>
      <c r="G576" s="180">
        <v>95</v>
      </c>
      <c r="H576" s="179">
        <v>15</v>
      </c>
      <c r="I576" s="195">
        <f t="shared" si="35"/>
        <v>5.11476431103504</v>
      </c>
      <c r="J576" s="196">
        <f t="shared" si="36"/>
        <v>11.2603287879932</v>
      </c>
      <c r="K576" s="172">
        <f t="shared" si="37"/>
        <v>136.375093099028</v>
      </c>
      <c r="L576" s="172">
        <f t="shared" si="38"/>
        <v>0</v>
      </c>
      <c r="M576" s="193"/>
      <c r="N576" s="193"/>
      <c r="O576" s="198"/>
      <c r="P576" s="181">
        <v>36.35</v>
      </c>
    </row>
    <row r="577" s="162" customFormat="1" ht="42" outlineLevel="1" spans="1:16">
      <c r="A577" s="178">
        <v>24</v>
      </c>
      <c r="B577" s="177" t="s">
        <v>81</v>
      </c>
      <c r="C577" s="177" t="s">
        <v>619</v>
      </c>
      <c r="D577" s="178" t="s">
        <v>75</v>
      </c>
      <c r="E577" s="208"/>
      <c r="F577" s="179">
        <v>55</v>
      </c>
      <c r="G577" s="172">
        <v>465</v>
      </c>
      <c r="H577" s="179">
        <v>15</v>
      </c>
      <c r="I577" s="195">
        <f t="shared" si="35"/>
        <v>22.8033242200312</v>
      </c>
      <c r="J577" s="196">
        <f t="shared" si="36"/>
        <v>50.2022991798028</v>
      </c>
      <c r="K577" s="172">
        <f t="shared" si="37"/>
        <v>608.005623399834</v>
      </c>
      <c r="L577" s="172">
        <f t="shared" si="38"/>
        <v>0</v>
      </c>
      <c r="M577" s="193"/>
      <c r="N577" s="193"/>
      <c r="O577" s="198"/>
      <c r="P577" s="208">
        <v>36.35</v>
      </c>
    </row>
    <row r="578" s="162" customFormat="1" ht="21" spans="1:16">
      <c r="A578" s="175" t="s">
        <v>620</v>
      </c>
      <c r="B578" s="223" t="s">
        <v>621</v>
      </c>
      <c r="C578" s="177"/>
      <c r="D578" s="178"/>
      <c r="E578" s="208"/>
      <c r="F578" s="206"/>
      <c r="G578" s="206"/>
      <c r="H578" s="206"/>
      <c r="I578" s="195">
        <f t="shared" si="35"/>
        <v>0</v>
      </c>
      <c r="J578" s="196"/>
      <c r="K578" s="172"/>
      <c r="L578" s="172"/>
      <c r="M578" s="193"/>
      <c r="N578" s="193"/>
      <c r="O578" s="198"/>
      <c r="P578" s="208"/>
    </row>
    <row r="579" s="162" customFormat="1" ht="31.5" outlineLevel="1" spans="1:16">
      <c r="A579" s="178">
        <v>1</v>
      </c>
      <c r="B579" s="177" t="s">
        <v>622</v>
      </c>
      <c r="C579" s="213" t="s">
        <v>623</v>
      </c>
      <c r="D579" s="202" t="s">
        <v>78</v>
      </c>
      <c r="E579" s="181"/>
      <c r="F579" s="179">
        <v>65</v>
      </c>
      <c r="G579" s="172">
        <v>150</v>
      </c>
      <c r="H579" s="179">
        <v>15</v>
      </c>
      <c r="I579" s="195">
        <f t="shared" si="35"/>
        <v>9.80329826281716</v>
      </c>
      <c r="J579" s="196">
        <f t="shared" si="36"/>
        <v>21.5822968436535</v>
      </c>
      <c r="K579" s="172">
        <f t="shared" si="37"/>
        <v>261.385595106471</v>
      </c>
      <c r="L579" s="172">
        <f t="shared" si="38"/>
        <v>0</v>
      </c>
      <c r="M579" s="193"/>
      <c r="N579" s="193"/>
      <c r="O579" s="198"/>
      <c r="P579" s="181">
        <v>12.6</v>
      </c>
    </row>
    <row r="580" s="162" customFormat="1" ht="31.5" outlineLevel="1" spans="1:16">
      <c r="A580" s="178">
        <v>2</v>
      </c>
      <c r="B580" s="177" t="s">
        <v>624</v>
      </c>
      <c r="C580" s="213" t="s">
        <v>625</v>
      </c>
      <c r="D580" s="202" t="s">
        <v>89</v>
      </c>
      <c r="E580" s="181"/>
      <c r="F580" s="206">
        <v>25</v>
      </c>
      <c r="G580" s="206">
        <v>160</v>
      </c>
      <c r="H580" s="206">
        <v>5</v>
      </c>
      <c r="I580" s="195">
        <f t="shared" si="35"/>
        <v>8.09837682580548</v>
      </c>
      <c r="J580" s="196">
        <f t="shared" si="36"/>
        <v>17.8288539143225</v>
      </c>
      <c r="K580" s="172">
        <f t="shared" si="37"/>
        <v>215.927230740128</v>
      </c>
      <c r="L580" s="172">
        <f t="shared" si="38"/>
        <v>0</v>
      </c>
      <c r="M580" s="193"/>
      <c r="N580" s="193"/>
      <c r="O580" s="198"/>
      <c r="P580" s="181">
        <v>17.2</v>
      </c>
    </row>
    <row r="581" s="162" customFormat="1" ht="31.5" outlineLevel="1" spans="1:16">
      <c r="A581" s="178">
        <v>3</v>
      </c>
      <c r="B581" s="177" t="s">
        <v>626</v>
      </c>
      <c r="C581" s="213" t="s">
        <v>627</v>
      </c>
      <c r="D581" s="202" t="s">
        <v>78</v>
      </c>
      <c r="E581" s="181"/>
      <c r="F581" s="179">
        <v>65</v>
      </c>
      <c r="G581" s="180">
        <v>150</v>
      </c>
      <c r="H581" s="179">
        <v>15</v>
      </c>
      <c r="I581" s="195">
        <f t="shared" ref="I581:I644" si="39">((F581+G581+H581)*0.06)*0.7103839320882</f>
        <v>9.80329826281716</v>
      </c>
      <c r="J581" s="196">
        <f t="shared" si="36"/>
        <v>21.5822968436535</v>
      </c>
      <c r="K581" s="172">
        <f t="shared" si="37"/>
        <v>261.385595106471</v>
      </c>
      <c r="L581" s="172">
        <f t="shared" si="38"/>
        <v>0</v>
      </c>
      <c r="M581" s="193"/>
      <c r="N581" s="193"/>
      <c r="O581" s="198"/>
      <c r="P581" s="181">
        <v>8.65</v>
      </c>
    </row>
    <row r="582" s="162" customFormat="1" ht="31.5" outlineLevel="1" spans="1:16">
      <c r="A582" s="178">
        <v>4</v>
      </c>
      <c r="B582" s="177" t="s">
        <v>609</v>
      </c>
      <c r="C582" s="213" t="s">
        <v>628</v>
      </c>
      <c r="D582" s="202" t="s">
        <v>78</v>
      </c>
      <c r="E582" s="181"/>
      <c r="F582" s="179">
        <v>55</v>
      </c>
      <c r="G582" s="172">
        <v>220</v>
      </c>
      <c r="H582" s="179">
        <v>15</v>
      </c>
      <c r="I582" s="195">
        <f t="shared" si="39"/>
        <v>12.3606804183347</v>
      </c>
      <c r="J582" s="196">
        <f t="shared" ref="J582:J645" si="40">(F582+G582+H582+I582)*0.09</f>
        <v>27.2124612376501</v>
      </c>
      <c r="K582" s="172">
        <f t="shared" ref="K582:K645" si="41">F582+G582+H582+I582+J582</f>
        <v>329.573141655985</v>
      </c>
      <c r="L582" s="172">
        <f t="shared" ref="L582:L645" si="42">K582*E582</f>
        <v>0</v>
      </c>
      <c r="M582" s="193"/>
      <c r="N582" s="193"/>
      <c r="O582" s="198"/>
      <c r="P582" s="181">
        <v>3.62</v>
      </c>
    </row>
    <row r="583" s="162" customFormat="1" ht="11.25" outlineLevel="1" spans="1:16">
      <c r="A583" s="178">
        <v>5</v>
      </c>
      <c r="B583" s="177" t="s">
        <v>629</v>
      </c>
      <c r="C583" s="213" t="s">
        <v>630</v>
      </c>
      <c r="D583" s="202" t="s">
        <v>372</v>
      </c>
      <c r="E583" s="181"/>
      <c r="F583" s="206">
        <v>85</v>
      </c>
      <c r="G583" s="206">
        <v>2200</v>
      </c>
      <c r="H583" s="206"/>
      <c r="I583" s="195">
        <f t="shared" si="39"/>
        <v>97.3936370892922</v>
      </c>
      <c r="J583" s="196">
        <f t="shared" si="40"/>
        <v>214.415427338036</v>
      </c>
      <c r="K583" s="172">
        <f t="shared" si="41"/>
        <v>2596.80906442733</v>
      </c>
      <c r="L583" s="172">
        <f t="shared" si="42"/>
        <v>0</v>
      </c>
      <c r="M583" s="193"/>
      <c r="N583" s="193"/>
      <c r="O583" s="198"/>
      <c r="P583" s="181">
        <v>2</v>
      </c>
    </row>
    <row r="584" s="162" customFormat="1" ht="31.5" outlineLevel="1" spans="1:16">
      <c r="A584" s="178">
        <v>6</v>
      </c>
      <c r="B584" s="177" t="s">
        <v>609</v>
      </c>
      <c r="C584" s="213" t="s">
        <v>631</v>
      </c>
      <c r="D584" s="202" t="s">
        <v>78</v>
      </c>
      <c r="E584" s="181"/>
      <c r="F584" s="179">
        <v>65</v>
      </c>
      <c r="G584" s="172">
        <v>150</v>
      </c>
      <c r="H584" s="179">
        <v>15</v>
      </c>
      <c r="I584" s="195">
        <f t="shared" si="39"/>
        <v>9.80329826281716</v>
      </c>
      <c r="J584" s="196">
        <f t="shared" si="40"/>
        <v>21.5822968436535</v>
      </c>
      <c r="K584" s="172">
        <f t="shared" si="41"/>
        <v>261.385595106471</v>
      </c>
      <c r="L584" s="172">
        <f t="shared" si="42"/>
        <v>0</v>
      </c>
      <c r="M584" s="193"/>
      <c r="N584" s="193"/>
      <c r="O584" s="198"/>
      <c r="P584" s="181">
        <v>4.32</v>
      </c>
    </row>
    <row r="585" s="162" customFormat="1" ht="52.5" outlineLevel="1" spans="1:16">
      <c r="A585" s="178">
        <v>7</v>
      </c>
      <c r="B585" s="177" t="s">
        <v>632</v>
      </c>
      <c r="C585" s="213" t="s">
        <v>633</v>
      </c>
      <c r="D585" s="202" t="s">
        <v>89</v>
      </c>
      <c r="E585" s="181"/>
      <c r="F585" s="206">
        <v>20</v>
      </c>
      <c r="G585" s="206">
        <v>160</v>
      </c>
      <c r="H585" s="206">
        <v>5</v>
      </c>
      <c r="I585" s="195">
        <f t="shared" si="39"/>
        <v>7.88526164617902</v>
      </c>
      <c r="J585" s="196">
        <f t="shared" si="40"/>
        <v>17.3596735481561</v>
      </c>
      <c r="K585" s="172">
        <f t="shared" si="41"/>
        <v>210.244935194335</v>
      </c>
      <c r="L585" s="172">
        <f t="shared" si="42"/>
        <v>0</v>
      </c>
      <c r="M585" s="193"/>
      <c r="N585" s="193"/>
      <c r="O585" s="198"/>
      <c r="P585" s="181">
        <v>10.8</v>
      </c>
    </row>
    <row r="586" s="162" customFormat="1" ht="31.5" outlineLevel="1" spans="1:16">
      <c r="A586" s="178">
        <v>8</v>
      </c>
      <c r="B586" s="177" t="s">
        <v>634</v>
      </c>
      <c r="C586" s="213" t="s">
        <v>635</v>
      </c>
      <c r="D586" s="202" t="s">
        <v>78</v>
      </c>
      <c r="E586" s="181"/>
      <c r="F586" s="206">
        <v>150</v>
      </c>
      <c r="G586" s="206">
        <v>2500</v>
      </c>
      <c r="H586" s="206">
        <v>15</v>
      </c>
      <c r="I586" s="195">
        <f t="shared" si="39"/>
        <v>113.590390740903</v>
      </c>
      <c r="J586" s="196">
        <f t="shared" si="40"/>
        <v>250.073135166681</v>
      </c>
      <c r="K586" s="172">
        <f t="shared" si="41"/>
        <v>3028.66352590758</v>
      </c>
      <c r="L586" s="172">
        <f t="shared" si="42"/>
        <v>0</v>
      </c>
      <c r="M586" s="193"/>
      <c r="N586" s="193"/>
      <c r="O586" s="198"/>
      <c r="P586" s="181">
        <v>2.8</v>
      </c>
    </row>
    <row r="587" s="162" customFormat="1" ht="31.5" outlineLevel="1" spans="1:16">
      <c r="A587" s="178">
        <v>9</v>
      </c>
      <c r="B587" s="177" t="s">
        <v>600</v>
      </c>
      <c r="C587" s="213" t="s">
        <v>636</v>
      </c>
      <c r="D587" s="202" t="s">
        <v>78</v>
      </c>
      <c r="E587" s="181"/>
      <c r="F587" s="179">
        <v>65</v>
      </c>
      <c r="G587" s="172">
        <v>150</v>
      </c>
      <c r="H587" s="179">
        <v>15</v>
      </c>
      <c r="I587" s="195">
        <f t="shared" si="39"/>
        <v>9.80329826281716</v>
      </c>
      <c r="J587" s="196">
        <f t="shared" si="40"/>
        <v>21.5822968436535</v>
      </c>
      <c r="K587" s="172">
        <f t="shared" si="41"/>
        <v>261.385595106471</v>
      </c>
      <c r="L587" s="172">
        <f t="shared" si="42"/>
        <v>0</v>
      </c>
      <c r="M587" s="193"/>
      <c r="N587" s="193"/>
      <c r="O587" s="198"/>
      <c r="P587" s="181">
        <v>1.52</v>
      </c>
    </row>
    <row r="588" s="162" customFormat="1" ht="11.25" outlineLevel="1" spans="1:16">
      <c r="A588" s="178">
        <v>10</v>
      </c>
      <c r="B588" s="177" t="s">
        <v>81</v>
      </c>
      <c r="C588" s="213" t="s">
        <v>637</v>
      </c>
      <c r="D588" s="202" t="s">
        <v>75</v>
      </c>
      <c r="E588" s="181"/>
      <c r="F588" s="179">
        <v>55</v>
      </c>
      <c r="G588" s="180">
        <v>445</v>
      </c>
      <c r="H588" s="179">
        <v>15</v>
      </c>
      <c r="I588" s="195">
        <f t="shared" si="39"/>
        <v>21.9508635015254</v>
      </c>
      <c r="J588" s="196">
        <f t="shared" si="40"/>
        <v>48.3255777151373</v>
      </c>
      <c r="K588" s="172">
        <f t="shared" si="41"/>
        <v>585.276441216663</v>
      </c>
      <c r="L588" s="172">
        <f t="shared" si="42"/>
        <v>0</v>
      </c>
      <c r="M588" s="193"/>
      <c r="N588" s="193"/>
      <c r="O588" s="198"/>
      <c r="P588" s="181">
        <v>5.071</v>
      </c>
    </row>
    <row r="589" s="162" customFormat="1" ht="11.25" outlineLevel="1" spans="1:16">
      <c r="A589" s="178">
        <v>11</v>
      </c>
      <c r="B589" s="177" t="s">
        <v>79</v>
      </c>
      <c r="C589" s="213" t="s">
        <v>638</v>
      </c>
      <c r="D589" s="202" t="s">
        <v>75</v>
      </c>
      <c r="E589" s="181"/>
      <c r="F589" s="179">
        <v>10</v>
      </c>
      <c r="G589" s="180">
        <v>95</v>
      </c>
      <c r="H589" s="179">
        <v>15</v>
      </c>
      <c r="I589" s="195">
        <f t="shared" si="39"/>
        <v>5.11476431103504</v>
      </c>
      <c r="J589" s="196">
        <f t="shared" si="40"/>
        <v>11.2603287879932</v>
      </c>
      <c r="K589" s="172">
        <f t="shared" si="41"/>
        <v>136.375093099028</v>
      </c>
      <c r="L589" s="172">
        <f t="shared" si="42"/>
        <v>0</v>
      </c>
      <c r="M589" s="193"/>
      <c r="N589" s="193"/>
      <c r="O589" s="198"/>
      <c r="P589" s="181">
        <f>P588</f>
        <v>5.071</v>
      </c>
    </row>
    <row r="590" s="162" customFormat="1" ht="31.5" outlineLevel="1" spans="1:16">
      <c r="A590" s="178">
        <v>12</v>
      </c>
      <c r="B590" s="177" t="s">
        <v>138</v>
      </c>
      <c r="C590" s="177" t="s">
        <v>639</v>
      </c>
      <c r="D590" s="178" t="s">
        <v>140</v>
      </c>
      <c r="E590" s="181"/>
      <c r="F590" s="179">
        <v>1000</v>
      </c>
      <c r="G590" s="179">
        <v>4600</v>
      </c>
      <c r="H590" s="179">
        <v>200</v>
      </c>
      <c r="I590" s="195">
        <f t="shared" si="39"/>
        <v>247.213608366694</v>
      </c>
      <c r="J590" s="196">
        <f t="shared" si="40"/>
        <v>544.249224753002</v>
      </c>
      <c r="K590" s="172">
        <f t="shared" si="41"/>
        <v>6591.4628331197</v>
      </c>
      <c r="L590" s="172">
        <f t="shared" si="42"/>
        <v>0</v>
      </c>
      <c r="M590" s="193"/>
      <c r="N590" s="193"/>
      <c r="O590" s="198"/>
      <c r="P590" s="181">
        <f>10.3*7*2*0.617/1000</f>
        <v>0.0889714</v>
      </c>
    </row>
    <row r="591" s="162" customFormat="1" ht="21" spans="1:16">
      <c r="A591" s="175" t="s">
        <v>640</v>
      </c>
      <c r="B591" s="176" t="s">
        <v>641</v>
      </c>
      <c r="C591" s="177"/>
      <c r="D591" s="178"/>
      <c r="E591" s="208"/>
      <c r="F591" s="206"/>
      <c r="G591" s="206"/>
      <c r="H591" s="206"/>
      <c r="I591" s="195">
        <f t="shared" si="39"/>
        <v>0</v>
      </c>
      <c r="J591" s="196"/>
      <c r="K591" s="172"/>
      <c r="L591" s="172"/>
      <c r="M591" s="193"/>
      <c r="N591" s="193"/>
      <c r="O591" s="198"/>
      <c r="P591" s="208"/>
    </row>
    <row r="592" s="162" customFormat="1" ht="52.5" outlineLevel="1" spans="1:16">
      <c r="A592" s="178">
        <v>1</v>
      </c>
      <c r="B592" s="177" t="s">
        <v>73</v>
      </c>
      <c r="C592" s="177" t="s">
        <v>74</v>
      </c>
      <c r="D592" s="178" t="s">
        <v>75</v>
      </c>
      <c r="E592" s="181"/>
      <c r="F592" s="206"/>
      <c r="G592" s="206"/>
      <c r="H592" s="179">
        <v>8.5</v>
      </c>
      <c r="I592" s="195">
        <f t="shared" si="39"/>
        <v>0.362295805364982</v>
      </c>
      <c r="J592" s="196">
        <f t="shared" si="40"/>
        <v>0.797606622482848</v>
      </c>
      <c r="K592" s="172">
        <f t="shared" si="41"/>
        <v>9.65990242784783</v>
      </c>
      <c r="L592" s="172">
        <f t="shared" si="42"/>
        <v>0</v>
      </c>
      <c r="M592" s="193"/>
      <c r="N592" s="193"/>
      <c r="O592" s="198"/>
      <c r="P592" s="181">
        <v>130.8622</v>
      </c>
    </row>
    <row r="593" s="162" customFormat="1" ht="63" outlineLevel="1" spans="1:16">
      <c r="A593" s="178">
        <v>2</v>
      </c>
      <c r="B593" s="177" t="s">
        <v>162</v>
      </c>
      <c r="C593" s="177" t="s">
        <v>163</v>
      </c>
      <c r="D593" s="178" t="s">
        <v>75</v>
      </c>
      <c r="E593" s="181"/>
      <c r="F593" s="206"/>
      <c r="G593" s="206"/>
      <c r="H593" s="179">
        <v>10</v>
      </c>
      <c r="I593" s="195">
        <f t="shared" si="39"/>
        <v>0.42623035925292</v>
      </c>
      <c r="J593" s="196">
        <f t="shared" si="40"/>
        <v>0.938360732332763</v>
      </c>
      <c r="K593" s="172">
        <f t="shared" si="41"/>
        <v>11.3645910915857</v>
      </c>
      <c r="L593" s="172">
        <f t="shared" si="42"/>
        <v>0</v>
      </c>
      <c r="M593" s="193"/>
      <c r="N593" s="193"/>
      <c r="O593" s="198"/>
      <c r="P593" s="181">
        <v>51.987028</v>
      </c>
    </row>
    <row r="594" s="162" customFormat="1" ht="21" outlineLevel="1" spans="1:16">
      <c r="A594" s="178">
        <v>3</v>
      </c>
      <c r="B594" s="177" t="s">
        <v>76</v>
      </c>
      <c r="C594" s="177" t="s">
        <v>109</v>
      </c>
      <c r="D594" s="178" t="s">
        <v>78</v>
      </c>
      <c r="E594" s="181"/>
      <c r="F594" s="179">
        <v>0.5</v>
      </c>
      <c r="G594" s="172"/>
      <c r="H594" s="179">
        <v>2.5</v>
      </c>
      <c r="I594" s="195">
        <f t="shared" si="39"/>
        <v>0.127869107775876</v>
      </c>
      <c r="J594" s="196">
        <f t="shared" si="40"/>
        <v>0.281508219699829</v>
      </c>
      <c r="K594" s="172">
        <f t="shared" si="41"/>
        <v>3.4093773274757</v>
      </c>
      <c r="L594" s="172">
        <f t="shared" si="42"/>
        <v>0</v>
      </c>
      <c r="M594" s="193"/>
      <c r="N594" s="193"/>
      <c r="O594" s="198"/>
      <c r="P594" s="181">
        <v>62.02</v>
      </c>
    </row>
    <row r="595" s="162" customFormat="1" ht="21" outlineLevel="1" spans="1:16">
      <c r="A595" s="178">
        <v>4</v>
      </c>
      <c r="B595" s="177" t="s">
        <v>79</v>
      </c>
      <c r="C595" s="177" t="s">
        <v>201</v>
      </c>
      <c r="D595" s="178" t="s">
        <v>75</v>
      </c>
      <c r="E595" s="181"/>
      <c r="F595" s="179">
        <v>10</v>
      </c>
      <c r="G595" s="180">
        <v>95</v>
      </c>
      <c r="H595" s="179">
        <v>15</v>
      </c>
      <c r="I595" s="195">
        <f t="shared" si="39"/>
        <v>5.11476431103504</v>
      </c>
      <c r="J595" s="196">
        <f t="shared" si="40"/>
        <v>11.2603287879932</v>
      </c>
      <c r="K595" s="172">
        <f t="shared" si="41"/>
        <v>136.375093099028</v>
      </c>
      <c r="L595" s="172">
        <f t="shared" si="42"/>
        <v>0</v>
      </c>
      <c r="M595" s="193"/>
      <c r="N595" s="193"/>
      <c r="O595" s="198"/>
      <c r="P595" s="181">
        <v>9.30168</v>
      </c>
    </row>
    <row r="596" s="162" customFormat="1" ht="42" outlineLevel="1" spans="1:16">
      <c r="A596" s="178">
        <v>5</v>
      </c>
      <c r="B596" s="177" t="s">
        <v>81</v>
      </c>
      <c r="C596" s="177" t="s">
        <v>202</v>
      </c>
      <c r="D596" s="178" t="s">
        <v>75</v>
      </c>
      <c r="E596" s="200"/>
      <c r="F596" s="179">
        <v>55</v>
      </c>
      <c r="G596" s="180">
        <v>445</v>
      </c>
      <c r="H596" s="179">
        <v>15</v>
      </c>
      <c r="I596" s="195">
        <f t="shared" si="39"/>
        <v>21.9508635015254</v>
      </c>
      <c r="J596" s="196">
        <f t="shared" si="40"/>
        <v>48.3255777151373</v>
      </c>
      <c r="K596" s="172">
        <f t="shared" si="41"/>
        <v>585.276441216663</v>
      </c>
      <c r="L596" s="172">
        <f t="shared" si="42"/>
        <v>0</v>
      </c>
      <c r="M596" s="193"/>
      <c r="N596" s="193"/>
      <c r="O596" s="198"/>
      <c r="P596" s="200">
        <v>6.20112</v>
      </c>
    </row>
    <row r="597" s="162" customFormat="1" ht="31.5" outlineLevel="1" spans="1:16">
      <c r="A597" s="178">
        <v>6</v>
      </c>
      <c r="B597" s="204" t="s">
        <v>210</v>
      </c>
      <c r="C597" s="177" t="s">
        <v>211</v>
      </c>
      <c r="D597" s="178" t="s">
        <v>75</v>
      </c>
      <c r="E597" s="181"/>
      <c r="F597" s="181">
        <v>220</v>
      </c>
      <c r="G597" s="181">
        <v>260</v>
      </c>
      <c r="H597" s="181">
        <v>85</v>
      </c>
      <c r="I597" s="195">
        <f t="shared" si="39"/>
        <v>24.08201529779</v>
      </c>
      <c r="J597" s="196">
        <f t="shared" si="40"/>
        <v>53.0173813768011</v>
      </c>
      <c r="K597" s="172">
        <f t="shared" si="41"/>
        <v>642.099396674591</v>
      </c>
      <c r="L597" s="172">
        <f t="shared" si="42"/>
        <v>0</v>
      </c>
      <c r="M597" s="193"/>
      <c r="N597" s="193"/>
      <c r="O597" s="198"/>
      <c r="P597" s="181">
        <v>17.527872</v>
      </c>
    </row>
    <row r="598" s="162" customFormat="1" ht="31.5" outlineLevel="1" spans="1:16">
      <c r="A598" s="178">
        <v>7</v>
      </c>
      <c r="B598" s="204" t="s">
        <v>228</v>
      </c>
      <c r="C598" s="177" t="s">
        <v>211</v>
      </c>
      <c r="D598" s="178" t="s">
        <v>75</v>
      </c>
      <c r="E598" s="181"/>
      <c r="F598" s="181">
        <v>220</v>
      </c>
      <c r="G598" s="181">
        <v>260</v>
      </c>
      <c r="H598" s="181">
        <v>85</v>
      </c>
      <c r="I598" s="195">
        <f t="shared" si="39"/>
        <v>24.08201529779</v>
      </c>
      <c r="J598" s="196">
        <f t="shared" si="40"/>
        <v>53.0173813768011</v>
      </c>
      <c r="K598" s="172">
        <f t="shared" si="41"/>
        <v>642.099396674591</v>
      </c>
      <c r="L598" s="172">
        <f t="shared" si="42"/>
        <v>0</v>
      </c>
      <c r="M598" s="193"/>
      <c r="N598" s="193"/>
      <c r="O598" s="198"/>
      <c r="P598" s="181">
        <v>24.244136</v>
      </c>
    </row>
    <row r="599" s="162" customFormat="1" ht="56.25" outlineLevel="1" spans="1:16">
      <c r="A599" s="178">
        <v>8</v>
      </c>
      <c r="B599" s="177" t="s">
        <v>212</v>
      </c>
      <c r="C599" s="205" t="s">
        <v>213</v>
      </c>
      <c r="D599" s="178" t="s">
        <v>75</v>
      </c>
      <c r="E599" s="200"/>
      <c r="F599" s="179">
        <v>200</v>
      </c>
      <c r="G599" s="180">
        <v>465</v>
      </c>
      <c r="H599" s="179">
        <v>180</v>
      </c>
      <c r="I599" s="195">
        <f t="shared" si="39"/>
        <v>36.0164653568717</v>
      </c>
      <c r="J599" s="196">
        <f t="shared" si="40"/>
        <v>79.2914818821185</v>
      </c>
      <c r="K599" s="172">
        <f t="shared" si="41"/>
        <v>960.30794723899</v>
      </c>
      <c r="L599" s="172">
        <f t="shared" si="42"/>
        <v>0</v>
      </c>
      <c r="M599" s="193"/>
      <c r="N599" s="193"/>
      <c r="O599" s="198"/>
      <c r="P599" s="200">
        <v>7.33512</v>
      </c>
    </row>
    <row r="600" s="162" customFormat="1" ht="56.25" outlineLevel="1" spans="1:16">
      <c r="A600" s="178">
        <v>9</v>
      </c>
      <c r="B600" s="177" t="s">
        <v>214</v>
      </c>
      <c r="C600" s="205" t="s">
        <v>215</v>
      </c>
      <c r="D600" s="178" t="s">
        <v>75</v>
      </c>
      <c r="E600" s="200"/>
      <c r="F600" s="179">
        <v>200</v>
      </c>
      <c r="G600" s="180">
        <v>465</v>
      </c>
      <c r="H600" s="179">
        <v>180</v>
      </c>
      <c r="I600" s="195">
        <f t="shared" si="39"/>
        <v>36.0164653568717</v>
      </c>
      <c r="J600" s="196">
        <f t="shared" si="40"/>
        <v>79.2914818821185</v>
      </c>
      <c r="K600" s="172">
        <f t="shared" si="41"/>
        <v>960.30794723899</v>
      </c>
      <c r="L600" s="172">
        <f t="shared" si="42"/>
        <v>0</v>
      </c>
      <c r="M600" s="193"/>
      <c r="N600" s="193"/>
      <c r="O600" s="198"/>
      <c r="P600" s="200">
        <v>7.8</v>
      </c>
    </row>
    <row r="601" s="162" customFormat="1" ht="42" outlineLevel="1" spans="1:16">
      <c r="A601" s="178">
        <v>10</v>
      </c>
      <c r="B601" s="177" t="s">
        <v>206</v>
      </c>
      <c r="C601" s="177" t="s">
        <v>207</v>
      </c>
      <c r="D601" s="178" t="s">
        <v>75</v>
      </c>
      <c r="E601" s="200"/>
      <c r="F601" s="179">
        <v>200</v>
      </c>
      <c r="G601" s="180">
        <v>465</v>
      </c>
      <c r="H601" s="179">
        <v>180</v>
      </c>
      <c r="I601" s="195">
        <f t="shared" si="39"/>
        <v>36.0164653568717</v>
      </c>
      <c r="J601" s="196">
        <f t="shared" si="40"/>
        <v>79.2914818821185</v>
      </c>
      <c r="K601" s="172">
        <f t="shared" si="41"/>
        <v>960.30794723899</v>
      </c>
      <c r="L601" s="172">
        <f t="shared" si="42"/>
        <v>0</v>
      </c>
      <c r="M601" s="193"/>
      <c r="N601" s="193"/>
      <c r="O601" s="198"/>
      <c r="P601" s="200">
        <v>5.79438</v>
      </c>
    </row>
    <row r="602" s="162" customFormat="1" ht="31.5" outlineLevel="1" spans="1:16">
      <c r="A602" s="178">
        <v>11</v>
      </c>
      <c r="B602" s="177" t="s">
        <v>208</v>
      </c>
      <c r="C602" s="177" t="s">
        <v>209</v>
      </c>
      <c r="D602" s="178" t="s">
        <v>140</v>
      </c>
      <c r="E602" s="200"/>
      <c r="F602" s="179">
        <v>1000</v>
      </c>
      <c r="G602" s="179">
        <v>4600</v>
      </c>
      <c r="H602" s="179">
        <v>200</v>
      </c>
      <c r="I602" s="195">
        <f t="shared" si="39"/>
        <v>247.213608366694</v>
      </c>
      <c r="J602" s="196">
        <f t="shared" si="40"/>
        <v>544.249224753002</v>
      </c>
      <c r="K602" s="172">
        <f t="shared" si="41"/>
        <v>6591.4628331197</v>
      </c>
      <c r="L602" s="172">
        <f t="shared" si="42"/>
        <v>0</v>
      </c>
      <c r="M602" s="193"/>
      <c r="N602" s="193"/>
      <c r="O602" s="198"/>
      <c r="P602" s="200">
        <v>2.77208392</v>
      </c>
    </row>
    <row r="603" s="162" customFormat="1" ht="67.5" outlineLevel="1" spans="1:16">
      <c r="A603" s="178">
        <v>12</v>
      </c>
      <c r="B603" s="177" t="s">
        <v>216</v>
      </c>
      <c r="C603" s="205" t="s">
        <v>642</v>
      </c>
      <c r="D603" s="178" t="s">
        <v>78</v>
      </c>
      <c r="E603" s="200"/>
      <c r="F603" s="179">
        <v>25</v>
      </c>
      <c r="G603" s="179">
        <v>30</v>
      </c>
      <c r="H603" s="179">
        <v>10</v>
      </c>
      <c r="I603" s="195">
        <f t="shared" si="39"/>
        <v>2.77049733514398</v>
      </c>
      <c r="J603" s="196">
        <f t="shared" si="40"/>
        <v>6.09934476016296</v>
      </c>
      <c r="K603" s="172">
        <f t="shared" si="41"/>
        <v>73.869842095307</v>
      </c>
      <c r="L603" s="172">
        <f t="shared" si="42"/>
        <v>0</v>
      </c>
      <c r="M603" s="193"/>
      <c r="N603" s="193"/>
      <c r="O603" s="198"/>
      <c r="P603" s="200">
        <v>50.448</v>
      </c>
    </row>
    <row r="604" s="162" customFormat="1" ht="45" outlineLevel="1" spans="1:16">
      <c r="A604" s="178">
        <v>13</v>
      </c>
      <c r="B604" s="177" t="s">
        <v>643</v>
      </c>
      <c r="C604" s="205" t="s">
        <v>644</v>
      </c>
      <c r="D604" s="178" t="s">
        <v>78</v>
      </c>
      <c r="E604" s="200"/>
      <c r="F604" s="179">
        <v>55</v>
      </c>
      <c r="G604" s="172">
        <v>492</v>
      </c>
      <c r="H604" s="179">
        <v>15</v>
      </c>
      <c r="I604" s="195">
        <f t="shared" si="39"/>
        <v>23.9541461900141</v>
      </c>
      <c r="J604" s="196">
        <f t="shared" si="40"/>
        <v>52.7358731571013</v>
      </c>
      <c r="K604" s="172">
        <f t="shared" si="41"/>
        <v>638.690019347115</v>
      </c>
      <c r="L604" s="172">
        <f t="shared" si="42"/>
        <v>0</v>
      </c>
      <c r="M604" s="193"/>
      <c r="N604" s="193"/>
      <c r="O604" s="198"/>
      <c r="P604" s="200">
        <v>0.49536</v>
      </c>
    </row>
    <row r="605" s="162" customFormat="1" ht="52.5" outlineLevel="1" spans="1:16">
      <c r="A605" s="178">
        <v>14</v>
      </c>
      <c r="B605" s="177" t="s">
        <v>232</v>
      </c>
      <c r="C605" s="177" t="s">
        <v>233</v>
      </c>
      <c r="D605" s="178" t="s">
        <v>78</v>
      </c>
      <c r="E605" s="200"/>
      <c r="F605" s="179">
        <v>180</v>
      </c>
      <c r="G605" s="179">
        <v>150</v>
      </c>
      <c r="H605" s="179">
        <v>85</v>
      </c>
      <c r="I605" s="195">
        <f t="shared" si="39"/>
        <v>17.6885599089962</v>
      </c>
      <c r="J605" s="196">
        <f t="shared" si="40"/>
        <v>38.9419703918097</v>
      </c>
      <c r="K605" s="172">
        <f t="shared" si="41"/>
        <v>471.630530300806</v>
      </c>
      <c r="L605" s="172">
        <f t="shared" si="42"/>
        <v>0</v>
      </c>
      <c r="M605" s="193"/>
      <c r="N605" s="193"/>
      <c r="O605" s="198"/>
      <c r="P605" s="200">
        <v>197.9613</v>
      </c>
    </row>
    <row r="606" s="162" customFormat="1" ht="56.25" outlineLevel="1" spans="1:16">
      <c r="A606" s="178">
        <v>15</v>
      </c>
      <c r="B606" s="177" t="s">
        <v>240</v>
      </c>
      <c r="C606" s="205" t="s">
        <v>241</v>
      </c>
      <c r="D606" s="224" t="s">
        <v>78</v>
      </c>
      <c r="E606" s="225"/>
      <c r="F606" s="179">
        <v>85</v>
      </c>
      <c r="G606" s="179">
        <v>120</v>
      </c>
      <c r="H606" s="179">
        <v>35</v>
      </c>
      <c r="I606" s="195">
        <f t="shared" si="39"/>
        <v>10.2295286220701</v>
      </c>
      <c r="J606" s="196">
        <f t="shared" si="40"/>
        <v>22.5206575759863</v>
      </c>
      <c r="K606" s="172">
        <f t="shared" si="41"/>
        <v>272.750186198056</v>
      </c>
      <c r="L606" s="172">
        <f t="shared" si="42"/>
        <v>0</v>
      </c>
      <c r="M606" s="193"/>
      <c r="N606" s="193"/>
      <c r="O606" s="198"/>
      <c r="P606" s="225">
        <v>44.28</v>
      </c>
    </row>
    <row r="607" s="162" customFormat="1" ht="63" outlineLevel="1" spans="1:16">
      <c r="A607" s="178">
        <v>16</v>
      </c>
      <c r="B607" s="177" t="s">
        <v>645</v>
      </c>
      <c r="C607" s="177" t="s">
        <v>646</v>
      </c>
      <c r="D607" s="178" t="s">
        <v>78</v>
      </c>
      <c r="E607" s="200"/>
      <c r="F607" s="206">
        <v>180</v>
      </c>
      <c r="G607" s="206">
        <v>650</v>
      </c>
      <c r="H607" s="206">
        <v>85</v>
      </c>
      <c r="I607" s="195">
        <f t="shared" si="39"/>
        <v>39.0000778716422</v>
      </c>
      <c r="J607" s="196">
        <f t="shared" si="40"/>
        <v>85.8600070084478</v>
      </c>
      <c r="K607" s="172">
        <f t="shared" si="41"/>
        <v>1039.86008488009</v>
      </c>
      <c r="L607" s="172">
        <f t="shared" si="42"/>
        <v>0</v>
      </c>
      <c r="M607" s="193"/>
      <c r="N607" s="193"/>
      <c r="O607" s="198"/>
      <c r="P607" s="200">
        <v>19.38</v>
      </c>
    </row>
    <row r="608" s="162" customFormat="1" ht="73.5" outlineLevel="1" spans="1:16">
      <c r="A608" s="178">
        <v>17</v>
      </c>
      <c r="B608" s="177" t="s">
        <v>647</v>
      </c>
      <c r="C608" s="177" t="s">
        <v>648</v>
      </c>
      <c r="D608" s="178" t="s">
        <v>78</v>
      </c>
      <c r="E608" s="200"/>
      <c r="F608" s="206">
        <v>180</v>
      </c>
      <c r="G608" s="206">
        <v>650</v>
      </c>
      <c r="H608" s="206">
        <v>85</v>
      </c>
      <c r="I608" s="195">
        <f t="shared" si="39"/>
        <v>39.0000778716422</v>
      </c>
      <c r="J608" s="196">
        <f t="shared" si="40"/>
        <v>85.8600070084478</v>
      </c>
      <c r="K608" s="172">
        <f t="shared" si="41"/>
        <v>1039.86008488009</v>
      </c>
      <c r="L608" s="172">
        <f t="shared" si="42"/>
        <v>0</v>
      </c>
      <c r="M608" s="193"/>
      <c r="N608" s="193"/>
      <c r="O608" s="198"/>
      <c r="P608" s="200">
        <v>9.12</v>
      </c>
    </row>
    <row r="609" s="162" customFormat="1" ht="31.5" outlineLevel="1" spans="1:16">
      <c r="A609" s="178">
        <v>18</v>
      </c>
      <c r="B609" s="177" t="s">
        <v>649</v>
      </c>
      <c r="C609" s="177" t="s">
        <v>650</v>
      </c>
      <c r="D609" s="178" t="s">
        <v>78</v>
      </c>
      <c r="E609" s="200"/>
      <c r="F609" s="179">
        <v>85</v>
      </c>
      <c r="G609" s="179">
        <v>180</v>
      </c>
      <c r="H609" s="179">
        <v>35</v>
      </c>
      <c r="I609" s="195">
        <f t="shared" si="39"/>
        <v>12.7869107775876</v>
      </c>
      <c r="J609" s="196">
        <f t="shared" si="40"/>
        <v>28.1508219699829</v>
      </c>
      <c r="K609" s="172">
        <f t="shared" si="41"/>
        <v>340.93773274757</v>
      </c>
      <c r="L609" s="172">
        <f t="shared" si="42"/>
        <v>0</v>
      </c>
      <c r="M609" s="193"/>
      <c r="N609" s="193"/>
      <c r="O609" s="198"/>
      <c r="P609" s="200">
        <v>8.448</v>
      </c>
    </row>
    <row r="610" s="162" customFormat="1" ht="31.5" outlineLevel="1" spans="1:16">
      <c r="A610" s="178">
        <v>19</v>
      </c>
      <c r="B610" s="177" t="s">
        <v>651</v>
      </c>
      <c r="C610" s="177" t="s">
        <v>652</v>
      </c>
      <c r="D610" s="178" t="s">
        <v>78</v>
      </c>
      <c r="E610" s="200"/>
      <c r="F610" s="179">
        <v>85</v>
      </c>
      <c r="G610" s="179">
        <v>180</v>
      </c>
      <c r="H610" s="179">
        <v>35</v>
      </c>
      <c r="I610" s="195">
        <f t="shared" si="39"/>
        <v>12.7869107775876</v>
      </c>
      <c r="J610" s="196">
        <f t="shared" si="40"/>
        <v>28.1508219699829</v>
      </c>
      <c r="K610" s="172">
        <f t="shared" si="41"/>
        <v>340.93773274757</v>
      </c>
      <c r="L610" s="172">
        <f t="shared" si="42"/>
        <v>0</v>
      </c>
      <c r="M610" s="193"/>
      <c r="N610" s="193"/>
      <c r="O610" s="198"/>
      <c r="P610" s="200">
        <v>9.05</v>
      </c>
    </row>
    <row r="611" s="162" customFormat="1" ht="21" outlineLevel="1" spans="1:16">
      <c r="A611" s="178">
        <v>20</v>
      </c>
      <c r="B611" s="177" t="s">
        <v>653</v>
      </c>
      <c r="C611" s="177" t="s">
        <v>654</v>
      </c>
      <c r="D611" s="178" t="s">
        <v>193</v>
      </c>
      <c r="E611" s="200"/>
      <c r="F611" s="206">
        <v>85</v>
      </c>
      <c r="G611" s="206">
        <v>2200</v>
      </c>
      <c r="H611" s="206"/>
      <c r="I611" s="195">
        <f t="shared" si="39"/>
        <v>97.3936370892922</v>
      </c>
      <c r="J611" s="196">
        <f t="shared" si="40"/>
        <v>214.415427338036</v>
      </c>
      <c r="K611" s="172">
        <f t="shared" si="41"/>
        <v>2596.80906442733</v>
      </c>
      <c r="L611" s="172">
        <f t="shared" si="42"/>
        <v>0</v>
      </c>
      <c r="M611" s="193"/>
      <c r="N611" s="193"/>
      <c r="O611" s="198"/>
      <c r="P611" s="200">
        <v>2</v>
      </c>
    </row>
    <row r="612" s="162" customFormat="1" ht="21" spans="1:16">
      <c r="A612" s="175" t="s">
        <v>655</v>
      </c>
      <c r="B612" s="176" t="s">
        <v>656</v>
      </c>
      <c r="C612" s="177"/>
      <c r="D612" s="178"/>
      <c r="E612" s="208"/>
      <c r="F612" s="206"/>
      <c r="G612" s="206"/>
      <c r="H612" s="206"/>
      <c r="I612" s="195">
        <f t="shared" si="39"/>
        <v>0</v>
      </c>
      <c r="J612" s="196"/>
      <c r="K612" s="172"/>
      <c r="L612" s="172"/>
      <c r="M612" s="193"/>
      <c r="N612" s="193"/>
      <c r="O612" s="198"/>
      <c r="P612" s="208"/>
    </row>
    <row r="613" s="162" customFormat="1" ht="52.5" outlineLevel="1" spans="1:16">
      <c r="A613" s="178">
        <v>1</v>
      </c>
      <c r="B613" s="177" t="s">
        <v>73</v>
      </c>
      <c r="C613" s="177" t="s">
        <v>74</v>
      </c>
      <c r="D613" s="178" t="s">
        <v>75</v>
      </c>
      <c r="E613" s="200"/>
      <c r="F613" s="206"/>
      <c r="G613" s="206"/>
      <c r="H613" s="179">
        <v>8.5</v>
      </c>
      <c r="I613" s="195">
        <f t="shared" si="39"/>
        <v>0.362295805364982</v>
      </c>
      <c r="J613" s="196">
        <f t="shared" si="40"/>
        <v>0.797606622482848</v>
      </c>
      <c r="K613" s="172">
        <f t="shared" si="41"/>
        <v>9.65990242784783</v>
      </c>
      <c r="L613" s="172">
        <f t="shared" si="42"/>
        <v>0</v>
      </c>
      <c r="M613" s="193"/>
      <c r="N613" s="193"/>
      <c r="O613" s="198"/>
      <c r="P613" s="200">
        <v>8.804</v>
      </c>
    </row>
    <row r="614" s="162" customFormat="1" ht="63" outlineLevel="1" spans="1:16">
      <c r="A614" s="178">
        <v>2</v>
      </c>
      <c r="B614" s="177" t="s">
        <v>162</v>
      </c>
      <c r="C614" s="177" t="s">
        <v>163</v>
      </c>
      <c r="D614" s="178" t="s">
        <v>75</v>
      </c>
      <c r="E614" s="200"/>
      <c r="F614" s="206"/>
      <c r="G614" s="206"/>
      <c r="H614" s="179">
        <v>10</v>
      </c>
      <c r="I614" s="195">
        <f t="shared" si="39"/>
        <v>0.42623035925292</v>
      </c>
      <c r="J614" s="196">
        <f t="shared" si="40"/>
        <v>0.938360732332763</v>
      </c>
      <c r="K614" s="172">
        <f t="shared" si="41"/>
        <v>11.3645910915857</v>
      </c>
      <c r="L614" s="172">
        <f t="shared" si="42"/>
        <v>0</v>
      </c>
      <c r="M614" s="193"/>
      <c r="N614" s="193"/>
      <c r="O614" s="198"/>
      <c r="P614" s="200">
        <v>1.484</v>
      </c>
    </row>
    <row r="615" s="162" customFormat="1" ht="21" outlineLevel="1" spans="1:16">
      <c r="A615" s="178">
        <v>3</v>
      </c>
      <c r="B615" s="177" t="s">
        <v>76</v>
      </c>
      <c r="C615" s="177" t="s">
        <v>109</v>
      </c>
      <c r="D615" s="178" t="s">
        <v>78</v>
      </c>
      <c r="E615" s="181"/>
      <c r="F615" s="179">
        <v>0.5</v>
      </c>
      <c r="G615" s="172"/>
      <c r="H615" s="179">
        <v>2.5</v>
      </c>
      <c r="I615" s="195">
        <f t="shared" si="39"/>
        <v>0.127869107775876</v>
      </c>
      <c r="J615" s="196">
        <f t="shared" si="40"/>
        <v>0.281508219699829</v>
      </c>
      <c r="K615" s="172">
        <f t="shared" si="41"/>
        <v>3.4093773274757</v>
      </c>
      <c r="L615" s="172">
        <f t="shared" si="42"/>
        <v>0</v>
      </c>
      <c r="M615" s="193"/>
      <c r="N615" s="193"/>
      <c r="O615" s="198"/>
      <c r="P615" s="181">
        <v>12.4</v>
      </c>
    </row>
    <row r="616" s="162" customFormat="1" ht="21" outlineLevel="1" spans="1:16">
      <c r="A616" s="178">
        <v>4</v>
      </c>
      <c r="B616" s="177" t="s">
        <v>79</v>
      </c>
      <c r="C616" s="177" t="s">
        <v>201</v>
      </c>
      <c r="D616" s="178" t="s">
        <v>75</v>
      </c>
      <c r="E616" s="181"/>
      <c r="F616" s="179">
        <v>10</v>
      </c>
      <c r="G616" s="180">
        <v>95</v>
      </c>
      <c r="H616" s="179">
        <v>15</v>
      </c>
      <c r="I616" s="195">
        <f t="shared" si="39"/>
        <v>5.11476431103504</v>
      </c>
      <c r="J616" s="196">
        <f t="shared" si="40"/>
        <v>11.2603287879932</v>
      </c>
      <c r="K616" s="172">
        <f t="shared" si="41"/>
        <v>136.375093099028</v>
      </c>
      <c r="L616" s="172">
        <f t="shared" si="42"/>
        <v>0</v>
      </c>
      <c r="M616" s="193"/>
      <c r="N616" s="193"/>
      <c r="O616" s="198"/>
      <c r="P616" s="181">
        <v>1.86</v>
      </c>
    </row>
    <row r="617" s="162" customFormat="1" ht="42" outlineLevel="1" spans="1:16">
      <c r="A617" s="178">
        <v>5</v>
      </c>
      <c r="B617" s="177" t="s">
        <v>81</v>
      </c>
      <c r="C617" s="177" t="s">
        <v>202</v>
      </c>
      <c r="D617" s="178" t="s">
        <v>75</v>
      </c>
      <c r="E617" s="200"/>
      <c r="F617" s="179">
        <v>55</v>
      </c>
      <c r="G617" s="180">
        <v>445</v>
      </c>
      <c r="H617" s="179">
        <v>15</v>
      </c>
      <c r="I617" s="195">
        <f t="shared" si="39"/>
        <v>21.9508635015254</v>
      </c>
      <c r="J617" s="196">
        <f t="shared" si="40"/>
        <v>48.3255777151373</v>
      </c>
      <c r="K617" s="172">
        <f t="shared" si="41"/>
        <v>585.276441216663</v>
      </c>
      <c r="L617" s="172">
        <f t="shared" si="42"/>
        <v>0</v>
      </c>
      <c r="M617" s="193"/>
      <c r="N617" s="193"/>
      <c r="O617" s="198"/>
      <c r="P617" s="200">
        <v>1.24</v>
      </c>
    </row>
    <row r="618" s="162" customFormat="1" ht="42" outlineLevel="1" spans="1:16">
      <c r="A618" s="178">
        <v>6</v>
      </c>
      <c r="B618" s="204" t="s">
        <v>210</v>
      </c>
      <c r="C618" s="177" t="s">
        <v>657</v>
      </c>
      <c r="D618" s="178" t="s">
        <v>75</v>
      </c>
      <c r="E618" s="200"/>
      <c r="F618" s="181">
        <v>220</v>
      </c>
      <c r="G618" s="181">
        <v>260</v>
      </c>
      <c r="H618" s="181">
        <v>85</v>
      </c>
      <c r="I618" s="195">
        <f t="shared" si="39"/>
        <v>24.08201529779</v>
      </c>
      <c r="J618" s="196">
        <f t="shared" si="40"/>
        <v>53.0173813768011</v>
      </c>
      <c r="K618" s="172">
        <f t="shared" si="41"/>
        <v>642.099396674591</v>
      </c>
      <c r="L618" s="172">
        <f t="shared" si="42"/>
        <v>0</v>
      </c>
      <c r="M618" s="193"/>
      <c r="N618" s="193"/>
      <c r="O618" s="198"/>
      <c r="P618" s="200">
        <v>3.72</v>
      </c>
    </row>
    <row r="619" s="162" customFormat="1" ht="56.25" outlineLevel="1" spans="1:16">
      <c r="A619" s="178">
        <v>7</v>
      </c>
      <c r="B619" s="177" t="s">
        <v>214</v>
      </c>
      <c r="C619" s="205" t="s">
        <v>215</v>
      </c>
      <c r="D619" s="178" t="s">
        <v>75</v>
      </c>
      <c r="E619" s="200"/>
      <c r="F619" s="179">
        <v>200</v>
      </c>
      <c r="G619" s="180">
        <v>465</v>
      </c>
      <c r="H619" s="179">
        <v>180</v>
      </c>
      <c r="I619" s="195">
        <f t="shared" si="39"/>
        <v>36.0164653568717</v>
      </c>
      <c r="J619" s="196">
        <f t="shared" si="40"/>
        <v>79.2914818821185</v>
      </c>
      <c r="K619" s="172">
        <f t="shared" si="41"/>
        <v>960.30794723899</v>
      </c>
      <c r="L619" s="172">
        <f t="shared" si="42"/>
        <v>0</v>
      </c>
      <c r="M619" s="193"/>
      <c r="N619" s="193"/>
      <c r="O619" s="198"/>
      <c r="P619" s="200">
        <v>0.5</v>
      </c>
    </row>
    <row r="620" s="162" customFormat="1" ht="56.25" outlineLevel="1" spans="1:16">
      <c r="A620" s="178">
        <v>8</v>
      </c>
      <c r="B620" s="177" t="s">
        <v>212</v>
      </c>
      <c r="C620" s="205" t="s">
        <v>213</v>
      </c>
      <c r="D620" s="178" t="s">
        <v>75</v>
      </c>
      <c r="E620" s="200"/>
      <c r="F620" s="179">
        <v>200</v>
      </c>
      <c r="G620" s="180">
        <v>465</v>
      </c>
      <c r="H620" s="179">
        <v>180</v>
      </c>
      <c r="I620" s="195">
        <f t="shared" si="39"/>
        <v>36.0164653568717</v>
      </c>
      <c r="J620" s="196">
        <f t="shared" si="40"/>
        <v>79.2914818821185</v>
      </c>
      <c r="K620" s="172">
        <f t="shared" si="41"/>
        <v>960.30794723899</v>
      </c>
      <c r="L620" s="172">
        <f t="shared" si="42"/>
        <v>0</v>
      </c>
      <c r="M620" s="193"/>
      <c r="N620" s="193"/>
      <c r="O620" s="198"/>
      <c r="P620" s="200">
        <v>0.68</v>
      </c>
    </row>
    <row r="621" s="162" customFormat="1" ht="42" outlineLevel="1" spans="1:16">
      <c r="A621" s="178">
        <v>9</v>
      </c>
      <c r="B621" s="177" t="s">
        <v>206</v>
      </c>
      <c r="C621" s="177" t="s">
        <v>207</v>
      </c>
      <c r="D621" s="178" t="s">
        <v>75</v>
      </c>
      <c r="E621" s="200"/>
      <c r="F621" s="179">
        <v>200</v>
      </c>
      <c r="G621" s="180">
        <v>465</v>
      </c>
      <c r="H621" s="179">
        <v>180</v>
      </c>
      <c r="I621" s="195">
        <f t="shared" si="39"/>
        <v>36.0164653568717</v>
      </c>
      <c r="J621" s="196">
        <f t="shared" si="40"/>
        <v>79.2914818821185</v>
      </c>
      <c r="K621" s="172">
        <f t="shared" si="41"/>
        <v>960.30794723899</v>
      </c>
      <c r="L621" s="172">
        <f t="shared" si="42"/>
        <v>0</v>
      </c>
      <c r="M621" s="193"/>
      <c r="N621" s="193"/>
      <c r="O621" s="198"/>
      <c r="P621" s="200">
        <v>0.18</v>
      </c>
    </row>
    <row r="622" s="162" customFormat="1" ht="31.5" outlineLevel="1" spans="1:16">
      <c r="A622" s="178">
        <v>10</v>
      </c>
      <c r="B622" s="177" t="s">
        <v>208</v>
      </c>
      <c r="C622" s="177" t="s">
        <v>209</v>
      </c>
      <c r="D622" s="178" t="s">
        <v>140</v>
      </c>
      <c r="E622" s="200"/>
      <c r="F622" s="179">
        <v>1000</v>
      </c>
      <c r="G622" s="179">
        <v>4600</v>
      </c>
      <c r="H622" s="179">
        <v>200</v>
      </c>
      <c r="I622" s="195">
        <f t="shared" si="39"/>
        <v>247.213608366694</v>
      </c>
      <c r="J622" s="196">
        <f t="shared" si="40"/>
        <v>544.249224753002</v>
      </c>
      <c r="K622" s="172">
        <f t="shared" si="41"/>
        <v>6591.4628331197</v>
      </c>
      <c r="L622" s="172">
        <f t="shared" si="42"/>
        <v>0</v>
      </c>
      <c r="M622" s="193"/>
      <c r="N622" s="193"/>
      <c r="O622" s="198"/>
      <c r="P622" s="200">
        <v>0.15012</v>
      </c>
    </row>
    <row r="623" s="162" customFormat="1" ht="31.5" outlineLevel="1" spans="1:16">
      <c r="A623" s="178">
        <v>11</v>
      </c>
      <c r="B623" s="177" t="s">
        <v>658</v>
      </c>
      <c r="C623" s="177" t="s">
        <v>659</v>
      </c>
      <c r="D623" s="178" t="s">
        <v>78</v>
      </c>
      <c r="E623" s="200"/>
      <c r="F623" s="179">
        <v>65</v>
      </c>
      <c r="G623" s="172">
        <v>150</v>
      </c>
      <c r="H623" s="179">
        <v>15</v>
      </c>
      <c r="I623" s="195">
        <f t="shared" si="39"/>
        <v>9.80329826281716</v>
      </c>
      <c r="J623" s="196">
        <f t="shared" si="40"/>
        <v>21.5822968436535</v>
      </c>
      <c r="K623" s="172">
        <f t="shared" si="41"/>
        <v>261.385595106471</v>
      </c>
      <c r="L623" s="172">
        <f t="shared" si="42"/>
        <v>0</v>
      </c>
      <c r="M623" s="193"/>
      <c r="N623" s="193"/>
      <c r="O623" s="198"/>
      <c r="P623" s="200">
        <v>11.487</v>
      </c>
    </row>
    <row r="624" s="162" customFormat="1" ht="21" spans="1:16">
      <c r="A624" s="175" t="s">
        <v>660</v>
      </c>
      <c r="B624" s="176" t="s">
        <v>661</v>
      </c>
      <c r="C624" s="177"/>
      <c r="D624" s="178"/>
      <c r="E624" s="200"/>
      <c r="F624" s="206"/>
      <c r="G624" s="206"/>
      <c r="H624" s="206"/>
      <c r="I624" s="195">
        <f t="shared" si="39"/>
        <v>0</v>
      </c>
      <c r="J624" s="196"/>
      <c r="K624" s="172"/>
      <c r="L624" s="172"/>
      <c r="M624" s="193"/>
      <c r="N624" s="193"/>
      <c r="O624" s="198"/>
      <c r="P624" s="200"/>
    </row>
    <row r="625" s="162" customFormat="1" ht="31.5" outlineLevel="1" spans="1:16">
      <c r="A625" s="178">
        <v>1</v>
      </c>
      <c r="B625" s="177" t="s">
        <v>662</v>
      </c>
      <c r="C625" s="213" t="s">
        <v>663</v>
      </c>
      <c r="D625" s="202" t="s">
        <v>78</v>
      </c>
      <c r="E625" s="200"/>
      <c r="F625" s="206">
        <v>55</v>
      </c>
      <c r="G625" s="206">
        <v>380</v>
      </c>
      <c r="H625" s="206">
        <v>15</v>
      </c>
      <c r="I625" s="195">
        <f t="shared" si="39"/>
        <v>19.1803661663814</v>
      </c>
      <c r="J625" s="196">
        <f t="shared" si="40"/>
        <v>42.2262329549743</v>
      </c>
      <c r="K625" s="172">
        <f t="shared" si="41"/>
        <v>511.406599121356</v>
      </c>
      <c r="L625" s="172">
        <f t="shared" si="42"/>
        <v>0</v>
      </c>
      <c r="M625" s="193"/>
      <c r="N625" s="193"/>
      <c r="O625" s="198"/>
      <c r="P625" s="200">
        <v>9.168</v>
      </c>
    </row>
    <row r="626" s="162" customFormat="1" ht="31.5" outlineLevel="1" spans="1:16">
      <c r="A626" s="178">
        <v>2</v>
      </c>
      <c r="B626" s="177" t="s">
        <v>664</v>
      </c>
      <c r="C626" s="213" t="s">
        <v>665</v>
      </c>
      <c r="D626" s="202" t="s">
        <v>78</v>
      </c>
      <c r="E626" s="200"/>
      <c r="F626" s="179">
        <v>65</v>
      </c>
      <c r="G626" s="172">
        <v>150</v>
      </c>
      <c r="H626" s="179">
        <v>15</v>
      </c>
      <c r="I626" s="195">
        <f t="shared" si="39"/>
        <v>9.80329826281716</v>
      </c>
      <c r="J626" s="196">
        <f t="shared" si="40"/>
        <v>21.5822968436535</v>
      </c>
      <c r="K626" s="172">
        <f t="shared" si="41"/>
        <v>261.385595106471</v>
      </c>
      <c r="L626" s="172">
        <f t="shared" si="42"/>
        <v>0</v>
      </c>
      <c r="M626" s="193"/>
      <c r="N626" s="193"/>
      <c r="O626" s="198"/>
      <c r="P626" s="200">
        <v>97.71</v>
      </c>
    </row>
    <row r="627" s="162" customFormat="1" ht="21" outlineLevel="1" spans="1:16">
      <c r="A627" s="178">
        <v>3</v>
      </c>
      <c r="B627" s="177" t="s">
        <v>666</v>
      </c>
      <c r="C627" s="213" t="s">
        <v>667</v>
      </c>
      <c r="D627" s="202" t="s">
        <v>89</v>
      </c>
      <c r="E627" s="200"/>
      <c r="F627" s="206">
        <v>20</v>
      </c>
      <c r="G627" s="206">
        <v>380</v>
      </c>
      <c r="H627" s="206">
        <v>5</v>
      </c>
      <c r="I627" s="195">
        <f t="shared" si="39"/>
        <v>17.2623295497433</v>
      </c>
      <c r="J627" s="196">
        <f t="shared" si="40"/>
        <v>38.0036096594769</v>
      </c>
      <c r="K627" s="172">
        <f t="shared" si="41"/>
        <v>460.26593920922</v>
      </c>
      <c r="L627" s="172">
        <f t="shared" si="42"/>
        <v>0</v>
      </c>
      <c r="M627" s="193"/>
      <c r="N627" s="193"/>
      <c r="O627" s="198"/>
      <c r="P627" s="200">
        <v>3.6</v>
      </c>
    </row>
    <row r="628" s="162" customFormat="1" ht="31.5" outlineLevel="1" spans="1:16">
      <c r="A628" s="178">
        <v>4</v>
      </c>
      <c r="B628" s="177" t="s">
        <v>668</v>
      </c>
      <c r="C628" s="213" t="s">
        <v>669</v>
      </c>
      <c r="D628" s="202" t="s">
        <v>78</v>
      </c>
      <c r="E628" s="200"/>
      <c r="F628" s="206">
        <v>220</v>
      </c>
      <c r="G628" s="206">
        <v>850</v>
      </c>
      <c r="H628" s="206">
        <v>30</v>
      </c>
      <c r="I628" s="195">
        <f t="shared" si="39"/>
        <v>46.8853395178212</v>
      </c>
      <c r="J628" s="196">
        <f t="shared" si="40"/>
        <v>103.219680556604</v>
      </c>
      <c r="K628" s="172">
        <f t="shared" si="41"/>
        <v>1250.10502007443</v>
      </c>
      <c r="L628" s="172">
        <f t="shared" si="42"/>
        <v>0</v>
      </c>
      <c r="M628" s="193"/>
      <c r="N628" s="193"/>
      <c r="O628" s="198"/>
      <c r="P628" s="200">
        <v>21.87</v>
      </c>
    </row>
    <row r="629" s="162" customFormat="1" ht="21" outlineLevel="1" spans="1:16">
      <c r="A629" s="178">
        <v>5</v>
      </c>
      <c r="B629" s="177" t="s">
        <v>670</v>
      </c>
      <c r="C629" s="177" t="s">
        <v>671</v>
      </c>
      <c r="D629" s="178" t="s">
        <v>78</v>
      </c>
      <c r="E629" s="200"/>
      <c r="F629" s="206">
        <v>150</v>
      </c>
      <c r="G629" s="206">
        <v>1500</v>
      </c>
      <c r="H629" s="206">
        <v>50</v>
      </c>
      <c r="I629" s="195">
        <f t="shared" si="39"/>
        <v>72.4591610729964</v>
      </c>
      <c r="J629" s="196">
        <f t="shared" si="40"/>
        <v>159.52132449657</v>
      </c>
      <c r="K629" s="172">
        <f t="shared" si="41"/>
        <v>1931.98048556957</v>
      </c>
      <c r="L629" s="172">
        <f t="shared" si="42"/>
        <v>0</v>
      </c>
      <c r="M629" s="193"/>
      <c r="N629" s="193"/>
      <c r="O629" s="198"/>
      <c r="P629" s="200">
        <v>14.58</v>
      </c>
    </row>
    <row r="630" s="162" customFormat="1" ht="73.5" outlineLevel="1" spans="1:16">
      <c r="A630" s="178">
        <v>6</v>
      </c>
      <c r="B630" s="177" t="s">
        <v>672</v>
      </c>
      <c r="C630" s="177" t="s">
        <v>673</v>
      </c>
      <c r="D630" s="178" t="s">
        <v>674</v>
      </c>
      <c r="E630" s="200"/>
      <c r="F630" s="179">
        <v>85</v>
      </c>
      <c r="G630" s="179">
        <v>260</v>
      </c>
      <c r="H630" s="179">
        <v>50</v>
      </c>
      <c r="I630" s="195">
        <f t="shared" si="39"/>
        <v>16.8360991904903</v>
      </c>
      <c r="J630" s="196">
        <f t="shared" si="40"/>
        <v>37.0652489271441</v>
      </c>
      <c r="K630" s="172">
        <f t="shared" si="41"/>
        <v>448.901348117634</v>
      </c>
      <c r="L630" s="172">
        <f t="shared" si="42"/>
        <v>0</v>
      </c>
      <c r="M630" s="193"/>
      <c r="N630" s="193"/>
      <c r="O630" s="198"/>
      <c r="P630" s="200">
        <v>9.639</v>
      </c>
    </row>
    <row r="631" s="162" customFormat="1" ht="94.5" outlineLevel="1" spans="1:16">
      <c r="A631" s="178">
        <v>7</v>
      </c>
      <c r="B631" s="177" t="s">
        <v>675</v>
      </c>
      <c r="C631" s="177" t="s">
        <v>676</v>
      </c>
      <c r="D631" s="178" t="s">
        <v>78</v>
      </c>
      <c r="E631" s="200"/>
      <c r="F631" s="179">
        <v>85</v>
      </c>
      <c r="G631" s="179">
        <v>260</v>
      </c>
      <c r="H631" s="179">
        <v>50</v>
      </c>
      <c r="I631" s="195">
        <f t="shared" si="39"/>
        <v>16.8360991904903</v>
      </c>
      <c r="J631" s="196">
        <f t="shared" si="40"/>
        <v>37.0652489271441</v>
      </c>
      <c r="K631" s="172">
        <f t="shared" si="41"/>
        <v>448.901348117634</v>
      </c>
      <c r="L631" s="172">
        <f t="shared" si="42"/>
        <v>0</v>
      </c>
      <c r="M631" s="193"/>
      <c r="N631" s="193"/>
      <c r="O631" s="198"/>
      <c r="P631" s="200">
        <v>11.3076</v>
      </c>
    </row>
    <row r="632" s="162" customFormat="1" ht="105" outlineLevel="1" spans="1:16">
      <c r="A632" s="178">
        <v>8</v>
      </c>
      <c r="B632" s="177" t="s">
        <v>677</v>
      </c>
      <c r="C632" s="177" t="s">
        <v>678</v>
      </c>
      <c r="D632" s="178" t="s">
        <v>78</v>
      </c>
      <c r="E632" s="200"/>
      <c r="F632" s="179">
        <v>85</v>
      </c>
      <c r="G632" s="179">
        <v>260</v>
      </c>
      <c r="H632" s="179">
        <v>50</v>
      </c>
      <c r="I632" s="195">
        <f t="shared" si="39"/>
        <v>16.8360991904903</v>
      </c>
      <c r="J632" s="196">
        <f t="shared" si="40"/>
        <v>37.0652489271441</v>
      </c>
      <c r="K632" s="172">
        <f t="shared" si="41"/>
        <v>448.901348117634</v>
      </c>
      <c r="L632" s="172">
        <f t="shared" si="42"/>
        <v>0</v>
      </c>
      <c r="M632" s="193"/>
      <c r="N632" s="193"/>
      <c r="O632" s="198"/>
      <c r="P632" s="200">
        <v>34.2316</v>
      </c>
    </row>
    <row r="633" s="162" customFormat="1" ht="63" outlineLevel="1" spans="1:16">
      <c r="A633" s="178">
        <v>9</v>
      </c>
      <c r="B633" s="177" t="s">
        <v>679</v>
      </c>
      <c r="C633" s="177" t="s">
        <v>680</v>
      </c>
      <c r="D633" s="178" t="s">
        <v>78</v>
      </c>
      <c r="E633" s="200"/>
      <c r="F633" s="179">
        <v>85</v>
      </c>
      <c r="G633" s="179">
        <v>260</v>
      </c>
      <c r="H633" s="179">
        <v>50</v>
      </c>
      <c r="I633" s="195">
        <f t="shared" si="39"/>
        <v>16.8360991904903</v>
      </c>
      <c r="J633" s="196">
        <f t="shared" si="40"/>
        <v>37.0652489271441</v>
      </c>
      <c r="K633" s="172">
        <f t="shared" si="41"/>
        <v>448.901348117634</v>
      </c>
      <c r="L633" s="172">
        <f t="shared" si="42"/>
        <v>0</v>
      </c>
      <c r="M633" s="193"/>
      <c r="N633" s="193"/>
      <c r="O633" s="198"/>
      <c r="P633" s="200">
        <v>95.41</v>
      </c>
    </row>
    <row r="634" s="162" customFormat="1" ht="31.5" outlineLevel="1" spans="1:16">
      <c r="A634" s="178">
        <v>10</v>
      </c>
      <c r="B634" s="177" t="s">
        <v>681</v>
      </c>
      <c r="C634" s="177" t="s">
        <v>682</v>
      </c>
      <c r="D634" s="178" t="s">
        <v>78</v>
      </c>
      <c r="E634" s="200"/>
      <c r="F634" s="179">
        <v>85</v>
      </c>
      <c r="G634" s="179">
        <v>220</v>
      </c>
      <c r="H634" s="179">
        <v>50</v>
      </c>
      <c r="I634" s="195">
        <f t="shared" si="39"/>
        <v>15.1311777534787</v>
      </c>
      <c r="J634" s="196">
        <f t="shared" si="40"/>
        <v>33.3118059978131</v>
      </c>
      <c r="K634" s="172">
        <f t="shared" si="41"/>
        <v>403.442983751292</v>
      </c>
      <c r="L634" s="172">
        <f t="shared" si="42"/>
        <v>0</v>
      </c>
      <c r="M634" s="193"/>
      <c r="N634" s="193"/>
      <c r="O634" s="198"/>
      <c r="P634" s="200">
        <v>34.06</v>
      </c>
    </row>
    <row r="635" s="162" customFormat="1" ht="21" outlineLevel="1" spans="1:16">
      <c r="A635" s="178">
        <v>11</v>
      </c>
      <c r="B635" s="177" t="s">
        <v>683</v>
      </c>
      <c r="C635" s="177" t="s">
        <v>684</v>
      </c>
      <c r="D635" s="178" t="s">
        <v>89</v>
      </c>
      <c r="E635" s="200"/>
      <c r="F635" s="179">
        <v>15</v>
      </c>
      <c r="G635" s="180">
        <v>65</v>
      </c>
      <c r="H635" s="179">
        <v>5</v>
      </c>
      <c r="I635" s="195">
        <f t="shared" si="39"/>
        <v>3.62295805364982</v>
      </c>
      <c r="J635" s="196">
        <f t="shared" si="40"/>
        <v>7.97606622482848</v>
      </c>
      <c r="K635" s="172">
        <f t="shared" si="41"/>
        <v>96.5990242784783</v>
      </c>
      <c r="L635" s="172">
        <f t="shared" si="42"/>
        <v>0</v>
      </c>
      <c r="M635" s="193"/>
      <c r="N635" s="193"/>
      <c r="O635" s="198"/>
      <c r="P635" s="200">
        <v>33.06</v>
      </c>
    </row>
    <row r="636" s="162" customFormat="1" ht="31.5" outlineLevel="1" spans="1:16">
      <c r="A636" s="178">
        <v>12</v>
      </c>
      <c r="B636" s="177" t="s">
        <v>685</v>
      </c>
      <c r="C636" s="177" t="s">
        <v>686</v>
      </c>
      <c r="D636" s="178" t="s">
        <v>89</v>
      </c>
      <c r="E636" s="200"/>
      <c r="F636" s="179">
        <v>15</v>
      </c>
      <c r="G636" s="180">
        <v>45</v>
      </c>
      <c r="H636" s="179">
        <v>5</v>
      </c>
      <c r="I636" s="195">
        <f t="shared" si="39"/>
        <v>2.77049733514398</v>
      </c>
      <c r="J636" s="196">
        <f t="shared" si="40"/>
        <v>6.09934476016296</v>
      </c>
      <c r="K636" s="172">
        <f t="shared" si="41"/>
        <v>73.869842095307</v>
      </c>
      <c r="L636" s="172">
        <f t="shared" si="42"/>
        <v>0</v>
      </c>
      <c r="M636" s="193"/>
      <c r="N636" s="193"/>
      <c r="O636" s="198"/>
      <c r="P636" s="200">
        <v>52.4</v>
      </c>
    </row>
    <row r="637" s="162" customFormat="1" ht="42" outlineLevel="1" spans="1:16">
      <c r="A637" s="178">
        <v>13</v>
      </c>
      <c r="B637" s="177" t="s">
        <v>687</v>
      </c>
      <c r="C637" s="177" t="s">
        <v>688</v>
      </c>
      <c r="D637" s="178" t="s">
        <v>78</v>
      </c>
      <c r="E637" s="200"/>
      <c r="F637" s="179">
        <v>85</v>
      </c>
      <c r="G637" s="179">
        <v>260</v>
      </c>
      <c r="H637" s="179">
        <v>50</v>
      </c>
      <c r="I637" s="195">
        <f t="shared" si="39"/>
        <v>16.8360991904903</v>
      </c>
      <c r="J637" s="196">
        <f t="shared" si="40"/>
        <v>37.0652489271441</v>
      </c>
      <c r="K637" s="172">
        <f t="shared" si="41"/>
        <v>448.901348117634</v>
      </c>
      <c r="L637" s="172">
        <f t="shared" si="42"/>
        <v>0</v>
      </c>
      <c r="M637" s="193"/>
      <c r="N637" s="193"/>
      <c r="O637" s="198"/>
      <c r="P637" s="200">
        <v>191.26</v>
      </c>
    </row>
    <row r="638" s="162" customFormat="1" ht="21" outlineLevel="1" spans="1:16">
      <c r="A638" s="178">
        <v>14</v>
      </c>
      <c r="B638" s="177" t="s">
        <v>689</v>
      </c>
      <c r="C638" s="177" t="s">
        <v>690</v>
      </c>
      <c r="D638" s="178" t="s">
        <v>89</v>
      </c>
      <c r="E638" s="200"/>
      <c r="F638" s="179">
        <v>10</v>
      </c>
      <c r="G638" s="180">
        <v>25</v>
      </c>
      <c r="H638" s="179">
        <v>5</v>
      </c>
      <c r="I638" s="195">
        <f t="shared" si="39"/>
        <v>1.70492143701168</v>
      </c>
      <c r="J638" s="196">
        <f t="shared" si="40"/>
        <v>3.75344292933105</v>
      </c>
      <c r="K638" s="172">
        <f t="shared" si="41"/>
        <v>45.4583643663427</v>
      </c>
      <c r="L638" s="172">
        <f t="shared" si="42"/>
        <v>0</v>
      </c>
      <c r="M638" s="193"/>
      <c r="N638" s="193"/>
      <c r="O638" s="198"/>
      <c r="P638" s="200">
        <v>140</v>
      </c>
    </row>
    <row r="639" s="162" customFormat="1" ht="31.5" outlineLevel="1" spans="1:16">
      <c r="A639" s="178">
        <v>15</v>
      </c>
      <c r="B639" s="177" t="s">
        <v>691</v>
      </c>
      <c r="C639" s="177" t="s">
        <v>692</v>
      </c>
      <c r="D639" s="178" t="s">
        <v>193</v>
      </c>
      <c r="E639" s="200"/>
      <c r="F639" s="206">
        <v>25</v>
      </c>
      <c r="G639" s="206">
        <v>360</v>
      </c>
      <c r="H639" s="206"/>
      <c r="I639" s="195">
        <f t="shared" si="39"/>
        <v>16.4098688312374</v>
      </c>
      <c r="J639" s="196">
        <f t="shared" si="40"/>
        <v>36.1268881948114</v>
      </c>
      <c r="K639" s="172">
        <f t="shared" si="41"/>
        <v>437.536757026049</v>
      </c>
      <c r="L639" s="172">
        <f t="shared" si="42"/>
        <v>0</v>
      </c>
      <c r="M639" s="193"/>
      <c r="N639" s="193"/>
      <c r="O639" s="198"/>
      <c r="P639" s="200">
        <v>96</v>
      </c>
    </row>
    <row r="640" s="162" customFormat="1" ht="31.5" outlineLevel="1" spans="1:16">
      <c r="A640" s="178">
        <v>16</v>
      </c>
      <c r="B640" s="177" t="s">
        <v>693</v>
      </c>
      <c r="C640" s="177" t="s">
        <v>694</v>
      </c>
      <c r="D640" s="178" t="s">
        <v>193</v>
      </c>
      <c r="E640" s="200"/>
      <c r="F640" s="206">
        <v>25</v>
      </c>
      <c r="G640" s="206">
        <v>360</v>
      </c>
      <c r="H640" s="206"/>
      <c r="I640" s="195">
        <f t="shared" si="39"/>
        <v>16.4098688312374</v>
      </c>
      <c r="J640" s="196">
        <f t="shared" si="40"/>
        <v>36.1268881948114</v>
      </c>
      <c r="K640" s="172">
        <f t="shared" si="41"/>
        <v>437.536757026049</v>
      </c>
      <c r="L640" s="172">
        <f t="shared" si="42"/>
        <v>0</v>
      </c>
      <c r="M640" s="193"/>
      <c r="N640" s="193"/>
      <c r="O640" s="198"/>
      <c r="P640" s="200">
        <v>12</v>
      </c>
    </row>
    <row r="641" s="162" customFormat="1" ht="31.5" outlineLevel="1" spans="1:16">
      <c r="A641" s="178">
        <v>17</v>
      </c>
      <c r="B641" s="177" t="s">
        <v>695</v>
      </c>
      <c r="C641" s="177" t="s">
        <v>696</v>
      </c>
      <c r="D641" s="178" t="s">
        <v>78</v>
      </c>
      <c r="E641" s="200"/>
      <c r="F641" s="206">
        <v>1200</v>
      </c>
      <c r="G641" s="206">
        <v>5500</v>
      </c>
      <c r="H641" s="206">
        <v>200</v>
      </c>
      <c r="I641" s="195">
        <f t="shared" si="39"/>
        <v>294.098947884515</v>
      </c>
      <c r="J641" s="196">
        <f t="shared" si="40"/>
        <v>647.468905309606</v>
      </c>
      <c r="K641" s="172">
        <f t="shared" si="41"/>
        <v>7841.56785319412</v>
      </c>
      <c r="L641" s="172">
        <f t="shared" si="42"/>
        <v>0</v>
      </c>
      <c r="M641" s="193"/>
      <c r="N641" s="193"/>
      <c r="O641" s="198"/>
      <c r="P641" s="200">
        <v>3.08</v>
      </c>
    </row>
    <row r="642" s="162" customFormat="1" ht="31.5" outlineLevel="1" spans="1:16">
      <c r="A642" s="178">
        <v>18</v>
      </c>
      <c r="B642" s="177" t="s">
        <v>312</v>
      </c>
      <c r="C642" s="177" t="s">
        <v>697</v>
      </c>
      <c r="D642" s="178" t="s">
        <v>78</v>
      </c>
      <c r="E642" s="200"/>
      <c r="F642" s="179">
        <v>55</v>
      </c>
      <c r="G642" s="179">
        <v>150</v>
      </c>
      <c r="H642" s="179">
        <v>15</v>
      </c>
      <c r="I642" s="195">
        <f t="shared" si="39"/>
        <v>9.37706790356424</v>
      </c>
      <c r="J642" s="196">
        <f t="shared" si="40"/>
        <v>20.6439361113208</v>
      </c>
      <c r="K642" s="172">
        <f t="shared" si="41"/>
        <v>250.021004014885</v>
      </c>
      <c r="L642" s="172">
        <f t="shared" si="42"/>
        <v>0</v>
      </c>
      <c r="M642" s="193"/>
      <c r="N642" s="193"/>
      <c r="O642" s="198"/>
      <c r="P642" s="200">
        <v>9.9484</v>
      </c>
    </row>
    <row r="643" s="162" customFormat="1" ht="21" outlineLevel="1" spans="1:16">
      <c r="A643" s="178">
        <v>19</v>
      </c>
      <c r="B643" s="177" t="s">
        <v>698</v>
      </c>
      <c r="C643" s="177" t="s">
        <v>699</v>
      </c>
      <c r="D643" s="178" t="s">
        <v>89</v>
      </c>
      <c r="E643" s="200"/>
      <c r="F643" s="179">
        <v>15</v>
      </c>
      <c r="G643" s="180">
        <v>45</v>
      </c>
      <c r="H643" s="179">
        <v>5</v>
      </c>
      <c r="I643" s="195">
        <f t="shared" si="39"/>
        <v>2.77049733514398</v>
      </c>
      <c r="J643" s="196">
        <f t="shared" si="40"/>
        <v>6.09934476016296</v>
      </c>
      <c r="K643" s="172">
        <f t="shared" si="41"/>
        <v>73.869842095307</v>
      </c>
      <c r="L643" s="172">
        <f t="shared" si="42"/>
        <v>0</v>
      </c>
      <c r="M643" s="193"/>
      <c r="N643" s="193"/>
      <c r="O643" s="198"/>
      <c r="P643" s="200">
        <v>10.55</v>
      </c>
    </row>
    <row r="644" s="162" customFormat="1" ht="21" outlineLevel="1" spans="1:16">
      <c r="A644" s="178">
        <v>20</v>
      </c>
      <c r="B644" s="177" t="s">
        <v>700</v>
      </c>
      <c r="C644" s="177" t="s">
        <v>701</v>
      </c>
      <c r="D644" s="178" t="s">
        <v>78</v>
      </c>
      <c r="E644" s="200"/>
      <c r="F644" s="179">
        <v>25</v>
      </c>
      <c r="G644" s="179">
        <v>30</v>
      </c>
      <c r="H644" s="179">
        <v>10</v>
      </c>
      <c r="I644" s="195">
        <f t="shared" si="39"/>
        <v>2.77049733514398</v>
      </c>
      <c r="J644" s="196">
        <f t="shared" si="40"/>
        <v>6.09934476016296</v>
      </c>
      <c r="K644" s="172">
        <f t="shared" si="41"/>
        <v>73.869842095307</v>
      </c>
      <c r="L644" s="172">
        <f t="shared" si="42"/>
        <v>0</v>
      </c>
      <c r="M644" s="193"/>
      <c r="N644" s="193"/>
      <c r="O644" s="198"/>
      <c r="P644" s="200">
        <v>24.1281</v>
      </c>
    </row>
    <row r="645" s="162" customFormat="1" ht="31.5" outlineLevel="1" spans="1:16">
      <c r="A645" s="178">
        <v>21</v>
      </c>
      <c r="B645" s="177" t="s">
        <v>702</v>
      </c>
      <c r="C645" s="177" t="s">
        <v>703</v>
      </c>
      <c r="D645" s="178" t="s">
        <v>78</v>
      </c>
      <c r="E645" s="200"/>
      <c r="F645" s="206">
        <v>220</v>
      </c>
      <c r="G645" s="206">
        <v>850</v>
      </c>
      <c r="H645" s="206">
        <v>30</v>
      </c>
      <c r="I645" s="195">
        <f t="shared" ref="I645:I708" si="43">((F645+G645+H645)*0.06)*0.7103839320882</f>
        <v>46.8853395178212</v>
      </c>
      <c r="J645" s="196">
        <f t="shared" si="40"/>
        <v>103.219680556604</v>
      </c>
      <c r="K645" s="172">
        <f t="shared" si="41"/>
        <v>1250.10502007443</v>
      </c>
      <c r="L645" s="172">
        <f t="shared" si="42"/>
        <v>0</v>
      </c>
      <c r="M645" s="193"/>
      <c r="N645" s="193"/>
      <c r="O645" s="198"/>
      <c r="P645" s="200">
        <v>2.916</v>
      </c>
    </row>
    <row r="646" s="162" customFormat="1" ht="42" outlineLevel="1" spans="1:16">
      <c r="A646" s="178">
        <v>22</v>
      </c>
      <c r="B646" s="177" t="s">
        <v>704</v>
      </c>
      <c r="C646" s="177" t="s">
        <v>705</v>
      </c>
      <c r="D646" s="178" t="s">
        <v>78</v>
      </c>
      <c r="E646" s="200"/>
      <c r="F646" s="179">
        <v>180</v>
      </c>
      <c r="G646" s="179">
        <v>220</v>
      </c>
      <c r="H646" s="179">
        <v>85</v>
      </c>
      <c r="I646" s="195">
        <f t="shared" si="43"/>
        <v>20.6721724237666</v>
      </c>
      <c r="J646" s="196">
        <f t="shared" ref="J646:J709" si="44">(F646+G646+H646+I646)*0.09</f>
        <v>45.510495518139</v>
      </c>
      <c r="K646" s="172">
        <f t="shared" ref="K646:K709" si="45">F646+G646+H646+I646+J646</f>
        <v>551.182667941906</v>
      </c>
      <c r="L646" s="172">
        <f t="shared" ref="L646:L709" si="46">K646*E646</f>
        <v>0</v>
      </c>
      <c r="M646" s="193"/>
      <c r="N646" s="193"/>
      <c r="O646" s="198"/>
      <c r="P646" s="200">
        <v>48.8012</v>
      </c>
    </row>
    <row r="647" s="162" customFormat="1" ht="31.5" outlineLevel="1" spans="1:16">
      <c r="A647" s="178">
        <v>23</v>
      </c>
      <c r="B647" s="177" t="s">
        <v>706</v>
      </c>
      <c r="C647" s="177" t="s">
        <v>707</v>
      </c>
      <c r="D647" s="178" t="s">
        <v>78</v>
      </c>
      <c r="E647" s="200"/>
      <c r="F647" s="179">
        <v>85</v>
      </c>
      <c r="G647" s="179">
        <v>260</v>
      </c>
      <c r="H647" s="179">
        <v>50</v>
      </c>
      <c r="I647" s="195">
        <f t="shared" si="43"/>
        <v>16.8360991904903</v>
      </c>
      <c r="J647" s="196">
        <f t="shared" si="44"/>
        <v>37.0652489271441</v>
      </c>
      <c r="K647" s="172">
        <f t="shared" si="45"/>
        <v>448.901348117634</v>
      </c>
      <c r="L647" s="172">
        <f t="shared" si="46"/>
        <v>0</v>
      </c>
      <c r="M647" s="193"/>
      <c r="N647" s="193"/>
      <c r="O647" s="198"/>
      <c r="P647" s="200">
        <v>69.5884</v>
      </c>
    </row>
    <row r="648" s="162" customFormat="1" ht="42" outlineLevel="1" spans="1:16">
      <c r="A648" s="178">
        <v>24</v>
      </c>
      <c r="B648" s="177" t="s">
        <v>708</v>
      </c>
      <c r="C648" s="177" t="s">
        <v>709</v>
      </c>
      <c r="D648" s="178" t="s">
        <v>78</v>
      </c>
      <c r="E648" s="200"/>
      <c r="F648" s="179">
        <v>180</v>
      </c>
      <c r="G648" s="179">
        <v>220</v>
      </c>
      <c r="H648" s="179">
        <v>85</v>
      </c>
      <c r="I648" s="195">
        <f t="shared" si="43"/>
        <v>20.6721724237666</v>
      </c>
      <c r="J648" s="196">
        <f t="shared" si="44"/>
        <v>45.510495518139</v>
      </c>
      <c r="K648" s="172">
        <f t="shared" si="45"/>
        <v>551.182667941906</v>
      </c>
      <c r="L648" s="172">
        <f t="shared" si="46"/>
        <v>0</v>
      </c>
      <c r="M648" s="193"/>
      <c r="N648" s="193"/>
      <c r="O648" s="198"/>
      <c r="P648" s="200">
        <v>28.9072</v>
      </c>
    </row>
    <row r="649" s="162" customFormat="1" ht="31.5" outlineLevel="1" spans="1:16">
      <c r="A649" s="178">
        <v>25</v>
      </c>
      <c r="B649" s="177" t="s">
        <v>710</v>
      </c>
      <c r="C649" s="177" t="s">
        <v>711</v>
      </c>
      <c r="D649" s="178" t="s">
        <v>78</v>
      </c>
      <c r="E649" s="200"/>
      <c r="F649" s="206">
        <v>15</v>
      </c>
      <c r="G649" s="206">
        <v>25</v>
      </c>
      <c r="H649" s="206"/>
      <c r="I649" s="195">
        <f t="shared" si="43"/>
        <v>1.70492143701168</v>
      </c>
      <c r="J649" s="196">
        <f t="shared" si="44"/>
        <v>3.75344292933105</v>
      </c>
      <c r="K649" s="172">
        <f t="shared" si="45"/>
        <v>45.4583643663427</v>
      </c>
      <c r="L649" s="172">
        <f t="shared" si="46"/>
        <v>0</v>
      </c>
      <c r="M649" s="193"/>
      <c r="N649" s="193"/>
      <c r="O649" s="198"/>
      <c r="P649" s="200">
        <v>49.812</v>
      </c>
    </row>
    <row r="650" s="162" customFormat="1" ht="31.5" outlineLevel="1" spans="1:16">
      <c r="A650" s="178">
        <v>26</v>
      </c>
      <c r="B650" s="177" t="s">
        <v>712</v>
      </c>
      <c r="C650" s="177" t="s">
        <v>713</v>
      </c>
      <c r="D650" s="178" t="s">
        <v>78</v>
      </c>
      <c r="E650" s="200"/>
      <c r="F650" s="206">
        <v>150</v>
      </c>
      <c r="G650" s="206">
        <v>850</v>
      </c>
      <c r="H650" s="206">
        <v>50</v>
      </c>
      <c r="I650" s="195">
        <f t="shared" si="43"/>
        <v>44.7541877215566</v>
      </c>
      <c r="J650" s="196">
        <f t="shared" si="44"/>
        <v>98.5278768949401</v>
      </c>
      <c r="K650" s="172">
        <f t="shared" si="45"/>
        <v>1193.2820646165</v>
      </c>
      <c r="L650" s="172">
        <f t="shared" si="46"/>
        <v>0</v>
      </c>
      <c r="M650" s="193"/>
      <c r="N650" s="193"/>
      <c r="O650" s="198"/>
      <c r="P650" s="200">
        <f>1.2*2.1+0.6*1.5+0.6*1.5</f>
        <v>4.32</v>
      </c>
    </row>
    <row r="651" s="162" customFormat="1" ht="11.25" spans="1:16">
      <c r="A651" s="175" t="s">
        <v>714</v>
      </c>
      <c r="B651" s="176" t="s">
        <v>715</v>
      </c>
      <c r="C651" s="177"/>
      <c r="D651" s="178"/>
      <c r="E651" s="208"/>
      <c r="F651" s="206"/>
      <c r="G651" s="206"/>
      <c r="H651" s="206"/>
      <c r="I651" s="195">
        <f t="shared" si="43"/>
        <v>0</v>
      </c>
      <c r="J651" s="196"/>
      <c r="K651" s="172"/>
      <c r="L651" s="172"/>
      <c r="M651" s="193"/>
      <c r="N651" s="193"/>
      <c r="O651" s="198"/>
      <c r="P651" s="208"/>
    </row>
    <row r="652" s="162" customFormat="1" ht="11.25" outlineLevel="1" spans="1:16">
      <c r="A652" s="175"/>
      <c r="B652" s="176" t="s">
        <v>716</v>
      </c>
      <c r="C652" s="177"/>
      <c r="D652" s="178"/>
      <c r="E652" s="208"/>
      <c r="F652" s="206"/>
      <c r="G652" s="206"/>
      <c r="H652" s="206"/>
      <c r="I652" s="195">
        <f t="shared" si="43"/>
        <v>0</v>
      </c>
      <c r="J652" s="196"/>
      <c r="K652" s="172"/>
      <c r="L652" s="172"/>
      <c r="M652" s="193"/>
      <c r="N652" s="193"/>
      <c r="O652" s="198"/>
      <c r="P652" s="208"/>
    </row>
    <row r="653" s="162" customFormat="1" ht="52.5" outlineLevel="2" spans="1:16384">
      <c r="A653" s="178">
        <v>1</v>
      </c>
      <c r="B653" s="177" t="s">
        <v>73</v>
      </c>
      <c r="C653" s="177" t="s">
        <v>74</v>
      </c>
      <c r="D653" s="178" t="s">
        <v>75</v>
      </c>
      <c r="E653" s="200"/>
      <c r="F653" s="206"/>
      <c r="G653" s="206"/>
      <c r="H653" s="179">
        <v>8.5</v>
      </c>
      <c r="I653" s="195">
        <f t="shared" si="43"/>
        <v>0.362295805364982</v>
      </c>
      <c r="J653" s="196">
        <f t="shared" si="44"/>
        <v>0.797606622482848</v>
      </c>
      <c r="K653" s="172">
        <f t="shared" si="45"/>
        <v>9.65990242784783</v>
      </c>
      <c r="L653" s="172">
        <f t="shared" si="46"/>
        <v>0</v>
      </c>
      <c r="M653" s="193"/>
      <c r="N653" s="193"/>
      <c r="O653" s="198"/>
      <c r="P653" s="200">
        <f>[2]零星!$F$237</f>
        <v>53.928</v>
      </c>
      <c r="XFD653" s="162">
        <f t="shared" ref="XFD653:XFD667" si="47">SUM(A653:XFC653)</f>
        <v>74.2478048556956</v>
      </c>
    </row>
    <row r="654" s="162" customFormat="1" ht="63" outlineLevel="2" spans="1:16384">
      <c r="A654" s="178">
        <v>2</v>
      </c>
      <c r="B654" s="177" t="s">
        <v>162</v>
      </c>
      <c r="C654" s="177" t="s">
        <v>163</v>
      </c>
      <c r="D654" s="178" t="s">
        <v>75</v>
      </c>
      <c r="E654" s="200"/>
      <c r="F654" s="206"/>
      <c r="G654" s="206"/>
      <c r="H654" s="179">
        <v>10</v>
      </c>
      <c r="I654" s="195">
        <f t="shared" si="43"/>
        <v>0.42623035925292</v>
      </c>
      <c r="J654" s="196">
        <f t="shared" si="44"/>
        <v>0.938360732332763</v>
      </c>
      <c r="K654" s="172">
        <f t="shared" si="45"/>
        <v>11.3645910915857</v>
      </c>
      <c r="L654" s="172">
        <f t="shared" si="46"/>
        <v>0</v>
      </c>
      <c r="M654" s="193"/>
      <c r="N654" s="193"/>
      <c r="O654" s="198"/>
      <c r="P654" s="200">
        <f>[2]零星!$F$238</f>
        <v>2.16</v>
      </c>
      <c r="XFD654" s="162">
        <f t="shared" si="47"/>
        <v>26.8891821831714</v>
      </c>
    </row>
    <row r="655" s="162" customFormat="1" ht="21" outlineLevel="2" spans="1:16384">
      <c r="A655" s="178">
        <v>3</v>
      </c>
      <c r="B655" s="177" t="s">
        <v>76</v>
      </c>
      <c r="C655" s="177" t="s">
        <v>109</v>
      </c>
      <c r="D655" s="178" t="s">
        <v>78</v>
      </c>
      <c r="E655" s="181"/>
      <c r="F655" s="179">
        <v>0.5</v>
      </c>
      <c r="G655" s="172"/>
      <c r="H655" s="179">
        <v>2.5</v>
      </c>
      <c r="I655" s="195">
        <f t="shared" si="43"/>
        <v>0.127869107775876</v>
      </c>
      <c r="J655" s="196">
        <f t="shared" si="44"/>
        <v>0.281508219699829</v>
      </c>
      <c r="K655" s="172">
        <f t="shared" si="45"/>
        <v>3.4093773274757</v>
      </c>
      <c r="L655" s="172">
        <f t="shared" si="46"/>
        <v>0</v>
      </c>
      <c r="M655" s="193"/>
      <c r="N655" s="193"/>
      <c r="O655" s="198"/>
      <c r="P655" s="181">
        <f>[2]零星!$F$133</f>
        <v>69.336</v>
      </c>
      <c r="XFD655" s="162">
        <f t="shared" si="47"/>
        <v>79.1547546549514</v>
      </c>
    </row>
    <row r="656" s="162" customFormat="1" ht="21" outlineLevel="2" spans="1:16384">
      <c r="A656" s="178">
        <v>4</v>
      </c>
      <c r="B656" s="177" t="s">
        <v>79</v>
      </c>
      <c r="C656" s="177" t="s">
        <v>201</v>
      </c>
      <c r="D656" s="178" t="s">
        <v>75</v>
      </c>
      <c r="E656" s="181"/>
      <c r="F656" s="179">
        <v>10</v>
      </c>
      <c r="G656" s="180">
        <v>95</v>
      </c>
      <c r="H656" s="179">
        <v>15</v>
      </c>
      <c r="I656" s="195">
        <f t="shared" si="43"/>
        <v>5.11476431103504</v>
      </c>
      <c r="J656" s="196">
        <f t="shared" si="44"/>
        <v>11.2603287879932</v>
      </c>
      <c r="K656" s="172">
        <f t="shared" si="45"/>
        <v>136.375093099028</v>
      </c>
      <c r="L656" s="172">
        <f t="shared" si="46"/>
        <v>0</v>
      </c>
      <c r="M656" s="193"/>
      <c r="N656" s="193"/>
      <c r="O656" s="198"/>
      <c r="P656" s="181">
        <f>[2]零星!$F$132</f>
        <v>10.4004</v>
      </c>
      <c r="XFD656" s="162">
        <f t="shared" si="47"/>
        <v>287.150586198056</v>
      </c>
    </row>
    <row r="657" s="162" customFormat="1" ht="42" outlineLevel="2" spans="1:16384">
      <c r="A657" s="178">
        <v>5</v>
      </c>
      <c r="B657" s="177" t="s">
        <v>81</v>
      </c>
      <c r="C657" s="177" t="s">
        <v>202</v>
      </c>
      <c r="D657" s="178" t="s">
        <v>75</v>
      </c>
      <c r="E657" s="200"/>
      <c r="F657" s="179">
        <v>55</v>
      </c>
      <c r="G657" s="180">
        <v>445</v>
      </c>
      <c r="H657" s="179">
        <v>15</v>
      </c>
      <c r="I657" s="195">
        <f t="shared" si="43"/>
        <v>21.9508635015254</v>
      </c>
      <c r="J657" s="196">
        <f t="shared" si="44"/>
        <v>48.3255777151373</v>
      </c>
      <c r="K657" s="172">
        <f t="shared" si="45"/>
        <v>585.276441216663</v>
      </c>
      <c r="L657" s="172">
        <f t="shared" si="46"/>
        <v>0</v>
      </c>
      <c r="M657" s="193"/>
      <c r="N657" s="193"/>
      <c r="O657" s="198"/>
      <c r="P657" s="200">
        <f>[2]零星!$F$131</f>
        <v>6.9336</v>
      </c>
      <c r="XFD657" s="162">
        <f t="shared" si="47"/>
        <v>1182.48648243333</v>
      </c>
    </row>
    <row r="658" s="162" customFormat="1" ht="42" outlineLevel="2" spans="1:16384">
      <c r="A658" s="178">
        <v>6</v>
      </c>
      <c r="B658" s="177" t="s">
        <v>717</v>
      </c>
      <c r="C658" s="177" t="s">
        <v>718</v>
      </c>
      <c r="D658" s="178" t="s">
        <v>75</v>
      </c>
      <c r="E658" s="200"/>
      <c r="F658" s="179">
        <v>200</v>
      </c>
      <c r="G658" s="180">
        <v>465</v>
      </c>
      <c r="H658" s="179">
        <v>180</v>
      </c>
      <c r="I658" s="195">
        <f t="shared" si="43"/>
        <v>36.0164653568717</v>
      </c>
      <c r="J658" s="196">
        <f t="shared" si="44"/>
        <v>79.2914818821185</v>
      </c>
      <c r="K658" s="172">
        <f t="shared" si="45"/>
        <v>960.30794723899</v>
      </c>
      <c r="L658" s="172">
        <f t="shared" si="46"/>
        <v>0</v>
      </c>
      <c r="M658" s="193"/>
      <c r="N658" s="193"/>
      <c r="O658" s="198"/>
      <c r="P658" s="200">
        <f>[2]零星!$F$128+[2]零星!$F$129</f>
        <v>15.62328</v>
      </c>
      <c r="XFD658" s="162">
        <f t="shared" si="47"/>
        <v>1942.23917447798</v>
      </c>
    </row>
    <row r="659" s="162" customFormat="1" ht="31.5" outlineLevel="2" spans="1:16384">
      <c r="A659" s="178">
        <v>7</v>
      </c>
      <c r="B659" s="177" t="s">
        <v>208</v>
      </c>
      <c r="C659" s="177" t="s">
        <v>209</v>
      </c>
      <c r="D659" s="178" t="s">
        <v>140</v>
      </c>
      <c r="E659" s="200"/>
      <c r="F659" s="179">
        <v>1000</v>
      </c>
      <c r="G659" s="179">
        <v>4600</v>
      </c>
      <c r="H659" s="179">
        <v>200</v>
      </c>
      <c r="I659" s="195">
        <f t="shared" si="43"/>
        <v>247.213608366694</v>
      </c>
      <c r="J659" s="196">
        <f t="shared" si="44"/>
        <v>544.249224753002</v>
      </c>
      <c r="K659" s="172">
        <f t="shared" si="45"/>
        <v>6591.4628331197</v>
      </c>
      <c r="L659" s="172">
        <f t="shared" si="46"/>
        <v>0</v>
      </c>
      <c r="M659" s="193"/>
      <c r="N659" s="193"/>
      <c r="O659" s="198"/>
      <c r="P659" s="200">
        <f>[2]零星!$F$130</f>
        <v>1.54522368</v>
      </c>
      <c r="XFD659" s="162">
        <f t="shared" si="47"/>
        <v>13191.4708899194</v>
      </c>
    </row>
    <row r="660" s="162" customFormat="1" ht="42" outlineLevel="2" spans="1:16384">
      <c r="A660" s="178">
        <v>8</v>
      </c>
      <c r="B660" s="211" t="s">
        <v>719</v>
      </c>
      <c r="C660" s="211" t="s">
        <v>720</v>
      </c>
      <c r="D660" s="180" t="s">
        <v>78</v>
      </c>
      <c r="E660" s="208"/>
      <c r="F660" s="206">
        <v>15</v>
      </c>
      <c r="G660" s="206">
        <v>15</v>
      </c>
      <c r="H660" s="206"/>
      <c r="I660" s="195">
        <f t="shared" si="43"/>
        <v>1.27869107775876</v>
      </c>
      <c r="J660" s="196">
        <f t="shared" si="44"/>
        <v>2.81508219699829</v>
      </c>
      <c r="K660" s="172">
        <f t="shared" si="45"/>
        <v>34.093773274757</v>
      </c>
      <c r="L660" s="172">
        <f t="shared" si="46"/>
        <v>0</v>
      </c>
      <c r="M660" s="193"/>
      <c r="N660" s="193"/>
      <c r="O660" s="198"/>
      <c r="P660" s="208">
        <f>[2]零星!$F$126</f>
        <v>115.776</v>
      </c>
      <c r="XFD660" s="162">
        <f t="shared" si="47"/>
        <v>191.963546549514</v>
      </c>
    </row>
    <row r="661" s="162" customFormat="1" ht="31.5" outlineLevel="2" spans="1:16384">
      <c r="A661" s="178">
        <v>9</v>
      </c>
      <c r="B661" s="211" t="s">
        <v>721</v>
      </c>
      <c r="C661" s="211" t="s">
        <v>722</v>
      </c>
      <c r="D661" s="180" t="s">
        <v>78</v>
      </c>
      <c r="E661" s="208"/>
      <c r="F661" s="206">
        <v>15</v>
      </c>
      <c r="G661" s="206">
        <v>35</v>
      </c>
      <c r="H661" s="206"/>
      <c r="I661" s="195">
        <f t="shared" si="43"/>
        <v>2.1311517962646</v>
      </c>
      <c r="J661" s="196">
        <f t="shared" si="44"/>
        <v>4.69180366166381</v>
      </c>
      <c r="K661" s="172">
        <f t="shared" si="45"/>
        <v>56.8229554579284</v>
      </c>
      <c r="L661" s="172">
        <f t="shared" si="46"/>
        <v>0</v>
      </c>
      <c r="M661" s="193"/>
      <c r="N661" s="193"/>
      <c r="O661" s="198"/>
      <c r="P661" s="208">
        <f>[2]零星!$F$126</f>
        <v>115.776</v>
      </c>
      <c r="XFD661" s="162">
        <f t="shared" si="47"/>
        <v>238.421910915857</v>
      </c>
    </row>
    <row r="662" s="162" customFormat="1" ht="31.5" outlineLevel="2" spans="1:16384">
      <c r="A662" s="178">
        <v>10</v>
      </c>
      <c r="B662" s="211" t="s">
        <v>723</v>
      </c>
      <c r="C662" s="211" t="s">
        <v>724</v>
      </c>
      <c r="D662" s="180" t="s">
        <v>78</v>
      </c>
      <c r="E662" s="208"/>
      <c r="F662" s="206">
        <v>15</v>
      </c>
      <c r="G662" s="206">
        <v>15</v>
      </c>
      <c r="H662" s="206"/>
      <c r="I662" s="195">
        <f t="shared" si="43"/>
        <v>1.27869107775876</v>
      </c>
      <c r="J662" s="196">
        <f t="shared" si="44"/>
        <v>2.81508219699829</v>
      </c>
      <c r="K662" s="172">
        <f t="shared" si="45"/>
        <v>34.093773274757</v>
      </c>
      <c r="L662" s="172">
        <f t="shared" si="46"/>
        <v>0</v>
      </c>
      <c r="M662" s="193"/>
      <c r="N662" s="193"/>
      <c r="O662" s="198"/>
      <c r="P662" s="208">
        <f>[2]零星!$F$125</f>
        <v>71.712</v>
      </c>
      <c r="XFD662" s="162">
        <f t="shared" si="47"/>
        <v>149.899546549514</v>
      </c>
    </row>
    <row r="663" s="162" customFormat="1" ht="21" outlineLevel="2" spans="1:16384">
      <c r="A663" s="178">
        <v>11</v>
      </c>
      <c r="B663" s="211" t="s">
        <v>725</v>
      </c>
      <c r="C663" s="211" t="s">
        <v>726</v>
      </c>
      <c r="D663" s="180" t="s">
        <v>75</v>
      </c>
      <c r="E663" s="208"/>
      <c r="F663" s="181">
        <v>220</v>
      </c>
      <c r="G663" s="181">
        <v>260</v>
      </c>
      <c r="H663" s="181">
        <v>85</v>
      </c>
      <c r="I663" s="195">
        <f t="shared" si="43"/>
        <v>24.08201529779</v>
      </c>
      <c r="J663" s="196">
        <f t="shared" si="44"/>
        <v>53.0173813768011</v>
      </c>
      <c r="K663" s="172">
        <f t="shared" si="45"/>
        <v>642.099396674591</v>
      </c>
      <c r="L663" s="172">
        <f t="shared" si="46"/>
        <v>0</v>
      </c>
      <c r="M663" s="193"/>
      <c r="N663" s="193"/>
      <c r="O663" s="198"/>
      <c r="P663" s="208">
        <f>[2]零星!$F$134</f>
        <v>1.944</v>
      </c>
      <c r="XFD663" s="162">
        <f t="shared" si="47"/>
        <v>1297.14279334918</v>
      </c>
    </row>
    <row r="664" s="162" customFormat="1" ht="21" outlineLevel="2" spans="1:16384">
      <c r="A664" s="178">
        <v>12</v>
      </c>
      <c r="B664" s="177" t="s">
        <v>727</v>
      </c>
      <c r="C664" s="226" t="s">
        <v>728</v>
      </c>
      <c r="D664" s="178" t="s">
        <v>78</v>
      </c>
      <c r="E664" s="208"/>
      <c r="F664" s="206">
        <v>15</v>
      </c>
      <c r="G664" s="206">
        <v>15</v>
      </c>
      <c r="H664" s="206"/>
      <c r="I664" s="195">
        <f t="shared" si="43"/>
        <v>1.27869107775876</v>
      </c>
      <c r="J664" s="196">
        <f t="shared" si="44"/>
        <v>2.81508219699829</v>
      </c>
      <c r="K664" s="172">
        <f t="shared" si="45"/>
        <v>34.093773274757</v>
      </c>
      <c r="L664" s="172">
        <f t="shared" si="46"/>
        <v>0</v>
      </c>
      <c r="M664" s="193"/>
      <c r="N664" s="193"/>
      <c r="O664" s="198"/>
      <c r="P664" s="208">
        <f>[2]零星!$F$135</f>
        <v>12.96</v>
      </c>
      <c r="XFD664" s="162">
        <f t="shared" si="47"/>
        <v>93.1475465495141</v>
      </c>
    </row>
    <row r="665" s="162" customFormat="1" ht="21" outlineLevel="2" spans="1:16384">
      <c r="A665" s="178">
        <v>13</v>
      </c>
      <c r="B665" s="177" t="s">
        <v>729</v>
      </c>
      <c r="C665" s="177" t="s">
        <v>730</v>
      </c>
      <c r="D665" s="178" t="s">
        <v>78</v>
      </c>
      <c r="E665" s="208"/>
      <c r="F665" s="206">
        <v>45</v>
      </c>
      <c r="G665" s="206">
        <v>55</v>
      </c>
      <c r="H665" s="206">
        <v>15</v>
      </c>
      <c r="I665" s="195">
        <f t="shared" si="43"/>
        <v>4.90164913140858</v>
      </c>
      <c r="J665" s="196">
        <f t="shared" si="44"/>
        <v>10.7911484218268</v>
      </c>
      <c r="K665" s="172">
        <f t="shared" si="45"/>
        <v>130.692797553235</v>
      </c>
      <c r="L665" s="172">
        <f t="shared" si="46"/>
        <v>0</v>
      </c>
      <c r="M665" s="193"/>
      <c r="N665" s="193"/>
      <c r="O665" s="198"/>
      <c r="P665" s="208">
        <f>[2]零星!$F$125</f>
        <v>71.712</v>
      </c>
      <c r="XFD665" s="162">
        <f t="shared" si="47"/>
        <v>346.09759510647</v>
      </c>
    </row>
    <row r="666" s="162" customFormat="1" ht="22.5" outlineLevel="2" spans="1:16384">
      <c r="A666" s="178">
        <v>14</v>
      </c>
      <c r="B666" s="227" t="s">
        <v>731</v>
      </c>
      <c r="C666" s="182" t="s">
        <v>732</v>
      </c>
      <c r="D666" s="228" t="s">
        <v>89</v>
      </c>
      <c r="E666" s="229"/>
      <c r="F666" s="206">
        <v>25</v>
      </c>
      <c r="G666" s="206">
        <v>320</v>
      </c>
      <c r="H666" s="206">
        <v>5</v>
      </c>
      <c r="I666" s="195">
        <f t="shared" si="43"/>
        <v>14.9180625738522</v>
      </c>
      <c r="J666" s="196">
        <f t="shared" si="44"/>
        <v>32.8426256316467</v>
      </c>
      <c r="K666" s="172">
        <f t="shared" si="45"/>
        <v>397.760688205499</v>
      </c>
      <c r="L666" s="172">
        <f t="shared" si="46"/>
        <v>0</v>
      </c>
      <c r="M666" s="193"/>
      <c r="N666" s="193"/>
      <c r="O666" s="198"/>
      <c r="P666" s="229">
        <f>[2]零星!$F$136</f>
        <v>43.2</v>
      </c>
      <c r="XFD666" s="162">
        <f t="shared" si="47"/>
        <v>852.721376410998</v>
      </c>
    </row>
    <row r="667" s="162" customFormat="1" ht="22.5" outlineLevel="2" spans="1:16384">
      <c r="A667" s="178">
        <v>15</v>
      </c>
      <c r="B667" s="227" t="s">
        <v>733</v>
      </c>
      <c r="C667" s="182" t="s">
        <v>732</v>
      </c>
      <c r="D667" s="178" t="s">
        <v>89</v>
      </c>
      <c r="E667" s="181"/>
      <c r="F667" s="206">
        <v>25</v>
      </c>
      <c r="G667" s="206">
        <v>85</v>
      </c>
      <c r="H667" s="206">
        <v>5</v>
      </c>
      <c r="I667" s="195">
        <f t="shared" si="43"/>
        <v>4.90164913140858</v>
      </c>
      <c r="J667" s="196">
        <f t="shared" si="44"/>
        <v>10.7911484218268</v>
      </c>
      <c r="K667" s="172">
        <f t="shared" si="45"/>
        <v>130.692797553235</v>
      </c>
      <c r="L667" s="172">
        <f t="shared" si="46"/>
        <v>0</v>
      </c>
      <c r="M667" s="193"/>
      <c r="N667" s="193"/>
      <c r="O667" s="198"/>
      <c r="P667" s="181">
        <f>[2]零星!$F$137</f>
        <v>43.2</v>
      </c>
      <c r="XFD667" s="162">
        <f t="shared" si="47"/>
        <v>319.58559510647</v>
      </c>
    </row>
    <row r="668" s="162" customFormat="1" ht="11.25" outlineLevel="1" spans="1:16">
      <c r="A668" s="178"/>
      <c r="B668" s="176" t="s">
        <v>734</v>
      </c>
      <c r="C668" s="177"/>
      <c r="D668" s="178"/>
      <c r="E668" s="208"/>
      <c r="F668" s="206"/>
      <c r="G668" s="206"/>
      <c r="H668" s="206"/>
      <c r="I668" s="195">
        <f t="shared" si="43"/>
        <v>0</v>
      </c>
      <c r="J668" s="196"/>
      <c r="K668" s="172"/>
      <c r="L668" s="172"/>
      <c r="M668" s="193"/>
      <c r="N668" s="193"/>
      <c r="O668" s="198"/>
      <c r="P668" s="208"/>
    </row>
    <row r="669" s="162" customFormat="1" ht="52.5" outlineLevel="2" spans="1:16">
      <c r="A669" s="178">
        <v>1</v>
      </c>
      <c r="B669" s="177" t="s">
        <v>73</v>
      </c>
      <c r="C669" s="177" t="s">
        <v>74</v>
      </c>
      <c r="D669" s="178" t="s">
        <v>75</v>
      </c>
      <c r="E669" s="208"/>
      <c r="F669" s="206"/>
      <c r="G669" s="206"/>
      <c r="H669" s="179">
        <v>8.5</v>
      </c>
      <c r="I669" s="195">
        <f t="shared" si="43"/>
        <v>0.362295805364982</v>
      </c>
      <c r="J669" s="196">
        <f t="shared" si="44"/>
        <v>0.797606622482848</v>
      </c>
      <c r="K669" s="172">
        <f t="shared" si="45"/>
        <v>9.65990242784783</v>
      </c>
      <c r="L669" s="172">
        <f t="shared" si="46"/>
        <v>0</v>
      </c>
      <c r="M669" s="193"/>
      <c r="N669" s="193"/>
      <c r="O669" s="198"/>
      <c r="P669" s="208">
        <f>[2]零星!$F$239</f>
        <v>11.832</v>
      </c>
    </row>
    <row r="670" s="162" customFormat="1" ht="63" outlineLevel="2" spans="1:16">
      <c r="A670" s="178">
        <v>2</v>
      </c>
      <c r="B670" s="177" t="s">
        <v>162</v>
      </c>
      <c r="C670" s="177" t="s">
        <v>163</v>
      </c>
      <c r="D670" s="178" t="s">
        <v>75</v>
      </c>
      <c r="E670" s="208"/>
      <c r="F670" s="206"/>
      <c r="G670" s="206"/>
      <c r="H670" s="179">
        <v>10</v>
      </c>
      <c r="I670" s="195">
        <f t="shared" si="43"/>
        <v>0.42623035925292</v>
      </c>
      <c r="J670" s="196">
        <f t="shared" si="44"/>
        <v>0.938360732332763</v>
      </c>
      <c r="K670" s="172">
        <f t="shared" si="45"/>
        <v>11.3645910915857</v>
      </c>
      <c r="L670" s="172">
        <f t="shared" si="46"/>
        <v>0</v>
      </c>
      <c r="M670" s="193"/>
      <c r="N670" s="193"/>
      <c r="O670" s="198"/>
      <c r="P670" s="208">
        <f>[2]零星!$F$240</f>
        <v>2.99</v>
      </c>
    </row>
    <row r="671" s="162" customFormat="1" ht="42" outlineLevel="2" spans="1:16">
      <c r="A671" s="178">
        <v>3</v>
      </c>
      <c r="B671" s="177" t="s">
        <v>735</v>
      </c>
      <c r="C671" s="177" t="s">
        <v>718</v>
      </c>
      <c r="D671" s="178" t="s">
        <v>75</v>
      </c>
      <c r="E671" s="208"/>
      <c r="F671" s="179">
        <v>200</v>
      </c>
      <c r="G671" s="180">
        <v>465</v>
      </c>
      <c r="H671" s="179">
        <v>180</v>
      </c>
      <c r="I671" s="195">
        <f t="shared" si="43"/>
        <v>36.0164653568717</v>
      </c>
      <c r="J671" s="196">
        <f t="shared" si="44"/>
        <v>79.2914818821185</v>
      </c>
      <c r="K671" s="172">
        <f t="shared" si="45"/>
        <v>960.30794723899</v>
      </c>
      <c r="L671" s="172">
        <f t="shared" si="46"/>
        <v>0</v>
      </c>
      <c r="M671" s="193"/>
      <c r="N671" s="193"/>
      <c r="O671" s="198"/>
      <c r="P671" s="208">
        <f>[2]零星!$F$142+[2]零星!$F$141</f>
        <v>5.784</v>
      </c>
    </row>
    <row r="672" s="162" customFormat="1" ht="31.5" outlineLevel="2" spans="1:16">
      <c r="A672" s="178">
        <v>4</v>
      </c>
      <c r="B672" s="177" t="s">
        <v>208</v>
      </c>
      <c r="C672" s="177" t="s">
        <v>209</v>
      </c>
      <c r="D672" s="178" t="s">
        <v>140</v>
      </c>
      <c r="E672" s="208"/>
      <c r="F672" s="179">
        <v>1000</v>
      </c>
      <c r="G672" s="179">
        <v>4600</v>
      </c>
      <c r="H672" s="179">
        <v>200</v>
      </c>
      <c r="I672" s="195">
        <f t="shared" si="43"/>
        <v>247.213608366694</v>
      </c>
      <c r="J672" s="196">
        <f t="shared" si="44"/>
        <v>544.249224753002</v>
      </c>
      <c r="K672" s="172">
        <f t="shared" si="45"/>
        <v>6591.4628331197</v>
      </c>
      <c r="L672" s="172">
        <f t="shared" si="46"/>
        <v>0</v>
      </c>
      <c r="M672" s="193"/>
      <c r="N672" s="193"/>
      <c r="O672" s="198"/>
      <c r="P672" s="208">
        <f>[2]零星!$F$143</f>
        <v>0.423808</v>
      </c>
    </row>
    <row r="673" s="162" customFormat="1" ht="42" outlineLevel="2" spans="1:16">
      <c r="A673" s="178">
        <v>5</v>
      </c>
      <c r="B673" s="211" t="s">
        <v>719</v>
      </c>
      <c r="C673" s="211" t="s">
        <v>720</v>
      </c>
      <c r="D673" s="180" t="s">
        <v>78</v>
      </c>
      <c r="E673" s="208"/>
      <c r="F673" s="206">
        <v>15</v>
      </c>
      <c r="G673" s="206">
        <v>15</v>
      </c>
      <c r="H673" s="206"/>
      <c r="I673" s="195">
        <f t="shared" si="43"/>
        <v>1.27869107775876</v>
      </c>
      <c r="J673" s="196">
        <f t="shared" si="44"/>
        <v>2.81508219699829</v>
      </c>
      <c r="K673" s="172">
        <f t="shared" si="45"/>
        <v>34.093773274757</v>
      </c>
      <c r="L673" s="172">
        <f t="shared" si="46"/>
        <v>0</v>
      </c>
      <c r="M673" s="193"/>
      <c r="N673" s="193"/>
      <c r="O673" s="198"/>
      <c r="P673" s="208">
        <f>[2]零星!$F$138</f>
        <v>12.24</v>
      </c>
    </row>
    <row r="674" s="162" customFormat="1" ht="31.5" outlineLevel="2" spans="1:16">
      <c r="A674" s="178">
        <v>6</v>
      </c>
      <c r="B674" s="211" t="s">
        <v>721</v>
      </c>
      <c r="C674" s="211" t="s">
        <v>722</v>
      </c>
      <c r="D674" s="180" t="s">
        <v>78</v>
      </c>
      <c r="E674" s="208"/>
      <c r="F674" s="206">
        <v>15</v>
      </c>
      <c r="G674" s="206">
        <v>35</v>
      </c>
      <c r="H674" s="206"/>
      <c r="I674" s="195">
        <f t="shared" si="43"/>
        <v>2.1311517962646</v>
      </c>
      <c r="J674" s="196">
        <f t="shared" si="44"/>
        <v>4.69180366166381</v>
      </c>
      <c r="K674" s="172">
        <f t="shared" si="45"/>
        <v>56.8229554579284</v>
      </c>
      <c r="L674" s="172">
        <f t="shared" si="46"/>
        <v>0</v>
      </c>
      <c r="M674" s="193"/>
      <c r="N674" s="193"/>
      <c r="O674" s="198"/>
      <c r="P674" s="208">
        <f>[2]零星!$F$139</f>
        <v>12.24</v>
      </c>
    </row>
    <row r="675" s="162" customFormat="1" ht="31.5" outlineLevel="2" spans="1:16">
      <c r="A675" s="178">
        <v>7</v>
      </c>
      <c r="B675" s="211" t="s">
        <v>723</v>
      </c>
      <c r="C675" s="211" t="s">
        <v>724</v>
      </c>
      <c r="D675" s="180" t="s">
        <v>78</v>
      </c>
      <c r="E675" s="208"/>
      <c r="F675" s="206">
        <v>15</v>
      </c>
      <c r="G675" s="206">
        <v>15</v>
      </c>
      <c r="H675" s="206"/>
      <c r="I675" s="195">
        <f t="shared" si="43"/>
        <v>1.27869107775876</v>
      </c>
      <c r="J675" s="196">
        <f t="shared" si="44"/>
        <v>2.81508219699829</v>
      </c>
      <c r="K675" s="172">
        <f t="shared" si="45"/>
        <v>34.093773274757</v>
      </c>
      <c r="L675" s="172">
        <f t="shared" si="46"/>
        <v>0</v>
      </c>
      <c r="M675" s="193"/>
      <c r="N675" s="193"/>
      <c r="O675" s="198"/>
      <c r="P675" s="208">
        <f>[2]零星!$F$140</f>
        <v>12.24</v>
      </c>
    </row>
    <row r="676" s="162" customFormat="1" ht="11.25" outlineLevel="1" spans="1:16">
      <c r="A676" s="178"/>
      <c r="B676" s="176" t="s">
        <v>280</v>
      </c>
      <c r="C676" s="211"/>
      <c r="D676" s="180"/>
      <c r="E676" s="208"/>
      <c r="F676" s="206"/>
      <c r="G676" s="206"/>
      <c r="H676" s="206"/>
      <c r="I676" s="195">
        <f t="shared" si="43"/>
        <v>0</v>
      </c>
      <c r="J676" s="196"/>
      <c r="K676" s="172"/>
      <c r="L676" s="172"/>
      <c r="M676" s="193"/>
      <c r="N676" s="193"/>
      <c r="O676" s="198"/>
      <c r="P676" s="208"/>
    </row>
    <row r="677" s="162" customFormat="1" ht="52.5" outlineLevel="2" spans="1:16">
      <c r="A677" s="178">
        <v>1</v>
      </c>
      <c r="B677" s="177" t="s">
        <v>73</v>
      </c>
      <c r="C677" s="177" t="s">
        <v>74</v>
      </c>
      <c r="D677" s="178" t="s">
        <v>75</v>
      </c>
      <c r="E677" s="208"/>
      <c r="F677" s="206"/>
      <c r="G677" s="206"/>
      <c r="H677" s="179">
        <v>8.5</v>
      </c>
      <c r="I677" s="195">
        <f t="shared" si="43"/>
        <v>0.362295805364982</v>
      </c>
      <c r="J677" s="196">
        <f t="shared" si="44"/>
        <v>0.797606622482848</v>
      </c>
      <c r="K677" s="172">
        <f t="shared" si="45"/>
        <v>9.65990242784783</v>
      </c>
      <c r="L677" s="172">
        <f t="shared" si="46"/>
        <v>0</v>
      </c>
      <c r="M677" s="193"/>
      <c r="N677" s="193"/>
      <c r="O677" s="198"/>
      <c r="P677" s="208">
        <f>[2]零星!$F$146*0.635</f>
        <v>24.17826</v>
      </c>
    </row>
    <row r="678" s="162" customFormat="1" ht="63" outlineLevel="2" spans="1:16">
      <c r="A678" s="178">
        <v>2</v>
      </c>
      <c r="B678" s="177" t="s">
        <v>162</v>
      </c>
      <c r="C678" s="177" t="s">
        <v>163</v>
      </c>
      <c r="D678" s="178" t="s">
        <v>75</v>
      </c>
      <c r="E678" s="208"/>
      <c r="F678" s="206"/>
      <c r="G678" s="206"/>
      <c r="H678" s="179">
        <v>10</v>
      </c>
      <c r="I678" s="195">
        <f t="shared" si="43"/>
        <v>0.42623035925292</v>
      </c>
      <c r="J678" s="196">
        <f t="shared" si="44"/>
        <v>0.938360732332763</v>
      </c>
      <c r="K678" s="172">
        <f t="shared" si="45"/>
        <v>11.3645910915857</v>
      </c>
      <c r="L678" s="172">
        <f t="shared" si="46"/>
        <v>0</v>
      </c>
      <c r="M678" s="193"/>
      <c r="N678" s="193"/>
      <c r="O678" s="198"/>
      <c r="P678" s="208">
        <f>P677-P679-P680-P681</f>
        <v>6.07506</v>
      </c>
    </row>
    <row r="679" s="162" customFormat="1" ht="31.5" outlineLevel="2" spans="1:16">
      <c r="A679" s="178">
        <v>3</v>
      </c>
      <c r="B679" s="177" t="s">
        <v>79</v>
      </c>
      <c r="C679" s="177" t="s">
        <v>736</v>
      </c>
      <c r="D679" s="178" t="s">
        <v>75</v>
      </c>
      <c r="E679" s="181"/>
      <c r="F679" s="179">
        <v>10</v>
      </c>
      <c r="G679" s="180">
        <v>95</v>
      </c>
      <c r="H679" s="179">
        <v>15</v>
      </c>
      <c r="I679" s="195">
        <f t="shared" si="43"/>
        <v>5.11476431103504</v>
      </c>
      <c r="J679" s="196">
        <f t="shared" si="44"/>
        <v>11.2603287879932</v>
      </c>
      <c r="K679" s="172">
        <f t="shared" si="45"/>
        <v>136.375093099028</v>
      </c>
      <c r="L679" s="172">
        <f t="shared" si="46"/>
        <v>0</v>
      </c>
      <c r="M679" s="193"/>
      <c r="N679" s="193"/>
      <c r="O679" s="198"/>
      <c r="P679" s="181">
        <f>[2]零星!$F$145</f>
        <v>5.7114</v>
      </c>
    </row>
    <row r="680" s="162" customFormat="1" ht="42" outlineLevel="2" spans="1:16">
      <c r="A680" s="178">
        <v>4</v>
      </c>
      <c r="B680" s="177" t="s">
        <v>81</v>
      </c>
      <c r="C680" s="177" t="s">
        <v>426</v>
      </c>
      <c r="D680" s="178" t="s">
        <v>75</v>
      </c>
      <c r="E680" s="208"/>
      <c r="F680" s="179">
        <v>55</v>
      </c>
      <c r="G680" s="180">
        <v>445</v>
      </c>
      <c r="H680" s="179">
        <v>15</v>
      </c>
      <c r="I680" s="195">
        <f t="shared" si="43"/>
        <v>21.9508635015254</v>
      </c>
      <c r="J680" s="196">
        <f t="shared" si="44"/>
        <v>48.3255777151373</v>
      </c>
      <c r="K680" s="172">
        <f t="shared" si="45"/>
        <v>585.276441216663</v>
      </c>
      <c r="L680" s="172">
        <f t="shared" si="46"/>
        <v>0</v>
      </c>
      <c r="M680" s="193"/>
      <c r="N680" s="193"/>
      <c r="O680" s="198"/>
      <c r="P680" s="208">
        <f>[2]零星!$F$144</f>
        <v>3.8076</v>
      </c>
    </row>
    <row r="681" s="162" customFormat="1" ht="42" outlineLevel="2" spans="1:16">
      <c r="A681" s="178">
        <v>5</v>
      </c>
      <c r="B681" s="177" t="s">
        <v>737</v>
      </c>
      <c r="C681" s="177" t="s">
        <v>718</v>
      </c>
      <c r="D681" s="178" t="s">
        <v>75</v>
      </c>
      <c r="E681" s="208"/>
      <c r="F681" s="179">
        <v>200</v>
      </c>
      <c r="G681" s="180">
        <v>465</v>
      </c>
      <c r="H681" s="179">
        <v>180</v>
      </c>
      <c r="I681" s="195">
        <f t="shared" si="43"/>
        <v>36.0164653568717</v>
      </c>
      <c r="J681" s="196">
        <f t="shared" si="44"/>
        <v>79.2914818821185</v>
      </c>
      <c r="K681" s="172">
        <f t="shared" si="45"/>
        <v>960.30794723899</v>
      </c>
      <c r="L681" s="172">
        <f t="shared" si="46"/>
        <v>0</v>
      </c>
      <c r="M681" s="193"/>
      <c r="N681" s="193"/>
      <c r="O681" s="198"/>
      <c r="P681" s="208">
        <f>[2]零星!$F$150+[2]零星!$F$151</f>
        <v>8.5842</v>
      </c>
    </row>
    <row r="682" s="162" customFormat="1" ht="31.5" outlineLevel="2" spans="1:16">
      <c r="A682" s="178">
        <v>6</v>
      </c>
      <c r="B682" s="177" t="s">
        <v>208</v>
      </c>
      <c r="C682" s="177" t="s">
        <v>209</v>
      </c>
      <c r="D682" s="178" t="s">
        <v>140</v>
      </c>
      <c r="E682" s="208"/>
      <c r="F682" s="179">
        <v>1000</v>
      </c>
      <c r="G682" s="179">
        <v>4600</v>
      </c>
      <c r="H682" s="179">
        <v>200</v>
      </c>
      <c r="I682" s="195">
        <f t="shared" si="43"/>
        <v>247.213608366694</v>
      </c>
      <c r="J682" s="196">
        <f t="shared" si="44"/>
        <v>544.249224753002</v>
      </c>
      <c r="K682" s="172">
        <f t="shared" si="45"/>
        <v>6591.4628331197</v>
      </c>
      <c r="L682" s="172">
        <f t="shared" si="46"/>
        <v>0</v>
      </c>
      <c r="M682" s="193"/>
      <c r="N682" s="193"/>
      <c r="O682" s="198"/>
      <c r="P682" s="208">
        <f>[2]零星!$F$152</f>
        <v>0.85718576</v>
      </c>
    </row>
    <row r="683" s="162" customFormat="1" ht="42" outlineLevel="2" spans="1:16">
      <c r="A683" s="178">
        <v>7</v>
      </c>
      <c r="B683" s="211" t="s">
        <v>719</v>
      </c>
      <c r="C683" s="211" t="s">
        <v>720</v>
      </c>
      <c r="D683" s="180" t="s">
        <v>78</v>
      </c>
      <c r="E683" s="208"/>
      <c r="F683" s="206">
        <v>15</v>
      </c>
      <c r="G683" s="206">
        <v>15</v>
      </c>
      <c r="H683" s="206"/>
      <c r="I683" s="195">
        <f t="shared" si="43"/>
        <v>1.27869107775876</v>
      </c>
      <c r="J683" s="196">
        <f t="shared" si="44"/>
        <v>2.81508219699829</v>
      </c>
      <c r="K683" s="172">
        <f t="shared" si="45"/>
        <v>34.093773274757</v>
      </c>
      <c r="L683" s="172">
        <f t="shared" si="46"/>
        <v>0</v>
      </c>
      <c r="M683" s="193"/>
      <c r="N683" s="193"/>
      <c r="O683" s="198"/>
      <c r="P683" s="208">
        <f>[2]零星!$F$149</f>
        <v>48.8832</v>
      </c>
    </row>
    <row r="684" s="162" customFormat="1" ht="31.5" outlineLevel="2" spans="1:16">
      <c r="A684" s="178">
        <v>8</v>
      </c>
      <c r="B684" s="211" t="s">
        <v>721</v>
      </c>
      <c r="C684" s="211" t="s">
        <v>722</v>
      </c>
      <c r="D684" s="180" t="s">
        <v>78</v>
      </c>
      <c r="E684" s="208"/>
      <c r="F684" s="206">
        <v>15</v>
      </c>
      <c r="G684" s="206">
        <v>35</v>
      </c>
      <c r="H684" s="206"/>
      <c r="I684" s="195">
        <f t="shared" si="43"/>
        <v>2.1311517962646</v>
      </c>
      <c r="J684" s="196">
        <f t="shared" si="44"/>
        <v>4.69180366166381</v>
      </c>
      <c r="K684" s="172">
        <f t="shared" si="45"/>
        <v>56.8229554579284</v>
      </c>
      <c r="L684" s="172">
        <f t="shared" si="46"/>
        <v>0</v>
      </c>
      <c r="M684" s="193"/>
      <c r="N684" s="193"/>
      <c r="O684" s="198"/>
      <c r="P684" s="208">
        <f>[2]零星!$F$148</f>
        <v>48.8832</v>
      </c>
    </row>
    <row r="685" s="162" customFormat="1" ht="31.5" outlineLevel="2" spans="1:16">
      <c r="A685" s="178">
        <v>9</v>
      </c>
      <c r="B685" s="211" t="s">
        <v>723</v>
      </c>
      <c r="C685" s="211" t="s">
        <v>724</v>
      </c>
      <c r="D685" s="180" t="s">
        <v>78</v>
      </c>
      <c r="E685" s="208"/>
      <c r="F685" s="206">
        <v>15</v>
      </c>
      <c r="G685" s="206">
        <v>15</v>
      </c>
      <c r="H685" s="206"/>
      <c r="I685" s="195">
        <f t="shared" si="43"/>
        <v>1.27869107775876</v>
      </c>
      <c r="J685" s="196">
        <f t="shared" si="44"/>
        <v>2.81508219699829</v>
      </c>
      <c r="K685" s="172">
        <f t="shared" si="45"/>
        <v>34.093773274757</v>
      </c>
      <c r="L685" s="172">
        <f t="shared" si="46"/>
        <v>0</v>
      </c>
      <c r="M685" s="193"/>
      <c r="N685" s="193"/>
      <c r="O685" s="198"/>
      <c r="P685" s="208">
        <f>[2]零星!$F$147</f>
        <v>48.8832</v>
      </c>
    </row>
    <row r="686" s="162" customFormat="1" ht="31.5" outlineLevel="2" spans="1:16">
      <c r="A686" s="178">
        <v>10</v>
      </c>
      <c r="B686" s="177" t="s">
        <v>738</v>
      </c>
      <c r="C686" s="226" t="s">
        <v>739</v>
      </c>
      <c r="D686" s="202" t="s">
        <v>78</v>
      </c>
      <c r="E686" s="208"/>
      <c r="F686" s="201">
        <v>15</v>
      </c>
      <c r="G686" s="201">
        <v>85</v>
      </c>
      <c r="H686" s="222">
        <v>15</v>
      </c>
      <c r="I686" s="195">
        <f t="shared" si="43"/>
        <v>4.90164913140858</v>
      </c>
      <c r="J686" s="196">
        <f t="shared" si="44"/>
        <v>10.7911484218268</v>
      </c>
      <c r="K686" s="172">
        <f t="shared" si="45"/>
        <v>130.692797553235</v>
      </c>
      <c r="L686" s="172">
        <f t="shared" si="46"/>
        <v>0</v>
      </c>
      <c r="M686" s="193"/>
      <c r="N686" s="193"/>
      <c r="O686" s="198"/>
      <c r="P686" s="208">
        <f>[2]零星!$F$153</f>
        <v>27.36</v>
      </c>
    </row>
    <row r="687" s="162" customFormat="1" ht="21" outlineLevel="2" spans="1:16">
      <c r="A687" s="178">
        <v>11</v>
      </c>
      <c r="B687" s="177" t="s">
        <v>740</v>
      </c>
      <c r="C687" s="226" t="s">
        <v>741</v>
      </c>
      <c r="D687" s="202" t="s">
        <v>78</v>
      </c>
      <c r="E687" s="208"/>
      <c r="F687" s="206">
        <v>35</v>
      </c>
      <c r="G687" s="206">
        <v>120</v>
      </c>
      <c r="H687" s="206"/>
      <c r="I687" s="195">
        <f t="shared" si="43"/>
        <v>6.60657056842026</v>
      </c>
      <c r="J687" s="196">
        <f t="shared" si="44"/>
        <v>14.5445913511578</v>
      </c>
      <c r="K687" s="172">
        <f t="shared" si="45"/>
        <v>176.151161919578</v>
      </c>
      <c r="L687" s="172">
        <f t="shared" si="46"/>
        <v>0</v>
      </c>
      <c r="M687" s="193"/>
      <c r="N687" s="193"/>
      <c r="O687" s="198"/>
      <c r="P687" s="208">
        <f>[2]零星!$F$155</f>
        <v>13.68</v>
      </c>
    </row>
    <row r="688" s="162" customFormat="1" ht="11.25" outlineLevel="1" spans="1:16">
      <c r="A688" s="178"/>
      <c r="B688" s="176" t="s">
        <v>742</v>
      </c>
      <c r="C688" s="226"/>
      <c r="D688" s="202"/>
      <c r="E688" s="208"/>
      <c r="F688" s="206"/>
      <c r="G688" s="206"/>
      <c r="H688" s="206"/>
      <c r="I688" s="195">
        <f t="shared" si="43"/>
        <v>0</v>
      </c>
      <c r="J688" s="196"/>
      <c r="K688" s="172"/>
      <c r="L688" s="172"/>
      <c r="M688" s="193"/>
      <c r="N688" s="193"/>
      <c r="O688" s="198"/>
      <c r="P688" s="208"/>
    </row>
    <row r="689" s="162" customFormat="1" ht="52.5" outlineLevel="2" spans="1:16">
      <c r="A689" s="178">
        <v>1</v>
      </c>
      <c r="B689" s="177" t="s">
        <v>73</v>
      </c>
      <c r="C689" s="177" t="s">
        <v>74</v>
      </c>
      <c r="D689" s="178" t="s">
        <v>75</v>
      </c>
      <c r="E689" s="208"/>
      <c r="F689" s="206"/>
      <c r="G689" s="206"/>
      <c r="H689" s="179">
        <v>8.5</v>
      </c>
      <c r="I689" s="195">
        <f t="shared" si="43"/>
        <v>0.362295805364982</v>
      </c>
      <c r="J689" s="196">
        <f t="shared" si="44"/>
        <v>0.797606622482848</v>
      </c>
      <c r="K689" s="172">
        <f t="shared" si="45"/>
        <v>9.65990242784783</v>
      </c>
      <c r="L689" s="172">
        <f t="shared" si="46"/>
        <v>0</v>
      </c>
      <c r="M689" s="193"/>
      <c r="N689" s="193"/>
      <c r="O689" s="198"/>
      <c r="P689" s="208">
        <f>[2]零星!$F$160*0.55</f>
        <v>19.074</v>
      </c>
    </row>
    <row r="690" s="162" customFormat="1" ht="63" outlineLevel="2" spans="1:16">
      <c r="A690" s="178">
        <v>2</v>
      </c>
      <c r="B690" s="177" t="s">
        <v>162</v>
      </c>
      <c r="C690" s="177" t="s">
        <v>163</v>
      </c>
      <c r="D690" s="178" t="s">
        <v>75</v>
      </c>
      <c r="E690" s="208"/>
      <c r="F690" s="206"/>
      <c r="G690" s="206"/>
      <c r="H690" s="179">
        <v>10</v>
      </c>
      <c r="I690" s="195">
        <f t="shared" si="43"/>
        <v>0.42623035925292</v>
      </c>
      <c r="J690" s="196">
        <f t="shared" si="44"/>
        <v>0.938360732332763</v>
      </c>
      <c r="K690" s="172">
        <f t="shared" si="45"/>
        <v>11.3645910915857</v>
      </c>
      <c r="L690" s="172">
        <f t="shared" si="46"/>
        <v>0</v>
      </c>
      <c r="M690" s="193"/>
      <c r="N690" s="193"/>
      <c r="O690" s="198"/>
      <c r="P690" s="208">
        <f>P689-P691-P692-P693</f>
        <v>2.244</v>
      </c>
    </row>
    <row r="691" s="162" customFormat="1" ht="31.5" outlineLevel="2" spans="1:16">
      <c r="A691" s="178">
        <v>3</v>
      </c>
      <c r="B691" s="177" t="s">
        <v>79</v>
      </c>
      <c r="C691" s="177" t="s">
        <v>736</v>
      </c>
      <c r="D691" s="178" t="s">
        <v>75</v>
      </c>
      <c r="E691" s="181"/>
      <c r="F691" s="179">
        <v>10</v>
      </c>
      <c r="G691" s="180">
        <v>95</v>
      </c>
      <c r="H691" s="179">
        <v>15</v>
      </c>
      <c r="I691" s="195">
        <f t="shared" si="43"/>
        <v>5.11476431103504</v>
      </c>
      <c r="J691" s="196">
        <f t="shared" si="44"/>
        <v>11.2603287879932</v>
      </c>
      <c r="K691" s="172">
        <f t="shared" si="45"/>
        <v>136.375093099028</v>
      </c>
      <c r="L691" s="172">
        <f t="shared" si="46"/>
        <v>0</v>
      </c>
      <c r="M691" s="193"/>
      <c r="N691" s="193"/>
      <c r="O691" s="198"/>
      <c r="P691" s="181">
        <f>[2]零星!$F$159</f>
        <v>5.202</v>
      </c>
    </row>
    <row r="692" s="162" customFormat="1" ht="42" outlineLevel="2" spans="1:16">
      <c r="A692" s="178">
        <v>4</v>
      </c>
      <c r="B692" s="177" t="s">
        <v>81</v>
      </c>
      <c r="C692" s="177" t="s">
        <v>426</v>
      </c>
      <c r="D692" s="178" t="s">
        <v>75</v>
      </c>
      <c r="E692" s="208"/>
      <c r="F692" s="179">
        <v>55</v>
      </c>
      <c r="G692" s="180">
        <v>445</v>
      </c>
      <c r="H692" s="179">
        <v>15</v>
      </c>
      <c r="I692" s="195">
        <f t="shared" si="43"/>
        <v>21.9508635015254</v>
      </c>
      <c r="J692" s="196">
        <f t="shared" si="44"/>
        <v>48.3255777151373</v>
      </c>
      <c r="K692" s="172">
        <f t="shared" si="45"/>
        <v>585.276441216663</v>
      </c>
      <c r="L692" s="172">
        <f t="shared" si="46"/>
        <v>0</v>
      </c>
      <c r="M692" s="193"/>
      <c r="N692" s="193"/>
      <c r="O692" s="198"/>
      <c r="P692" s="208">
        <f>[2]零星!$F$158</f>
        <v>3.468</v>
      </c>
    </row>
    <row r="693" s="162" customFormat="1" ht="21" outlineLevel="2" spans="1:16">
      <c r="A693" s="178">
        <v>5</v>
      </c>
      <c r="B693" s="211" t="s">
        <v>561</v>
      </c>
      <c r="C693" s="211" t="s">
        <v>726</v>
      </c>
      <c r="D693" s="180" t="s">
        <v>75</v>
      </c>
      <c r="E693" s="208"/>
      <c r="F693" s="181">
        <v>220</v>
      </c>
      <c r="G693" s="181">
        <v>260</v>
      </c>
      <c r="H693" s="181">
        <v>85</v>
      </c>
      <c r="I693" s="195">
        <f t="shared" si="43"/>
        <v>24.08201529779</v>
      </c>
      <c r="J693" s="196">
        <f t="shared" si="44"/>
        <v>53.0173813768011</v>
      </c>
      <c r="K693" s="172">
        <f t="shared" si="45"/>
        <v>642.099396674591</v>
      </c>
      <c r="L693" s="172">
        <f t="shared" si="46"/>
        <v>0</v>
      </c>
      <c r="M693" s="193"/>
      <c r="N693" s="193"/>
      <c r="O693" s="198"/>
      <c r="P693" s="208">
        <f>[2]零星!$F$157</f>
        <v>8.16</v>
      </c>
    </row>
    <row r="694" s="162" customFormat="1" ht="31.5" outlineLevel="2" spans="1:16">
      <c r="A694" s="178">
        <v>6</v>
      </c>
      <c r="B694" s="211" t="s">
        <v>743</v>
      </c>
      <c r="C694" s="211" t="s">
        <v>744</v>
      </c>
      <c r="D694" s="180" t="s">
        <v>78</v>
      </c>
      <c r="E694" s="208"/>
      <c r="F694" s="206">
        <v>15</v>
      </c>
      <c r="G694" s="206">
        <v>15</v>
      </c>
      <c r="H694" s="206"/>
      <c r="I694" s="195">
        <f t="shared" si="43"/>
        <v>1.27869107775876</v>
      </c>
      <c r="J694" s="196">
        <f t="shared" si="44"/>
        <v>2.81508219699829</v>
      </c>
      <c r="K694" s="172">
        <f t="shared" si="45"/>
        <v>34.093773274757</v>
      </c>
      <c r="L694" s="172">
        <f t="shared" si="46"/>
        <v>0</v>
      </c>
      <c r="M694" s="193"/>
      <c r="N694" s="193"/>
      <c r="O694" s="198"/>
      <c r="P694" s="208">
        <f>[2]零星!$F$156</f>
        <v>29.07</v>
      </c>
    </row>
    <row r="695" s="162" customFormat="1" ht="11.25" outlineLevel="1" spans="1:16">
      <c r="A695" s="178"/>
      <c r="B695" s="176" t="s">
        <v>745</v>
      </c>
      <c r="C695" s="177"/>
      <c r="D695" s="178"/>
      <c r="E695" s="208"/>
      <c r="F695" s="206"/>
      <c r="G695" s="206"/>
      <c r="H695" s="206"/>
      <c r="I695" s="195">
        <f t="shared" si="43"/>
        <v>0</v>
      </c>
      <c r="J695" s="196"/>
      <c r="K695" s="172"/>
      <c r="L695" s="172"/>
      <c r="M695" s="193"/>
      <c r="N695" s="193"/>
      <c r="O695" s="198"/>
      <c r="P695" s="208"/>
    </row>
    <row r="696" s="162" customFormat="1" ht="52.5" outlineLevel="2" spans="1:16">
      <c r="A696" s="178">
        <v>1</v>
      </c>
      <c r="B696" s="177" t="s">
        <v>73</v>
      </c>
      <c r="C696" s="177" t="s">
        <v>74</v>
      </c>
      <c r="D696" s="178" t="s">
        <v>75</v>
      </c>
      <c r="E696" s="208"/>
      <c r="F696" s="206"/>
      <c r="G696" s="206"/>
      <c r="H696" s="179">
        <v>8.5</v>
      </c>
      <c r="I696" s="195">
        <f t="shared" si="43"/>
        <v>0.362295805364982</v>
      </c>
      <c r="J696" s="196">
        <f t="shared" si="44"/>
        <v>0.797606622482848</v>
      </c>
      <c r="K696" s="172">
        <f t="shared" si="45"/>
        <v>9.65990242784783</v>
      </c>
      <c r="L696" s="172">
        <f t="shared" si="46"/>
        <v>0</v>
      </c>
      <c r="M696" s="193"/>
      <c r="N696" s="193"/>
      <c r="O696" s="198"/>
      <c r="P696" s="208">
        <f>[2]零星!$F$163*0.63</f>
        <v>2.31336</v>
      </c>
    </row>
    <row r="697" s="162" customFormat="1" ht="63" outlineLevel="2" spans="1:16">
      <c r="A697" s="178">
        <v>2</v>
      </c>
      <c r="B697" s="177" t="s">
        <v>162</v>
      </c>
      <c r="C697" s="177" t="s">
        <v>163</v>
      </c>
      <c r="D697" s="178" t="s">
        <v>75</v>
      </c>
      <c r="E697" s="208"/>
      <c r="F697" s="206"/>
      <c r="G697" s="206"/>
      <c r="H697" s="179">
        <v>10</v>
      </c>
      <c r="I697" s="195">
        <f t="shared" si="43"/>
        <v>0.42623035925292</v>
      </c>
      <c r="J697" s="196">
        <f t="shared" si="44"/>
        <v>0.938360732332763</v>
      </c>
      <c r="K697" s="172">
        <f t="shared" si="45"/>
        <v>11.3645910915857</v>
      </c>
      <c r="L697" s="172">
        <f t="shared" si="46"/>
        <v>0</v>
      </c>
      <c r="M697" s="193"/>
      <c r="N697" s="193"/>
      <c r="O697" s="198"/>
      <c r="P697" s="208">
        <f>P696-P698-P699-[2]零星!$F$163*0.23</f>
        <v>0.2628</v>
      </c>
    </row>
    <row r="698" s="162" customFormat="1" ht="31.5" outlineLevel="2" spans="1:16">
      <c r="A698" s="178">
        <v>3</v>
      </c>
      <c r="B698" s="177" t="s">
        <v>79</v>
      </c>
      <c r="C698" s="177" t="s">
        <v>736</v>
      </c>
      <c r="D698" s="178" t="s">
        <v>75</v>
      </c>
      <c r="E698" s="181"/>
      <c r="F698" s="179">
        <v>10</v>
      </c>
      <c r="G698" s="180">
        <v>95</v>
      </c>
      <c r="H698" s="179">
        <v>15</v>
      </c>
      <c r="I698" s="195">
        <f t="shared" si="43"/>
        <v>5.11476431103504</v>
      </c>
      <c r="J698" s="196">
        <f t="shared" si="44"/>
        <v>11.2603287879932</v>
      </c>
      <c r="K698" s="172">
        <f t="shared" si="45"/>
        <v>136.375093099028</v>
      </c>
      <c r="L698" s="172">
        <f t="shared" si="46"/>
        <v>0</v>
      </c>
      <c r="M698" s="193"/>
      <c r="N698" s="193"/>
      <c r="O698" s="198"/>
      <c r="P698" s="181">
        <f>[2]零星!$F$162</f>
        <v>0.5508</v>
      </c>
    </row>
    <row r="699" s="162" customFormat="1" ht="42" outlineLevel="2" spans="1:16">
      <c r="A699" s="178">
        <v>4</v>
      </c>
      <c r="B699" s="177" t="s">
        <v>81</v>
      </c>
      <c r="C699" s="177" t="s">
        <v>426</v>
      </c>
      <c r="D699" s="178" t="s">
        <v>75</v>
      </c>
      <c r="E699" s="208"/>
      <c r="F699" s="179">
        <v>55</v>
      </c>
      <c r="G699" s="180">
        <v>445</v>
      </c>
      <c r="H699" s="179">
        <v>15</v>
      </c>
      <c r="I699" s="195">
        <f t="shared" si="43"/>
        <v>21.9508635015254</v>
      </c>
      <c r="J699" s="196">
        <f t="shared" si="44"/>
        <v>48.3255777151373</v>
      </c>
      <c r="K699" s="172">
        <f t="shared" si="45"/>
        <v>585.276441216663</v>
      </c>
      <c r="L699" s="172">
        <f t="shared" si="46"/>
        <v>0</v>
      </c>
      <c r="M699" s="193"/>
      <c r="N699" s="193"/>
      <c r="O699" s="198"/>
      <c r="P699" s="208">
        <f>[2]零星!$F$161+[2]零星!$F$171</f>
        <v>0.6552</v>
      </c>
    </row>
    <row r="700" s="162" customFormat="1" ht="21" outlineLevel="2" spans="1:16">
      <c r="A700" s="178">
        <v>5</v>
      </c>
      <c r="B700" s="211" t="s">
        <v>561</v>
      </c>
      <c r="C700" s="211" t="s">
        <v>726</v>
      </c>
      <c r="D700" s="180" t="s">
        <v>75</v>
      </c>
      <c r="E700" s="208"/>
      <c r="F700" s="181">
        <v>220</v>
      </c>
      <c r="G700" s="181">
        <v>260</v>
      </c>
      <c r="H700" s="181">
        <v>85</v>
      </c>
      <c r="I700" s="195">
        <f t="shared" si="43"/>
        <v>24.08201529779</v>
      </c>
      <c r="J700" s="196">
        <f t="shared" si="44"/>
        <v>53.0173813768011</v>
      </c>
      <c r="K700" s="172">
        <f t="shared" si="45"/>
        <v>642.099396674591</v>
      </c>
      <c r="L700" s="172">
        <f t="shared" si="46"/>
        <v>0</v>
      </c>
      <c r="M700" s="193"/>
      <c r="N700" s="193"/>
      <c r="O700" s="198"/>
      <c r="P700" s="208">
        <f>[2]零星!$F$167+[2]零星!$F$168+[2]零星!$F$170</f>
        <v>1.9970784</v>
      </c>
    </row>
    <row r="701" s="162" customFormat="1" ht="42" outlineLevel="2" spans="1:16">
      <c r="A701" s="178">
        <v>6</v>
      </c>
      <c r="B701" s="177" t="s">
        <v>746</v>
      </c>
      <c r="C701" s="177" t="s">
        <v>718</v>
      </c>
      <c r="D701" s="178" t="s">
        <v>75</v>
      </c>
      <c r="E701" s="208"/>
      <c r="F701" s="179">
        <v>200</v>
      </c>
      <c r="G701" s="180">
        <v>465</v>
      </c>
      <c r="H701" s="179">
        <v>180</v>
      </c>
      <c r="I701" s="195">
        <f t="shared" si="43"/>
        <v>36.0164653568717</v>
      </c>
      <c r="J701" s="196">
        <f t="shared" si="44"/>
        <v>79.2914818821185</v>
      </c>
      <c r="K701" s="172">
        <f t="shared" si="45"/>
        <v>960.30794723899</v>
      </c>
      <c r="L701" s="172">
        <f t="shared" si="46"/>
        <v>0</v>
      </c>
      <c r="M701" s="193"/>
      <c r="N701" s="193"/>
      <c r="O701" s="198"/>
      <c r="P701" s="208">
        <f>[2]零星!$F$164+[2]零星!$F$166+[2]零星!$F$169</f>
        <v>1.531152</v>
      </c>
    </row>
    <row r="702" s="162" customFormat="1" ht="31.5" outlineLevel="2" spans="1:16">
      <c r="A702" s="178">
        <v>7</v>
      </c>
      <c r="B702" s="177" t="s">
        <v>208</v>
      </c>
      <c r="C702" s="177" t="s">
        <v>209</v>
      </c>
      <c r="D702" s="178" t="s">
        <v>140</v>
      </c>
      <c r="E702" s="208"/>
      <c r="F702" s="179">
        <v>1000</v>
      </c>
      <c r="G702" s="179">
        <v>4600</v>
      </c>
      <c r="H702" s="179">
        <v>200</v>
      </c>
      <c r="I702" s="195">
        <f t="shared" si="43"/>
        <v>247.213608366694</v>
      </c>
      <c r="J702" s="196">
        <f t="shared" si="44"/>
        <v>544.249224753002</v>
      </c>
      <c r="K702" s="172">
        <f t="shared" si="45"/>
        <v>6591.4628331197</v>
      </c>
      <c r="L702" s="172">
        <f t="shared" si="46"/>
        <v>0</v>
      </c>
      <c r="M702" s="193"/>
      <c r="N702" s="193"/>
      <c r="O702" s="198"/>
      <c r="P702" s="208">
        <f>[2]零星!$F$165</f>
        <v>0.059232</v>
      </c>
    </row>
    <row r="703" s="162" customFormat="1" ht="42" outlineLevel="2" spans="1:16">
      <c r="A703" s="178">
        <v>8</v>
      </c>
      <c r="B703" s="211" t="s">
        <v>719</v>
      </c>
      <c r="C703" s="211" t="s">
        <v>720</v>
      </c>
      <c r="D703" s="180" t="s">
        <v>78</v>
      </c>
      <c r="E703" s="208"/>
      <c r="F703" s="206">
        <v>15</v>
      </c>
      <c r="G703" s="206">
        <v>15</v>
      </c>
      <c r="H703" s="206"/>
      <c r="I703" s="195">
        <f t="shared" si="43"/>
        <v>1.27869107775876</v>
      </c>
      <c r="J703" s="196">
        <f t="shared" si="44"/>
        <v>2.81508219699829</v>
      </c>
      <c r="K703" s="172">
        <f t="shared" si="45"/>
        <v>34.093773274757</v>
      </c>
      <c r="L703" s="172">
        <f t="shared" si="46"/>
        <v>0</v>
      </c>
      <c r="M703" s="193"/>
      <c r="N703" s="193"/>
      <c r="O703" s="198"/>
      <c r="P703" s="208">
        <f>[2]零星!$F$172</f>
        <v>27.408</v>
      </c>
    </row>
    <row r="704" s="162" customFormat="1" ht="31.5" outlineLevel="2" spans="1:16">
      <c r="A704" s="178">
        <v>9</v>
      </c>
      <c r="B704" s="211" t="s">
        <v>721</v>
      </c>
      <c r="C704" s="211" t="s">
        <v>722</v>
      </c>
      <c r="D704" s="180" t="s">
        <v>78</v>
      </c>
      <c r="E704" s="208"/>
      <c r="F704" s="206">
        <v>15</v>
      </c>
      <c r="G704" s="206">
        <v>35</v>
      </c>
      <c r="H704" s="206"/>
      <c r="I704" s="195">
        <f t="shared" si="43"/>
        <v>2.1311517962646</v>
      </c>
      <c r="J704" s="196">
        <f t="shared" si="44"/>
        <v>4.69180366166381</v>
      </c>
      <c r="K704" s="172">
        <f t="shared" si="45"/>
        <v>56.8229554579284</v>
      </c>
      <c r="L704" s="172">
        <f t="shared" si="46"/>
        <v>0</v>
      </c>
      <c r="M704" s="193"/>
      <c r="N704" s="193"/>
      <c r="O704" s="198"/>
      <c r="P704" s="208">
        <f>[2]零星!$F$172</f>
        <v>27.408</v>
      </c>
    </row>
    <row r="705" s="162" customFormat="1" ht="31.5" outlineLevel="2" spans="1:16">
      <c r="A705" s="178">
        <v>10</v>
      </c>
      <c r="B705" s="211" t="s">
        <v>723</v>
      </c>
      <c r="C705" s="211" t="s">
        <v>724</v>
      </c>
      <c r="D705" s="180" t="s">
        <v>78</v>
      </c>
      <c r="E705" s="208"/>
      <c r="F705" s="206">
        <v>15</v>
      </c>
      <c r="G705" s="206">
        <v>15</v>
      </c>
      <c r="H705" s="206"/>
      <c r="I705" s="195">
        <f t="shared" si="43"/>
        <v>1.27869107775876</v>
      </c>
      <c r="J705" s="196">
        <f t="shared" si="44"/>
        <v>2.81508219699829</v>
      </c>
      <c r="K705" s="172">
        <f t="shared" si="45"/>
        <v>34.093773274757</v>
      </c>
      <c r="L705" s="172">
        <f t="shared" si="46"/>
        <v>0</v>
      </c>
      <c r="M705" s="193"/>
      <c r="N705" s="193"/>
      <c r="O705" s="198"/>
      <c r="P705" s="208">
        <f>[2]零星!$F$172</f>
        <v>27.408</v>
      </c>
    </row>
    <row r="706" s="162" customFormat="1" ht="21" outlineLevel="2" spans="1:16">
      <c r="A706" s="178">
        <v>11</v>
      </c>
      <c r="B706" s="177" t="s">
        <v>747</v>
      </c>
      <c r="C706" s="177" t="s">
        <v>748</v>
      </c>
      <c r="D706" s="178" t="s">
        <v>89</v>
      </c>
      <c r="E706" s="208"/>
      <c r="F706" s="230">
        <v>9</v>
      </c>
      <c r="G706" s="230">
        <v>26</v>
      </c>
      <c r="H706" s="179">
        <v>1.5</v>
      </c>
      <c r="I706" s="195">
        <f t="shared" si="43"/>
        <v>1.55574081127316</v>
      </c>
      <c r="J706" s="196">
        <f t="shared" si="44"/>
        <v>3.42501667301458</v>
      </c>
      <c r="K706" s="172">
        <f t="shared" si="45"/>
        <v>41.4807574842877</v>
      </c>
      <c r="L706" s="172">
        <f t="shared" si="46"/>
        <v>0</v>
      </c>
      <c r="M706" s="193"/>
      <c r="N706" s="193"/>
      <c r="O706" s="198"/>
      <c r="P706" s="208">
        <f>[2]零星!$F$175</f>
        <v>2.4</v>
      </c>
    </row>
    <row r="707" s="162" customFormat="1" ht="42" outlineLevel="2" spans="1:16">
      <c r="A707" s="178">
        <v>12</v>
      </c>
      <c r="B707" s="177" t="s">
        <v>749</v>
      </c>
      <c r="C707" s="177" t="s">
        <v>750</v>
      </c>
      <c r="D707" s="178" t="s">
        <v>89</v>
      </c>
      <c r="E707" s="208"/>
      <c r="F707" s="206">
        <v>20</v>
      </c>
      <c r="G707" s="206">
        <v>85</v>
      </c>
      <c r="H707" s="206">
        <v>5</v>
      </c>
      <c r="I707" s="195">
        <f t="shared" si="43"/>
        <v>4.68853395178212</v>
      </c>
      <c r="J707" s="196">
        <f t="shared" si="44"/>
        <v>10.3219680556604</v>
      </c>
      <c r="K707" s="172">
        <f t="shared" si="45"/>
        <v>125.010502007443</v>
      </c>
      <c r="L707" s="172">
        <f t="shared" si="46"/>
        <v>0</v>
      </c>
      <c r="M707" s="193"/>
      <c r="N707" s="193"/>
      <c r="O707" s="198"/>
      <c r="P707" s="208">
        <f>[2]零星!$F$176</f>
        <v>76.8</v>
      </c>
    </row>
    <row r="708" s="162" customFormat="1" ht="31.5" outlineLevel="2" spans="1:16">
      <c r="A708" s="178">
        <v>13</v>
      </c>
      <c r="B708" s="177" t="s">
        <v>751</v>
      </c>
      <c r="C708" s="215" t="s">
        <v>752</v>
      </c>
      <c r="D708" s="202" t="s">
        <v>78</v>
      </c>
      <c r="E708" s="208"/>
      <c r="F708" s="206">
        <v>55</v>
      </c>
      <c r="G708" s="206">
        <v>220</v>
      </c>
      <c r="H708" s="206">
        <v>15</v>
      </c>
      <c r="I708" s="195">
        <f t="shared" si="43"/>
        <v>12.3606804183347</v>
      </c>
      <c r="J708" s="196">
        <f t="shared" si="44"/>
        <v>27.2124612376501</v>
      </c>
      <c r="K708" s="172">
        <f t="shared" si="45"/>
        <v>329.573141655985</v>
      </c>
      <c r="L708" s="172">
        <f t="shared" si="46"/>
        <v>0</v>
      </c>
      <c r="M708" s="193"/>
      <c r="N708" s="193"/>
      <c r="O708" s="198"/>
      <c r="P708" s="208">
        <v>4.32</v>
      </c>
    </row>
    <row r="709" s="162" customFormat="1" ht="31.5" outlineLevel="2" spans="1:16">
      <c r="A709" s="178">
        <v>14</v>
      </c>
      <c r="B709" s="177" t="s">
        <v>753</v>
      </c>
      <c r="C709" s="215" t="s">
        <v>754</v>
      </c>
      <c r="D709" s="202" t="s">
        <v>78</v>
      </c>
      <c r="E709" s="208"/>
      <c r="F709" s="179">
        <v>55</v>
      </c>
      <c r="G709" s="180">
        <v>135</v>
      </c>
      <c r="H709" s="179">
        <v>15</v>
      </c>
      <c r="I709" s="195">
        <f t="shared" ref="I709:I771" si="48">((F709+G709+H709)*0.06)*0.7103839320882</f>
        <v>8.73772236468486</v>
      </c>
      <c r="J709" s="196">
        <f t="shared" si="44"/>
        <v>19.2363950128216</v>
      </c>
      <c r="K709" s="172">
        <f t="shared" si="45"/>
        <v>232.974117377507</v>
      </c>
      <c r="L709" s="172">
        <f t="shared" si="46"/>
        <v>0</v>
      </c>
      <c r="M709" s="193"/>
      <c r="N709" s="193"/>
      <c r="O709" s="198"/>
      <c r="P709" s="208">
        <v>12.96</v>
      </c>
    </row>
    <row r="710" s="162" customFormat="1" ht="31.5" outlineLevel="2" spans="1:16">
      <c r="A710" s="178">
        <v>15</v>
      </c>
      <c r="B710" s="177" t="s">
        <v>755</v>
      </c>
      <c r="C710" s="215" t="s">
        <v>756</v>
      </c>
      <c r="D710" s="202" t="s">
        <v>78</v>
      </c>
      <c r="E710" s="208"/>
      <c r="F710" s="179">
        <v>55</v>
      </c>
      <c r="G710" s="180">
        <v>180</v>
      </c>
      <c r="H710" s="179">
        <v>15</v>
      </c>
      <c r="I710" s="195">
        <f t="shared" si="48"/>
        <v>10.655758981323</v>
      </c>
      <c r="J710" s="196">
        <f t="shared" ref="J710:J771" si="49">(F710+G710+H710+I710)*0.09</f>
        <v>23.4590183083191</v>
      </c>
      <c r="K710" s="172">
        <f t="shared" ref="K710:K771" si="50">F710+G710+H710+I710+J710</f>
        <v>284.114777289642</v>
      </c>
      <c r="L710" s="172">
        <f t="shared" ref="L710:L771" si="51">K710*E710</f>
        <v>0</v>
      </c>
      <c r="M710" s="193"/>
      <c r="N710" s="193"/>
      <c r="O710" s="198"/>
      <c r="P710" s="208">
        <v>1.44</v>
      </c>
    </row>
    <row r="711" s="162" customFormat="1" ht="31.5" outlineLevel="2" spans="1:16">
      <c r="A711" s="178">
        <v>16</v>
      </c>
      <c r="B711" s="177" t="s">
        <v>757</v>
      </c>
      <c r="C711" s="215" t="s">
        <v>758</v>
      </c>
      <c r="D711" s="202" t="s">
        <v>78</v>
      </c>
      <c r="E711" s="208"/>
      <c r="F711" s="206">
        <v>55</v>
      </c>
      <c r="G711" s="179">
        <v>105</v>
      </c>
      <c r="H711" s="206">
        <v>15</v>
      </c>
      <c r="I711" s="195">
        <f t="shared" si="48"/>
        <v>7.4590312869261</v>
      </c>
      <c r="J711" s="196">
        <f t="shared" si="49"/>
        <v>16.4213128158233</v>
      </c>
      <c r="K711" s="172">
        <f t="shared" si="50"/>
        <v>198.880344102749</v>
      </c>
      <c r="L711" s="172">
        <f t="shared" si="51"/>
        <v>0</v>
      </c>
      <c r="M711" s="193"/>
      <c r="N711" s="193"/>
      <c r="O711" s="198"/>
      <c r="P711" s="208">
        <v>2.88</v>
      </c>
    </row>
    <row r="712" s="162" customFormat="1" ht="31.5" outlineLevel="2" spans="1:16">
      <c r="A712" s="178">
        <v>17</v>
      </c>
      <c r="B712" s="177" t="s">
        <v>757</v>
      </c>
      <c r="C712" s="215" t="s">
        <v>759</v>
      </c>
      <c r="D712" s="202" t="s">
        <v>78</v>
      </c>
      <c r="E712" s="208"/>
      <c r="F712" s="179">
        <v>55</v>
      </c>
      <c r="G712" s="180">
        <v>135</v>
      </c>
      <c r="H712" s="179">
        <v>15</v>
      </c>
      <c r="I712" s="195">
        <f t="shared" si="48"/>
        <v>8.73772236468486</v>
      </c>
      <c r="J712" s="196">
        <f t="shared" si="49"/>
        <v>19.2363950128216</v>
      </c>
      <c r="K712" s="172">
        <f t="shared" si="50"/>
        <v>232.974117377507</v>
      </c>
      <c r="L712" s="172">
        <f t="shared" si="51"/>
        <v>0</v>
      </c>
      <c r="M712" s="193"/>
      <c r="N712" s="193"/>
      <c r="O712" s="198"/>
      <c r="P712" s="208">
        <v>4.32</v>
      </c>
    </row>
    <row r="713" s="162" customFormat="1" ht="31.5" outlineLevel="2" spans="1:16">
      <c r="A713" s="178">
        <v>18</v>
      </c>
      <c r="B713" s="177" t="s">
        <v>760</v>
      </c>
      <c r="C713" s="177" t="s">
        <v>761</v>
      </c>
      <c r="D713" s="178" t="s">
        <v>193</v>
      </c>
      <c r="E713" s="208"/>
      <c r="F713" s="206">
        <v>85</v>
      </c>
      <c r="G713" s="206">
        <v>850</v>
      </c>
      <c r="H713" s="206"/>
      <c r="I713" s="195">
        <f t="shared" si="48"/>
        <v>39.852538590148</v>
      </c>
      <c r="J713" s="196">
        <f t="shared" si="49"/>
        <v>87.7367284731133</v>
      </c>
      <c r="K713" s="172">
        <f t="shared" si="50"/>
        <v>1062.58926706326</v>
      </c>
      <c r="L713" s="172">
        <f t="shared" si="51"/>
        <v>0</v>
      </c>
      <c r="M713" s="193"/>
      <c r="N713" s="193"/>
      <c r="O713" s="198"/>
      <c r="P713" s="208">
        <v>8</v>
      </c>
    </row>
    <row r="714" s="162" customFormat="1" ht="11.25" outlineLevel="1" spans="1:16">
      <c r="A714" s="178"/>
      <c r="B714" s="176" t="s">
        <v>762</v>
      </c>
      <c r="C714" s="177"/>
      <c r="D714" s="178"/>
      <c r="E714" s="208"/>
      <c r="F714" s="206"/>
      <c r="G714" s="206"/>
      <c r="H714" s="206"/>
      <c r="I714" s="195">
        <f t="shared" si="48"/>
        <v>0</v>
      </c>
      <c r="J714" s="196"/>
      <c r="K714" s="172"/>
      <c r="L714" s="172"/>
      <c r="M714" s="193"/>
      <c r="N714" s="193"/>
      <c r="O714" s="198"/>
      <c r="P714" s="208"/>
    </row>
    <row r="715" s="162" customFormat="1" ht="52.5" outlineLevel="2" spans="1:16">
      <c r="A715" s="178">
        <v>1</v>
      </c>
      <c r="B715" s="177" t="s">
        <v>73</v>
      </c>
      <c r="C715" s="177" t="s">
        <v>74</v>
      </c>
      <c r="D715" s="178" t="s">
        <v>75</v>
      </c>
      <c r="E715" s="208"/>
      <c r="F715" s="206"/>
      <c r="G715" s="206"/>
      <c r="H715" s="179">
        <v>8.5</v>
      </c>
      <c r="I715" s="195">
        <f t="shared" si="48"/>
        <v>0.362295805364982</v>
      </c>
      <c r="J715" s="196">
        <f t="shared" si="49"/>
        <v>0.797606622482848</v>
      </c>
      <c r="K715" s="172">
        <f t="shared" si="50"/>
        <v>9.65990242784783</v>
      </c>
      <c r="L715" s="172">
        <f t="shared" si="51"/>
        <v>0</v>
      </c>
      <c r="M715" s="193"/>
      <c r="N715" s="193"/>
      <c r="O715" s="198"/>
      <c r="P715" s="208">
        <f>[2]零星!$F$245</f>
        <v>5.04</v>
      </c>
    </row>
    <row r="716" s="162" customFormat="1" ht="63" outlineLevel="2" spans="1:16">
      <c r="A716" s="178">
        <v>2</v>
      </c>
      <c r="B716" s="177" t="s">
        <v>162</v>
      </c>
      <c r="C716" s="177" t="s">
        <v>163</v>
      </c>
      <c r="D716" s="178" t="s">
        <v>75</v>
      </c>
      <c r="E716" s="208"/>
      <c r="F716" s="206"/>
      <c r="G716" s="206"/>
      <c r="H716" s="179">
        <v>10</v>
      </c>
      <c r="I716" s="195">
        <f t="shared" si="48"/>
        <v>0.42623035925292</v>
      </c>
      <c r="J716" s="196">
        <f t="shared" si="49"/>
        <v>0.938360732332763</v>
      </c>
      <c r="K716" s="172">
        <f t="shared" si="50"/>
        <v>11.3645910915857</v>
      </c>
      <c r="L716" s="172">
        <f t="shared" si="51"/>
        <v>0</v>
      </c>
      <c r="M716" s="193"/>
      <c r="N716" s="193"/>
      <c r="O716" s="198"/>
      <c r="P716" s="208">
        <f>[2]零星!$F$246</f>
        <v>3.58</v>
      </c>
    </row>
    <row r="717" s="162" customFormat="1" ht="31.5" outlineLevel="2" spans="1:16">
      <c r="A717" s="178">
        <v>3</v>
      </c>
      <c r="B717" s="177" t="s">
        <v>79</v>
      </c>
      <c r="C717" s="177" t="s">
        <v>736</v>
      </c>
      <c r="D717" s="178" t="s">
        <v>75</v>
      </c>
      <c r="E717" s="181"/>
      <c r="F717" s="179">
        <v>10</v>
      </c>
      <c r="G717" s="180">
        <v>95</v>
      </c>
      <c r="H717" s="179">
        <v>15</v>
      </c>
      <c r="I717" s="195">
        <f t="shared" si="48"/>
        <v>5.11476431103504</v>
      </c>
      <c r="J717" s="196">
        <f t="shared" si="49"/>
        <v>11.2603287879932</v>
      </c>
      <c r="K717" s="172">
        <f t="shared" si="50"/>
        <v>136.375093099028</v>
      </c>
      <c r="L717" s="172">
        <f t="shared" si="51"/>
        <v>0</v>
      </c>
      <c r="M717" s="193"/>
      <c r="N717" s="193"/>
      <c r="O717" s="198"/>
      <c r="P717" s="181">
        <f>[2]零星!$F$201</f>
        <v>0.1224</v>
      </c>
    </row>
    <row r="718" s="162" customFormat="1" ht="42" outlineLevel="2" spans="1:16">
      <c r="A718" s="178">
        <v>4</v>
      </c>
      <c r="B718" s="177" t="s">
        <v>81</v>
      </c>
      <c r="C718" s="177" t="s">
        <v>426</v>
      </c>
      <c r="D718" s="178" t="s">
        <v>75</v>
      </c>
      <c r="E718" s="208"/>
      <c r="F718" s="179">
        <v>55</v>
      </c>
      <c r="G718" s="180">
        <v>445</v>
      </c>
      <c r="H718" s="179">
        <v>15</v>
      </c>
      <c r="I718" s="195">
        <f t="shared" si="48"/>
        <v>21.9508635015254</v>
      </c>
      <c r="J718" s="196">
        <f t="shared" si="49"/>
        <v>48.3255777151373</v>
      </c>
      <c r="K718" s="172">
        <f t="shared" si="50"/>
        <v>585.276441216663</v>
      </c>
      <c r="L718" s="172">
        <f t="shared" si="51"/>
        <v>0</v>
      </c>
      <c r="M718" s="193"/>
      <c r="N718" s="193"/>
      <c r="O718" s="198"/>
      <c r="P718" s="208">
        <f>[2]零星!$F$200</f>
        <v>0.0816</v>
      </c>
    </row>
    <row r="719" s="162" customFormat="1" ht="21" outlineLevel="2" spans="1:16">
      <c r="A719" s="178">
        <v>5</v>
      </c>
      <c r="B719" s="211" t="s">
        <v>561</v>
      </c>
      <c r="C719" s="211" t="s">
        <v>726</v>
      </c>
      <c r="D719" s="180" t="s">
        <v>75</v>
      </c>
      <c r="E719" s="208"/>
      <c r="F719" s="181">
        <v>220</v>
      </c>
      <c r="G719" s="181">
        <v>260</v>
      </c>
      <c r="H719" s="181">
        <v>85</v>
      </c>
      <c r="I719" s="195">
        <f t="shared" si="48"/>
        <v>24.08201529779</v>
      </c>
      <c r="J719" s="196">
        <f t="shared" si="49"/>
        <v>53.0173813768011</v>
      </c>
      <c r="K719" s="172">
        <f t="shared" si="50"/>
        <v>642.099396674591</v>
      </c>
      <c r="L719" s="172">
        <f t="shared" si="51"/>
        <v>0</v>
      </c>
      <c r="M719" s="193"/>
      <c r="N719" s="193"/>
      <c r="O719" s="198"/>
      <c r="P719" s="208">
        <f>[2]零星!$F$199</f>
        <v>2.052</v>
      </c>
    </row>
    <row r="720" s="162" customFormat="1" ht="42" outlineLevel="2" spans="1:16">
      <c r="A720" s="178">
        <v>6</v>
      </c>
      <c r="B720" s="177" t="s">
        <v>763</v>
      </c>
      <c r="C720" s="177" t="s">
        <v>764</v>
      </c>
      <c r="D720" s="178" t="s">
        <v>75</v>
      </c>
      <c r="E720" s="208"/>
      <c r="F720" s="179">
        <v>200</v>
      </c>
      <c r="G720" s="180">
        <v>465</v>
      </c>
      <c r="H720" s="179">
        <v>180</v>
      </c>
      <c r="I720" s="195">
        <f t="shared" si="48"/>
        <v>36.0164653568717</v>
      </c>
      <c r="J720" s="196">
        <f t="shared" si="49"/>
        <v>79.2914818821185</v>
      </c>
      <c r="K720" s="172">
        <f t="shared" si="50"/>
        <v>960.30794723899</v>
      </c>
      <c r="L720" s="172">
        <f t="shared" si="51"/>
        <v>0</v>
      </c>
      <c r="M720" s="193"/>
      <c r="N720" s="193"/>
      <c r="O720" s="198"/>
      <c r="P720" s="208">
        <f>[2]零星!$F$184</f>
        <v>1.26</v>
      </c>
    </row>
    <row r="721" s="162" customFormat="1" ht="31.5" outlineLevel="2" spans="1:16">
      <c r="A721" s="178">
        <v>7</v>
      </c>
      <c r="B721" s="211" t="s">
        <v>189</v>
      </c>
      <c r="C721" s="211" t="s">
        <v>765</v>
      </c>
      <c r="D721" s="178" t="s">
        <v>78</v>
      </c>
      <c r="E721" s="208"/>
      <c r="F721" s="206">
        <v>15</v>
      </c>
      <c r="G721" s="206">
        <v>15</v>
      </c>
      <c r="H721" s="206"/>
      <c r="I721" s="195">
        <f t="shared" si="48"/>
        <v>1.27869107775876</v>
      </c>
      <c r="J721" s="196">
        <f t="shared" si="49"/>
        <v>2.81508219699829</v>
      </c>
      <c r="K721" s="172">
        <f t="shared" si="50"/>
        <v>34.093773274757</v>
      </c>
      <c r="L721" s="172">
        <f t="shared" si="51"/>
        <v>0</v>
      </c>
      <c r="M721" s="193"/>
      <c r="N721" s="193"/>
      <c r="O721" s="198"/>
      <c r="P721" s="208">
        <f>[2]零星!$F$198</f>
        <v>0.462</v>
      </c>
    </row>
    <row r="722" s="162" customFormat="1" ht="42" outlineLevel="2" spans="1:16">
      <c r="A722" s="178">
        <v>8</v>
      </c>
      <c r="B722" s="177" t="s">
        <v>206</v>
      </c>
      <c r="C722" s="177" t="s">
        <v>207</v>
      </c>
      <c r="D722" s="178" t="s">
        <v>75</v>
      </c>
      <c r="E722" s="208"/>
      <c r="F722" s="179">
        <v>200</v>
      </c>
      <c r="G722" s="180">
        <v>465</v>
      </c>
      <c r="H722" s="179">
        <v>180</v>
      </c>
      <c r="I722" s="195">
        <f t="shared" si="48"/>
        <v>36.0164653568717</v>
      </c>
      <c r="J722" s="196">
        <f t="shared" si="49"/>
        <v>79.2914818821185</v>
      </c>
      <c r="K722" s="172">
        <f t="shared" si="50"/>
        <v>960.30794723899</v>
      </c>
      <c r="L722" s="172">
        <f t="shared" si="51"/>
        <v>0</v>
      </c>
      <c r="M722" s="193"/>
      <c r="N722" s="193"/>
      <c r="O722" s="198"/>
      <c r="P722" s="208">
        <f>[2]零星!$F$185</f>
        <v>0.648</v>
      </c>
    </row>
    <row r="723" s="162" customFormat="1" ht="31.5" outlineLevel="2" spans="1:16">
      <c r="A723" s="178">
        <v>9</v>
      </c>
      <c r="B723" s="177" t="s">
        <v>208</v>
      </c>
      <c r="C723" s="177" t="s">
        <v>209</v>
      </c>
      <c r="D723" s="178" t="s">
        <v>140</v>
      </c>
      <c r="E723" s="208"/>
      <c r="F723" s="179">
        <v>1000</v>
      </c>
      <c r="G723" s="179">
        <v>4600</v>
      </c>
      <c r="H723" s="179">
        <v>200</v>
      </c>
      <c r="I723" s="195">
        <f t="shared" si="48"/>
        <v>247.213608366694</v>
      </c>
      <c r="J723" s="196">
        <f t="shared" si="49"/>
        <v>544.249224753002</v>
      </c>
      <c r="K723" s="172">
        <f t="shared" si="50"/>
        <v>6591.4628331197</v>
      </c>
      <c r="L723" s="172">
        <f t="shared" si="51"/>
        <v>0</v>
      </c>
      <c r="M723" s="193"/>
      <c r="N723" s="193"/>
      <c r="O723" s="198"/>
      <c r="P723" s="208">
        <f>[2]零星!$F$186</f>
        <v>0.122</v>
      </c>
    </row>
    <row r="724" s="162" customFormat="1" ht="42" outlineLevel="2" spans="1:16">
      <c r="A724" s="178">
        <v>10</v>
      </c>
      <c r="B724" s="177" t="s">
        <v>766</v>
      </c>
      <c r="C724" s="177" t="s">
        <v>207</v>
      </c>
      <c r="D724" s="178" t="s">
        <v>75</v>
      </c>
      <c r="E724" s="208"/>
      <c r="F724" s="179">
        <v>200</v>
      </c>
      <c r="G724" s="180">
        <v>465</v>
      </c>
      <c r="H724" s="179">
        <v>180</v>
      </c>
      <c r="I724" s="195">
        <f t="shared" si="48"/>
        <v>36.0164653568717</v>
      </c>
      <c r="J724" s="196">
        <f t="shared" si="49"/>
        <v>79.2914818821185</v>
      </c>
      <c r="K724" s="172">
        <f t="shared" si="50"/>
        <v>960.30794723899</v>
      </c>
      <c r="L724" s="172">
        <f t="shared" si="51"/>
        <v>0</v>
      </c>
      <c r="M724" s="193"/>
      <c r="N724" s="193"/>
      <c r="O724" s="198"/>
      <c r="P724" s="208">
        <f>[2]零星!$F$187</f>
        <v>0.144</v>
      </c>
    </row>
    <row r="725" s="162" customFormat="1" ht="42" outlineLevel="2" spans="1:16">
      <c r="A725" s="178">
        <v>11</v>
      </c>
      <c r="B725" s="177" t="s">
        <v>373</v>
      </c>
      <c r="C725" s="177" t="s">
        <v>767</v>
      </c>
      <c r="D725" s="178" t="s">
        <v>140</v>
      </c>
      <c r="E725" s="208"/>
      <c r="F725" s="206">
        <v>3000</v>
      </c>
      <c r="G725" s="206">
        <v>5500</v>
      </c>
      <c r="H725" s="206">
        <v>1000</v>
      </c>
      <c r="I725" s="195">
        <f t="shared" si="48"/>
        <v>404.918841290274</v>
      </c>
      <c r="J725" s="196">
        <f t="shared" si="49"/>
        <v>891.442695716125</v>
      </c>
      <c r="K725" s="172">
        <f t="shared" si="50"/>
        <v>10796.3615370064</v>
      </c>
      <c r="L725" s="172">
        <f t="shared" si="51"/>
        <v>0</v>
      </c>
      <c r="M725" s="193"/>
      <c r="N725" s="193"/>
      <c r="O725" s="198"/>
      <c r="P725" s="208">
        <f>[2]零星!$F$188+[2]零星!$F$189+[2]零星!$F$190+[2]零星!$F$191</f>
        <v>0.4222</v>
      </c>
    </row>
    <row r="726" s="162" customFormat="1" ht="31.5" outlineLevel="2" spans="1:16">
      <c r="A726" s="178">
        <v>12</v>
      </c>
      <c r="B726" s="177" t="s">
        <v>768</v>
      </c>
      <c r="C726" s="213" t="s">
        <v>769</v>
      </c>
      <c r="D726" s="202" t="s">
        <v>78</v>
      </c>
      <c r="E726" s="208"/>
      <c r="F726" s="179">
        <v>180</v>
      </c>
      <c r="G726" s="179">
        <v>150</v>
      </c>
      <c r="H726" s="179">
        <v>85</v>
      </c>
      <c r="I726" s="195">
        <f t="shared" si="48"/>
        <v>17.6885599089962</v>
      </c>
      <c r="J726" s="196">
        <f t="shared" si="49"/>
        <v>38.9419703918097</v>
      </c>
      <c r="K726" s="172">
        <f t="shared" si="50"/>
        <v>471.630530300806</v>
      </c>
      <c r="L726" s="172">
        <f t="shared" si="51"/>
        <v>0</v>
      </c>
      <c r="M726" s="193"/>
      <c r="N726" s="193"/>
      <c r="O726" s="198"/>
      <c r="P726" s="208">
        <v>18.48</v>
      </c>
    </row>
    <row r="727" s="162" customFormat="1" ht="21" outlineLevel="2" spans="1:16">
      <c r="A727" s="178">
        <v>13</v>
      </c>
      <c r="B727" s="177" t="s">
        <v>768</v>
      </c>
      <c r="C727" s="213" t="s">
        <v>770</v>
      </c>
      <c r="D727" s="202" t="s">
        <v>78</v>
      </c>
      <c r="E727" s="208"/>
      <c r="F727" s="179">
        <v>180</v>
      </c>
      <c r="G727" s="179">
        <v>150</v>
      </c>
      <c r="H727" s="179">
        <v>85</v>
      </c>
      <c r="I727" s="195">
        <f t="shared" si="48"/>
        <v>17.6885599089962</v>
      </c>
      <c r="J727" s="196">
        <f t="shared" si="49"/>
        <v>38.9419703918097</v>
      </c>
      <c r="K727" s="172">
        <f t="shared" si="50"/>
        <v>471.630530300806</v>
      </c>
      <c r="L727" s="172">
        <f t="shared" si="51"/>
        <v>0</v>
      </c>
      <c r="M727" s="193"/>
      <c r="N727" s="193"/>
      <c r="O727" s="198"/>
      <c r="P727" s="208">
        <v>1.32</v>
      </c>
    </row>
    <row r="728" s="162" customFormat="1" ht="31.5" outlineLevel="2" spans="1:16">
      <c r="A728" s="178">
        <v>14</v>
      </c>
      <c r="B728" s="177" t="s">
        <v>771</v>
      </c>
      <c r="C728" s="213" t="s">
        <v>772</v>
      </c>
      <c r="D728" s="202" t="s">
        <v>78</v>
      </c>
      <c r="E728" s="208"/>
      <c r="F728" s="179">
        <v>85</v>
      </c>
      <c r="G728" s="179">
        <v>120</v>
      </c>
      <c r="H728" s="179">
        <v>35</v>
      </c>
      <c r="I728" s="195">
        <f t="shared" si="48"/>
        <v>10.2295286220701</v>
      </c>
      <c r="J728" s="196">
        <f t="shared" si="49"/>
        <v>22.5206575759863</v>
      </c>
      <c r="K728" s="172">
        <f t="shared" si="50"/>
        <v>272.750186198056</v>
      </c>
      <c r="L728" s="172">
        <f t="shared" si="51"/>
        <v>0</v>
      </c>
      <c r="M728" s="193"/>
      <c r="N728" s="193"/>
      <c r="O728" s="198"/>
      <c r="P728" s="208">
        <v>2.592</v>
      </c>
    </row>
    <row r="729" s="162" customFormat="1" ht="31.5" outlineLevel="2" spans="1:16">
      <c r="A729" s="178">
        <v>15</v>
      </c>
      <c r="B729" s="177" t="s">
        <v>566</v>
      </c>
      <c r="C729" s="213" t="s">
        <v>773</v>
      </c>
      <c r="D729" s="202" t="s">
        <v>78</v>
      </c>
      <c r="E729" s="208"/>
      <c r="F729" s="179">
        <v>85</v>
      </c>
      <c r="G729" s="179">
        <v>120</v>
      </c>
      <c r="H729" s="179">
        <v>35</v>
      </c>
      <c r="I729" s="195">
        <f t="shared" si="48"/>
        <v>10.2295286220701</v>
      </c>
      <c r="J729" s="196">
        <f t="shared" si="49"/>
        <v>22.5206575759863</v>
      </c>
      <c r="K729" s="172">
        <f t="shared" si="50"/>
        <v>272.750186198056</v>
      </c>
      <c r="L729" s="172">
        <f t="shared" si="51"/>
        <v>0</v>
      </c>
      <c r="M729" s="193"/>
      <c r="N729" s="193"/>
      <c r="O729" s="198"/>
      <c r="P729" s="208">
        <v>0.36</v>
      </c>
    </row>
    <row r="730" s="162" customFormat="1" ht="21" outlineLevel="2" spans="1:16">
      <c r="A730" s="178">
        <v>16</v>
      </c>
      <c r="B730" s="177" t="s">
        <v>753</v>
      </c>
      <c r="C730" s="226" t="s">
        <v>774</v>
      </c>
      <c r="D730" s="202" t="s">
        <v>78</v>
      </c>
      <c r="E730" s="208"/>
      <c r="F730" s="179">
        <v>55</v>
      </c>
      <c r="G730" s="179">
        <v>105</v>
      </c>
      <c r="H730" s="179">
        <v>15</v>
      </c>
      <c r="I730" s="195">
        <f t="shared" si="48"/>
        <v>7.4590312869261</v>
      </c>
      <c r="J730" s="196">
        <f t="shared" si="49"/>
        <v>16.4213128158233</v>
      </c>
      <c r="K730" s="172">
        <f t="shared" si="50"/>
        <v>198.880344102749</v>
      </c>
      <c r="L730" s="172">
        <f t="shared" si="51"/>
        <v>0</v>
      </c>
      <c r="M730" s="193"/>
      <c r="N730" s="193"/>
      <c r="O730" s="198"/>
      <c r="P730" s="208">
        <v>0.36</v>
      </c>
    </row>
    <row r="731" s="162" customFormat="1" ht="21" outlineLevel="2" spans="1:16">
      <c r="A731" s="178">
        <v>17</v>
      </c>
      <c r="B731" s="177" t="s">
        <v>775</v>
      </c>
      <c r="C731" s="226" t="s">
        <v>776</v>
      </c>
      <c r="D731" s="202" t="s">
        <v>78</v>
      </c>
      <c r="E731" s="208"/>
      <c r="F731" s="179">
        <v>85</v>
      </c>
      <c r="G731" s="206">
        <v>300</v>
      </c>
      <c r="H731" s="179">
        <v>35</v>
      </c>
      <c r="I731" s="195">
        <f t="shared" si="48"/>
        <v>17.9016750886226</v>
      </c>
      <c r="J731" s="196">
        <f t="shared" si="49"/>
        <v>39.411150757976</v>
      </c>
      <c r="K731" s="172">
        <f t="shared" si="50"/>
        <v>477.312825846599</v>
      </c>
      <c r="L731" s="172">
        <f t="shared" si="51"/>
        <v>0</v>
      </c>
      <c r="M731" s="193"/>
      <c r="N731" s="193"/>
      <c r="O731" s="198"/>
      <c r="P731" s="208">
        <v>0.36</v>
      </c>
    </row>
    <row r="732" s="162" customFormat="1" ht="31.5" outlineLevel="2" spans="1:16">
      <c r="A732" s="178">
        <v>18</v>
      </c>
      <c r="B732" s="177" t="s">
        <v>645</v>
      </c>
      <c r="C732" s="213" t="s">
        <v>777</v>
      </c>
      <c r="D732" s="178" t="s">
        <v>78</v>
      </c>
      <c r="E732" s="208"/>
      <c r="F732" s="206">
        <v>180</v>
      </c>
      <c r="G732" s="206">
        <v>650</v>
      </c>
      <c r="H732" s="206">
        <v>85</v>
      </c>
      <c r="I732" s="195">
        <f t="shared" si="48"/>
        <v>39.0000778716422</v>
      </c>
      <c r="J732" s="196">
        <f t="shared" si="49"/>
        <v>85.8600070084478</v>
      </c>
      <c r="K732" s="172">
        <f t="shared" si="50"/>
        <v>1039.86008488009</v>
      </c>
      <c r="L732" s="172">
        <f t="shared" si="51"/>
        <v>0</v>
      </c>
      <c r="M732" s="193"/>
      <c r="N732" s="193"/>
      <c r="O732" s="198"/>
      <c r="P732" s="208">
        <v>6.84</v>
      </c>
    </row>
    <row r="733" s="162" customFormat="1" ht="21" outlineLevel="2" spans="1:16">
      <c r="A733" s="178">
        <v>19</v>
      </c>
      <c r="B733" s="177" t="s">
        <v>753</v>
      </c>
      <c r="C733" s="226" t="s">
        <v>778</v>
      </c>
      <c r="D733" s="178" t="s">
        <v>78</v>
      </c>
      <c r="E733" s="208"/>
      <c r="F733" s="179">
        <v>55</v>
      </c>
      <c r="G733" s="179">
        <v>105</v>
      </c>
      <c r="H733" s="179">
        <v>15</v>
      </c>
      <c r="I733" s="195">
        <f t="shared" si="48"/>
        <v>7.4590312869261</v>
      </c>
      <c r="J733" s="196">
        <f t="shared" si="49"/>
        <v>16.4213128158233</v>
      </c>
      <c r="K733" s="172">
        <f t="shared" si="50"/>
        <v>198.880344102749</v>
      </c>
      <c r="L733" s="172">
        <f t="shared" si="51"/>
        <v>0</v>
      </c>
      <c r="M733" s="193"/>
      <c r="N733" s="193"/>
      <c r="O733" s="198"/>
      <c r="P733" s="208">
        <v>1.44</v>
      </c>
    </row>
    <row r="734" s="162" customFormat="1" ht="21" outlineLevel="2" spans="1:16">
      <c r="A734" s="178">
        <v>20</v>
      </c>
      <c r="B734" s="177" t="s">
        <v>753</v>
      </c>
      <c r="C734" s="226" t="s">
        <v>779</v>
      </c>
      <c r="D734" s="178" t="s">
        <v>78</v>
      </c>
      <c r="E734" s="208"/>
      <c r="F734" s="179">
        <v>55</v>
      </c>
      <c r="G734" s="179">
        <v>105</v>
      </c>
      <c r="H734" s="179">
        <v>15</v>
      </c>
      <c r="I734" s="195">
        <f t="shared" si="48"/>
        <v>7.4590312869261</v>
      </c>
      <c r="J734" s="196">
        <f t="shared" si="49"/>
        <v>16.4213128158233</v>
      </c>
      <c r="K734" s="172">
        <f t="shared" si="50"/>
        <v>198.880344102749</v>
      </c>
      <c r="L734" s="172">
        <f t="shared" si="51"/>
        <v>0</v>
      </c>
      <c r="M734" s="193"/>
      <c r="N734" s="193"/>
      <c r="O734" s="198"/>
      <c r="P734" s="208">
        <v>1.44</v>
      </c>
    </row>
    <row r="735" s="162" customFormat="1" ht="11.25" outlineLevel="1" spans="1:16">
      <c r="A735" s="178"/>
      <c r="B735" s="176" t="s">
        <v>780</v>
      </c>
      <c r="C735" s="226"/>
      <c r="D735" s="178"/>
      <c r="E735" s="208"/>
      <c r="F735" s="206"/>
      <c r="G735" s="206"/>
      <c r="H735" s="206"/>
      <c r="I735" s="195">
        <f t="shared" si="48"/>
        <v>0</v>
      </c>
      <c r="J735" s="196"/>
      <c r="K735" s="172"/>
      <c r="L735" s="172"/>
      <c r="M735" s="193"/>
      <c r="N735" s="193"/>
      <c r="O735" s="198"/>
      <c r="P735" s="208"/>
    </row>
    <row r="736" s="162" customFormat="1" ht="52.5" outlineLevel="2" spans="1:16">
      <c r="A736" s="178">
        <v>1</v>
      </c>
      <c r="B736" s="177" t="s">
        <v>73</v>
      </c>
      <c r="C736" s="177" t="s">
        <v>74</v>
      </c>
      <c r="D736" s="178" t="s">
        <v>75</v>
      </c>
      <c r="E736" s="208"/>
      <c r="F736" s="206"/>
      <c r="G736" s="206"/>
      <c r="H736" s="179">
        <v>8.5</v>
      </c>
      <c r="I736" s="195">
        <f t="shared" si="48"/>
        <v>0.362295805364982</v>
      </c>
      <c r="J736" s="196">
        <f t="shared" si="49"/>
        <v>0.797606622482848</v>
      </c>
      <c r="K736" s="172">
        <f t="shared" si="50"/>
        <v>9.65990242784783</v>
      </c>
      <c r="L736" s="172">
        <f t="shared" si="51"/>
        <v>0</v>
      </c>
      <c r="M736" s="193"/>
      <c r="N736" s="193"/>
      <c r="O736" s="198"/>
      <c r="P736" s="208">
        <f>P738+P739</f>
        <v>33.096</v>
      </c>
    </row>
    <row r="737" s="162" customFormat="1" ht="21" outlineLevel="2" spans="1:16">
      <c r="A737" s="178">
        <v>2</v>
      </c>
      <c r="B737" s="177" t="s">
        <v>76</v>
      </c>
      <c r="C737" s="177" t="s">
        <v>77</v>
      </c>
      <c r="D737" s="178" t="s">
        <v>78</v>
      </c>
      <c r="E737" s="181"/>
      <c r="F737" s="179">
        <v>0.5</v>
      </c>
      <c r="G737" s="172"/>
      <c r="H737" s="179">
        <v>2.5</v>
      </c>
      <c r="I737" s="195">
        <f t="shared" si="48"/>
        <v>0.127869107775876</v>
      </c>
      <c r="J737" s="196">
        <f t="shared" si="49"/>
        <v>0.281508219699829</v>
      </c>
      <c r="K737" s="172">
        <f t="shared" si="50"/>
        <v>3.4093773274757</v>
      </c>
      <c r="L737" s="172">
        <f t="shared" si="51"/>
        <v>0</v>
      </c>
      <c r="M737" s="193"/>
      <c r="N737" s="193"/>
      <c r="O737" s="198"/>
      <c r="P737" s="181">
        <f>P740+P741+P742+P743+P744</f>
        <v>165.48</v>
      </c>
    </row>
    <row r="738" s="162" customFormat="1" ht="21" outlineLevel="2" spans="1:16">
      <c r="A738" s="178">
        <v>3</v>
      </c>
      <c r="B738" s="177" t="s">
        <v>79</v>
      </c>
      <c r="C738" s="177" t="s">
        <v>96</v>
      </c>
      <c r="D738" s="178" t="s">
        <v>75</v>
      </c>
      <c r="E738" s="181"/>
      <c r="F738" s="179">
        <v>10</v>
      </c>
      <c r="G738" s="180">
        <v>95</v>
      </c>
      <c r="H738" s="179">
        <v>15</v>
      </c>
      <c r="I738" s="195">
        <f t="shared" si="48"/>
        <v>5.11476431103504</v>
      </c>
      <c r="J738" s="196">
        <f t="shared" si="49"/>
        <v>11.2603287879932</v>
      </c>
      <c r="K738" s="172">
        <f t="shared" si="50"/>
        <v>136.375093099028</v>
      </c>
      <c r="L738" s="172">
        <f t="shared" si="51"/>
        <v>0</v>
      </c>
      <c r="M738" s="193"/>
      <c r="N738" s="193"/>
      <c r="O738" s="198"/>
      <c r="P738" s="181">
        <f>(P740+P741+P742+P743+P744)*0.1</f>
        <v>16.548</v>
      </c>
    </row>
    <row r="739" s="162" customFormat="1" ht="42" outlineLevel="2" spans="1:16">
      <c r="A739" s="178">
        <v>4</v>
      </c>
      <c r="B739" s="177" t="s">
        <v>81</v>
      </c>
      <c r="C739" s="177" t="s">
        <v>97</v>
      </c>
      <c r="D739" s="178" t="s">
        <v>75</v>
      </c>
      <c r="E739" s="208"/>
      <c r="F739" s="179">
        <v>55</v>
      </c>
      <c r="G739" s="180">
        <v>445</v>
      </c>
      <c r="H739" s="179">
        <v>15</v>
      </c>
      <c r="I739" s="195">
        <f t="shared" si="48"/>
        <v>21.9508635015254</v>
      </c>
      <c r="J739" s="196">
        <f t="shared" si="49"/>
        <v>48.3255777151373</v>
      </c>
      <c r="K739" s="172">
        <f t="shared" si="50"/>
        <v>585.276441216663</v>
      </c>
      <c r="L739" s="172">
        <f t="shared" si="51"/>
        <v>0</v>
      </c>
      <c r="M739" s="193"/>
      <c r="N739" s="193"/>
      <c r="O739" s="198"/>
      <c r="P739" s="208">
        <v>16.548</v>
      </c>
    </row>
    <row r="740" s="162" customFormat="1" ht="31.5" outlineLevel="2" spans="1:16">
      <c r="A740" s="178">
        <v>5</v>
      </c>
      <c r="B740" s="177" t="s">
        <v>781</v>
      </c>
      <c r="C740" s="226" t="s">
        <v>782</v>
      </c>
      <c r="D740" s="202" t="s">
        <v>78</v>
      </c>
      <c r="E740" s="181"/>
      <c r="F740" s="179">
        <v>55</v>
      </c>
      <c r="G740" s="179">
        <v>105</v>
      </c>
      <c r="H740" s="179">
        <v>15</v>
      </c>
      <c r="I740" s="195">
        <f t="shared" si="48"/>
        <v>7.4590312869261</v>
      </c>
      <c r="J740" s="196">
        <f t="shared" si="49"/>
        <v>16.4213128158233</v>
      </c>
      <c r="K740" s="172">
        <f t="shared" si="50"/>
        <v>198.880344102749</v>
      </c>
      <c r="L740" s="172">
        <f t="shared" si="51"/>
        <v>0</v>
      </c>
      <c r="M740" s="193"/>
      <c r="N740" s="193"/>
      <c r="O740" s="198"/>
      <c r="P740" s="181">
        <v>102.24</v>
      </c>
    </row>
    <row r="741" s="162" customFormat="1" ht="31.5" outlineLevel="2" spans="1:16">
      <c r="A741" s="178">
        <v>6</v>
      </c>
      <c r="B741" s="177" t="s">
        <v>602</v>
      </c>
      <c r="C741" s="226" t="s">
        <v>783</v>
      </c>
      <c r="D741" s="202" t="s">
        <v>78</v>
      </c>
      <c r="E741" s="181"/>
      <c r="F741" s="206">
        <v>55</v>
      </c>
      <c r="G741" s="206">
        <v>180</v>
      </c>
      <c r="H741" s="206">
        <v>15</v>
      </c>
      <c r="I741" s="195">
        <f t="shared" si="48"/>
        <v>10.655758981323</v>
      </c>
      <c r="J741" s="196">
        <f t="shared" si="49"/>
        <v>23.4590183083191</v>
      </c>
      <c r="K741" s="172">
        <f t="shared" si="50"/>
        <v>284.114777289642</v>
      </c>
      <c r="L741" s="172">
        <f t="shared" si="51"/>
        <v>0</v>
      </c>
      <c r="M741" s="193"/>
      <c r="N741" s="193"/>
      <c r="O741" s="198"/>
      <c r="P741" s="181">
        <f>6.44+2.56+1.36</f>
        <v>10.36</v>
      </c>
    </row>
    <row r="742" s="162" customFormat="1" ht="31.5" outlineLevel="2" spans="1:16">
      <c r="A742" s="178">
        <v>7</v>
      </c>
      <c r="B742" s="177" t="s">
        <v>784</v>
      </c>
      <c r="C742" s="226" t="s">
        <v>785</v>
      </c>
      <c r="D742" s="202" t="s">
        <v>78</v>
      </c>
      <c r="E742" s="181"/>
      <c r="F742" s="179">
        <v>65</v>
      </c>
      <c r="G742" s="172">
        <v>150</v>
      </c>
      <c r="H742" s="179">
        <v>15</v>
      </c>
      <c r="I742" s="195">
        <f t="shared" si="48"/>
        <v>9.80329826281716</v>
      </c>
      <c r="J742" s="196">
        <f t="shared" si="49"/>
        <v>21.5822968436535</v>
      </c>
      <c r="K742" s="172">
        <f t="shared" si="50"/>
        <v>261.385595106471</v>
      </c>
      <c r="L742" s="172">
        <f t="shared" si="51"/>
        <v>0</v>
      </c>
      <c r="M742" s="193"/>
      <c r="N742" s="193"/>
      <c r="O742" s="198"/>
      <c r="P742" s="181">
        <f>11.44+5.36+2.96</f>
        <v>19.76</v>
      </c>
    </row>
    <row r="743" s="162" customFormat="1" ht="31.5" outlineLevel="2" spans="1:16">
      <c r="A743" s="178">
        <v>8</v>
      </c>
      <c r="B743" s="177" t="s">
        <v>781</v>
      </c>
      <c r="C743" s="226" t="s">
        <v>786</v>
      </c>
      <c r="D743" s="202" t="s">
        <v>78</v>
      </c>
      <c r="E743" s="181"/>
      <c r="F743" s="179">
        <v>55</v>
      </c>
      <c r="G743" s="179">
        <v>105</v>
      </c>
      <c r="H743" s="179">
        <v>15</v>
      </c>
      <c r="I743" s="195">
        <f t="shared" si="48"/>
        <v>7.4590312869261</v>
      </c>
      <c r="J743" s="196">
        <f t="shared" si="49"/>
        <v>16.4213128158233</v>
      </c>
      <c r="K743" s="172">
        <f t="shared" si="50"/>
        <v>198.880344102749</v>
      </c>
      <c r="L743" s="172">
        <f t="shared" si="51"/>
        <v>0</v>
      </c>
      <c r="M743" s="193"/>
      <c r="N743" s="193"/>
      <c r="O743" s="198"/>
      <c r="P743" s="181">
        <v>24.48</v>
      </c>
    </row>
    <row r="744" s="162" customFormat="1" ht="31.5" outlineLevel="2" spans="1:16">
      <c r="A744" s="178">
        <v>9</v>
      </c>
      <c r="B744" s="177" t="s">
        <v>787</v>
      </c>
      <c r="C744" s="226" t="s">
        <v>788</v>
      </c>
      <c r="D744" s="202" t="s">
        <v>78</v>
      </c>
      <c r="E744" s="181"/>
      <c r="F744" s="206">
        <v>55</v>
      </c>
      <c r="G744" s="206">
        <v>380</v>
      </c>
      <c r="H744" s="206">
        <v>15</v>
      </c>
      <c r="I744" s="195">
        <f t="shared" si="48"/>
        <v>19.1803661663814</v>
      </c>
      <c r="J744" s="196">
        <f t="shared" si="49"/>
        <v>42.2262329549743</v>
      </c>
      <c r="K744" s="172">
        <f t="shared" si="50"/>
        <v>511.406599121356</v>
      </c>
      <c r="L744" s="172">
        <f t="shared" si="51"/>
        <v>0</v>
      </c>
      <c r="M744" s="193"/>
      <c r="N744" s="193"/>
      <c r="O744" s="198"/>
      <c r="P744" s="181">
        <v>8.64</v>
      </c>
    </row>
    <row r="745" s="162" customFormat="1" ht="11.25" outlineLevel="1" collapsed="1" spans="1:16">
      <c r="A745" s="178"/>
      <c r="B745" s="176" t="s">
        <v>789</v>
      </c>
      <c r="C745" s="177"/>
      <c r="D745" s="178"/>
      <c r="E745" s="208"/>
      <c r="F745" s="206"/>
      <c r="G745" s="206"/>
      <c r="H745" s="206"/>
      <c r="I745" s="195">
        <f t="shared" si="48"/>
        <v>0</v>
      </c>
      <c r="J745" s="196"/>
      <c r="K745" s="172"/>
      <c r="L745" s="172"/>
      <c r="M745" s="193"/>
      <c r="N745" s="193"/>
      <c r="O745" s="198"/>
      <c r="P745" s="208"/>
    </row>
    <row r="746" s="162" customFormat="1" ht="52.5" outlineLevel="1" spans="1:16">
      <c r="A746" s="178">
        <v>1</v>
      </c>
      <c r="B746" s="177" t="s">
        <v>554</v>
      </c>
      <c r="C746" s="177" t="s">
        <v>74</v>
      </c>
      <c r="D746" s="178" t="s">
        <v>75</v>
      </c>
      <c r="E746" s="181"/>
      <c r="F746" s="206"/>
      <c r="G746" s="206"/>
      <c r="H746" s="179">
        <v>8.5</v>
      </c>
      <c r="I746" s="195">
        <f t="shared" si="48"/>
        <v>0.362295805364982</v>
      </c>
      <c r="J746" s="196">
        <f t="shared" si="49"/>
        <v>0.797606622482848</v>
      </c>
      <c r="K746" s="172">
        <f t="shared" si="50"/>
        <v>9.65990242784783</v>
      </c>
      <c r="L746" s="172">
        <f t="shared" si="51"/>
        <v>0</v>
      </c>
      <c r="M746" s="193"/>
      <c r="N746" s="193"/>
      <c r="O746" s="198"/>
      <c r="P746" s="181">
        <f>[2]零星!$F$234</f>
        <v>9.49</v>
      </c>
    </row>
    <row r="747" s="162" customFormat="1" ht="63" outlineLevel="1" spans="1:16">
      <c r="A747" s="178">
        <v>2</v>
      </c>
      <c r="B747" s="177" t="s">
        <v>162</v>
      </c>
      <c r="C747" s="177" t="s">
        <v>163</v>
      </c>
      <c r="D747" s="178" t="s">
        <v>75</v>
      </c>
      <c r="E747" s="181"/>
      <c r="F747" s="206"/>
      <c r="G747" s="206"/>
      <c r="H747" s="179">
        <v>10</v>
      </c>
      <c r="I747" s="195">
        <f t="shared" si="48"/>
        <v>0.42623035925292</v>
      </c>
      <c r="J747" s="196">
        <f t="shared" si="49"/>
        <v>0.938360732332763</v>
      </c>
      <c r="K747" s="172">
        <f t="shared" si="50"/>
        <v>11.3645910915857</v>
      </c>
      <c r="L747" s="172">
        <f t="shared" si="51"/>
        <v>0</v>
      </c>
      <c r="M747" s="193"/>
      <c r="N747" s="193"/>
      <c r="O747" s="198"/>
      <c r="P747" s="181">
        <f>[2]零星!$F$235</f>
        <v>5.35</v>
      </c>
    </row>
    <row r="748" s="162" customFormat="1" ht="42" outlineLevel="1" spans="1:16">
      <c r="A748" s="178">
        <v>3</v>
      </c>
      <c r="B748" s="177" t="s">
        <v>790</v>
      </c>
      <c r="C748" s="177" t="s">
        <v>556</v>
      </c>
      <c r="D748" s="178" t="s">
        <v>75</v>
      </c>
      <c r="E748" s="181"/>
      <c r="F748" s="179">
        <v>200</v>
      </c>
      <c r="G748" s="180">
        <v>465</v>
      </c>
      <c r="H748" s="179">
        <v>180</v>
      </c>
      <c r="I748" s="195">
        <f t="shared" si="48"/>
        <v>36.0164653568717</v>
      </c>
      <c r="J748" s="196">
        <f t="shared" si="49"/>
        <v>79.2914818821185</v>
      </c>
      <c r="K748" s="172">
        <f t="shared" si="50"/>
        <v>960.30794723899</v>
      </c>
      <c r="L748" s="172">
        <f t="shared" si="51"/>
        <v>0</v>
      </c>
      <c r="M748" s="193"/>
      <c r="N748" s="193"/>
      <c r="O748" s="198"/>
      <c r="P748" s="181">
        <f>[2]零星!$F$215</f>
        <v>1.28358</v>
      </c>
    </row>
    <row r="749" s="162" customFormat="1" ht="42" outlineLevel="1" spans="1:16">
      <c r="A749" s="178">
        <v>4</v>
      </c>
      <c r="B749" s="177" t="s">
        <v>557</v>
      </c>
      <c r="C749" s="177" t="s">
        <v>791</v>
      </c>
      <c r="D749" s="178" t="s">
        <v>75</v>
      </c>
      <c r="E749" s="231"/>
      <c r="F749" s="179">
        <v>200</v>
      </c>
      <c r="G749" s="180">
        <v>465</v>
      </c>
      <c r="H749" s="179">
        <v>180</v>
      </c>
      <c r="I749" s="195">
        <f t="shared" si="48"/>
        <v>36.0164653568717</v>
      </c>
      <c r="J749" s="196">
        <f t="shared" si="49"/>
        <v>79.2914818821185</v>
      </c>
      <c r="K749" s="172">
        <f t="shared" si="50"/>
        <v>960.30794723899</v>
      </c>
      <c r="L749" s="172">
        <f t="shared" si="51"/>
        <v>0</v>
      </c>
      <c r="M749" s="193"/>
      <c r="N749" s="193"/>
      <c r="O749" s="198"/>
      <c r="P749" s="231">
        <f>[2]零星!$F$216</f>
        <v>1.556256</v>
      </c>
    </row>
    <row r="750" s="162" customFormat="1" ht="42" outlineLevel="1" spans="1:16">
      <c r="A750" s="178">
        <v>5</v>
      </c>
      <c r="B750" s="177" t="s">
        <v>792</v>
      </c>
      <c r="C750" s="177" t="s">
        <v>793</v>
      </c>
      <c r="D750" s="178" t="s">
        <v>75</v>
      </c>
      <c r="E750" s="200"/>
      <c r="F750" s="179">
        <v>200</v>
      </c>
      <c r="G750" s="180">
        <v>465</v>
      </c>
      <c r="H750" s="179">
        <v>180</v>
      </c>
      <c r="I750" s="195">
        <f t="shared" si="48"/>
        <v>36.0164653568717</v>
      </c>
      <c r="J750" s="196">
        <f t="shared" si="49"/>
        <v>79.2914818821185</v>
      </c>
      <c r="K750" s="172">
        <f t="shared" si="50"/>
        <v>960.30794723899</v>
      </c>
      <c r="L750" s="172">
        <f t="shared" si="51"/>
        <v>0</v>
      </c>
      <c r="M750" s="193"/>
      <c r="N750" s="193"/>
      <c r="O750" s="198"/>
      <c r="P750" s="200">
        <f>[2]零星!$F$217+[2]零星!$F$218+[2]零星!$F$219</f>
        <v>1.9746</v>
      </c>
    </row>
    <row r="751" s="162" customFormat="1" ht="42" outlineLevel="1" spans="1:16">
      <c r="A751" s="178">
        <v>6</v>
      </c>
      <c r="B751" s="177" t="s">
        <v>166</v>
      </c>
      <c r="C751" s="177" t="s">
        <v>167</v>
      </c>
      <c r="D751" s="178" t="s">
        <v>75</v>
      </c>
      <c r="E751" s="200"/>
      <c r="F751" s="181">
        <v>220</v>
      </c>
      <c r="G751" s="181">
        <v>260</v>
      </c>
      <c r="H751" s="181">
        <v>85</v>
      </c>
      <c r="I751" s="195">
        <f t="shared" si="48"/>
        <v>24.08201529779</v>
      </c>
      <c r="J751" s="196">
        <f t="shared" si="49"/>
        <v>53.0173813768011</v>
      </c>
      <c r="K751" s="172">
        <f t="shared" si="50"/>
        <v>642.099396674591</v>
      </c>
      <c r="L751" s="172">
        <f t="shared" si="51"/>
        <v>0</v>
      </c>
      <c r="M751" s="193"/>
      <c r="N751" s="193"/>
      <c r="O751" s="198"/>
      <c r="P751" s="200">
        <f>[2]零星!$F$221</f>
        <v>2.01643</v>
      </c>
    </row>
    <row r="752" s="162" customFormat="1" ht="42" outlineLevel="1" spans="1:16">
      <c r="A752" s="178">
        <v>7</v>
      </c>
      <c r="B752" s="177" t="s">
        <v>561</v>
      </c>
      <c r="C752" s="177" t="s">
        <v>794</v>
      </c>
      <c r="D752" s="178" t="s">
        <v>75</v>
      </c>
      <c r="E752" s="200"/>
      <c r="F752" s="181">
        <v>220</v>
      </c>
      <c r="G752" s="181">
        <v>260</v>
      </c>
      <c r="H752" s="181">
        <v>85</v>
      </c>
      <c r="I752" s="195">
        <f t="shared" si="48"/>
        <v>24.08201529779</v>
      </c>
      <c r="J752" s="196">
        <f t="shared" si="49"/>
        <v>53.0173813768011</v>
      </c>
      <c r="K752" s="172">
        <f t="shared" si="50"/>
        <v>642.099396674591</v>
      </c>
      <c r="L752" s="172">
        <f t="shared" si="51"/>
        <v>0</v>
      </c>
      <c r="M752" s="193"/>
      <c r="N752" s="193"/>
      <c r="O752" s="198"/>
      <c r="P752" s="200">
        <f>[2]零星!$F$223</f>
        <v>6.0281</v>
      </c>
    </row>
    <row r="753" s="162" customFormat="1" ht="31.5" outlineLevel="1" spans="1:16">
      <c r="A753" s="178">
        <v>8</v>
      </c>
      <c r="B753" s="177" t="s">
        <v>208</v>
      </c>
      <c r="C753" s="177" t="s">
        <v>795</v>
      </c>
      <c r="D753" s="178" t="s">
        <v>140</v>
      </c>
      <c r="E753" s="200"/>
      <c r="F753" s="179">
        <v>1000</v>
      </c>
      <c r="G753" s="179">
        <v>4600</v>
      </c>
      <c r="H753" s="179">
        <v>200</v>
      </c>
      <c r="I753" s="195">
        <f t="shared" si="48"/>
        <v>247.213608366694</v>
      </c>
      <c r="J753" s="196">
        <f t="shared" si="49"/>
        <v>544.249224753002</v>
      </c>
      <c r="K753" s="172">
        <f t="shared" si="50"/>
        <v>6591.4628331197</v>
      </c>
      <c r="L753" s="172">
        <f t="shared" si="51"/>
        <v>0</v>
      </c>
      <c r="M753" s="193"/>
      <c r="N753" s="193"/>
      <c r="O753" s="198"/>
      <c r="P753" s="200">
        <f>[2]零星!$F$220</f>
        <v>0.48</v>
      </c>
    </row>
    <row r="754" s="162" customFormat="1" ht="31.5" outlineLevel="1" spans="1:16">
      <c r="A754" s="178">
        <v>9</v>
      </c>
      <c r="B754" s="211" t="s">
        <v>796</v>
      </c>
      <c r="C754" s="211" t="s">
        <v>797</v>
      </c>
      <c r="D754" s="180" t="s">
        <v>78</v>
      </c>
      <c r="E754" s="181"/>
      <c r="F754" s="206">
        <v>15</v>
      </c>
      <c r="G754" s="206">
        <v>15</v>
      </c>
      <c r="H754" s="206"/>
      <c r="I754" s="195">
        <f t="shared" si="48"/>
        <v>1.27869107775876</v>
      </c>
      <c r="J754" s="196">
        <f t="shared" si="49"/>
        <v>2.81508219699829</v>
      </c>
      <c r="K754" s="172">
        <f t="shared" si="50"/>
        <v>34.093773274757</v>
      </c>
      <c r="L754" s="172">
        <f t="shared" si="51"/>
        <v>0</v>
      </c>
      <c r="M754" s="193"/>
      <c r="N754" s="193"/>
      <c r="O754" s="198"/>
      <c r="P754" s="181">
        <f>[2]零星!$F$222</f>
        <v>20.16</v>
      </c>
    </row>
    <row r="755" s="162" customFormat="1" ht="45" outlineLevel="1" spans="1:16">
      <c r="A755" s="178">
        <v>10</v>
      </c>
      <c r="B755" s="177" t="s">
        <v>216</v>
      </c>
      <c r="C755" s="232" t="s">
        <v>798</v>
      </c>
      <c r="D755" s="178" t="s">
        <v>78</v>
      </c>
      <c r="E755" s="181"/>
      <c r="F755" s="179">
        <v>25</v>
      </c>
      <c r="G755" s="179">
        <v>30</v>
      </c>
      <c r="H755" s="179">
        <v>10</v>
      </c>
      <c r="I755" s="195">
        <f t="shared" si="48"/>
        <v>2.77049733514398</v>
      </c>
      <c r="J755" s="196">
        <f t="shared" si="49"/>
        <v>6.09934476016296</v>
      </c>
      <c r="K755" s="172">
        <f t="shared" si="50"/>
        <v>73.869842095307</v>
      </c>
      <c r="L755" s="172">
        <f t="shared" si="51"/>
        <v>0</v>
      </c>
      <c r="M755" s="193"/>
      <c r="N755" s="193"/>
      <c r="O755" s="198"/>
      <c r="P755" s="181">
        <f>[2]零星!$F$225</f>
        <v>26.1</v>
      </c>
    </row>
    <row r="756" s="162" customFormat="1" ht="45" outlineLevel="1" spans="1:16">
      <c r="A756" s="178">
        <v>11</v>
      </c>
      <c r="B756" s="177" t="s">
        <v>240</v>
      </c>
      <c r="C756" s="232" t="s">
        <v>799</v>
      </c>
      <c r="D756" s="233" t="s">
        <v>78</v>
      </c>
      <c r="E756" s="181"/>
      <c r="F756" s="179">
        <v>85</v>
      </c>
      <c r="G756" s="179">
        <v>120</v>
      </c>
      <c r="H756" s="179">
        <v>35</v>
      </c>
      <c r="I756" s="195">
        <f t="shared" si="48"/>
        <v>10.2295286220701</v>
      </c>
      <c r="J756" s="196">
        <f t="shared" si="49"/>
        <v>22.5206575759863</v>
      </c>
      <c r="K756" s="172">
        <f t="shared" si="50"/>
        <v>272.750186198056</v>
      </c>
      <c r="L756" s="172">
        <f t="shared" si="51"/>
        <v>0</v>
      </c>
      <c r="M756" s="193"/>
      <c r="N756" s="193"/>
      <c r="O756" s="198"/>
      <c r="P756" s="181">
        <f>[2]零星!$F$226</f>
        <v>8.1</v>
      </c>
    </row>
    <row r="757" s="162" customFormat="1" ht="42" outlineLevel="1" spans="1:16">
      <c r="A757" s="178">
        <v>12</v>
      </c>
      <c r="B757" s="177" t="s">
        <v>230</v>
      </c>
      <c r="C757" s="203" t="s">
        <v>800</v>
      </c>
      <c r="D757" s="178" t="s">
        <v>78</v>
      </c>
      <c r="E757" s="181"/>
      <c r="F757" s="179">
        <v>55</v>
      </c>
      <c r="G757" s="179">
        <v>150</v>
      </c>
      <c r="H757" s="179">
        <v>15</v>
      </c>
      <c r="I757" s="195">
        <f t="shared" si="48"/>
        <v>9.37706790356424</v>
      </c>
      <c r="J757" s="196">
        <f t="shared" si="49"/>
        <v>20.6439361113208</v>
      </c>
      <c r="K757" s="172">
        <f t="shared" si="50"/>
        <v>250.021004014885</v>
      </c>
      <c r="L757" s="172">
        <f t="shared" si="51"/>
        <v>0</v>
      </c>
      <c r="M757" s="193"/>
      <c r="N757" s="193"/>
      <c r="O757" s="198"/>
      <c r="P757" s="181">
        <f>[2]零星!$F$227</f>
        <v>3.12</v>
      </c>
    </row>
    <row r="758" s="162" customFormat="1" ht="21" outlineLevel="1" spans="1:16">
      <c r="A758" s="178">
        <v>13</v>
      </c>
      <c r="B758" s="177" t="s">
        <v>801</v>
      </c>
      <c r="C758" s="203" t="s">
        <v>802</v>
      </c>
      <c r="D758" s="178" t="s">
        <v>193</v>
      </c>
      <c r="E758" s="181"/>
      <c r="F758" s="206">
        <v>85</v>
      </c>
      <c r="G758" s="206">
        <v>850</v>
      </c>
      <c r="H758" s="206"/>
      <c r="I758" s="195">
        <f t="shared" si="48"/>
        <v>39.852538590148</v>
      </c>
      <c r="J758" s="196">
        <f t="shared" si="49"/>
        <v>87.7367284731133</v>
      </c>
      <c r="K758" s="172">
        <f t="shared" si="50"/>
        <v>1062.58926706326</v>
      </c>
      <c r="L758" s="172">
        <f t="shared" si="51"/>
        <v>0</v>
      </c>
      <c r="M758" s="193"/>
      <c r="N758" s="193"/>
      <c r="O758" s="198"/>
      <c r="P758" s="181">
        <v>2</v>
      </c>
    </row>
    <row r="759" s="162" customFormat="1" ht="52.5" outlineLevel="1" spans="1:16">
      <c r="A759" s="178">
        <v>14</v>
      </c>
      <c r="B759" s="177" t="s">
        <v>232</v>
      </c>
      <c r="C759" s="177" t="s">
        <v>803</v>
      </c>
      <c r="D759" s="178" t="s">
        <v>78</v>
      </c>
      <c r="E759" s="181"/>
      <c r="F759" s="179">
        <v>180</v>
      </c>
      <c r="G759" s="179">
        <v>150</v>
      </c>
      <c r="H759" s="179">
        <v>85</v>
      </c>
      <c r="I759" s="195">
        <f t="shared" si="48"/>
        <v>17.6885599089962</v>
      </c>
      <c r="J759" s="196">
        <f t="shared" si="49"/>
        <v>38.9419703918097</v>
      </c>
      <c r="K759" s="172">
        <f t="shared" si="50"/>
        <v>471.630530300806</v>
      </c>
      <c r="L759" s="172">
        <f t="shared" si="51"/>
        <v>0</v>
      </c>
      <c r="M759" s="193"/>
      <c r="N759" s="193"/>
      <c r="O759" s="198"/>
      <c r="P759" s="181">
        <f>[2]零星!$F$229</f>
        <v>4.44</v>
      </c>
    </row>
    <row r="760" s="162" customFormat="1" ht="52.5" outlineLevel="1" spans="1:16">
      <c r="A760" s="178">
        <v>15</v>
      </c>
      <c r="B760" s="177" t="s">
        <v>232</v>
      </c>
      <c r="C760" s="177" t="s">
        <v>804</v>
      </c>
      <c r="D760" s="178" t="s">
        <v>78</v>
      </c>
      <c r="E760" s="181"/>
      <c r="F760" s="179">
        <v>180</v>
      </c>
      <c r="G760" s="179">
        <v>150</v>
      </c>
      <c r="H760" s="179">
        <v>85</v>
      </c>
      <c r="I760" s="195">
        <f t="shared" si="48"/>
        <v>17.6885599089962</v>
      </c>
      <c r="J760" s="196">
        <f t="shared" si="49"/>
        <v>38.9419703918097</v>
      </c>
      <c r="K760" s="172">
        <f t="shared" si="50"/>
        <v>471.630530300806</v>
      </c>
      <c r="L760" s="172">
        <f t="shared" si="51"/>
        <v>0</v>
      </c>
      <c r="M760" s="193"/>
      <c r="N760" s="193"/>
      <c r="O760" s="198"/>
      <c r="P760" s="181">
        <f>[2]零星!$F$230</f>
        <v>3.84</v>
      </c>
    </row>
    <row r="761" s="162" customFormat="1" ht="63" outlineLevel="1" spans="1:16">
      <c r="A761" s="178">
        <v>16</v>
      </c>
      <c r="B761" s="177" t="s">
        <v>805</v>
      </c>
      <c r="C761" s="177" t="s">
        <v>806</v>
      </c>
      <c r="D761" s="178" t="s">
        <v>89</v>
      </c>
      <c r="E761" s="181"/>
      <c r="F761" s="206">
        <v>20</v>
      </c>
      <c r="G761" s="206">
        <v>85</v>
      </c>
      <c r="H761" s="206">
        <v>5</v>
      </c>
      <c r="I761" s="195">
        <f t="shared" si="48"/>
        <v>4.68853395178212</v>
      </c>
      <c r="J761" s="196">
        <f t="shared" si="49"/>
        <v>10.3219680556604</v>
      </c>
      <c r="K761" s="172">
        <f t="shared" si="50"/>
        <v>125.010502007443</v>
      </c>
      <c r="L761" s="172">
        <f t="shared" si="51"/>
        <v>0</v>
      </c>
      <c r="M761" s="193"/>
      <c r="N761" s="193"/>
      <c r="O761" s="198"/>
      <c r="P761" s="181">
        <f>2.6*2+6</f>
        <v>11.2</v>
      </c>
    </row>
    <row r="762" s="162" customFormat="1" ht="42" outlineLevel="1" spans="1:16">
      <c r="A762" s="178">
        <v>17</v>
      </c>
      <c r="B762" s="177" t="s">
        <v>807</v>
      </c>
      <c r="C762" s="177" t="s">
        <v>808</v>
      </c>
      <c r="D762" s="178" t="s">
        <v>89</v>
      </c>
      <c r="E762" s="181"/>
      <c r="F762" s="179">
        <v>10</v>
      </c>
      <c r="G762" s="180">
        <v>25</v>
      </c>
      <c r="H762" s="179">
        <v>5</v>
      </c>
      <c r="I762" s="195">
        <f t="shared" si="48"/>
        <v>1.70492143701168</v>
      </c>
      <c r="J762" s="196">
        <f t="shared" si="49"/>
        <v>3.75344292933105</v>
      </c>
      <c r="K762" s="172">
        <f t="shared" si="50"/>
        <v>45.4583643663427</v>
      </c>
      <c r="L762" s="172">
        <f t="shared" si="51"/>
        <v>0</v>
      </c>
      <c r="M762" s="193"/>
      <c r="N762" s="193"/>
      <c r="O762" s="198"/>
      <c r="P762" s="181">
        <f>[2]零星!$F$232</f>
        <v>29.22</v>
      </c>
    </row>
    <row r="763" s="162" customFormat="1" ht="21" outlineLevel="1" spans="1:16">
      <c r="A763" s="178">
        <v>18</v>
      </c>
      <c r="B763" s="177" t="s">
        <v>809</v>
      </c>
      <c r="C763" s="177" t="s">
        <v>810</v>
      </c>
      <c r="D763" s="178" t="s">
        <v>78</v>
      </c>
      <c r="E763" s="181"/>
      <c r="F763" s="206">
        <v>220</v>
      </c>
      <c r="G763" s="206">
        <v>850</v>
      </c>
      <c r="H763" s="206">
        <v>30</v>
      </c>
      <c r="I763" s="195">
        <f t="shared" si="48"/>
        <v>46.8853395178212</v>
      </c>
      <c r="J763" s="196">
        <f t="shared" si="49"/>
        <v>103.219680556604</v>
      </c>
      <c r="K763" s="172">
        <f t="shared" si="50"/>
        <v>1250.10502007443</v>
      </c>
      <c r="L763" s="172">
        <f t="shared" si="51"/>
        <v>0</v>
      </c>
      <c r="M763" s="193"/>
      <c r="N763" s="193"/>
      <c r="O763" s="198"/>
      <c r="P763" s="181">
        <f>[2]零星!$F$233</f>
        <v>12.6</v>
      </c>
    </row>
    <row r="764" s="162" customFormat="1" ht="52.5" outlineLevel="1" spans="1:16">
      <c r="A764" s="178">
        <v>19</v>
      </c>
      <c r="B764" s="177" t="s">
        <v>73</v>
      </c>
      <c r="C764" s="177" t="s">
        <v>74</v>
      </c>
      <c r="D764" s="178" t="s">
        <v>75</v>
      </c>
      <c r="E764" s="208"/>
      <c r="F764" s="206"/>
      <c r="G764" s="206"/>
      <c r="H764" s="179">
        <v>8.5</v>
      </c>
      <c r="I764" s="195">
        <f t="shared" si="48"/>
        <v>0.362295805364982</v>
      </c>
      <c r="J764" s="196">
        <f t="shared" si="49"/>
        <v>0.797606622482848</v>
      </c>
      <c r="K764" s="172">
        <f t="shared" si="50"/>
        <v>9.65990242784783</v>
      </c>
      <c r="L764" s="172">
        <f t="shared" si="51"/>
        <v>0</v>
      </c>
      <c r="M764" s="193"/>
      <c r="N764" s="193"/>
      <c r="O764" s="198"/>
      <c r="P764" s="208">
        <f>P766+P767</f>
        <v>21.0032</v>
      </c>
    </row>
    <row r="765" s="162" customFormat="1" ht="21" outlineLevel="1" spans="1:16">
      <c r="A765" s="178">
        <v>20</v>
      </c>
      <c r="B765" s="177" t="s">
        <v>76</v>
      </c>
      <c r="C765" s="177" t="s">
        <v>77</v>
      </c>
      <c r="D765" s="178" t="s">
        <v>78</v>
      </c>
      <c r="E765" s="181"/>
      <c r="F765" s="179">
        <v>0.5</v>
      </c>
      <c r="G765" s="172"/>
      <c r="H765" s="179">
        <v>2.5</v>
      </c>
      <c r="I765" s="195">
        <f t="shared" si="48"/>
        <v>0.127869107775876</v>
      </c>
      <c r="J765" s="196">
        <f t="shared" si="49"/>
        <v>0.281508219699829</v>
      </c>
      <c r="K765" s="172">
        <f t="shared" si="50"/>
        <v>3.4093773274757</v>
      </c>
      <c r="L765" s="172">
        <f t="shared" si="51"/>
        <v>0</v>
      </c>
      <c r="M765" s="193"/>
      <c r="N765" s="193"/>
      <c r="O765" s="198"/>
      <c r="P765" s="181">
        <f>P768+P769+P770+P771</f>
        <v>52.508</v>
      </c>
    </row>
    <row r="766" s="162" customFormat="1" ht="21" outlineLevel="1" spans="1:16">
      <c r="A766" s="178">
        <v>21</v>
      </c>
      <c r="B766" s="177" t="s">
        <v>79</v>
      </c>
      <c r="C766" s="177" t="s">
        <v>80</v>
      </c>
      <c r="D766" s="178" t="s">
        <v>75</v>
      </c>
      <c r="E766" s="181"/>
      <c r="F766" s="179">
        <v>10</v>
      </c>
      <c r="G766" s="180">
        <v>95</v>
      </c>
      <c r="H766" s="179">
        <v>15</v>
      </c>
      <c r="I766" s="195">
        <f t="shared" si="48"/>
        <v>5.11476431103504</v>
      </c>
      <c r="J766" s="196">
        <f t="shared" si="49"/>
        <v>11.2603287879932</v>
      </c>
      <c r="K766" s="172">
        <f t="shared" si="50"/>
        <v>136.375093099028</v>
      </c>
      <c r="L766" s="172">
        <f t="shared" si="51"/>
        <v>0</v>
      </c>
      <c r="M766" s="193"/>
      <c r="N766" s="193"/>
      <c r="O766" s="198"/>
      <c r="P766" s="181">
        <f>P765*0.2</f>
        <v>10.5016</v>
      </c>
    </row>
    <row r="767" s="162" customFormat="1" ht="42" outlineLevel="1" spans="1:16">
      <c r="A767" s="178">
        <v>22</v>
      </c>
      <c r="B767" s="177" t="s">
        <v>81</v>
      </c>
      <c r="C767" s="177" t="s">
        <v>82</v>
      </c>
      <c r="D767" s="178" t="s">
        <v>75</v>
      </c>
      <c r="E767" s="181"/>
      <c r="F767" s="179">
        <v>55</v>
      </c>
      <c r="G767" s="180">
        <v>445</v>
      </c>
      <c r="H767" s="179">
        <v>15</v>
      </c>
      <c r="I767" s="195">
        <f t="shared" si="48"/>
        <v>21.9508635015254</v>
      </c>
      <c r="J767" s="196">
        <f t="shared" si="49"/>
        <v>48.3255777151373</v>
      </c>
      <c r="K767" s="172">
        <f t="shared" si="50"/>
        <v>585.276441216663</v>
      </c>
      <c r="L767" s="172">
        <f t="shared" si="51"/>
        <v>0</v>
      </c>
      <c r="M767" s="193"/>
      <c r="N767" s="193"/>
      <c r="O767" s="198"/>
      <c r="P767" s="181">
        <f>P765*0.2</f>
        <v>10.5016</v>
      </c>
    </row>
    <row r="768" s="162" customFormat="1" ht="33.75" outlineLevel="1" spans="1:16">
      <c r="A768" s="178">
        <v>23</v>
      </c>
      <c r="B768" s="177" t="s">
        <v>153</v>
      </c>
      <c r="C768" s="205" t="s">
        <v>811</v>
      </c>
      <c r="D768" s="207" t="s">
        <v>78</v>
      </c>
      <c r="E768" s="181"/>
      <c r="F768" s="179">
        <v>50</v>
      </c>
      <c r="G768" s="180">
        <v>65</v>
      </c>
      <c r="H768" s="179">
        <v>15</v>
      </c>
      <c r="I768" s="195">
        <f t="shared" si="48"/>
        <v>5.54099467028796</v>
      </c>
      <c r="J768" s="196">
        <f t="shared" si="49"/>
        <v>12.1986895203259</v>
      </c>
      <c r="K768" s="172">
        <f t="shared" si="50"/>
        <v>147.739684190614</v>
      </c>
      <c r="L768" s="172">
        <f t="shared" si="51"/>
        <v>0</v>
      </c>
      <c r="M768" s="193"/>
      <c r="N768" s="193"/>
      <c r="O768" s="198"/>
      <c r="P768" s="181">
        <v>29.31</v>
      </c>
    </row>
    <row r="769" s="162" customFormat="1" ht="33.75" outlineLevel="1" spans="1:16">
      <c r="A769" s="178">
        <v>24</v>
      </c>
      <c r="B769" s="177" t="s">
        <v>518</v>
      </c>
      <c r="C769" s="205" t="s">
        <v>812</v>
      </c>
      <c r="D769" s="207" t="s">
        <v>78</v>
      </c>
      <c r="E769" s="181"/>
      <c r="F769" s="179">
        <v>50</v>
      </c>
      <c r="G769" s="180">
        <v>65</v>
      </c>
      <c r="H769" s="179">
        <v>15</v>
      </c>
      <c r="I769" s="195">
        <f t="shared" si="48"/>
        <v>5.54099467028796</v>
      </c>
      <c r="J769" s="196">
        <f t="shared" si="49"/>
        <v>12.1986895203259</v>
      </c>
      <c r="K769" s="172">
        <f t="shared" si="50"/>
        <v>147.739684190614</v>
      </c>
      <c r="L769" s="172">
        <f t="shared" si="51"/>
        <v>0</v>
      </c>
      <c r="M769" s="193"/>
      <c r="N769" s="193"/>
      <c r="O769" s="198"/>
      <c r="P769" s="181">
        <v>9.71</v>
      </c>
    </row>
    <row r="770" s="162" customFormat="1" ht="31.5" outlineLevel="1" spans="1:16">
      <c r="A770" s="178">
        <v>25</v>
      </c>
      <c r="B770" s="177" t="s">
        <v>157</v>
      </c>
      <c r="C770" s="177" t="s">
        <v>813</v>
      </c>
      <c r="D770" s="207" t="s">
        <v>78</v>
      </c>
      <c r="E770" s="181"/>
      <c r="F770" s="179">
        <v>50</v>
      </c>
      <c r="G770" s="180">
        <v>65</v>
      </c>
      <c r="H770" s="179">
        <v>15</v>
      </c>
      <c r="I770" s="195">
        <f t="shared" si="48"/>
        <v>5.54099467028796</v>
      </c>
      <c r="J770" s="196">
        <f t="shared" si="49"/>
        <v>12.1986895203259</v>
      </c>
      <c r="K770" s="172">
        <f t="shared" si="50"/>
        <v>147.739684190614</v>
      </c>
      <c r="L770" s="172">
        <f t="shared" si="51"/>
        <v>0</v>
      </c>
      <c r="M770" s="193"/>
      <c r="N770" s="193"/>
      <c r="O770" s="198"/>
      <c r="P770" s="181">
        <f>1.479+2.86</f>
        <v>4.339</v>
      </c>
    </row>
    <row r="771" s="162" customFormat="1" ht="31.5" outlineLevel="1" spans="1:16">
      <c r="A771" s="178">
        <v>26</v>
      </c>
      <c r="B771" s="177" t="s">
        <v>521</v>
      </c>
      <c r="C771" s="177" t="s">
        <v>814</v>
      </c>
      <c r="D771" s="207" t="s">
        <v>78</v>
      </c>
      <c r="E771" s="181"/>
      <c r="F771" s="179">
        <v>50</v>
      </c>
      <c r="G771" s="180">
        <v>65</v>
      </c>
      <c r="H771" s="179">
        <v>15</v>
      </c>
      <c r="I771" s="195">
        <f t="shared" si="48"/>
        <v>5.54099467028796</v>
      </c>
      <c r="J771" s="196">
        <f t="shared" si="49"/>
        <v>12.1986895203259</v>
      </c>
      <c r="K771" s="172">
        <f t="shared" si="50"/>
        <v>147.739684190614</v>
      </c>
      <c r="L771" s="172">
        <f t="shared" si="51"/>
        <v>0</v>
      </c>
      <c r="M771" s="193"/>
      <c r="N771" s="193"/>
      <c r="O771" s="198"/>
      <c r="P771" s="181">
        <f>3.196+5.953</f>
        <v>9.149</v>
      </c>
    </row>
    <row r="772" s="162" customFormat="1" ht="21" spans="1:16">
      <c r="A772" s="175" t="s">
        <v>815</v>
      </c>
      <c r="B772" s="175" t="s">
        <v>34</v>
      </c>
      <c r="C772" s="177"/>
      <c r="D772" s="178"/>
      <c r="E772" s="181"/>
      <c r="F772" s="203"/>
      <c r="G772" s="203"/>
      <c r="H772" s="203"/>
      <c r="I772" s="203"/>
      <c r="J772" s="203"/>
      <c r="K772" s="180"/>
      <c r="L772" s="180"/>
      <c r="M772" s="193"/>
      <c r="N772" s="193"/>
      <c r="O772" s="194"/>
      <c r="P772" s="181"/>
    </row>
    <row r="773" s="162" customFormat="1" ht="11.25" spans="1:15">
      <c r="A773" s="234" t="s">
        <v>34</v>
      </c>
      <c r="B773" s="235"/>
      <c r="C773" s="178"/>
      <c r="D773" s="178" t="s">
        <v>816</v>
      </c>
      <c r="E773" s="175"/>
      <c r="F773" s="203"/>
      <c r="G773" s="203"/>
      <c r="H773" s="203"/>
      <c r="I773" s="203"/>
      <c r="J773" s="203"/>
      <c r="K773" s="180"/>
      <c r="L773" s="172">
        <f>SUM(L5:L772)</f>
        <v>540108.59017912</v>
      </c>
      <c r="M773" s="239"/>
      <c r="N773" s="240"/>
      <c r="O773" s="223"/>
    </row>
    <row r="774" s="162" customFormat="1" ht="11.25" spans="1:15">
      <c r="A774" s="236" t="s">
        <v>817</v>
      </c>
      <c r="B774" s="237"/>
      <c r="C774" s="237"/>
      <c r="D774" s="237"/>
      <c r="E774" s="237"/>
      <c r="F774" s="238"/>
      <c r="G774" s="238"/>
      <c r="H774" s="238"/>
      <c r="I774" s="238"/>
      <c r="J774" s="238"/>
      <c r="K774" s="241"/>
      <c r="L774" s="238"/>
      <c r="M774" s="237"/>
      <c r="N774" s="237"/>
      <c r="O774" s="242"/>
    </row>
  </sheetData>
  <sheetProtection selectLockedCells="1"/>
  <autoFilter ref="A3:XFD774">
    <extLst/>
  </autoFilter>
  <mergeCells count="12">
    <mergeCell ref="F2:J2"/>
    <mergeCell ref="A773:B773"/>
    <mergeCell ref="A774:N774"/>
    <mergeCell ref="A2:A3"/>
    <mergeCell ref="B2:B3"/>
    <mergeCell ref="C2:C3"/>
    <mergeCell ref="D2:D3"/>
    <mergeCell ref="E2:E3"/>
    <mergeCell ref="K2:K3"/>
    <mergeCell ref="L2:L3"/>
    <mergeCell ref="M2:M3"/>
    <mergeCell ref="N2:N3"/>
  </mergeCells>
  <dataValidations count="1">
    <dataValidation type="list" allowBlank="1" showInputMessage="1" showErrorMessage="1" errorTitle="温馨提示" error="您确定要输入单位吗？" sqref="D362 D367 D558 D559 D562 D571 D588 D589 D627 D628 D686 D687 D688 D708 D742 D743 D744 D363:D366 D560:D561 D563:D565 D566:D570 D579:D584 D585:D587 D625:D626 D709:D712 D726:D728 D729:D731 D740:D741" errorStyle="warning">
      <formula1>"m,m2,m3,t,kg,个,套,块,台,项,座,根,樘,10m,10m2,10m3,m3,m3,株"</formula1>
    </dataValidation>
  </dataValidations>
  <pageMargins left="0.786805555555556" right="0.196527777777778" top="0.786805555555556" bottom="0.393055555555556" header="0" footer="0"/>
  <pageSetup paperSize="9" scale="8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topLeftCell="A9" workbookViewId="0">
      <selection activeCell="K13" sqref="K13"/>
    </sheetView>
  </sheetViews>
  <sheetFormatPr defaultColWidth="9.14285714285714" defaultRowHeight="12.75"/>
  <cols>
    <col min="1" max="1" width="4.55238095238095" customWidth="1"/>
    <col min="2" max="2" width="12.552380952381" customWidth="1"/>
    <col min="3" max="3" width="35.8571428571429" customWidth="1"/>
    <col min="4" max="4" width="5" customWidth="1"/>
    <col min="5" max="5" width="7.44761904761905" customWidth="1"/>
    <col min="7" max="7" width="9.57142857142857"/>
    <col min="8" max="8" width="6.55238095238095" customWidth="1"/>
    <col min="9" max="9" width="13.4285714285714" customWidth="1"/>
    <col min="10" max="10" width="12.4285714285714" customWidth="1"/>
    <col min="12" max="12" width="13" style="138"/>
    <col min="13" max="13" width="6.21904761904762" customWidth="1"/>
    <col min="14" max="14" width="6.88571428571429" customWidth="1"/>
  </cols>
  <sheetData>
    <row r="1" ht="44.1" customHeight="1" spans="1:14">
      <c r="A1" s="139" t="s">
        <v>818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55"/>
      <c r="M1" s="139"/>
      <c r="N1" s="139"/>
    </row>
    <row r="2" ht="26.1" customHeight="1" spans="1:14">
      <c r="A2" s="140" t="s">
        <v>1</v>
      </c>
      <c r="B2" s="140" t="s">
        <v>45</v>
      </c>
      <c r="C2" s="140" t="s">
        <v>59</v>
      </c>
      <c r="D2" s="140" t="s">
        <v>60</v>
      </c>
      <c r="E2" s="140" t="s">
        <v>47</v>
      </c>
      <c r="F2" s="50" t="s">
        <v>61</v>
      </c>
      <c r="G2" s="50"/>
      <c r="H2" s="50"/>
      <c r="I2" s="50"/>
      <c r="J2" s="50"/>
      <c r="K2" s="36" t="s">
        <v>62</v>
      </c>
      <c r="L2" s="36" t="s">
        <v>63</v>
      </c>
      <c r="M2" s="156" t="s">
        <v>49</v>
      </c>
      <c r="N2" s="156" t="s">
        <v>64</v>
      </c>
    </row>
    <row r="3" ht="51.95" customHeight="1" spans="1:16">
      <c r="A3" s="141"/>
      <c r="B3" s="141"/>
      <c r="C3" s="141"/>
      <c r="D3" s="141"/>
      <c r="E3" s="141"/>
      <c r="F3" s="36" t="s">
        <v>65</v>
      </c>
      <c r="G3" s="36" t="s">
        <v>66</v>
      </c>
      <c r="H3" s="36" t="s">
        <v>67</v>
      </c>
      <c r="I3" s="50" t="s">
        <v>68</v>
      </c>
      <c r="J3" s="50" t="s">
        <v>69</v>
      </c>
      <c r="K3" s="56"/>
      <c r="L3" s="56"/>
      <c r="M3" s="157"/>
      <c r="N3" s="157"/>
      <c r="P3" s="158" t="s">
        <v>819</v>
      </c>
    </row>
    <row r="4" ht="74.1" customHeight="1" spans="1:16">
      <c r="A4" s="142">
        <v>1</v>
      </c>
      <c r="B4" s="143" t="s">
        <v>820</v>
      </c>
      <c r="C4" s="144" t="s">
        <v>821</v>
      </c>
      <c r="D4" s="143" t="s">
        <v>479</v>
      </c>
      <c r="E4" s="142"/>
      <c r="F4" s="145">
        <v>500</v>
      </c>
      <c r="G4" s="145">
        <v>3500</v>
      </c>
      <c r="H4" s="145"/>
      <c r="I4" s="116">
        <f t="shared" ref="I4:I15" si="0">((F4+G4+H4)*0.06)*0.7103839320882</f>
        <v>170.492143701168</v>
      </c>
      <c r="J4" s="159">
        <f>(F4+G4+H4+I4)*0.09</f>
        <v>375.344292933105</v>
      </c>
      <c r="K4" s="145">
        <f>SUM(F4:J4)</f>
        <v>4545.83643663427</v>
      </c>
      <c r="L4" s="160">
        <f>K4*E4</f>
        <v>0</v>
      </c>
      <c r="M4" s="145"/>
      <c r="N4" s="145"/>
      <c r="P4" s="142">
        <v>1</v>
      </c>
    </row>
    <row r="5" ht="75.95" customHeight="1" spans="1:16">
      <c r="A5" s="142">
        <v>2</v>
      </c>
      <c r="B5" s="143" t="s">
        <v>822</v>
      </c>
      <c r="C5" s="146" t="s">
        <v>823</v>
      </c>
      <c r="D5" s="143" t="s">
        <v>479</v>
      </c>
      <c r="E5" s="142"/>
      <c r="F5" s="145">
        <v>100</v>
      </c>
      <c r="G5" s="145">
        <v>3000</v>
      </c>
      <c r="H5" s="145"/>
      <c r="I5" s="116">
        <f t="shared" si="0"/>
        <v>132.131411368405</v>
      </c>
      <c r="J5" s="159">
        <f t="shared" ref="J5:J15" si="1">(F5+G5+H5+I5)*0.09</f>
        <v>290.891827023156</v>
      </c>
      <c r="K5" s="145">
        <f t="shared" ref="K5:K15" si="2">SUM(F5:J5)</f>
        <v>3523.02323839156</v>
      </c>
      <c r="L5" s="160">
        <f t="shared" ref="L5:L15" si="3">K5*E5</f>
        <v>0</v>
      </c>
      <c r="M5" s="145"/>
      <c r="N5" s="145"/>
      <c r="P5" s="142">
        <v>4</v>
      </c>
    </row>
    <row r="6" ht="80.1" customHeight="1" spans="1:16">
      <c r="A6" s="147">
        <v>3</v>
      </c>
      <c r="B6" s="148" t="s">
        <v>824</v>
      </c>
      <c r="C6" s="149" t="s">
        <v>825</v>
      </c>
      <c r="D6" s="148" t="s">
        <v>479</v>
      </c>
      <c r="E6" s="147"/>
      <c r="F6" s="145">
        <v>300</v>
      </c>
      <c r="G6" s="145">
        <v>2000</v>
      </c>
      <c r="H6" s="145"/>
      <c r="I6" s="116">
        <f t="shared" si="0"/>
        <v>98.0329826281716</v>
      </c>
      <c r="J6" s="159">
        <f t="shared" si="1"/>
        <v>215.822968436535</v>
      </c>
      <c r="K6" s="145">
        <f t="shared" si="2"/>
        <v>2613.85595106471</v>
      </c>
      <c r="L6" s="160">
        <f t="shared" si="3"/>
        <v>0</v>
      </c>
      <c r="M6" s="145"/>
      <c r="N6" s="145"/>
      <c r="P6" s="147">
        <v>5</v>
      </c>
    </row>
    <row r="7" ht="35.1" customHeight="1" spans="1:16">
      <c r="A7" s="142">
        <v>4</v>
      </c>
      <c r="B7" s="150" t="s">
        <v>826</v>
      </c>
      <c r="C7" s="144" t="s">
        <v>827</v>
      </c>
      <c r="D7" s="150" t="s">
        <v>479</v>
      </c>
      <c r="E7" s="145"/>
      <c r="F7" s="145">
        <v>50</v>
      </c>
      <c r="G7" s="145">
        <f>160*4</f>
        <v>640</v>
      </c>
      <c r="H7" s="145"/>
      <c r="I7" s="116">
        <f t="shared" si="0"/>
        <v>29.4098947884515</v>
      </c>
      <c r="J7" s="159">
        <f t="shared" si="1"/>
        <v>64.7468905309606</v>
      </c>
      <c r="K7" s="145">
        <f t="shared" si="2"/>
        <v>784.156785319412</v>
      </c>
      <c r="L7" s="160">
        <f t="shared" si="3"/>
        <v>0</v>
      </c>
      <c r="M7" s="145"/>
      <c r="N7" s="145"/>
      <c r="P7" s="145">
        <v>10</v>
      </c>
    </row>
    <row r="8" ht="57" customHeight="1" spans="1:16">
      <c r="A8" s="142">
        <v>5</v>
      </c>
      <c r="B8" s="150" t="s">
        <v>828</v>
      </c>
      <c r="C8" s="144" t="s">
        <v>829</v>
      </c>
      <c r="D8" s="150" t="s">
        <v>479</v>
      </c>
      <c r="E8" s="145"/>
      <c r="F8" s="145">
        <v>50</v>
      </c>
      <c r="G8" s="145">
        <v>1200</v>
      </c>
      <c r="H8" s="145"/>
      <c r="I8" s="116">
        <f t="shared" si="0"/>
        <v>53.278794906615</v>
      </c>
      <c r="J8" s="159">
        <f t="shared" si="1"/>
        <v>117.295091541595</v>
      </c>
      <c r="K8" s="145">
        <f t="shared" si="2"/>
        <v>1420.57388644821</v>
      </c>
      <c r="L8" s="160">
        <f t="shared" si="3"/>
        <v>0</v>
      </c>
      <c r="M8" s="145"/>
      <c r="N8" s="145"/>
      <c r="P8" s="145">
        <v>6</v>
      </c>
    </row>
    <row r="9" ht="83.1" customHeight="1" spans="1:16">
      <c r="A9" s="147">
        <v>6</v>
      </c>
      <c r="B9" s="150" t="s">
        <v>830</v>
      </c>
      <c r="C9" s="144" t="s">
        <v>831</v>
      </c>
      <c r="D9" s="150" t="s">
        <v>479</v>
      </c>
      <c r="E9" s="145"/>
      <c r="F9" s="145">
        <v>300</v>
      </c>
      <c r="G9" s="145">
        <v>23536.7</v>
      </c>
      <c r="H9" s="145"/>
      <c r="I9" s="116">
        <f t="shared" si="0"/>
        <v>1015.99252044041</v>
      </c>
      <c r="J9" s="159">
        <f t="shared" si="1"/>
        <v>2236.74232683964</v>
      </c>
      <c r="K9" s="145">
        <f t="shared" si="2"/>
        <v>27089.43484728</v>
      </c>
      <c r="L9" s="160">
        <f t="shared" si="3"/>
        <v>0</v>
      </c>
      <c r="M9" s="145"/>
      <c r="N9" s="145"/>
      <c r="P9" s="145">
        <v>1</v>
      </c>
    </row>
    <row r="10" ht="80.1" customHeight="1" spans="1:16">
      <c r="A10" s="142">
        <v>7</v>
      </c>
      <c r="B10" s="151" t="s">
        <v>832</v>
      </c>
      <c r="C10" s="152" t="s">
        <v>833</v>
      </c>
      <c r="D10" s="151" t="s">
        <v>479</v>
      </c>
      <c r="E10" s="153"/>
      <c r="F10" s="145">
        <v>100</v>
      </c>
      <c r="G10" s="145">
        <v>3000</v>
      </c>
      <c r="H10" s="145"/>
      <c r="I10" s="116">
        <f t="shared" si="0"/>
        <v>132.131411368405</v>
      </c>
      <c r="J10" s="159">
        <f t="shared" si="1"/>
        <v>290.891827023156</v>
      </c>
      <c r="K10" s="145">
        <f t="shared" si="2"/>
        <v>3523.02323839156</v>
      </c>
      <c r="L10" s="160">
        <f t="shared" si="3"/>
        <v>0</v>
      </c>
      <c r="M10" s="145"/>
      <c r="N10" s="145"/>
      <c r="P10" s="153">
        <v>2</v>
      </c>
    </row>
    <row r="11" ht="44.1" customHeight="1" spans="1:16">
      <c r="A11" s="142">
        <v>8</v>
      </c>
      <c r="B11" s="151" t="s">
        <v>834</v>
      </c>
      <c r="C11" s="144" t="s">
        <v>835</v>
      </c>
      <c r="D11" s="150" t="s">
        <v>51</v>
      </c>
      <c r="E11" s="145"/>
      <c r="F11" s="145">
        <v>300</v>
      </c>
      <c r="G11" s="145">
        <v>22000</v>
      </c>
      <c r="H11" s="145"/>
      <c r="I11" s="116">
        <f t="shared" si="0"/>
        <v>950.493701134012</v>
      </c>
      <c r="J11" s="159">
        <f t="shared" si="1"/>
        <v>2092.54443310206</v>
      </c>
      <c r="K11" s="145">
        <f t="shared" si="2"/>
        <v>25343.0381342361</v>
      </c>
      <c r="L11" s="160">
        <f t="shared" si="3"/>
        <v>0</v>
      </c>
      <c r="M11" s="145"/>
      <c r="N11" s="145"/>
      <c r="P11" s="145">
        <v>1</v>
      </c>
    </row>
    <row r="12" ht="45" customHeight="1" spans="1:16">
      <c r="A12" s="147">
        <v>9</v>
      </c>
      <c r="B12" s="151" t="s">
        <v>836</v>
      </c>
      <c r="C12" s="144" t="s">
        <v>837</v>
      </c>
      <c r="D12" s="150" t="s">
        <v>479</v>
      </c>
      <c r="E12" s="145"/>
      <c r="F12" s="145">
        <v>50</v>
      </c>
      <c r="G12" s="145">
        <v>1200</v>
      </c>
      <c r="H12" s="145"/>
      <c r="I12" s="116">
        <f t="shared" si="0"/>
        <v>53.278794906615</v>
      </c>
      <c r="J12" s="159">
        <f t="shared" si="1"/>
        <v>117.295091541595</v>
      </c>
      <c r="K12" s="145">
        <f t="shared" si="2"/>
        <v>1420.57388644821</v>
      </c>
      <c r="L12" s="160">
        <f t="shared" si="3"/>
        <v>0</v>
      </c>
      <c r="M12" s="145"/>
      <c r="N12" s="145"/>
      <c r="P12" s="145">
        <v>2</v>
      </c>
    </row>
    <row r="13" ht="63" customHeight="1" spans="1:16">
      <c r="A13" s="142">
        <v>10</v>
      </c>
      <c r="B13" s="154" t="s">
        <v>838</v>
      </c>
      <c r="C13" s="154" t="s">
        <v>839</v>
      </c>
      <c r="D13" s="150" t="s">
        <v>479</v>
      </c>
      <c r="E13" s="145"/>
      <c r="F13" s="145">
        <v>100</v>
      </c>
      <c r="G13" s="145">
        <v>1500</v>
      </c>
      <c r="H13" s="145"/>
      <c r="I13" s="116">
        <f t="shared" si="0"/>
        <v>68.1968574804672</v>
      </c>
      <c r="J13" s="159">
        <f t="shared" si="1"/>
        <v>150.137717173242</v>
      </c>
      <c r="K13" s="145">
        <f t="shared" si="2"/>
        <v>1818.33457465371</v>
      </c>
      <c r="L13" s="160">
        <f t="shared" si="3"/>
        <v>0</v>
      </c>
      <c r="M13" s="145"/>
      <c r="N13" s="145"/>
      <c r="P13" s="145">
        <v>2</v>
      </c>
    </row>
    <row r="14" ht="56.1" customHeight="1" spans="1:16">
      <c r="A14" s="142">
        <v>11</v>
      </c>
      <c r="B14" s="154" t="s">
        <v>840</v>
      </c>
      <c r="C14" s="154" t="s">
        <v>839</v>
      </c>
      <c r="D14" s="150" t="s">
        <v>479</v>
      </c>
      <c r="E14" s="145"/>
      <c r="F14" s="145">
        <v>100</v>
      </c>
      <c r="G14" s="145">
        <v>1500</v>
      </c>
      <c r="H14" s="145"/>
      <c r="I14" s="116">
        <f t="shared" si="0"/>
        <v>68.1968574804672</v>
      </c>
      <c r="J14" s="159">
        <f t="shared" si="1"/>
        <v>150.137717173242</v>
      </c>
      <c r="K14" s="145">
        <f t="shared" si="2"/>
        <v>1818.33457465371</v>
      </c>
      <c r="L14" s="160">
        <f t="shared" si="3"/>
        <v>0</v>
      </c>
      <c r="M14" s="145"/>
      <c r="N14" s="145"/>
      <c r="P14" s="145">
        <v>1</v>
      </c>
    </row>
    <row r="15" ht="80.1" customHeight="1" spans="1:16">
      <c r="A15" s="147">
        <v>12</v>
      </c>
      <c r="B15" s="154" t="s">
        <v>841</v>
      </c>
      <c r="C15" s="154" t="s">
        <v>842</v>
      </c>
      <c r="D15" s="150" t="s">
        <v>479</v>
      </c>
      <c r="E15" s="145"/>
      <c r="F15" s="145">
        <v>50</v>
      </c>
      <c r="G15" s="145">
        <v>1500</v>
      </c>
      <c r="H15" s="145"/>
      <c r="I15" s="116">
        <f t="shared" si="0"/>
        <v>66.0657056842026</v>
      </c>
      <c r="J15" s="159">
        <f t="shared" si="1"/>
        <v>145.445913511578</v>
      </c>
      <c r="K15" s="145">
        <f t="shared" si="2"/>
        <v>1761.51161919578</v>
      </c>
      <c r="L15" s="160">
        <f t="shared" si="3"/>
        <v>0</v>
      </c>
      <c r="M15" s="145"/>
      <c r="N15" s="145"/>
      <c r="P15" s="145">
        <v>2</v>
      </c>
    </row>
    <row r="16" ht="39" customHeight="1" spans="1:16">
      <c r="A16" s="142">
        <v>13</v>
      </c>
      <c r="B16" s="150" t="s">
        <v>34</v>
      </c>
      <c r="C16" s="145"/>
      <c r="D16" s="150"/>
      <c r="E16" s="145"/>
      <c r="F16" s="145"/>
      <c r="G16" s="145"/>
      <c r="H16" s="145"/>
      <c r="I16" s="145"/>
      <c r="J16" s="145"/>
      <c r="K16" s="153"/>
      <c r="L16" s="160">
        <f>SUM(L4:L15)</f>
        <v>0</v>
      </c>
      <c r="M16" s="145"/>
      <c r="N16" s="145"/>
      <c r="P16" s="145"/>
    </row>
  </sheetData>
  <mergeCells count="11">
    <mergeCell ref="A1:N1"/>
    <mergeCell ref="F2:J2"/>
    <mergeCell ref="A2:A3"/>
    <mergeCell ref="B2:B3"/>
    <mergeCell ref="C2:C3"/>
    <mergeCell ref="D2:D3"/>
    <mergeCell ref="E2:E3"/>
    <mergeCell ref="K2:K3"/>
    <mergeCell ref="L2:L3"/>
    <mergeCell ref="M2:M3"/>
    <mergeCell ref="N2:N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3"/>
  <sheetViews>
    <sheetView zoomScale="115" zoomScaleNormal="115" topLeftCell="A34" workbookViewId="0">
      <selection activeCell="F59" sqref="F59"/>
    </sheetView>
  </sheetViews>
  <sheetFormatPr defaultColWidth="8.85714285714286" defaultRowHeight="12.75"/>
  <cols>
    <col min="2" max="2" width="15.4285714285714" customWidth="1"/>
    <col min="10" max="10" width="13"/>
    <col min="11" max="11" width="10.7142857142857"/>
    <col min="12" max="12" width="13"/>
    <col min="13" max="13" width="11.8571428571429"/>
    <col min="14" max="14" width="13"/>
    <col min="15" max="15" width="10.7142857142857"/>
    <col min="16" max="16" width="13"/>
    <col min="17" max="17" width="80.2857142857143" customWidth="1"/>
  </cols>
  <sheetData>
    <row r="1" ht="18.75" spans="1:17">
      <c r="A1" s="83" t="s">
        <v>843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</row>
    <row r="2" spans="1:17">
      <c r="A2" s="85" t="s">
        <v>1</v>
      </c>
      <c r="B2" s="85" t="s">
        <v>844</v>
      </c>
      <c r="C2" s="87" t="s">
        <v>845</v>
      </c>
      <c r="D2" s="87"/>
      <c r="E2" s="87"/>
      <c r="F2" s="87"/>
      <c r="G2" s="88" t="s">
        <v>846</v>
      </c>
      <c r="H2" s="89" t="s">
        <v>819</v>
      </c>
      <c r="I2" s="88" t="s">
        <v>847</v>
      </c>
      <c r="J2" s="50" t="s">
        <v>61</v>
      </c>
      <c r="K2" s="50"/>
      <c r="L2" s="50"/>
      <c r="M2" s="50"/>
      <c r="N2" s="50"/>
      <c r="O2" s="112" t="s">
        <v>848</v>
      </c>
      <c r="P2" s="112" t="s">
        <v>849</v>
      </c>
      <c r="Q2" s="103" t="s">
        <v>49</v>
      </c>
    </row>
    <row r="3" ht="56.25" spans="1:17">
      <c r="A3" s="85"/>
      <c r="B3" s="85"/>
      <c r="C3" s="90" t="s">
        <v>850</v>
      </c>
      <c r="D3" s="90" t="s">
        <v>851</v>
      </c>
      <c r="E3" s="90" t="s">
        <v>852</v>
      </c>
      <c r="F3" s="87" t="s">
        <v>853</v>
      </c>
      <c r="G3" s="88"/>
      <c r="H3" s="91"/>
      <c r="I3" s="88"/>
      <c r="J3" s="36" t="s">
        <v>65</v>
      </c>
      <c r="K3" s="36" t="s">
        <v>66</v>
      </c>
      <c r="L3" s="36" t="s">
        <v>67</v>
      </c>
      <c r="M3" s="50" t="s">
        <v>68</v>
      </c>
      <c r="N3" s="50" t="s">
        <v>69</v>
      </c>
      <c r="O3" s="113"/>
      <c r="P3" s="113"/>
      <c r="Q3" s="103"/>
    </row>
    <row r="4" ht="26.1" customHeight="1" spans="1:17">
      <c r="A4" s="123" t="s">
        <v>71</v>
      </c>
      <c r="B4" s="124" t="s">
        <v>854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</row>
    <row r="5" ht="18" customHeight="1" spans="1:17">
      <c r="A5" s="125">
        <v>1</v>
      </c>
      <c r="B5" s="126" t="s">
        <v>855</v>
      </c>
      <c r="C5" s="127" t="s">
        <v>856</v>
      </c>
      <c r="D5" s="128" t="s">
        <v>857</v>
      </c>
      <c r="E5" s="128" t="s">
        <v>858</v>
      </c>
      <c r="F5" s="128" t="s">
        <v>859</v>
      </c>
      <c r="G5" s="125"/>
      <c r="H5" s="125">
        <v>1</v>
      </c>
      <c r="I5" s="125" t="s">
        <v>860</v>
      </c>
      <c r="J5" s="134">
        <v>147.540995649805</v>
      </c>
      <c r="K5" s="134">
        <v>0</v>
      </c>
      <c r="L5" s="134">
        <v>73.7704978249027</v>
      </c>
      <c r="M5" s="134">
        <v>57.5409883034242</v>
      </c>
      <c r="N5" s="134">
        <v>91.4901714024444</v>
      </c>
      <c r="O5" s="114">
        <f>J5+K5+L5+M5+N5</f>
        <v>370.342653180577</v>
      </c>
      <c r="P5" s="114">
        <f>O5*G5</f>
        <v>0</v>
      </c>
      <c r="Q5" s="135" t="s">
        <v>861</v>
      </c>
    </row>
    <row r="6" spans="1:17">
      <c r="A6" s="125">
        <v>2</v>
      </c>
      <c r="B6" s="126" t="s">
        <v>862</v>
      </c>
      <c r="C6" s="129" t="s">
        <v>863</v>
      </c>
      <c r="D6" s="128" t="s">
        <v>864</v>
      </c>
      <c r="E6" s="128" t="s">
        <v>857</v>
      </c>
      <c r="F6" s="128" t="s">
        <v>865</v>
      </c>
      <c r="G6" s="125"/>
      <c r="H6" s="125">
        <v>19</v>
      </c>
      <c r="I6" s="125" t="s">
        <v>860</v>
      </c>
      <c r="J6" s="134">
        <v>137.704929273152</v>
      </c>
      <c r="K6" s="134">
        <v>0</v>
      </c>
      <c r="L6" s="134">
        <v>68.8524646365759</v>
      </c>
      <c r="M6" s="134">
        <v>53.7049224165292</v>
      </c>
      <c r="N6" s="134">
        <v>85.3908266422814</v>
      </c>
      <c r="O6" s="114">
        <f t="shared" ref="O5:O15" si="0">J6+K6+L6+M6+N6</f>
        <v>345.653142968538</v>
      </c>
      <c r="P6" s="114">
        <f t="shared" ref="P6:P15" si="1">O6*G6</f>
        <v>0</v>
      </c>
      <c r="Q6" s="135" t="s">
        <v>866</v>
      </c>
    </row>
    <row r="7" spans="1:17">
      <c r="A7" s="125">
        <v>3</v>
      </c>
      <c r="B7" s="126" t="s">
        <v>867</v>
      </c>
      <c r="C7" s="127" t="s">
        <v>868</v>
      </c>
      <c r="D7" s="128" t="s">
        <v>869</v>
      </c>
      <c r="E7" s="128" t="s">
        <v>870</v>
      </c>
      <c r="F7" s="128" t="s">
        <v>871</v>
      </c>
      <c r="G7" s="125"/>
      <c r="H7" s="125">
        <v>1</v>
      </c>
      <c r="I7" s="125" t="s">
        <v>860</v>
      </c>
      <c r="J7" s="134">
        <v>2163.93460286381</v>
      </c>
      <c r="K7" s="134">
        <v>0</v>
      </c>
      <c r="L7" s="134">
        <v>1081.96730143191</v>
      </c>
      <c r="M7" s="134">
        <v>843.934495116888</v>
      </c>
      <c r="N7" s="134">
        <v>1341.85584723585</v>
      </c>
      <c r="O7" s="114">
        <f t="shared" si="0"/>
        <v>5431.69224664846</v>
      </c>
      <c r="P7" s="114">
        <f t="shared" si="1"/>
        <v>0</v>
      </c>
      <c r="Q7" s="136" t="s">
        <v>872</v>
      </c>
    </row>
    <row r="8" spans="1:17">
      <c r="A8" s="125">
        <v>4</v>
      </c>
      <c r="B8" s="126" t="s">
        <v>873</v>
      </c>
      <c r="C8" s="127" t="s">
        <v>874</v>
      </c>
      <c r="D8" s="128" t="s">
        <v>875</v>
      </c>
      <c r="E8" s="128" t="s">
        <v>870</v>
      </c>
      <c r="F8" s="128" t="s">
        <v>876</v>
      </c>
      <c r="G8" s="125"/>
      <c r="H8" s="125">
        <v>2</v>
      </c>
      <c r="I8" s="125" t="s">
        <v>860</v>
      </c>
      <c r="J8" s="134">
        <v>2163.93460286381</v>
      </c>
      <c r="K8" s="134">
        <v>0</v>
      </c>
      <c r="L8" s="134">
        <v>934.426305782102</v>
      </c>
      <c r="M8" s="134">
        <v>728.852518510039</v>
      </c>
      <c r="N8" s="134">
        <v>1158.87550443096</v>
      </c>
      <c r="O8" s="114">
        <f t="shared" si="0"/>
        <v>4986.08893158692</v>
      </c>
      <c r="P8" s="114">
        <f t="shared" si="1"/>
        <v>0</v>
      </c>
      <c r="Q8" s="136" t="s">
        <v>877</v>
      </c>
    </row>
    <row r="9" spans="1:17">
      <c r="A9" s="125">
        <v>5</v>
      </c>
      <c r="B9" s="126" t="s">
        <v>878</v>
      </c>
      <c r="C9" s="127" t="s">
        <v>879</v>
      </c>
      <c r="D9" s="128" t="s">
        <v>880</v>
      </c>
      <c r="E9" s="128" t="s">
        <v>881</v>
      </c>
      <c r="F9" s="128" t="s">
        <v>882</v>
      </c>
      <c r="G9" s="125"/>
      <c r="H9" s="125">
        <v>2</v>
      </c>
      <c r="I9" s="125" t="s">
        <v>860</v>
      </c>
      <c r="J9" s="134">
        <v>826.229575638911</v>
      </c>
      <c r="K9" s="134">
        <v>0</v>
      </c>
      <c r="L9" s="134">
        <v>413.114787819455</v>
      </c>
      <c r="M9" s="134">
        <v>322.229534499175</v>
      </c>
      <c r="N9" s="134">
        <v>512.344959853689</v>
      </c>
      <c r="O9" s="114">
        <f t="shared" si="0"/>
        <v>2073.91885781123</v>
      </c>
      <c r="P9" s="114">
        <f t="shared" si="1"/>
        <v>0</v>
      </c>
      <c r="Q9" s="136" t="s">
        <v>883</v>
      </c>
    </row>
    <row r="10" spans="1:17">
      <c r="A10" s="125">
        <v>6</v>
      </c>
      <c r="B10" s="126" t="s">
        <v>884</v>
      </c>
      <c r="C10" s="127" t="s">
        <v>885</v>
      </c>
      <c r="D10" s="128" t="s">
        <v>881</v>
      </c>
      <c r="E10" s="128" t="s">
        <v>857</v>
      </c>
      <c r="F10" s="128" t="s">
        <v>865</v>
      </c>
      <c r="G10" s="125"/>
      <c r="H10" s="125">
        <v>6</v>
      </c>
      <c r="I10" s="125" t="s">
        <v>860</v>
      </c>
      <c r="J10" s="134">
        <v>186.88526115642</v>
      </c>
      <c r="K10" s="134">
        <v>0</v>
      </c>
      <c r="L10" s="134">
        <v>93.4426305782102</v>
      </c>
      <c r="M10" s="134">
        <v>72.8852518510039</v>
      </c>
      <c r="N10" s="134">
        <v>115.887550443096</v>
      </c>
      <c r="O10" s="114">
        <f t="shared" si="0"/>
        <v>469.100694028731</v>
      </c>
      <c r="P10" s="114">
        <f t="shared" si="1"/>
        <v>0</v>
      </c>
      <c r="Q10" s="136" t="s">
        <v>877</v>
      </c>
    </row>
    <row r="11" spans="1:17">
      <c r="A11" s="125">
        <v>7</v>
      </c>
      <c r="B11" s="126" t="s">
        <v>886</v>
      </c>
      <c r="C11" s="127" t="s">
        <v>879</v>
      </c>
      <c r="D11" s="128" t="s">
        <v>887</v>
      </c>
      <c r="E11" s="128" t="s">
        <v>881</v>
      </c>
      <c r="F11" s="128" t="s">
        <v>888</v>
      </c>
      <c r="G11" s="125"/>
      <c r="H11" s="125">
        <v>5</v>
      </c>
      <c r="I11" s="125" t="s">
        <v>860</v>
      </c>
      <c r="J11" s="134">
        <v>432.786920572763</v>
      </c>
      <c r="K11" s="134">
        <v>0</v>
      </c>
      <c r="L11" s="134">
        <v>216.393460286381</v>
      </c>
      <c r="M11" s="134">
        <v>168.786899023377</v>
      </c>
      <c r="N11" s="134">
        <v>268.37116944717</v>
      </c>
      <c r="O11" s="114">
        <f t="shared" si="0"/>
        <v>1086.33844932969</v>
      </c>
      <c r="P11" s="114">
        <f t="shared" si="1"/>
        <v>0</v>
      </c>
      <c r="Q11" s="136" t="s">
        <v>883</v>
      </c>
    </row>
    <row r="12" spans="1:17">
      <c r="A12" s="125">
        <v>8</v>
      </c>
      <c r="B12" s="126" t="s">
        <v>889</v>
      </c>
      <c r="C12" s="127" t="s">
        <v>890</v>
      </c>
      <c r="D12" s="128" t="s">
        <v>869</v>
      </c>
      <c r="E12" s="128" t="s">
        <v>891</v>
      </c>
      <c r="F12" s="128" t="s">
        <v>892</v>
      </c>
      <c r="G12" s="125"/>
      <c r="H12" s="125">
        <v>8</v>
      </c>
      <c r="I12" s="125" t="s">
        <v>860</v>
      </c>
      <c r="J12" s="134">
        <v>275.409858546304</v>
      </c>
      <c r="K12" s="134">
        <v>0</v>
      </c>
      <c r="L12" s="134">
        <v>137.704929273152</v>
      </c>
      <c r="M12" s="134">
        <v>107.409844833058</v>
      </c>
      <c r="N12" s="134">
        <v>170.781653284563</v>
      </c>
      <c r="O12" s="114">
        <f t="shared" si="0"/>
        <v>691.306285937077</v>
      </c>
      <c r="P12" s="114">
        <f t="shared" si="1"/>
        <v>0</v>
      </c>
      <c r="Q12" s="136" t="s">
        <v>893</v>
      </c>
    </row>
    <row r="13" spans="1:17">
      <c r="A13" s="125">
        <v>9</v>
      </c>
      <c r="B13" s="126" t="s">
        <v>894</v>
      </c>
      <c r="C13" s="127" t="s">
        <v>895</v>
      </c>
      <c r="D13" s="128" t="s">
        <v>896</v>
      </c>
      <c r="E13" s="128" t="s">
        <v>857</v>
      </c>
      <c r="F13" s="128" t="s">
        <v>892</v>
      </c>
      <c r="G13" s="125"/>
      <c r="H13" s="125">
        <v>6</v>
      </c>
      <c r="I13" s="125" t="s">
        <v>860</v>
      </c>
      <c r="J13" s="134">
        <v>127.868862896498</v>
      </c>
      <c r="K13" s="134">
        <v>0</v>
      </c>
      <c r="L13" s="134">
        <v>63.9344314482491</v>
      </c>
      <c r="M13" s="134">
        <v>49.8688565296343</v>
      </c>
      <c r="N13" s="134">
        <v>79.2914818821185</v>
      </c>
      <c r="O13" s="114">
        <f t="shared" si="0"/>
        <v>320.9636327565</v>
      </c>
      <c r="P13" s="114">
        <f t="shared" si="1"/>
        <v>0</v>
      </c>
      <c r="Q13" s="136" t="s">
        <v>893</v>
      </c>
    </row>
    <row r="14" spans="1:17">
      <c r="A14" s="125">
        <v>10</v>
      </c>
      <c r="B14" s="126" t="s">
        <v>897</v>
      </c>
      <c r="C14" s="127" t="s">
        <v>898</v>
      </c>
      <c r="D14" s="128" t="s">
        <v>857</v>
      </c>
      <c r="E14" s="128" t="s">
        <v>857</v>
      </c>
      <c r="F14" s="128" t="s">
        <v>882</v>
      </c>
      <c r="G14" s="125"/>
      <c r="H14" s="125">
        <v>3</v>
      </c>
      <c r="I14" s="125" t="s">
        <v>860</v>
      </c>
      <c r="J14" s="134">
        <v>1081.96730143191</v>
      </c>
      <c r="K14" s="134">
        <v>0</v>
      </c>
      <c r="L14" s="134">
        <v>540.983650715954</v>
      </c>
      <c r="M14" s="134">
        <v>421.967247558444</v>
      </c>
      <c r="N14" s="134">
        <v>670.927923617926</v>
      </c>
      <c r="O14" s="114">
        <f t="shared" si="0"/>
        <v>2715.84612332423</v>
      </c>
      <c r="P14" s="114">
        <f t="shared" si="1"/>
        <v>0</v>
      </c>
      <c r="Q14" s="136" t="s">
        <v>899</v>
      </c>
    </row>
    <row r="15" spans="1:17">
      <c r="A15" s="125">
        <v>11</v>
      </c>
      <c r="B15" s="126" t="s">
        <v>900</v>
      </c>
      <c r="C15" s="127" t="s">
        <v>901</v>
      </c>
      <c r="D15" s="128" t="s">
        <v>891</v>
      </c>
      <c r="E15" s="128" t="s">
        <v>857</v>
      </c>
      <c r="F15" s="128" t="s">
        <v>882</v>
      </c>
      <c r="G15" s="125"/>
      <c r="H15" s="125">
        <v>8</v>
      </c>
      <c r="I15" s="125" t="s">
        <v>860</v>
      </c>
      <c r="J15" s="134">
        <v>147.540995649805</v>
      </c>
      <c r="K15" s="134">
        <v>0</v>
      </c>
      <c r="L15" s="134">
        <v>73.7704978249027</v>
      </c>
      <c r="M15" s="134">
        <v>57.5409883034242</v>
      </c>
      <c r="N15" s="134">
        <v>91.4901714024444</v>
      </c>
      <c r="O15" s="114">
        <f t="shared" si="0"/>
        <v>370.342653180577</v>
      </c>
      <c r="P15" s="114">
        <f t="shared" si="1"/>
        <v>0</v>
      </c>
      <c r="Q15" s="136" t="s">
        <v>883</v>
      </c>
    </row>
    <row r="16" ht="18.75" spans="1:17">
      <c r="A16" s="123" t="s">
        <v>94</v>
      </c>
      <c r="B16" s="124" t="s">
        <v>902</v>
      </c>
      <c r="C16" s="124"/>
      <c r="D16" s="124"/>
      <c r="E16" s="124"/>
      <c r="F16" s="124"/>
      <c r="G16" s="124"/>
      <c r="H16" s="124"/>
      <c r="I16" s="124"/>
      <c r="J16" s="115">
        <f>K16*0.25</f>
        <v>0</v>
      </c>
      <c r="K16" s="124"/>
      <c r="L16" s="124"/>
      <c r="M16" s="114">
        <f>(J16+K16+L16)*0.06</f>
        <v>0</v>
      </c>
      <c r="N16" s="124"/>
      <c r="O16" s="124"/>
      <c r="P16" s="124"/>
      <c r="Q16" s="124"/>
    </row>
    <row r="17" spans="1:17">
      <c r="A17" s="125">
        <v>1</v>
      </c>
      <c r="B17" s="126" t="s">
        <v>903</v>
      </c>
      <c r="C17" s="127" t="s">
        <v>904</v>
      </c>
      <c r="D17" s="128">
        <v>2.5</v>
      </c>
      <c r="E17" s="128" t="s">
        <v>905</v>
      </c>
      <c r="F17" s="128" t="s">
        <v>904</v>
      </c>
      <c r="G17" s="125"/>
      <c r="H17" s="125">
        <v>1</v>
      </c>
      <c r="I17" s="125" t="s">
        <v>860</v>
      </c>
      <c r="J17" s="115">
        <f t="shared" ref="J17:J27" si="2">K17*0.2</f>
        <v>3700</v>
      </c>
      <c r="K17" s="115">
        <v>18500</v>
      </c>
      <c r="L17" s="115">
        <f t="shared" ref="L17:L27" si="3">K17*0.1</f>
        <v>1850</v>
      </c>
      <c r="M17" s="116">
        <f t="shared" ref="M17:M59" si="4">((J17+K17+L17)*0.06)*0.7103839320882</f>
        <v>1025.08401400327</v>
      </c>
      <c r="N17" s="114">
        <f>(J17+K17+L17+M17)*0.09</f>
        <v>2256.75756126029</v>
      </c>
      <c r="O17" s="114">
        <f t="shared" ref="O17:O27" si="5">J17+K17+L17+M17+N17</f>
        <v>27331.8415752636</v>
      </c>
      <c r="P17" s="114">
        <f t="shared" ref="P17:P27" si="6">O17*G17</f>
        <v>0</v>
      </c>
      <c r="Q17" s="136" t="s">
        <v>906</v>
      </c>
    </row>
    <row r="18" spans="1:17">
      <c r="A18" s="103">
        <v>2</v>
      </c>
      <c r="B18" s="130" t="s">
        <v>907</v>
      </c>
      <c r="C18" s="107"/>
      <c r="D18" s="107">
        <v>2.5</v>
      </c>
      <c r="E18" s="107">
        <v>3</v>
      </c>
      <c r="F18" s="107"/>
      <c r="G18" s="103"/>
      <c r="H18" s="103">
        <v>2</v>
      </c>
      <c r="I18" s="103" t="s">
        <v>860</v>
      </c>
      <c r="J18" s="115">
        <f t="shared" si="2"/>
        <v>4520</v>
      </c>
      <c r="K18" s="115">
        <v>22600</v>
      </c>
      <c r="L18" s="115">
        <f t="shared" si="3"/>
        <v>2260</v>
      </c>
      <c r="M18" s="116">
        <f t="shared" si="4"/>
        <v>1252.26479548508</v>
      </c>
      <c r="N18" s="114">
        <f t="shared" ref="N17:N27" si="7">(J18+K18+L18+M18)*0.09</f>
        <v>2756.90383159366</v>
      </c>
      <c r="O18" s="114">
        <f t="shared" si="5"/>
        <v>33389.1686270787</v>
      </c>
      <c r="P18" s="114">
        <f t="shared" si="6"/>
        <v>0</v>
      </c>
      <c r="Q18" s="137" t="s">
        <v>908</v>
      </c>
    </row>
    <row r="19" spans="1:17">
      <c r="A19" s="125">
        <v>3</v>
      </c>
      <c r="B19" s="126" t="s">
        <v>909</v>
      </c>
      <c r="C19" s="127" t="s">
        <v>895</v>
      </c>
      <c r="D19" s="128" t="s">
        <v>887</v>
      </c>
      <c r="E19" s="128" t="s">
        <v>910</v>
      </c>
      <c r="F19" s="128" t="s">
        <v>911</v>
      </c>
      <c r="G19" s="125"/>
      <c r="H19" s="125">
        <v>5</v>
      </c>
      <c r="I19" s="125" t="s">
        <v>860</v>
      </c>
      <c r="J19" s="115">
        <f t="shared" si="2"/>
        <v>640</v>
      </c>
      <c r="K19" s="115">
        <v>3200</v>
      </c>
      <c r="L19" s="115">
        <f t="shared" si="3"/>
        <v>320</v>
      </c>
      <c r="M19" s="116">
        <f t="shared" si="4"/>
        <v>177.311829449215</v>
      </c>
      <c r="N19" s="114">
        <f t="shared" si="7"/>
        <v>390.358064650429</v>
      </c>
      <c r="O19" s="114">
        <f t="shared" si="5"/>
        <v>4727.66989409964</v>
      </c>
      <c r="P19" s="114">
        <f t="shared" si="6"/>
        <v>0</v>
      </c>
      <c r="Q19" s="136" t="s">
        <v>912</v>
      </c>
    </row>
    <row r="20" spans="1:17">
      <c r="A20" s="103">
        <v>4</v>
      </c>
      <c r="B20" s="126" t="s">
        <v>913</v>
      </c>
      <c r="C20" s="127" t="s">
        <v>863</v>
      </c>
      <c r="D20" s="128" t="s">
        <v>891</v>
      </c>
      <c r="E20" s="128" t="s">
        <v>857</v>
      </c>
      <c r="F20" s="128" t="s">
        <v>859</v>
      </c>
      <c r="G20" s="125"/>
      <c r="H20" s="125">
        <v>64</v>
      </c>
      <c r="I20" s="125" t="s">
        <v>860</v>
      </c>
      <c r="J20" s="115">
        <f t="shared" si="2"/>
        <v>360</v>
      </c>
      <c r="K20" s="115">
        <v>1800</v>
      </c>
      <c r="L20" s="115">
        <f t="shared" si="3"/>
        <v>180</v>
      </c>
      <c r="M20" s="116">
        <f t="shared" si="4"/>
        <v>99.7379040651833</v>
      </c>
      <c r="N20" s="114">
        <f t="shared" si="7"/>
        <v>219.576411365866</v>
      </c>
      <c r="O20" s="114">
        <f t="shared" si="5"/>
        <v>2659.31431543105</v>
      </c>
      <c r="P20" s="114">
        <f t="shared" si="6"/>
        <v>0</v>
      </c>
      <c r="Q20" s="136" t="s">
        <v>861</v>
      </c>
    </row>
    <row r="21" spans="1:17">
      <c r="A21" s="125">
        <v>5</v>
      </c>
      <c r="B21" s="126" t="s">
        <v>914</v>
      </c>
      <c r="C21" s="127" t="s">
        <v>915</v>
      </c>
      <c r="D21" s="128" t="s">
        <v>857</v>
      </c>
      <c r="E21" s="128" t="s">
        <v>858</v>
      </c>
      <c r="F21" s="128" t="s">
        <v>916</v>
      </c>
      <c r="G21" s="125"/>
      <c r="H21" s="125">
        <v>17</v>
      </c>
      <c r="I21" s="125" t="s">
        <v>860</v>
      </c>
      <c r="J21" s="115">
        <f t="shared" si="2"/>
        <v>190</v>
      </c>
      <c r="K21" s="115">
        <v>950</v>
      </c>
      <c r="L21" s="115">
        <f t="shared" si="3"/>
        <v>95</v>
      </c>
      <c r="M21" s="116">
        <f t="shared" si="4"/>
        <v>52.6394493677356</v>
      </c>
      <c r="N21" s="114">
        <f t="shared" si="7"/>
        <v>115.887550443096</v>
      </c>
      <c r="O21" s="114">
        <f t="shared" si="5"/>
        <v>1403.52699981083</v>
      </c>
      <c r="P21" s="114">
        <f t="shared" si="6"/>
        <v>0</v>
      </c>
      <c r="Q21" s="136" t="s">
        <v>917</v>
      </c>
    </row>
    <row r="22" spans="1:17">
      <c r="A22" s="103">
        <v>6</v>
      </c>
      <c r="B22" s="126" t="s">
        <v>918</v>
      </c>
      <c r="C22" s="127" t="s">
        <v>919</v>
      </c>
      <c r="D22" s="128" t="s">
        <v>920</v>
      </c>
      <c r="E22" s="128" t="s">
        <v>881</v>
      </c>
      <c r="F22" s="128" t="s">
        <v>892</v>
      </c>
      <c r="G22" s="125">
        <v>1</v>
      </c>
      <c r="H22" s="125">
        <v>32</v>
      </c>
      <c r="I22" s="125" t="s">
        <v>860</v>
      </c>
      <c r="J22" s="115">
        <f t="shared" si="2"/>
        <v>340</v>
      </c>
      <c r="K22" s="115">
        <v>1700</v>
      </c>
      <c r="L22" s="115">
        <f t="shared" si="3"/>
        <v>170</v>
      </c>
      <c r="M22" s="116">
        <f t="shared" si="4"/>
        <v>94.1969093948953</v>
      </c>
      <c r="N22" s="114">
        <f t="shared" si="7"/>
        <v>207.377721845541</v>
      </c>
      <c r="O22" s="114">
        <f t="shared" si="5"/>
        <v>2511.57463124044</v>
      </c>
      <c r="P22" s="114">
        <f t="shared" si="6"/>
        <v>2511.57463124044</v>
      </c>
      <c r="Q22" s="136" t="s">
        <v>866</v>
      </c>
    </row>
    <row r="23" spans="1:17">
      <c r="A23" s="125">
        <v>7</v>
      </c>
      <c r="B23" s="126" t="s">
        <v>921</v>
      </c>
      <c r="C23" s="127" t="s">
        <v>922</v>
      </c>
      <c r="D23" s="128" t="s">
        <v>923</v>
      </c>
      <c r="E23" s="128" t="s">
        <v>891</v>
      </c>
      <c r="F23" s="128" t="s">
        <v>892</v>
      </c>
      <c r="G23" s="125">
        <v>13</v>
      </c>
      <c r="H23" s="125">
        <v>56</v>
      </c>
      <c r="I23" s="125" t="s">
        <v>860</v>
      </c>
      <c r="J23" s="115">
        <f t="shared" si="2"/>
        <v>260</v>
      </c>
      <c r="K23" s="115">
        <v>1300</v>
      </c>
      <c r="L23" s="115">
        <f t="shared" si="3"/>
        <v>130</v>
      </c>
      <c r="M23" s="116">
        <f t="shared" si="4"/>
        <v>72.0329307137435</v>
      </c>
      <c r="N23" s="114">
        <f t="shared" si="7"/>
        <v>158.582963764237</v>
      </c>
      <c r="O23" s="114">
        <f t="shared" si="5"/>
        <v>1920.61589447798</v>
      </c>
      <c r="P23" s="114">
        <f t="shared" si="6"/>
        <v>24968.0066282137</v>
      </c>
      <c r="Q23" s="136" t="s">
        <v>866</v>
      </c>
    </row>
    <row r="24" spans="1:17">
      <c r="A24" s="103">
        <v>8</v>
      </c>
      <c r="B24" s="126" t="s">
        <v>924</v>
      </c>
      <c r="C24" s="127" t="s">
        <v>885</v>
      </c>
      <c r="D24" s="128" t="s">
        <v>923</v>
      </c>
      <c r="E24" s="128" t="s">
        <v>857</v>
      </c>
      <c r="F24" s="128" t="s">
        <v>865</v>
      </c>
      <c r="G24" s="125"/>
      <c r="H24" s="125">
        <v>52</v>
      </c>
      <c r="I24" s="125" t="s">
        <v>860</v>
      </c>
      <c r="J24" s="115">
        <f t="shared" si="2"/>
        <v>140</v>
      </c>
      <c r="K24" s="115">
        <v>700</v>
      </c>
      <c r="L24" s="115">
        <f t="shared" si="3"/>
        <v>70</v>
      </c>
      <c r="M24" s="116">
        <f t="shared" si="4"/>
        <v>38.7869626920157</v>
      </c>
      <c r="N24" s="114">
        <f t="shared" si="7"/>
        <v>85.3908266422814</v>
      </c>
      <c r="O24" s="114">
        <f t="shared" si="5"/>
        <v>1034.1777893343</v>
      </c>
      <c r="P24" s="114">
        <f t="shared" si="6"/>
        <v>0</v>
      </c>
      <c r="Q24" s="136" t="s">
        <v>925</v>
      </c>
    </row>
    <row r="25" spans="1:17">
      <c r="A25" s="125">
        <v>9</v>
      </c>
      <c r="B25" s="126" t="s">
        <v>926</v>
      </c>
      <c r="C25" s="127" t="s">
        <v>904</v>
      </c>
      <c r="D25" s="128">
        <v>3.5</v>
      </c>
      <c r="E25" s="128" t="s">
        <v>927</v>
      </c>
      <c r="F25" s="128" t="s">
        <v>916</v>
      </c>
      <c r="G25" s="125"/>
      <c r="H25" s="125">
        <v>7</v>
      </c>
      <c r="I25" s="125" t="s">
        <v>860</v>
      </c>
      <c r="J25" s="115">
        <f t="shared" si="2"/>
        <v>240</v>
      </c>
      <c r="K25" s="115">
        <v>1200</v>
      </c>
      <c r="L25" s="115">
        <f t="shared" si="3"/>
        <v>120</v>
      </c>
      <c r="M25" s="116">
        <f t="shared" si="4"/>
        <v>66.4919360434555</v>
      </c>
      <c r="N25" s="114">
        <f t="shared" si="7"/>
        <v>146.384274243911</v>
      </c>
      <c r="O25" s="114">
        <f t="shared" si="5"/>
        <v>1772.87621028737</v>
      </c>
      <c r="P25" s="114">
        <f t="shared" si="6"/>
        <v>0</v>
      </c>
      <c r="Q25" s="136" t="s">
        <v>928</v>
      </c>
    </row>
    <row r="26" spans="1:17">
      <c r="A26" s="103">
        <v>10</v>
      </c>
      <c r="B26" s="126" t="s">
        <v>929</v>
      </c>
      <c r="C26" s="127" t="s">
        <v>898</v>
      </c>
      <c r="D26" s="128" t="s">
        <v>891</v>
      </c>
      <c r="E26" s="128" t="s">
        <v>891</v>
      </c>
      <c r="F26" s="128" t="s">
        <v>888</v>
      </c>
      <c r="G26" s="125"/>
      <c r="H26" s="125">
        <v>28</v>
      </c>
      <c r="I26" s="125" t="s">
        <v>860</v>
      </c>
      <c r="J26" s="115">
        <f t="shared" si="2"/>
        <v>260</v>
      </c>
      <c r="K26" s="115">
        <v>1300</v>
      </c>
      <c r="L26" s="115">
        <f t="shared" si="3"/>
        <v>130</v>
      </c>
      <c r="M26" s="116">
        <f t="shared" si="4"/>
        <v>72.0329307137435</v>
      </c>
      <c r="N26" s="114">
        <f t="shared" si="7"/>
        <v>158.582963764237</v>
      </c>
      <c r="O26" s="114">
        <f t="shared" si="5"/>
        <v>1920.61589447798</v>
      </c>
      <c r="P26" s="114">
        <f t="shared" si="6"/>
        <v>0</v>
      </c>
      <c r="Q26" s="136" t="s">
        <v>866</v>
      </c>
    </row>
    <row r="27" spans="1:17">
      <c r="A27" s="125">
        <v>11</v>
      </c>
      <c r="B27" s="126" t="s">
        <v>930</v>
      </c>
      <c r="C27" s="127" t="s">
        <v>931</v>
      </c>
      <c r="D27" s="128" t="s">
        <v>891</v>
      </c>
      <c r="E27" s="128"/>
      <c r="F27" s="128"/>
      <c r="G27" s="125"/>
      <c r="H27" s="125">
        <v>256</v>
      </c>
      <c r="I27" s="125" t="s">
        <v>860</v>
      </c>
      <c r="J27" s="115">
        <f t="shared" si="2"/>
        <v>1</v>
      </c>
      <c r="K27" s="115">
        <v>5</v>
      </c>
      <c r="L27" s="115">
        <f t="shared" si="3"/>
        <v>0.5</v>
      </c>
      <c r="M27" s="116">
        <f t="shared" si="4"/>
        <v>0.277049733514398</v>
      </c>
      <c r="N27" s="114">
        <f t="shared" si="7"/>
        <v>0.609934476016296</v>
      </c>
      <c r="O27" s="114">
        <f t="shared" si="5"/>
        <v>7.38698420953069</v>
      </c>
      <c r="P27" s="114">
        <f t="shared" si="6"/>
        <v>0</v>
      </c>
      <c r="Q27" s="136" t="s">
        <v>932</v>
      </c>
    </row>
    <row r="28" ht="18.75" spans="1:17">
      <c r="A28" s="123" t="s">
        <v>100</v>
      </c>
      <c r="B28" s="124" t="s">
        <v>933</v>
      </c>
      <c r="C28" s="124"/>
      <c r="D28" s="124"/>
      <c r="E28" s="124"/>
      <c r="F28" s="124"/>
      <c r="G28" s="124"/>
      <c r="H28" s="124"/>
      <c r="I28" s="124"/>
      <c r="J28" s="115">
        <f>K28*0.25</f>
        <v>0</v>
      </c>
      <c r="K28" s="124"/>
      <c r="L28" s="124"/>
      <c r="M28" s="116">
        <f t="shared" si="4"/>
        <v>0</v>
      </c>
      <c r="N28" s="124"/>
      <c r="O28" s="124"/>
      <c r="P28" s="124"/>
      <c r="Q28" s="124"/>
    </row>
    <row r="29" spans="1:17">
      <c r="A29" s="125">
        <v>12</v>
      </c>
      <c r="B29" s="126" t="s">
        <v>934</v>
      </c>
      <c r="C29" s="127" t="s">
        <v>935</v>
      </c>
      <c r="D29" s="128" t="s">
        <v>896</v>
      </c>
      <c r="E29" s="128" t="s">
        <v>887</v>
      </c>
      <c r="F29" s="128" t="s">
        <v>892</v>
      </c>
      <c r="G29" s="125"/>
      <c r="H29" s="125">
        <v>20</v>
      </c>
      <c r="I29" s="125" t="s">
        <v>860</v>
      </c>
      <c r="J29" s="115">
        <f t="shared" ref="J29:J59" si="8">K29*0.2</f>
        <v>560</v>
      </c>
      <c r="K29" s="115">
        <v>2800</v>
      </c>
      <c r="L29" s="115">
        <f t="shared" ref="L29:L59" si="9">K29*0.1</f>
        <v>280</v>
      </c>
      <c r="M29" s="116">
        <f t="shared" si="4"/>
        <v>155.147850768063</v>
      </c>
      <c r="N29" s="114">
        <f t="shared" ref="N29:N59" si="10">(J29+K29+L29+M29)*0.09</f>
        <v>341.563306569126</v>
      </c>
      <c r="O29" s="114">
        <f t="shared" ref="O29:O59" si="11">J29+K29+L29+M29+N29</f>
        <v>4136.71115733719</v>
      </c>
      <c r="P29" s="114">
        <f t="shared" ref="P29:P59" si="12">O29*G29</f>
        <v>0</v>
      </c>
      <c r="Q29" s="136" t="s">
        <v>936</v>
      </c>
    </row>
    <row r="30" spans="1:17">
      <c r="A30" s="125">
        <v>13</v>
      </c>
      <c r="B30" s="126" t="s">
        <v>937</v>
      </c>
      <c r="C30" s="127" t="s">
        <v>938</v>
      </c>
      <c r="D30" s="128" t="s">
        <v>869</v>
      </c>
      <c r="E30" s="128" t="s">
        <v>939</v>
      </c>
      <c r="F30" s="128" t="s">
        <v>876</v>
      </c>
      <c r="G30" s="125"/>
      <c r="H30" s="125">
        <v>5</v>
      </c>
      <c r="I30" s="125" t="s">
        <v>860</v>
      </c>
      <c r="J30" s="115">
        <f t="shared" si="8"/>
        <v>1500</v>
      </c>
      <c r="K30" s="115">
        <v>7500</v>
      </c>
      <c r="L30" s="115">
        <f t="shared" si="9"/>
        <v>750</v>
      </c>
      <c r="M30" s="116">
        <f t="shared" si="4"/>
        <v>415.574600271597</v>
      </c>
      <c r="N30" s="114">
        <f t="shared" si="10"/>
        <v>914.901714024444</v>
      </c>
      <c r="O30" s="114">
        <f t="shared" si="11"/>
        <v>11080.476314296</v>
      </c>
      <c r="P30" s="114">
        <f t="shared" si="12"/>
        <v>0</v>
      </c>
      <c r="Q30" s="136" t="s">
        <v>877</v>
      </c>
    </row>
    <row r="31" spans="1:17">
      <c r="A31" s="125">
        <v>14</v>
      </c>
      <c r="B31" s="126" t="s">
        <v>940</v>
      </c>
      <c r="C31" s="127" t="s">
        <v>941</v>
      </c>
      <c r="D31" s="128" t="s">
        <v>942</v>
      </c>
      <c r="E31" s="128" t="s">
        <v>887</v>
      </c>
      <c r="F31" s="128" t="s">
        <v>876</v>
      </c>
      <c r="G31" s="125"/>
      <c r="H31" s="125">
        <v>12</v>
      </c>
      <c r="I31" s="125" t="s">
        <v>860</v>
      </c>
      <c r="J31" s="115">
        <f t="shared" si="8"/>
        <v>480</v>
      </c>
      <c r="K31" s="115">
        <v>2400</v>
      </c>
      <c r="L31" s="115">
        <f t="shared" si="9"/>
        <v>240</v>
      </c>
      <c r="M31" s="116">
        <f t="shared" si="4"/>
        <v>132.983872086911</v>
      </c>
      <c r="N31" s="114">
        <f t="shared" si="10"/>
        <v>292.768548487822</v>
      </c>
      <c r="O31" s="114">
        <f t="shared" si="11"/>
        <v>3545.75242057473</v>
      </c>
      <c r="P31" s="114">
        <f t="shared" si="12"/>
        <v>0</v>
      </c>
      <c r="Q31" s="136" t="s">
        <v>877</v>
      </c>
    </row>
    <row r="32" spans="1:17">
      <c r="A32" s="125">
        <v>15</v>
      </c>
      <c r="B32" s="126" t="s">
        <v>943</v>
      </c>
      <c r="C32" s="127" t="s">
        <v>944</v>
      </c>
      <c r="D32" s="128" t="s">
        <v>896</v>
      </c>
      <c r="E32" s="128" t="s">
        <v>880</v>
      </c>
      <c r="F32" s="128" t="s">
        <v>876</v>
      </c>
      <c r="G32" s="125"/>
      <c r="H32" s="125">
        <v>57</v>
      </c>
      <c r="I32" s="125" t="s">
        <v>860</v>
      </c>
      <c r="J32" s="115">
        <f t="shared" si="8"/>
        <v>960</v>
      </c>
      <c r="K32" s="115">
        <v>4800</v>
      </c>
      <c r="L32" s="115">
        <f t="shared" si="9"/>
        <v>480</v>
      </c>
      <c r="M32" s="116">
        <f t="shared" si="4"/>
        <v>265.967744173822</v>
      </c>
      <c r="N32" s="114">
        <f t="shared" si="10"/>
        <v>585.537096975644</v>
      </c>
      <c r="O32" s="114">
        <f t="shared" si="11"/>
        <v>7091.50484114947</v>
      </c>
      <c r="P32" s="114">
        <f t="shared" si="12"/>
        <v>0</v>
      </c>
      <c r="Q32" s="136" t="s">
        <v>877</v>
      </c>
    </row>
    <row r="33" spans="1:17">
      <c r="A33" s="125">
        <v>16</v>
      </c>
      <c r="B33" s="126" t="s">
        <v>945</v>
      </c>
      <c r="C33" s="127" t="s">
        <v>946</v>
      </c>
      <c r="D33" s="128" t="s">
        <v>942</v>
      </c>
      <c r="E33" s="128" t="s">
        <v>939</v>
      </c>
      <c r="F33" s="128" t="s">
        <v>871</v>
      </c>
      <c r="G33" s="125"/>
      <c r="H33" s="125">
        <v>7</v>
      </c>
      <c r="I33" s="125" t="s">
        <v>860</v>
      </c>
      <c r="J33" s="115">
        <f t="shared" si="8"/>
        <v>1300</v>
      </c>
      <c r="K33" s="115">
        <v>6500</v>
      </c>
      <c r="L33" s="115">
        <f t="shared" si="9"/>
        <v>650</v>
      </c>
      <c r="M33" s="116">
        <f t="shared" si="4"/>
        <v>360.164653568717</v>
      </c>
      <c r="N33" s="114">
        <f t="shared" si="10"/>
        <v>792.914818821185</v>
      </c>
      <c r="O33" s="114">
        <f t="shared" si="11"/>
        <v>9603.0794723899</v>
      </c>
      <c r="P33" s="114">
        <f t="shared" si="12"/>
        <v>0</v>
      </c>
      <c r="Q33" s="136" t="s">
        <v>947</v>
      </c>
    </row>
    <row r="34" spans="1:17">
      <c r="A34" s="125">
        <v>17</v>
      </c>
      <c r="B34" s="126" t="s">
        <v>948</v>
      </c>
      <c r="C34" s="127" t="s">
        <v>949</v>
      </c>
      <c r="D34" s="128" t="s">
        <v>920</v>
      </c>
      <c r="E34" s="128" t="s">
        <v>880</v>
      </c>
      <c r="F34" s="128" t="s">
        <v>871</v>
      </c>
      <c r="G34" s="125"/>
      <c r="H34" s="125">
        <v>4</v>
      </c>
      <c r="I34" s="125" t="s">
        <v>860</v>
      </c>
      <c r="J34" s="115">
        <f t="shared" si="8"/>
        <v>1100</v>
      </c>
      <c r="K34" s="115">
        <v>5500</v>
      </c>
      <c r="L34" s="115">
        <f t="shared" si="9"/>
        <v>550</v>
      </c>
      <c r="M34" s="116">
        <f t="shared" si="4"/>
        <v>304.754706865838</v>
      </c>
      <c r="N34" s="114">
        <f t="shared" si="10"/>
        <v>670.927923617925</v>
      </c>
      <c r="O34" s="114">
        <f t="shared" si="11"/>
        <v>8125.68263048376</v>
      </c>
      <c r="P34" s="114">
        <f t="shared" si="12"/>
        <v>0</v>
      </c>
      <c r="Q34" s="136" t="s">
        <v>950</v>
      </c>
    </row>
    <row r="35" spans="1:17">
      <c r="A35" s="125">
        <v>18</v>
      </c>
      <c r="B35" s="126" t="s">
        <v>951</v>
      </c>
      <c r="C35" s="127" t="s">
        <v>944</v>
      </c>
      <c r="D35" s="128" t="s">
        <v>942</v>
      </c>
      <c r="E35" s="128" t="s">
        <v>880</v>
      </c>
      <c r="F35" s="128" t="s">
        <v>952</v>
      </c>
      <c r="G35" s="125"/>
      <c r="H35" s="125">
        <v>10</v>
      </c>
      <c r="I35" s="125" t="s">
        <v>860</v>
      </c>
      <c r="J35" s="115">
        <f t="shared" si="8"/>
        <v>1060</v>
      </c>
      <c r="K35" s="115">
        <v>5300</v>
      </c>
      <c r="L35" s="115">
        <f t="shared" si="9"/>
        <v>530</v>
      </c>
      <c r="M35" s="116">
        <f t="shared" si="4"/>
        <v>293.672717525262</v>
      </c>
      <c r="N35" s="114">
        <f t="shared" si="10"/>
        <v>646.530544577274</v>
      </c>
      <c r="O35" s="114">
        <f t="shared" si="11"/>
        <v>7830.20326210254</v>
      </c>
      <c r="P35" s="114">
        <f t="shared" si="12"/>
        <v>0</v>
      </c>
      <c r="Q35" s="136" t="s">
        <v>953</v>
      </c>
    </row>
    <row r="36" spans="1:17">
      <c r="A36" s="125">
        <v>19</v>
      </c>
      <c r="B36" s="126" t="s">
        <v>954</v>
      </c>
      <c r="C36" s="127" t="s">
        <v>941</v>
      </c>
      <c r="D36" s="128" t="s">
        <v>920</v>
      </c>
      <c r="E36" s="128" t="s">
        <v>887</v>
      </c>
      <c r="F36" s="128" t="s">
        <v>952</v>
      </c>
      <c r="G36" s="125"/>
      <c r="H36" s="125">
        <v>11</v>
      </c>
      <c r="I36" s="125" t="s">
        <v>860</v>
      </c>
      <c r="J36" s="115">
        <f t="shared" si="8"/>
        <v>460</v>
      </c>
      <c r="K36" s="115">
        <v>2300</v>
      </c>
      <c r="L36" s="115">
        <f t="shared" si="9"/>
        <v>230</v>
      </c>
      <c r="M36" s="116">
        <f t="shared" si="4"/>
        <v>127.442877416623</v>
      </c>
      <c r="N36" s="114">
        <f t="shared" si="10"/>
        <v>280.569858967496</v>
      </c>
      <c r="O36" s="114">
        <f t="shared" si="11"/>
        <v>3398.01273638412</v>
      </c>
      <c r="P36" s="114">
        <f t="shared" si="12"/>
        <v>0</v>
      </c>
      <c r="Q36" s="136" t="s">
        <v>953</v>
      </c>
    </row>
    <row r="37" spans="1:17">
      <c r="A37" s="125">
        <v>20</v>
      </c>
      <c r="B37" s="126" t="s">
        <v>955</v>
      </c>
      <c r="C37" s="127" t="s">
        <v>941</v>
      </c>
      <c r="D37" s="128" t="s">
        <v>896</v>
      </c>
      <c r="E37" s="128" t="s">
        <v>887</v>
      </c>
      <c r="F37" s="128" t="s">
        <v>858</v>
      </c>
      <c r="G37" s="125"/>
      <c r="H37" s="125">
        <v>5</v>
      </c>
      <c r="I37" s="125" t="s">
        <v>860</v>
      </c>
      <c r="J37" s="115">
        <f t="shared" si="8"/>
        <v>320</v>
      </c>
      <c r="K37" s="115">
        <v>1600</v>
      </c>
      <c r="L37" s="115">
        <f t="shared" si="9"/>
        <v>160</v>
      </c>
      <c r="M37" s="116">
        <f t="shared" si="4"/>
        <v>88.6559147246074</v>
      </c>
      <c r="N37" s="114">
        <f t="shared" si="10"/>
        <v>195.179032325215</v>
      </c>
      <c r="O37" s="114">
        <f t="shared" si="11"/>
        <v>2363.83494704982</v>
      </c>
      <c r="P37" s="114">
        <f t="shared" si="12"/>
        <v>0</v>
      </c>
      <c r="Q37" s="136" t="s">
        <v>925</v>
      </c>
    </row>
    <row r="38" spans="1:17">
      <c r="A38" s="125">
        <v>21</v>
      </c>
      <c r="B38" s="126" t="s">
        <v>956</v>
      </c>
      <c r="C38" s="127" t="s">
        <v>941</v>
      </c>
      <c r="D38" s="128" t="s">
        <v>920</v>
      </c>
      <c r="E38" s="128" t="s">
        <v>887</v>
      </c>
      <c r="F38" s="128" t="s">
        <v>876</v>
      </c>
      <c r="G38" s="125">
        <v>1</v>
      </c>
      <c r="H38" s="125">
        <v>6</v>
      </c>
      <c r="I38" s="125" t="s">
        <v>860</v>
      </c>
      <c r="J38" s="115">
        <f t="shared" si="8"/>
        <v>480</v>
      </c>
      <c r="K38" s="115">
        <v>2400</v>
      </c>
      <c r="L38" s="115">
        <f t="shared" si="9"/>
        <v>240</v>
      </c>
      <c r="M38" s="116">
        <f t="shared" si="4"/>
        <v>132.983872086911</v>
      </c>
      <c r="N38" s="114">
        <f t="shared" si="10"/>
        <v>292.768548487822</v>
      </c>
      <c r="O38" s="114">
        <f t="shared" si="11"/>
        <v>3545.75242057473</v>
      </c>
      <c r="P38" s="114">
        <f t="shared" si="12"/>
        <v>3545.75242057473</v>
      </c>
      <c r="Q38" s="136" t="s">
        <v>957</v>
      </c>
    </row>
    <row r="39" spans="1:17">
      <c r="A39" s="125">
        <v>22</v>
      </c>
      <c r="B39" s="126" t="s">
        <v>958</v>
      </c>
      <c r="C39" s="127" t="s">
        <v>941</v>
      </c>
      <c r="D39" s="128" t="s">
        <v>920</v>
      </c>
      <c r="E39" s="128" t="s">
        <v>887</v>
      </c>
      <c r="F39" s="128" t="s">
        <v>876</v>
      </c>
      <c r="G39" s="125"/>
      <c r="H39" s="125">
        <v>2</v>
      </c>
      <c r="I39" s="125" t="s">
        <v>860</v>
      </c>
      <c r="J39" s="115">
        <f t="shared" si="8"/>
        <v>360</v>
      </c>
      <c r="K39" s="115">
        <v>1800</v>
      </c>
      <c r="L39" s="115">
        <f t="shared" si="9"/>
        <v>180</v>
      </c>
      <c r="M39" s="116">
        <f t="shared" si="4"/>
        <v>99.7379040651833</v>
      </c>
      <c r="N39" s="114">
        <f t="shared" si="10"/>
        <v>219.576411365866</v>
      </c>
      <c r="O39" s="114">
        <f t="shared" si="11"/>
        <v>2659.31431543105</v>
      </c>
      <c r="P39" s="114">
        <f t="shared" si="12"/>
        <v>0</v>
      </c>
      <c r="Q39" s="136" t="s">
        <v>957</v>
      </c>
    </row>
    <row r="40" spans="1:17">
      <c r="A40" s="125">
        <v>23</v>
      </c>
      <c r="B40" s="126" t="s">
        <v>959</v>
      </c>
      <c r="C40" s="127" t="s">
        <v>960</v>
      </c>
      <c r="D40" s="128" t="s">
        <v>923</v>
      </c>
      <c r="E40" s="128">
        <v>4</v>
      </c>
      <c r="F40" s="128" t="s">
        <v>961</v>
      </c>
      <c r="G40" s="125"/>
      <c r="H40" s="125">
        <v>1</v>
      </c>
      <c r="I40" s="125" t="s">
        <v>860</v>
      </c>
      <c r="J40" s="115">
        <f t="shared" si="8"/>
        <v>1100</v>
      </c>
      <c r="K40" s="115">
        <v>5500</v>
      </c>
      <c r="L40" s="115">
        <f t="shared" si="9"/>
        <v>550</v>
      </c>
      <c r="M40" s="116">
        <f t="shared" si="4"/>
        <v>304.754706865838</v>
      </c>
      <c r="N40" s="114">
        <f t="shared" si="10"/>
        <v>670.927923617925</v>
      </c>
      <c r="O40" s="114">
        <f t="shared" si="11"/>
        <v>8125.68263048376</v>
      </c>
      <c r="P40" s="114">
        <f t="shared" si="12"/>
        <v>0</v>
      </c>
      <c r="Q40" s="136" t="s">
        <v>962</v>
      </c>
    </row>
    <row r="41" spans="1:17">
      <c r="A41" s="125">
        <v>24</v>
      </c>
      <c r="B41" s="126" t="s">
        <v>963</v>
      </c>
      <c r="C41" s="127" t="s">
        <v>964</v>
      </c>
      <c r="D41" s="128" t="s">
        <v>923</v>
      </c>
      <c r="E41" s="128" t="s">
        <v>881</v>
      </c>
      <c r="F41" s="128" t="s">
        <v>871</v>
      </c>
      <c r="G41" s="125"/>
      <c r="H41" s="125">
        <v>11</v>
      </c>
      <c r="I41" s="125" t="s">
        <v>860</v>
      </c>
      <c r="J41" s="115">
        <f t="shared" si="8"/>
        <v>640</v>
      </c>
      <c r="K41" s="115">
        <v>3200</v>
      </c>
      <c r="L41" s="115">
        <f t="shared" si="9"/>
        <v>320</v>
      </c>
      <c r="M41" s="116">
        <f t="shared" si="4"/>
        <v>177.311829449215</v>
      </c>
      <c r="N41" s="114">
        <f t="shared" si="10"/>
        <v>390.358064650429</v>
      </c>
      <c r="O41" s="114">
        <f t="shared" si="11"/>
        <v>4727.66989409964</v>
      </c>
      <c r="P41" s="114">
        <f t="shared" si="12"/>
        <v>0</v>
      </c>
      <c r="Q41" s="136" t="s">
        <v>965</v>
      </c>
    </row>
    <row r="42" spans="1:17">
      <c r="A42" s="125">
        <v>25</v>
      </c>
      <c r="B42" s="126" t="s">
        <v>966</v>
      </c>
      <c r="C42" s="127" t="s">
        <v>895</v>
      </c>
      <c r="D42" s="128" t="s">
        <v>887</v>
      </c>
      <c r="E42" s="128" t="s">
        <v>891</v>
      </c>
      <c r="F42" s="128" t="s">
        <v>865</v>
      </c>
      <c r="G42" s="125"/>
      <c r="H42" s="125">
        <v>35</v>
      </c>
      <c r="I42" s="125" t="s">
        <v>860</v>
      </c>
      <c r="J42" s="115">
        <f t="shared" si="8"/>
        <v>640</v>
      </c>
      <c r="K42" s="115">
        <v>3200</v>
      </c>
      <c r="L42" s="115">
        <f t="shared" si="9"/>
        <v>320</v>
      </c>
      <c r="M42" s="116">
        <f t="shared" si="4"/>
        <v>177.311829449215</v>
      </c>
      <c r="N42" s="114">
        <f t="shared" si="10"/>
        <v>390.358064650429</v>
      </c>
      <c r="O42" s="114">
        <f t="shared" si="11"/>
        <v>4727.66989409964</v>
      </c>
      <c r="P42" s="114">
        <f t="shared" si="12"/>
        <v>0</v>
      </c>
      <c r="Q42" s="136" t="s">
        <v>877</v>
      </c>
    </row>
    <row r="43" spans="1:17">
      <c r="A43" s="125">
        <v>26</v>
      </c>
      <c r="B43" s="126" t="s">
        <v>967</v>
      </c>
      <c r="C43" s="127" t="s">
        <v>885</v>
      </c>
      <c r="D43" s="128" t="s">
        <v>881</v>
      </c>
      <c r="E43" s="128" t="s">
        <v>857</v>
      </c>
      <c r="F43" s="128" t="s">
        <v>865</v>
      </c>
      <c r="G43" s="125"/>
      <c r="H43" s="125">
        <v>11</v>
      </c>
      <c r="I43" s="125" t="s">
        <v>860</v>
      </c>
      <c r="J43" s="115">
        <f t="shared" si="8"/>
        <v>240</v>
      </c>
      <c r="K43" s="115">
        <v>1200</v>
      </c>
      <c r="L43" s="115">
        <f t="shared" si="9"/>
        <v>120</v>
      </c>
      <c r="M43" s="116">
        <f t="shared" si="4"/>
        <v>66.4919360434555</v>
      </c>
      <c r="N43" s="114">
        <f t="shared" si="10"/>
        <v>146.384274243911</v>
      </c>
      <c r="O43" s="114">
        <f t="shared" si="11"/>
        <v>1772.87621028737</v>
      </c>
      <c r="P43" s="114">
        <f t="shared" si="12"/>
        <v>0</v>
      </c>
      <c r="Q43" s="136" t="s">
        <v>877</v>
      </c>
    </row>
    <row r="44" spans="1:17">
      <c r="A44" s="125">
        <v>27</v>
      </c>
      <c r="B44" s="126" t="s">
        <v>968</v>
      </c>
      <c r="C44" s="127" t="s">
        <v>969</v>
      </c>
      <c r="D44" s="128" t="s">
        <v>891</v>
      </c>
      <c r="E44" s="128" t="s">
        <v>857</v>
      </c>
      <c r="F44" s="128" t="s">
        <v>916</v>
      </c>
      <c r="G44" s="125"/>
      <c r="H44" s="125">
        <v>6</v>
      </c>
      <c r="I44" s="125" t="s">
        <v>860</v>
      </c>
      <c r="J44" s="115">
        <f t="shared" si="8"/>
        <v>200</v>
      </c>
      <c r="K44" s="115">
        <v>1000</v>
      </c>
      <c r="L44" s="115">
        <f t="shared" si="9"/>
        <v>100</v>
      </c>
      <c r="M44" s="116">
        <f t="shared" si="4"/>
        <v>55.4099467028796</v>
      </c>
      <c r="N44" s="114">
        <f t="shared" si="10"/>
        <v>121.986895203259</v>
      </c>
      <c r="O44" s="114">
        <f t="shared" si="11"/>
        <v>1477.39684190614</v>
      </c>
      <c r="P44" s="114">
        <f t="shared" si="12"/>
        <v>0</v>
      </c>
      <c r="Q44" s="136" t="s">
        <v>970</v>
      </c>
    </row>
    <row r="45" spans="1:17">
      <c r="A45" s="125">
        <v>28</v>
      </c>
      <c r="B45" s="126" t="s">
        <v>971</v>
      </c>
      <c r="C45" s="127" t="s">
        <v>898</v>
      </c>
      <c r="D45" s="128" t="s">
        <v>891</v>
      </c>
      <c r="E45" s="128" t="s">
        <v>857</v>
      </c>
      <c r="F45" s="128" t="s">
        <v>916</v>
      </c>
      <c r="G45" s="125"/>
      <c r="H45" s="125">
        <v>10</v>
      </c>
      <c r="I45" s="125" t="s">
        <v>860</v>
      </c>
      <c r="J45" s="115">
        <f t="shared" si="8"/>
        <v>220</v>
      </c>
      <c r="K45" s="115">
        <v>1100</v>
      </c>
      <c r="L45" s="115">
        <f t="shared" si="9"/>
        <v>110</v>
      </c>
      <c r="M45" s="116">
        <f t="shared" si="4"/>
        <v>60.9509413731676</v>
      </c>
      <c r="N45" s="114">
        <f t="shared" si="10"/>
        <v>134.185584723585</v>
      </c>
      <c r="O45" s="114">
        <f t="shared" si="11"/>
        <v>1625.13652609675</v>
      </c>
      <c r="P45" s="114">
        <f t="shared" si="12"/>
        <v>0</v>
      </c>
      <c r="Q45" s="136" t="s">
        <v>972</v>
      </c>
    </row>
    <row r="46" spans="1:17">
      <c r="A46" s="125">
        <v>29</v>
      </c>
      <c r="B46" s="126" t="s">
        <v>973</v>
      </c>
      <c r="C46" s="127" t="s">
        <v>974</v>
      </c>
      <c r="D46" s="128" t="s">
        <v>881</v>
      </c>
      <c r="E46" s="128" t="s">
        <v>891</v>
      </c>
      <c r="F46" s="128" t="s">
        <v>888</v>
      </c>
      <c r="G46" s="125"/>
      <c r="H46" s="125">
        <v>48</v>
      </c>
      <c r="I46" s="125" t="s">
        <v>860</v>
      </c>
      <c r="J46" s="115">
        <f t="shared" si="8"/>
        <v>320</v>
      </c>
      <c r="K46" s="115">
        <v>1600</v>
      </c>
      <c r="L46" s="115">
        <f t="shared" si="9"/>
        <v>160</v>
      </c>
      <c r="M46" s="116">
        <f t="shared" si="4"/>
        <v>88.6559147246074</v>
      </c>
      <c r="N46" s="114">
        <f t="shared" si="10"/>
        <v>195.179032325215</v>
      </c>
      <c r="O46" s="114">
        <f t="shared" si="11"/>
        <v>2363.83494704982</v>
      </c>
      <c r="P46" s="114">
        <f t="shared" si="12"/>
        <v>0</v>
      </c>
      <c r="Q46" s="136" t="s">
        <v>883</v>
      </c>
    </row>
    <row r="47" spans="1:17">
      <c r="A47" s="125">
        <v>30</v>
      </c>
      <c r="B47" s="126" t="s">
        <v>975</v>
      </c>
      <c r="C47" s="127" t="s">
        <v>901</v>
      </c>
      <c r="D47" s="128" t="s">
        <v>858</v>
      </c>
      <c r="E47" s="128" t="s">
        <v>857</v>
      </c>
      <c r="F47" s="128" t="s">
        <v>976</v>
      </c>
      <c r="G47" s="125"/>
      <c r="H47" s="125">
        <v>2</v>
      </c>
      <c r="I47" s="125" t="s">
        <v>860</v>
      </c>
      <c r="J47" s="115">
        <f t="shared" si="8"/>
        <v>180</v>
      </c>
      <c r="K47" s="115">
        <v>900</v>
      </c>
      <c r="L47" s="115">
        <f t="shared" si="9"/>
        <v>90</v>
      </c>
      <c r="M47" s="116">
        <f t="shared" si="4"/>
        <v>49.8689520325916</v>
      </c>
      <c r="N47" s="114">
        <f t="shared" si="10"/>
        <v>109.788205682933</v>
      </c>
      <c r="O47" s="114">
        <f t="shared" si="11"/>
        <v>1329.65715771552</v>
      </c>
      <c r="P47" s="114">
        <f t="shared" si="12"/>
        <v>0</v>
      </c>
      <c r="Q47" s="136" t="s">
        <v>883</v>
      </c>
    </row>
    <row r="48" spans="1:17">
      <c r="A48" s="125">
        <v>31</v>
      </c>
      <c r="B48" s="126" t="s">
        <v>977</v>
      </c>
      <c r="C48" s="127" t="s">
        <v>974</v>
      </c>
      <c r="D48" s="128" t="s">
        <v>887</v>
      </c>
      <c r="E48" s="128" t="s">
        <v>891</v>
      </c>
      <c r="F48" s="128" t="s">
        <v>882</v>
      </c>
      <c r="G48" s="125"/>
      <c r="H48" s="125">
        <v>13</v>
      </c>
      <c r="I48" s="125" t="s">
        <v>860</v>
      </c>
      <c r="J48" s="115">
        <f t="shared" si="8"/>
        <v>360</v>
      </c>
      <c r="K48" s="115">
        <v>1800</v>
      </c>
      <c r="L48" s="115">
        <f t="shared" si="9"/>
        <v>180</v>
      </c>
      <c r="M48" s="116">
        <f t="shared" si="4"/>
        <v>99.7379040651833</v>
      </c>
      <c r="N48" s="114">
        <f t="shared" si="10"/>
        <v>219.576411365866</v>
      </c>
      <c r="O48" s="114">
        <f t="shared" si="11"/>
        <v>2659.31431543105</v>
      </c>
      <c r="P48" s="114">
        <f t="shared" si="12"/>
        <v>0</v>
      </c>
      <c r="Q48" s="136" t="s">
        <v>883</v>
      </c>
    </row>
    <row r="49" spans="1:17">
      <c r="A49" s="125">
        <v>32</v>
      </c>
      <c r="B49" s="126" t="s">
        <v>978</v>
      </c>
      <c r="C49" s="127" t="s">
        <v>898</v>
      </c>
      <c r="D49" s="128" t="s">
        <v>881</v>
      </c>
      <c r="E49" s="128" t="s">
        <v>857</v>
      </c>
      <c r="F49" s="128" t="s">
        <v>882</v>
      </c>
      <c r="G49" s="125"/>
      <c r="H49" s="125">
        <v>19</v>
      </c>
      <c r="I49" s="125" t="s">
        <v>860</v>
      </c>
      <c r="J49" s="115">
        <f t="shared" si="8"/>
        <v>260</v>
      </c>
      <c r="K49" s="115">
        <v>1300</v>
      </c>
      <c r="L49" s="115">
        <f t="shared" si="9"/>
        <v>130</v>
      </c>
      <c r="M49" s="116">
        <f t="shared" si="4"/>
        <v>72.0329307137435</v>
      </c>
      <c r="N49" s="114">
        <f t="shared" si="10"/>
        <v>158.582963764237</v>
      </c>
      <c r="O49" s="114">
        <f t="shared" si="11"/>
        <v>1920.61589447798</v>
      </c>
      <c r="P49" s="114">
        <f t="shared" si="12"/>
        <v>0</v>
      </c>
      <c r="Q49" s="136" t="s">
        <v>883</v>
      </c>
    </row>
    <row r="50" spans="1:17">
      <c r="A50" s="125">
        <v>33</v>
      </c>
      <c r="B50" s="126" t="s">
        <v>979</v>
      </c>
      <c r="C50" s="127" t="s">
        <v>901</v>
      </c>
      <c r="D50" s="128" t="s">
        <v>891</v>
      </c>
      <c r="E50" s="128" t="s">
        <v>857</v>
      </c>
      <c r="F50" s="128" t="s">
        <v>980</v>
      </c>
      <c r="G50" s="125"/>
      <c r="H50" s="125">
        <v>9</v>
      </c>
      <c r="I50" s="125" t="s">
        <v>860</v>
      </c>
      <c r="J50" s="115">
        <f t="shared" si="8"/>
        <v>240</v>
      </c>
      <c r="K50" s="115">
        <v>1200</v>
      </c>
      <c r="L50" s="115">
        <f t="shared" si="9"/>
        <v>120</v>
      </c>
      <c r="M50" s="116">
        <f t="shared" si="4"/>
        <v>66.4919360434555</v>
      </c>
      <c r="N50" s="114">
        <f t="shared" si="10"/>
        <v>146.384274243911</v>
      </c>
      <c r="O50" s="114">
        <f t="shared" si="11"/>
        <v>1772.87621028737</v>
      </c>
      <c r="P50" s="114">
        <f t="shared" si="12"/>
        <v>0</v>
      </c>
      <c r="Q50" s="136" t="s">
        <v>981</v>
      </c>
    </row>
    <row r="51" spans="1:17">
      <c r="A51" s="125">
        <v>34</v>
      </c>
      <c r="B51" s="126" t="s">
        <v>982</v>
      </c>
      <c r="C51" s="127" t="s">
        <v>983</v>
      </c>
      <c r="D51" s="128" t="s">
        <v>891</v>
      </c>
      <c r="E51" s="128" t="s">
        <v>857</v>
      </c>
      <c r="F51" s="128" t="s">
        <v>859</v>
      </c>
      <c r="G51" s="125">
        <v>3</v>
      </c>
      <c r="H51" s="125">
        <v>13</v>
      </c>
      <c r="I51" s="125" t="s">
        <v>860</v>
      </c>
      <c r="J51" s="115">
        <f t="shared" si="8"/>
        <v>170</v>
      </c>
      <c r="K51" s="115">
        <v>850</v>
      </c>
      <c r="L51" s="115">
        <f t="shared" si="9"/>
        <v>85</v>
      </c>
      <c r="M51" s="116">
        <f t="shared" si="4"/>
        <v>47.0984546974477</v>
      </c>
      <c r="N51" s="114">
        <f t="shared" si="10"/>
        <v>103.68886092277</v>
      </c>
      <c r="O51" s="114">
        <f t="shared" si="11"/>
        <v>1255.78731562022</v>
      </c>
      <c r="P51" s="114">
        <f t="shared" si="12"/>
        <v>3767.36194686066</v>
      </c>
      <c r="Q51" s="136" t="s">
        <v>877</v>
      </c>
    </row>
    <row r="52" spans="1:17">
      <c r="A52" s="125">
        <v>35</v>
      </c>
      <c r="B52" s="126" t="s">
        <v>984</v>
      </c>
      <c r="C52" s="127" t="s">
        <v>885</v>
      </c>
      <c r="D52" s="128" t="s">
        <v>864</v>
      </c>
      <c r="E52" s="128" t="s">
        <v>857</v>
      </c>
      <c r="F52" s="128" t="s">
        <v>952</v>
      </c>
      <c r="G52" s="125"/>
      <c r="H52" s="125">
        <v>11</v>
      </c>
      <c r="I52" s="125" t="s">
        <v>860</v>
      </c>
      <c r="J52" s="115">
        <f t="shared" si="8"/>
        <v>180</v>
      </c>
      <c r="K52" s="115">
        <v>900</v>
      </c>
      <c r="L52" s="115">
        <f t="shared" si="9"/>
        <v>90</v>
      </c>
      <c r="M52" s="116">
        <f t="shared" si="4"/>
        <v>49.8689520325916</v>
      </c>
      <c r="N52" s="114">
        <f t="shared" si="10"/>
        <v>109.788205682933</v>
      </c>
      <c r="O52" s="114">
        <f t="shared" si="11"/>
        <v>1329.65715771552</v>
      </c>
      <c r="P52" s="114">
        <f t="shared" si="12"/>
        <v>0</v>
      </c>
      <c r="Q52" s="136" t="s">
        <v>877</v>
      </c>
    </row>
    <row r="53" spans="1:17">
      <c r="A53" s="125">
        <v>36</v>
      </c>
      <c r="B53" s="126" t="s">
        <v>985</v>
      </c>
      <c r="C53" s="127" t="s">
        <v>885</v>
      </c>
      <c r="D53" s="128" t="s">
        <v>881</v>
      </c>
      <c r="E53" s="128" t="s">
        <v>891</v>
      </c>
      <c r="F53" s="128" t="s">
        <v>952</v>
      </c>
      <c r="G53" s="125"/>
      <c r="H53" s="125">
        <v>11</v>
      </c>
      <c r="I53" s="125" t="s">
        <v>860</v>
      </c>
      <c r="J53" s="115">
        <f t="shared" si="8"/>
        <v>240</v>
      </c>
      <c r="K53" s="115">
        <v>1200</v>
      </c>
      <c r="L53" s="115">
        <f t="shared" si="9"/>
        <v>120</v>
      </c>
      <c r="M53" s="116">
        <f t="shared" si="4"/>
        <v>66.4919360434555</v>
      </c>
      <c r="N53" s="114">
        <f t="shared" si="10"/>
        <v>146.384274243911</v>
      </c>
      <c r="O53" s="114">
        <f t="shared" si="11"/>
        <v>1772.87621028737</v>
      </c>
      <c r="P53" s="114">
        <f t="shared" si="12"/>
        <v>0</v>
      </c>
      <c r="Q53" s="136" t="s">
        <v>877</v>
      </c>
    </row>
    <row r="54" spans="1:17">
      <c r="A54" s="125">
        <v>37</v>
      </c>
      <c r="B54" s="126" t="s">
        <v>986</v>
      </c>
      <c r="C54" s="127" t="s">
        <v>987</v>
      </c>
      <c r="D54" s="128" t="s">
        <v>857</v>
      </c>
      <c r="E54" s="128" t="s">
        <v>857</v>
      </c>
      <c r="F54" s="128" t="s">
        <v>988</v>
      </c>
      <c r="G54" s="125"/>
      <c r="H54" s="125">
        <v>17</v>
      </c>
      <c r="I54" s="125" t="s">
        <v>860</v>
      </c>
      <c r="J54" s="115">
        <f t="shared" si="8"/>
        <v>160</v>
      </c>
      <c r="K54" s="115">
        <v>800</v>
      </c>
      <c r="L54" s="115">
        <f t="shared" si="9"/>
        <v>80</v>
      </c>
      <c r="M54" s="116">
        <f t="shared" si="4"/>
        <v>44.3279573623037</v>
      </c>
      <c r="N54" s="114">
        <f t="shared" si="10"/>
        <v>97.5895161626073</v>
      </c>
      <c r="O54" s="114">
        <f t="shared" si="11"/>
        <v>1181.91747352491</v>
      </c>
      <c r="P54" s="114">
        <f t="shared" si="12"/>
        <v>0</v>
      </c>
      <c r="Q54" s="136" t="s">
        <v>883</v>
      </c>
    </row>
    <row r="55" spans="1:17">
      <c r="A55" s="125">
        <v>38</v>
      </c>
      <c r="B55" s="126" t="s">
        <v>989</v>
      </c>
      <c r="C55" s="127" t="s">
        <v>885</v>
      </c>
      <c r="D55" s="128" t="s">
        <v>990</v>
      </c>
      <c r="E55" s="128" t="s">
        <v>857</v>
      </c>
      <c r="F55" s="128" t="s">
        <v>892</v>
      </c>
      <c r="G55" s="125"/>
      <c r="H55" s="125">
        <v>20</v>
      </c>
      <c r="I55" s="125" t="s">
        <v>860</v>
      </c>
      <c r="J55" s="115">
        <f t="shared" si="8"/>
        <v>220</v>
      </c>
      <c r="K55" s="115">
        <v>1100</v>
      </c>
      <c r="L55" s="115">
        <f t="shared" si="9"/>
        <v>110</v>
      </c>
      <c r="M55" s="116">
        <f t="shared" si="4"/>
        <v>60.9509413731676</v>
      </c>
      <c r="N55" s="114">
        <f t="shared" si="10"/>
        <v>134.185584723585</v>
      </c>
      <c r="O55" s="114">
        <f t="shared" si="11"/>
        <v>1625.13652609675</v>
      </c>
      <c r="P55" s="114">
        <f t="shared" si="12"/>
        <v>0</v>
      </c>
      <c r="Q55" s="136" t="s">
        <v>991</v>
      </c>
    </row>
    <row r="56" spans="1:17">
      <c r="A56" s="125">
        <v>39</v>
      </c>
      <c r="B56" s="126" t="s">
        <v>992</v>
      </c>
      <c r="C56" s="127" t="s">
        <v>898</v>
      </c>
      <c r="D56" s="128" t="s">
        <v>857</v>
      </c>
      <c r="E56" s="128" t="s">
        <v>857</v>
      </c>
      <c r="F56" s="128" t="s">
        <v>882</v>
      </c>
      <c r="G56" s="125"/>
      <c r="H56" s="125">
        <v>4</v>
      </c>
      <c r="I56" s="125" t="s">
        <v>860</v>
      </c>
      <c r="J56" s="115">
        <f t="shared" si="8"/>
        <v>800</v>
      </c>
      <c r="K56" s="115">
        <v>4000</v>
      </c>
      <c r="L56" s="115">
        <f t="shared" si="9"/>
        <v>400</v>
      </c>
      <c r="M56" s="116">
        <f t="shared" si="4"/>
        <v>221.639786811518</v>
      </c>
      <c r="N56" s="114">
        <f t="shared" si="10"/>
        <v>487.947580813037</v>
      </c>
      <c r="O56" s="114">
        <f t="shared" si="11"/>
        <v>5909.58736762455</v>
      </c>
      <c r="P56" s="114">
        <f t="shared" si="12"/>
        <v>0</v>
      </c>
      <c r="Q56" s="136" t="s">
        <v>899</v>
      </c>
    </row>
    <row r="57" spans="1:17">
      <c r="A57" s="125">
        <v>40</v>
      </c>
      <c r="B57" s="126" t="s">
        <v>993</v>
      </c>
      <c r="C57" s="127" t="s">
        <v>901</v>
      </c>
      <c r="D57" s="128" t="s">
        <v>857</v>
      </c>
      <c r="E57" s="128" t="s">
        <v>857</v>
      </c>
      <c r="F57" s="128" t="s">
        <v>988</v>
      </c>
      <c r="G57" s="125"/>
      <c r="H57" s="125">
        <v>23</v>
      </c>
      <c r="I57" s="125" t="s">
        <v>860</v>
      </c>
      <c r="J57" s="115">
        <f t="shared" si="8"/>
        <v>280</v>
      </c>
      <c r="K57" s="115">
        <v>1400</v>
      </c>
      <c r="L57" s="115">
        <f t="shared" si="9"/>
        <v>140</v>
      </c>
      <c r="M57" s="116">
        <f t="shared" si="4"/>
        <v>77.5739253840315</v>
      </c>
      <c r="N57" s="114">
        <f t="shared" si="10"/>
        <v>170.781653284563</v>
      </c>
      <c r="O57" s="114">
        <f t="shared" si="11"/>
        <v>2068.35557866859</v>
      </c>
      <c r="P57" s="114">
        <f t="shared" si="12"/>
        <v>0</v>
      </c>
      <c r="Q57" s="136" t="s">
        <v>994</v>
      </c>
    </row>
    <row r="58" spans="1:17">
      <c r="A58" s="125">
        <v>41</v>
      </c>
      <c r="B58" s="126" t="s">
        <v>995</v>
      </c>
      <c r="C58" s="127" t="s">
        <v>901</v>
      </c>
      <c r="D58" s="128" t="s">
        <v>858</v>
      </c>
      <c r="E58" s="128" t="s">
        <v>858</v>
      </c>
      <c r="F58" s="128" t="s">
        <v>882</v>
      </c>
      <c r="G58" s="125"/>
      <c r="H58" s="125">
        <v>26</v>
      </c>
      <c r="I58" s="125" t="s">
        <v>860</v>
      </c>
      <c r="J58" s="115">
        <f t="shared" si="8"/>
        <v>360</v>
      </c>
      <c r="K58" s="115">
        <v>1800</v>
      </c>
      <c r="L58" s="115">
        <f t="shared" si="9"/>
        <v>180</v>
      </c>
      <c r="M58" s="116">
        <f t="shared" si="4"/>
        <v>99.7379040651833</v>
      </c>
      <c r="N58" s="114">
        <f t="shared" si="10"/>
        <v>219.576411365866</v>
      </c>
      <c r="O58" s="114">
        <f t="shared" si="11"/>
        <v>2659.31431543105</v>
      </c>
      <c r="P58" s="114">
        <f t="shared" si="12"/>
        <v>0</v>
      </c>
      <c r="Q58" s="136" t="s">
        <v>996</v>
      </c>
    </row>
    <row r="59" spans="1:17">
      <c r="A59" s="125">
        <v>42</v>
      </c>
      <c r="B59" s="126" t="s">
        <v>997</v>
      </c>
      <c r="C59" s="127" t="s">
        <v>998</v>
      </c>
      <c r="D59" s="128" t="s">
        <v>999</v>
      </c>
      <c r="E59" s="128" t="s">
        <v>876</v>
      </c>
      <c r="F59" s="128" t="s">
        <v>865</v>
      </c>
      <c r="G59" s="125"/>
      <c r="H59" s="125">
        <v>2</v>
      </c>
      <c r="I59" s="125" t="s">
        <v>860</v>
      </c>
      <c r="J59" s="115">
        <f t="shared" si="8"/>
        <v>240</v>
      </c>
      <c r="K59" s="115">
        <v>1200</v>
      </c>
      <c r="L59" s="115">
        <f t="shared" si="9"/>
        <v>120</v>
      </c>
      <c r="M59" s="116">
        <f t="shared" si="4"/>
        <v>66.4919360434555</v>
      </c>
      <c r="N59" s="114">
        <f t="shared" si="10"/>
        <v>146.384274243911</v>
      </c>
      <c r="O59" s="114">
        <f t="shared" si="11"/>
        <v>1772.87621028737</v>
      </c>
      <c r="P59" s="114">
        <f t="shared" si="12"/>
        <v>0</v>
      </c>
      <c r="Q59" s="136" t="s">
        <v>996</v>
      </c>
    </row>
    <row r="60" spans="1:17">
      <c r="A60" s="125" t="s">
        <v>102</v>
      </c>
      <c r="B60" s="126" t="s">
        <v>34</v>
      </c>
      <c r="C60" s="127"/>
      <c r="D60" s="128"/>
      <c r="E60" s="128"/>
      <c r="F60" s="128"/>
      <c r="G60" s="125"/>
      <c r="H60" s="125"/>
      <c r="I60" s="125"/>
      <c r="J60" s="115"/>
      <c r="K60" s="115"/>
      <c r="L60" s="115"/>
      <c r="M60" s="115"/>
      <c r="N60" s="115"/>
      <c r="O60" s="115"/>
      <c r="P60" s="115">
        <f>SUM(P5:P59)</f>
        <v>34792.6956268896</v>
      </c>
      <c r="Q60" s="136"/>
    </row>
    <row r="61" ht="13.5" spans="1:17">
      <c r="A61" s="131" t="s">
        <v>1000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</row>
    <row r="62" ht="13.5" spans="1:17">
      <c r="A62" s="131" t="s">
        <v>1001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</row>
    <row r="63" ht="13.5" spans="1:17">
      <c r="A63" s="132" t="s">
        <v>1002</v>
      </c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</row>
  </sheetData>
  <autoFilter ref="A3:S63">
    <extLst/>
  </autoFilter>
  <mergeCells count="14">
    <mergeCell ref="A1:Q1"/>
    <mergeCell ref="C2:E2"/>
    <mergeCell ref="J2:N2"/>
    <mergeCell ref="A61:Q61"/>
    <mergeCell ref="A62:Q62"/>
    <mergeCell ref="A63:Q63"/>
    <mergeCell ref="A2:A3"/>
    <mergeCell ref="B2:B3"/>
    <mergeCell ref="G2:G3"/>
    <mergeCell ref="H2:H3"/>
    <mergeCell ref="I2:I3"/>
    <mergeCell ref="O2:O3"/>
    <mergeCell ref="P2:P3"/>
    <mergeCell ref="Q2:Q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topLeftCell="A13" workbookViewId="0">
      <selection activeCell="F30" sqref="F30"/>
    </sheetView>
  </sheetViews>
  <sheetFormatPr defaultColWidth="8.85714285714286" defaultRowHeight="12.75"/>
  <cols>
    <col min="2" max="2" width="20.7142857142857" customWidth="1"/>
    <col min="3" max="3" width="13.2857142857143" customWidth="1"/>
    <col min="4" max="4" width="11.5714285714286" customWidth="1"/>
    <col min="9" max="10" width="10.7142857142857"/>
    <col min="11" max="11" width="9.71428571428571"/>
    <col min="12" max="12" width="12.7142857142857"/>
    <col min="13" max="13" width="10.7142857142857"/>
    <col min="14" max="14" width="11.8571428571429"/>
    <col min="15" max="15" width="15.2857142857143"/>
    <col min="16" max="16" width="48.7142857142857" customWidth="1"/>
    <col min="17" max="17" width="13.2857142857143" customWidth="1"/>
  </cols>
  <sheetData>
    <row r="1" ht="18.75" spans="1:16">
      <c r="A1" s="83" t="s">
        <v>1003</v>
      </c>
      <c r="B1" s="84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</row>
    <row r="2" spans="1:16">
      <c r="A2" s="85" t="s">
        <v>1004</v>
      </c>
      <c r="B2" s="86" t="s">
        <v>844</v>
      </c>
      <c r="C2" s="87" t="s">
        <v>845</v>
      </c>
      <c r="D2" s="87"/>
      <c r="E2" s="87"/>
      <c r="F2" s="88" t="s">
        <v>846</v>
      </c>
      <c r="G2" s="89" t="s">
        <v>819</v>
      </c>
      <c r="H2" s="85" t="s">
        <v>46</v>
      </c>
      <c r="I2" s="50" t="s">
        <v>61</v>
      </c>
      <c r="J2" s="50"/>
      <c r="K2" s="50"/>
      <c r="L2" s="50"/>
      <c r="M2" s="50"/>
      <c r="N2" s="112" t="s">
        <v>848</v>
      </c>
      <c r="O2" s="112" t="s">
        <v>849</v>
      </c>
      <c r="P2" s="85" t="s">
        <v>1005</v>
      </c>
    </row>
    <row r="3" ht="45" spans="1:16">
      <c r="A3" s="85"/>
      <c r="B3" s="86"/>
      <c r="C3" s="90" t="s">
        <v>1006</v>
      </c>
      <c r="D3" s="90" t="s">
        <v>1007</v>
      </c>
      <c r="E3" s="90" t="s">
        <v>1008</v>
      </c>
      <c r="F3" s="88"/>
      <c r="G3" s="91"/>
      <c r="H3" s="85"/>
      <c r="I3" s="36" t="s">
        <v>65</v>
      </c>
      <c r="J3" s="36" t="s">
        <v>66</v>
      </c>
      <c r="K3" s="36" t="s">
        <v>67</v>
      </c>
      <c r="L3" s="50" t="s">
        <v>68</v>
      </c>
      <c r="M3" s="50" t="s">
        <v>69</v>
      </c>
      <c r="N3" s="113"/>
      <c r="O3" s="113"/>
      <c r="P3" s="85"/>
    </row>
    <row r="4" spans="1:16">
      <c r="A4" s="92" t="s">
        <v>71</v>
      </c>
      <c r="B4" s="93" t="s">
        <v>1009</v>
      </c>
      <c r="C4" s="93"/>
      <c r="D4" s="94"/>
      <c r="E4" s="94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</row>
    <row r="5" spans="1:16">
      <c r="A5" s="95">
        <v>1</v>
      </c>
      <c r="B5" s="96" t="s">
        <v>1010</v>
      </c>
      <c r="C5" s="95">
        <v>1.2</v>
      </c>
      <c r="D5" s="95" t="s">
        <v>1011</v>
      </c>
      <c r="E5" s="95" t="s">
        <v>1012</v>
      </c>
      <c r="F5" s="95"/>
      <c r="G5" s="95">
        <v>1920</v>
      </c>
      <c r="H5" s="95" t="s">
        <v>1013</v>
      </c>
      <c r="I5" s="114">
        <f t="shared" ref="I5:I30" si="0">J5*0.2</f>
        <v>9</v>
      </c>
      <c r="J5" s="114">
        <v>45</v>
      </c>
      <c r="K5" s="115">
        <f t="shared" ref="K5:K28" si="1">J5*0.1</f>
        <v>4.5</v>
      </c>
      <c r="L5" s="116">
        <f t="shared" ref="L5:L30" si="2">((I5+J5+K5)*0.06)*0.7103839320882</f>
        <v>2.49344760162958</v>
      </c>
      <c r="M5" s="114">
        <f t="shared" ref="M5:M30" si="3">(I5+J5+K5+L5)*0.09</f>
        <v>5.48941028414666</v>
      </c>
      <c r="N5" s="114">
        <f t="shared" ref="N5:N30" si="4">I5+J5+K5+L5+M5</f>
        <v>66.4828578857762</v>
      </c>
      <c r="O5" s="114">
        <f t="shared" ref="O5:O30" si="5">N5*F5</f>
        <v>0</v>
      </c>
      <c r="P5" s="117" t="s">
        <v>1014</v>
      </c>
    </row>
    <row r="6" spans="1:16">
      <c r="A6" s="95">
        <v>2</v>
      </c>
      <c r="B6" s="96" t="s">
        <v>1015</v>
      </c>
      <c r="C6" s="95" t="s">
        <v>1016</v>
      </c>
      <c r="D6" s="95" t="s">
        <v>1017</v>
      </c>
      <c r="E6" s="95" t="s">
        <v>1018</v>
      </c>
      <c r="F6" s="95"/>
      <c r="G6" s="95">
        <v>128</v>
      </c>
      <c r="H6" s="95" t="s">
        <v>1019</v>
      </c>
      <c r="I6" s="114">
        <f t="shared" si="0"/>
        <v>19</v>
      </c>
      <c r="J6" s="114">
        <v>95</v>
      </c>
      <c r="K6" s="115">
        <f t="shared" si="1"/>
        <v>9.5</v>
      </c>
      <c r="L6" s="116">
        <f t="shared" si="2"/>
        <v>5.26394493677356</v>
      </c>
      <c r="M6" s="114">
        <f t="shared" si="3"/>
        <v>11.5887550443096</v>
      </c>
      <c r="N6" s="114">
        <f t="shared" si="4"/>
        <v>140.352699981083</v>
      </c>
      <c r="O6" s="114">
        <f t="shared" si="5"/>
        <v>0</v>
      </c>
      <c r="P6" s="96" t="s">
        <v>1020</v>
      </c>
    </row>
    <row r="7" spans="1:16">
      <c r="A7" s="95">
        <v>3</v>
      </c>
      <c r="B7" s="96" t="s">
        <v>1021</v>
      </c>
      <c r="C7" s="95" t="s">
        <v>1022</v>
      </c>
      <c r="D7" s="95" t="s">
        <v>1017</v>
      </c>
      <c r="E7" s="95" t="s">
        <v>1023</v>
      </c>
      <c r="F7" s="95"/>
      <c r="G7" s="95">
        <v>575</v>
      </c>
      <c r="H7" s="95" t="s">
        <v>1019</v>
      </c>
      <c r="I7" s="114">
        <f t="shared" si="0"/>
        <v>19</v>
      </c>
      <c r="J7" s="114">
        <v>95</v>
      </c>
      <c r="K7" s="115">
        <f t="shared" si="1"/>
        <v>9.5</v>
      </c>
      <c r="L7" s="116">
        <f t="shared" si="2"/>
        <v>5.26394493677356</v>
      </c>
      <c r="M7" s="114">
        <f t="shared" si="3"/>
        <v>11.5887550443096</v>
      </c>
      <c r="N7" s="114">
        <f t="shared" si="4"/>
        <v>140.352699981083</v>
      </c>
      <c r="O7" s="114">
        <f t="shared" si="5"/>
        <v>0</v>
      </c>
      <c r="P7" s="96" t="s">
        <v>1024</v>
      </c>
    </row>
    <row r="8" spans="1:16">
      <c r="A8" s="95">
        <v>4</v>
      </c>
      <c r="B8" s="96" t="s">
        <v>1025</v>
      </c>
      <c r="C8" s="95" t="s">
        <v>1012</v>
      </c>
      <c r="D8" s="95" t="s">
        <v>1026</v>
      </c>
      <c r="E8" s="95" t="s">
        <v>1027</v>
      </c>
      <c r="F8" s="95"/>
      <c r="G8" s="95">
        <v>256</v>
      </c>
      <c r="H8" s="95" t="s">
        <v>1019</v>
      </c>
      <c r="I8" s="114">
        <f t="shared" si="0"/>
        <v>19</v>
      </c>
      <c r="J8" s="114">
        <v>95</v>
      </c>
      <c r="K8" s="115">
        <f t="shared" si="1"/>
        <v>9.5</v>
      </c>
      <c r="L8" s="116">
        <f t="shared" si="2"/>
        <v>5.26394493677356</v>
      </c>
      <c r="M8" s="114">
        <f t="shared" si="3"/>
        <v>11.5887550443096</v>
      </c>
      <c r="N8" s="114">
        <f t="shared" si="4"/>
        <v>140.352699981083</v>
      </c>
      <c r="O8" s="114">
        <f t="shared" si="5"/>
        <v>0</v>
      </c>
      <c r="P8" s="96" t="s">
        <v>1028</v>
      </c>
    </row>
    <row r="9" spans="1:17">
      <c r="A9" s="95">
        <v>5</v>
      </c>
      <c r="B9" s="96" t="s">
        <v>1029</v>
      </c>
      <c r="C9" s="95" t="s">
        <v>1030</v>
      </c>
      <c r="D9" s="95" t="s">
        <v>1011</v>
      </c>
      <c r="E9" s="95" t="s">
        <v>1030</v>
      </c>
      <c r="F9" s="95"/>
      <c r="G9" s="95">
        <v>169</v>
      </c>
      <c r="H9" s="95" t="s">
        <v>1019</v>
      </c>
      <c r="I9" s="114">
        <f t="shared" si="0"/>
        <v>24</v>
      </c>
      <c r="J9" s="114">
        <v>120</v>
      </c>
      <c r="K9" s="115">
        <f t="shared" si="1"/>
        <v>12</v>
      </c>
      <c r="L9" s="116">
        <f t="shared" si="2"/>
        <v>6.64919360434555</v>
      </c>
      <c r="M9" s="114">
        <f t="shared" si="3"/>
        <v>14.6384274243911</v>
      </c>
      <c r="N9" s="114">
        <f t="shared" si="4"/>
        <v>177.287621028737</v>
      </c>
      <c r="O9" s="114">
        <f t="shared" si="5"/>
        <v>0</v>
      </c>
      <c r="P9" s="96" t="s">
        <v>1028</v>
      </c>
      <c r="Q9" s="122"/>
    </row>
    <row r="10" spans="1:16">
      <c r="A10" s="95">
        <v>6</v>
      </c>
      <c r="B10" s="96" t="s">
        <v>1031</v>
      </c>
      <c r="C10" s="97" t="s">
        <v>1023</v>
      </c>
      <c r="D10" s="98" t="s">
        <v>1032</v>
      </c>
      <c r="E10" s="97" t="s">
        <v>1033</v>
      </c>
      <c r="F10" s="95"/>
      <c r="G10" s="95">
        <v>369</v>
      </c>
      <c r="H10" s="95" t="s">
        <v>1019</v>
      </c>
      <c r="I10" s="114">
        <f t="shared" si="0"/>
        <v>21</v>
      </c>
      <c r="J10" s="114">
        <v>105</v>
      </c>
      <c r="K10" s="115">
        <f t="shared" si="1"/>
        <v>10.5</v>
      </c>
      <c r="L10" s="116">
        <f t="shared" si="2"/>
        <v>5.81804440380236</v>
      </c>
      <c r="M10" s="114">
        <f t="shared" si="3"/>
        <v>12.8086239963422</v>
      </c>
      <c r="N10" s="114">
        <f t="shared" si="4"/>
        <v>155.126668400145</v>
      </c>
      <c r="O10" s="114">
        <f t="shared" si="5"/>
        <v>0</v>
      </c>
      <c r="P10" s="96" t="s">
        <v>1028</v>
      </c>
    </row>
    <row r="11" spans="1:16">
      <c r="A11" s="95">
        <v>7</v>
      </c>
      <c r="B11" s="96" t="s">
        <v>1034</v>
      </c>
      <c r="C11" s="95" t="s">
        <v>1023</v>
      </c>
      <c r="D11" s="95" t="s">
        <v>1035</v>
      </c>
      <c r="E11" s="95" t="s">
        <v>1027</v>
      </c>
      <c r="F11" s="95"/>
      <c r="G11" s="95">
        <v>521</v>
      </c>
      <c r="H11" s="95" t="s">
        <v>1019</v>
      </c>
      <c r="I11" s="114">
        <f t="shared" si="0"/>
        <v>22</v>
      </c>
      <c r="J11" s="114">
        <v>110</v>
      </c>
      <c r="K11" s="115">
        <f t="shared" si="1"/>
        <v>11</v>
      </c>
      <c r="L11" s="116">
        <f t="shared" si="2"/>
        <v>6.09509413731676</v>
      </c>
      <c r="M11" s="114">
        <f t="shared" si="3"/>
        <v>13.4185584723585</v>
      </c>
      <c r="N11" s="114">
        <f t="shared" si="4"/>
        <v>162.513652609675</v>
      </c>
      <c r="O11" s="114">
        <f t="shared" si="5"/>
        <v>0</v>
      </c>
      <c r="P11" s="96" t="s">
        <v>1028</v>
      </c>
    </row>
    <row r="12" spans="1:16">
      <c r="A12" s="95">
        <v>8</v>
      </c>
      <c r="B12" s="96" t="s">
        <v>1036</v>
      </c>
      <c r="C12" s="95" t="s">
        <v>1023</v>
      </c>
      <c r="D12" s="95" t="s">
        <v>1035</v>
      </c>
      <c r="E12" s="95" t="s">
        <v>1037</v>
      </c>
      <c r="F12" s="95"/>
      <c r="G12" s="95">
        <v>470</v>
      </c>
      <c r="H12" s="95" t="s">
        <v>1019</v>
      </c>
      <c r="I12" s="114">
        <f t="shared" si="0"/>
        <v>23</v>
      </c>
      <c r="J12" s="114">
        <v>115</v>
      </c>
      <c r="K12" s="115">
        <f t="shared" si="1"/>
        <v>11.5</v>
      </c>
      <c r="L12" s="116">
        <f t="shared" si="2"/>
        <v>6.37214387083115</v>
      </c>
      <c r="M12" s="114">
        <f t="shared" si="3"/>
        <v>14.0284929483748</v>
      </c>
      <c r="N12" s="114">
        <f t="shared" si="4"/>
        <v>169.900636819206</v>
      </c>
      <c r="O12" s="114">
        <f t="shared" si="5"/>
        <v>0</v>
      </c>
      <c r="P12" s="96" t="s">
        <v>1028</v>
      </c>
    </row>
    <row r="13" spans="1:16">
      <c r="A13" s="95">
        <v>9</v>
      </c>
      <c r="B13" s="96" t="s">
        <v>1038</v>
      </c>
      <c r="C13" s="95" t="s">
        <v>1039</v>
      </c>
      <c r="D13" s="95" t="s">
        <v>1026</v>
      </c>
      <c r="E13" s="95" t="s">
        <v>1040</v>
      </c>
      <c r="F13" s="95"/>
      <c r="G13" s="95">
        <v>322</v>
      </c>
      <c r="H13" s="95" t="s">
        <v>1019</v>
      </c>
      <c r="I13" s="114">
        <f t="shared" si="0"/>
        <v>23</v>
      </c>
      <c r="J13" s="114">
        <v>115</v>
      </c>
      <c r="K13" s="115">
        <f t="shared" si="1"/>
        <v>11.5</v>
      </c>
      <c r="L13" s="116">
        <f t="shared" si="2"/>
        <v>6.37214387083115</v>
      </c>
      <c r="M13" s="114">
        <f t="shared" si="3"/>
        <v>14.0284929483748</v>
      </c>
      <c r="N13" s="114">
        <f t="shared" si="4"/>
        <v>169.900636819206</v>
      </c>
      <c r="O13" s="114">
        <f t="shared" si="5"/>
        <v>0</v>
      </c>
      <c r="P13" s="96" t="s">
        <v>1028</v>
      </c>
    </row>
    <row r="14" spans="1:16">
      <c r="A14" s="95">
        <v>10</v>
      </c>
      <c r="B14" s="96" t="s">
        <v>1041</v>
      </c>
      <c r="C14" s="95">
        <v>0.5</v>
      </c>
      <c r="D14" s="95" t="s">
        <v>1035</v>
      </c>
      <c r="E14" s="95">
        <v>0.4</v>
      </c>
      <c r="F14" s="95"/>
      <c r="G14" s="95">
        <v>111</v>
      </c>
      <c r="H14" s="95" t="s">
        <v>1019</v>
      </c>
      <c r="I14" s="114">
        <f t="shared" si="0"/>
        <v>30</v>
      </c>
      <c r="J14" s="114">
        <v>150</v>
      </c>
      <c r="K14" s="115">
        <f t="shared" si="1"/>
        <v>15</v>
      </c>
      <c r="L14" s="116">
        <f t="shared" si="2"/>
        <v>8.31149200543194</v>
      </c>
      <c r="M14" s="114">
        <f t="shared" si="3"/>
        <v>18.2980342804889</v>
      </c>
      <c r="N14" s="114">
        <f t="shared" si="4"/>
        <v>221.609526285921</v>
      </c>
      <c r="O14" s="114">
        <f t="shared" si="5"/>
        <v>0</v>
      </c>
      <c r="P14" s="96" t="s">
        <v>1020</v>
      </c>
    </row>
    <row r="15" spans="1:16">
      <c r="A15" s="95">
        <v>11</v>
      </c>
      <c r="B15" s="96" t="s">
        <v>1042</v>
      </c>
      <c r="C15" s="95">
        <v>0.5</v>
      </c>
      <c r="D15" s="95" t="s">
        <v>1035</v>
      </c>
      <c r="E15" s="95">
        <v>0.4</v>
      </c>
      <c r="F15" s="95"/>
      <c r="G15" s="95">
        <v>42</v>
      </c>
      <c r="H15" s="95" t="s">
        <v>1019</v>
      </c>
      <c r="I15" s="114">
        <f t="shared" si="0"/>
        <v>25</v>
      </c>
      <c r="J15" s="114">
        <v>125</v>
      </c>
      <c r="K15" s="115">
        <f t="shared" si="1"/>
        <v>12.5</v>
      </c>
      <c r="L15" s="116">
        <f t="shared" si="2"/>
        <v>6.92624333785995</v>
      </c>
      <c r="M15" s="114">
        <f t="shared" si="3"/>
        <v>15.2483619004074</v>
      </c>
      <c r="N15" s="114">
        <f t="shared" si="4"/>
        <v>184.674605238267</v>
      </c>
      <c r="O15" s="114">
        <f t="shared" si="5"/>
        <v>0</v>
      </c>
      <c r="P15" s="96" t="s">
        <v>1020</v>
      </c>
    </row>
    <row r="16" spans="1:16">
      <c r="A16" s="95">
        <v>12</v>
      </c>
      <c r="B16" s="96" t="s">
        <v>1043</v>
      </c>
      <c r="C16" s="95">
        <v>0.5</v>
      </c>
      <c r="D16" s="95" t="s">
        <v>1035</v>
      </c>
      <c r="E16" s="95">
        <v>0.4</v>
      </c>
      <c r="F16" s="95"/>
      <c r="G16" s="95">
        <v>605</v>
      </c>
      <c r="H16" s="95" t="s">
        <v>1019</v>
      </c>
      <c r="I16" s="114">
        <f t="shared" si="0"/>
        <v>19</v>
      </c>
      <c r="J16" s="114">
        <v>95</v>
      </c>
      <c r="K16" s="115">
        <f t="shared" si="1"/>
        <v>9.5</v>
      </c>
      <c r="L16" s="116">
        <f t="shared" si="2"/>
        <v>5.26394493677356</v>
      </c>
      <c r="M16" s="114">
        <f t="shared" si="3"/>
        <v>11.5887550443096</v>
      </c>
      <c r="N16" s="114">
        <f t="shared" si="4"/>
        <v>140.352699981083</v>
      </c>
      <c r="O16" s="114">
        <f t="shared" si="5"/>
        <v>0</v>
      </c>
      <c r="P16" s="96" t="s">
        <v>1028</v>
      </c>
    </row>
    <row r="17" spans="1:16">
      <c r="A17" s="95">
        <v>13</v>
      </c>
      <c r="B17" s="96" t="s">
        <v>1044</v>
      </c>
      <c r="C17" s="95" t="s">
        <v>1039</v>
      </c>
      <c r="D17" s="95" t="s">
        <v>1045</v>
      </c>
      <c r="E17" s="95">
        <v>0.3</v>
      </c>
      <c r="F17" s="95"/>
      <c r="G17" s="95">
        <v>427</v>
      </c>
      <c r="H17" s="95" t="s">
        <v>1019</v>
      </c>
      <c r="I17" s="114">
        <f t="shared" si="0"/>
        <v>22</v>
      </c>
      <c r="J17" s="114">
        <v>110</v>
      </c>
      <c r="K17" s="115">
        <f t="shared" si="1"/>
        <v>11</v>
      </c>
      <c r="L17" s="116">
        <f t="shared" si="2"/>
        <v>6.09509413731676</v>
      </c>
      <c r="M17" s="114">
        <f t="shared" si="3"/>
        <v>13.4185584723585</v>
      </c>
      <c r="N17" s="114">
        <f t="shared" si="4"/>
        <v>162.513652609675</v>
      </c>
      <c r="O17" s="114">
        <f t="shared" si="5"/>
        <v>0</v>
      </c>
      <c r="P17" s="96" t="s">
        <v>1028</v>
      </c>
    </row>
    <row r="18" spans="1:16">
      <c r="A18" s="95">
        <v>14</v>
      </c>
      <c r="B18" s="96" t="s">
        <v>1046</v>
      </c>
      <c r="C18" s="95" t="s">
        <v>1047</v>
      </c>
      <c r="D18" s="95" t="s">
        <v>1035</v>
      </c>
      <c r="E18" s="95" t="s">
        <v>1039</v>
      </c>
      <c r="F18" s="95"/>
      <c r="G18" s="95">
        <v>695</v>
      </c>
      <c r="H18" s="95" t="s">
        <v>1019</v>
      </c>
      <c r="I18" s="114">
        <f t="shared" si="0"/>
        <v>21</v>
      </c>
      <c r="J18" s="114">
        <v>105</v>
      </c>
      <c r="K18" s="115">
        <f t="shared" si="1"/>
        <v>10.5</v>
      </c>
      <c r="L18" s="116">
        <f t="shared" si="2"/>
        <v>5.81804440380236</v>
      </c>
      <c r="M18" s="114">
        <f t="shared" si="3"/>
        <v>12.8086239963422</v>
      </c>
      <c r="N18" s="114">
        <f t="shared" si="4"/>
        <v>155.126668400145</v>
      </c>
      <c r="O18" s="114">
        <f t="shared" si="5"/>
        <v>0</v>
      </c>
      <c r="P18" s="96" t="s">
        <v>1028</v>
      </c>
    </row>
    <row r="19" ht="15.95" customHeight="1" spans="1:16">
      <c r="A19" s="95">
        <v>15</v>
      </c>
      <c r="B19" s="96" t="s">
        <v>1048</v>
      </c>
      <c r="C19" s="95" t="s">
        <v>1012</v>
      </c>
      <c r="D19" s="95" t="s">
        <v>1035</v>
      </c>
      <c r="E19" s="95" t="s">
        <v>1049</v>
      </c>
      <c r="F19" s="95"/>
      <c r="G19" s="95">
        <v>242</v>
      </c>
      <c r="H19" s="95" t="s">
        <v>1019</v>
      </c>
      <c r="I19" s="114">
        <f t="shared" si="0"/>
        <v>22</v>
      </c>
      <c r="J19" s="114">
        <v>110</v>
      </c>
      <c r="K19" s="115">
        <f t="shared" si="1"/>
        <v>11</v>
      </c>
      <c r="L19" s="116">
        <f t="shared" si="2"/>
        <v>6.09509413731676</v>
      </c>
      <c r="M19" s="114">
        <f t="shared" si="3"/>
        <v>13.4185584723585</v>
      </c>
      <c r="N19" s="114">
        <f t="shared" si="4"/>
        <v>162.513652609675</v>
      </c>
      <c r="O19" s="114">
        <f t="shared" si="5"/>
        <v>0</v>
      </c>
      <c r="P19" s="96" t="s">
        <v>1028</v>
      </c>
    </row>
    <row r="20" spans="1:16">
      <c r="A20" s="95">
        <v>16</v>
      </c>
      <c r="B20" s="99" t="s">
        <v>1050</v>
      </c>
      <c r="C20" s="97">
        <v>0.4</v>
      </c>
      <c r="D20" s="100" t="s">
        <v>1026</v>
      </c>
      <c r="E20" s="97">
        <v>0.3</v>
      </c>
      <c r="F20" s="95"/>
      <c r="G20" s="95">
        <v>767</v>
      </c>
      <c r="H20" s="95" t="s">
        <v>1019</v>
      </c>
      <c r="I20" s="114">
        <f t="shared" si="0"/>
        <v>19</v>
      </c>
      <c r="J20" s="114">
        <v>95</v>
      </c>
      <c r="K20" s="115">
        <f t="shared" si="1"/>
        <v>9.5</v>
      </c>
      <c r="L20" s="116">
        <f t="shared" si="2"/>
        <v>5.26394493677356</v>
      </c>
      <c r="M20" s="114">
        <f t="shared" si="3"/>
        <v>11.5887550443096</v>
      </c>
      <c r="N20" s="114">
        <f t="shared" si="4"/>
        <v>140.352699981083</v>
      </c>
      <c r="O20" s="114">
        <f t="shared" si="5"/>
        <v>0</v>
      </c>
      <c r="P20" s="96" t="s">
        <v>1028</v>
      </c>
    </row>
    <row r="21" spans="1:16">
      <c r="A21" s="95">
        <v>17</v>
      </c>
      <c r="B21" s="101" t="s">
        <v>1051</v>
      </c>
      <c r="C21" s="97" t="s">
        <v>1049</v>
      </c>
      <c r="D21" s="95" t="s">
        <v>1026</v>
      </c>
      <c r="E21" s="97" t="s">
        <v>1049</v>
      </c>
      <c r="F21" s="95"/>
      <c r="G21" s="95">
        <v>487</v>
      </c>
      <c r="H21" s="95" t="s">
        <v>1019</v>
      </c>
      <c r="I21" s="114">
        <f t="shared" si="0"/>
        <v>36</v>
      </c>
      <c r="J21" s="114">
        <v>180</v>
      </c>
      <c r="K21" s="115">
        <f t="shared" si="1"/>
        <v>18</v>
      </c>
      <c r="L21" s="116">
        <f t="shared" si="2"/>
        <v>9.97379040651833</v>
      </c>
      <c r="M21" s="114">
        <f t="shared" si="3"/>
        <v>21.9576411365866</v>
      </c>
      <c r="N21" s="114">
        <f t="shared" si="4"/>
        <v>265.931431543105</v>
      </c>
      <c r="O21" s="114">
        <f t="shared" si="5"/>
        <v>0</v>
      </c>
      <c r="P21" s="96" t="s">
        <v>1020</v>
      </c>
    </row>
    <row r="22" spans="1:16">
      <c r="A22" s="95">
        <v>18</v>
      </c>
      <c r="B22" s="96" t="s">
        <v>1052</v>
      </c>
      <c r="C22" s="95" t="s">
        <v>1039</v>
      </c>
      <c r="D22" s="95" t="s">
        <v>1026</v>
      </c>
      <c r="E22" s="95" t="s">
        <v>1027</v>
      </c>
      <c r="F22" s="95"/>
      <c r="G22" s="95">
        <v>1045</v>
      </c>
      <c r="H22" s="95" t="s">
        <v>1019</v>
      </c>
      <c r="I22" s="114">
        <f t="shared" si="0"/>
        <v>20</v>
      </c>
      <c r="J22" s="114">
        <v>100</v>
      </c>
      <c r="K22" s="115">
        <f t="shared" si="1"/>
        <v>10</v>
      </c>
      <c r="L22" s="116">
        <f t="shared" si="2"/>
        <v>5.54099467028796</v>
      </c>
      <c r="M22" s="114">
        <f t="shared" si="3"/>
        <v>12.1986895203259</v>
      </c>
      <c r="N22" s="114">
        <f t="shared" si="4"/>
        <v>147.739684190614</v>
      </c>
      <c r="O22" s="114">
        <f t="shared" si="5"/>
        <v>0</v>
      </c>
      <c r="P22" s="96" t="s">
        <v>1053</v>
      </c>
    </row>
    <row r="23" spans="1:16">
      <c r="A23" s="95">
        <v>19</v>
      </c>
      <c r="B23" s="96" t="s">
        <v>1054</v>
      </c>
      <c r="C23" s="95" t="s">
        <v>1039</v>
      </c>
      <c r="D23" s="95" t="s">
        <v>1026</v>
      </c>
      <c r="E23" s="95" t="s">
        <v>1027</v>
      </c>
      <c r="F23" s="95"/>
      <c r="G23" s="95">
        <v>10</v>
      </c>
      <c r="H23" s="95" t="s">
        <v>1019</v>
      </c>
      <c r="I23" s="114">
        <f t="shared" si="0"/>
        <v>11</v>
      </c>
      <c r="J23" s="114">
        <v>55</v>
      </c>
      <c r="K23" s="115">
        <f t="shared" si="1"/>
        <v>5.5</v>
      </c>
      <c r="L23" s="116">
        <f t="shared" si="2"/>
        <v>3.04754706865838</v>
      </c>
      <c r="M23" s="114">
        <f t="shared" si="3"/>
        <v>6.70927923617925</v>
      </c>
      <c r="N23" s="114">
        <f t="shared" si="4"/>
        <v>81.2568263048376</v>
      </c>
      <c r="O23" s="114">
        <f t="shared" si="5"/>
        <v>0</v>
      </c>
      <c r="P23" s="96" t="s">
        <v>1055</v>
      </c>
    </row>
    <row r="24" spans="1:16">
      <c r="A24" s="95">
        <v>20</v>
      </c>
      <c r="B24" s="96" t="s">
        <v>1056</v>
      </c>
      <c r="C24" s="95" t="s">
        <v>1040</v>
      </c>
      <c r="D24" s="95" t="s">
        <v>1057</v>
      </c>
      <c r="E24" s="95" t="s">
        <v>1040</v>
      </c>
      <c r="F24" s="95"/>
      <c r="G24" s="95">
        <v>290</v>
      </c>
      <c r="H24" s="95" t="s">
        <v>1019</v>
      </c>
      <c r="I24" s="114">
        <f t="shared" si="0"/>
        <v>19</v>
      </c>
      <c r="J24" s="114">
        <v>95</v>
      </c>
      <c r="K24" s="115">
        <f t="shared" si="1"/>
        <v>9.5</v>
      </c>
      <c r="L24" s="116">
        <f t="shared" si="2"/>
        <v>5.26394493677356</v>
      </c>
      <c r="M24" s="114">
        <f t="shared" si="3"/>
        <v>11.5887550443096</v>
      </c>
      <c r="N24" s="114">
        <f t="shared" si="4"/>
        <v>140.352699981083</v>
      </c>
      <c r="O24" s="114">
        <f t="shared" si="5"/>
        <v>0</v>
      </c>
      <c r="P24" s="96" t="s">
        <v>1028</v>
      </c>
    </row>
    <row r="25" spans="1:16">
      <c r="A25" s="95">
        <v>21</v>
      </c>
      <c r="B25" s="96" t="s">
        <v>1058</v>
      </c>
      <c r="C25" s="95" t="s">
        <v>1059</v>
      </c>
      <c r="D25" s="95" t="s">
        <v>1057</v>
      </c>
      <c r="E25" s="95" t="s">
        <v>1060</v>
      </c>
      <c r="F25" s="95"/>
      <c r="G25" s="95">
        <v>407</v>
      </c>
      <c r="H25" s="95" t="s">
        <v>1019</v>
      </c>
      <c r="I25" s="114">
        <f t="shared" si="0"/>
        <v>15</v>
      </c>
      <c r="J25" s="114">
        <v>75</v>
      </c>
      <c r="K25" s="115">
        <f t="shared" si="1"/>
        <v>7.5</v>
      </c>
      <c r="L25" s="116">
        <f t="shared" si="2"/>
        <v>4.15574600271597</v>
      </c>
      <c r="M25" s="114">
        <f t="shared" si="3"/>
        <v>9.14901714024444</v>
      </c>
      <c r="N25" s="114">
        <f t="shared" si="4"/>
        <v>110.80476314296</v>
      </c>
      <c r="O25" s="114">
        <f t="shared" si="5"/>
        <v>0</v>
      </c>
      <c r="P25" s="96" t="s">
        <v>1028</v>
      </c>
    </row>
    <row r="26" spans="1:16">
      <c r="A26" s="95">
        <v>22</v>
      </c>
      <c r="B26" s="96" t="s">
        <v>1061</v>
      </c>
      <c r="C26" s="95" t="s">
        <v>1059</v>
      </c>
      <c r="D26" s="95" t="s">
        <v>1057</v>
      </c>
      <c r="E26" s="95" t="s">
        <v>1060</v>
      </c>
      <c r="F26" s="95"/>
      <c r="G26" s="95">
        <v>20</v>
      </c>
      <c r="H26" s="95" t="s">
        <v>1019</v>
      </c>
      <c r="I26" s="114">
        <f t="shared" si="0"/>
        <v>36</v>
      </c>
      <c r="J26" s="114">
        <v>180</v>
      </c>
      <c r="K26" s="115">
        <f t="shared" si="1"/>
        <v>18</v>
      </c>
      <c r="L26" s="116">
        <f t="shared" si="2"/>
        <v>9.97379040651833</v>
      </c>
      <c r="M26" s="114">
        <f t="shared" si="3"/>
        <v>21.9576411365866</v>
      </c>
      <c r="N26" s="114">
        <f t="shared" si="4"/>
        <v>265.931431543105</v>
      </c>
      <c r="O26" s="114">
        <f t="shared" si="5"/>
        <v>0</v>
      </c>
      <c r="P26" s="96" t="s">
        <v>1062</v>
      </c>
    </row>
    <row r="27" spans="1:16">
      <c r="A27" s="95">
        <v>23</v>
      </c>
      <c r="B27" s="96" t="s">
        <v>1063</v>
      </c>
      <c r="C27" s="95" t="s">
        <v>1060</v>
      </c>
      <c r="D27" s="95" t="s">
        <v>1057</v>
      </c>
      <c r="E27" s="95" t="s">
        <v>1060</v>
      </c>
      <c r="F27" s="95"/>
      <c r="G27" s="95">
        <v>14</v>
      </c>
      <c r="H27" s="95" t="s">
        <v>1019</v>
      </c>
      <c r="I27" s="114">
        <f t="shared" si="0"/>
        <v>24</v>
      </c>
      <c r="J27" s="114">
        <v>120</v>
      </c>
      <c r="K27" s="115">
        <f t="shared" si="1"/>
        <v>12</v>
      </c>
      <c r="L27" s="116">
        <f t="shared" si="2"/>
        <v>6.64919360434555</v>
      </c>
      <c r="M27" s="114">
        <f t="shared" si="3"/>
        <v>14.6384274243911</v>
      </c>
      <c r="N27" s="114">
        <f t="shared" si="4"/>
        <v>177.287621028737</v>
      </c>
      <c r="O27" s="114">
        <f t="shared" si="5"/>
        <v>0</v>
      </c>
      <c r="P27" s="96" t="s">
        <v>1020</v>
      </c>
    </row>
    <row r="28" spans="1:16">
      <c r="A28" s="95">
        <v>24</v>
      </c>
      <c r="B28" s="96" t="s">
        <v>1064</v>
      </c>
      <c r="C28" s="95" t="s">
        <v>1065</v>
      </c>
      <c r="D28" s="95" t="s">
        <v>1035</v>
      </c>
      <c r="E28" s="95"/>
      <c r="F28" s="95"/>
      <c r="G28" s="95">
        <v>5</v>
      </c>
      <c r="H28" s="95" t="s">
        <v>1019</v>
      </c>
      <c r="I28" s="114">
        <f t="shared" si="0"/>
        <v>10</v>
      </c>
      <c r="J28" s="114">
        <v>50</v>
      </c>
      <c r="K28" s="115">
        <f t="shared" si="1"/>
        <v>5</v>
      </c>
      <c r="L28" s="116">
        <f t="shared" si="2"/>
        <v>2.77049733514398</v>
      </c>
      <c r="M28" s="114">
        <f t="shared" si="3"/>
        <v>6.09934476016296</v>
      </c>
      <c r="N28" s="114">
        <f t="shared" si="4"/>
        <v>73.869842095307</v>
      </c>
      <c r="O28" s="114">
        <f t="shared" si="5"/>
        <v>0</v>
      </c>
      <c r="P28" s="96" t="s">
        <v>1020</v>
      </c>
    </row>
    <row r="29" spans="1:16">
      <c r="A29" s="95">
        <v>25</v>
      </c>
      <c r="B29" s="96" t="s">
        <v>1066</v>
      </c>
      <c r="C29" s="95"/>
      <c r="D29" s="95"/>
      <c r="E29" s="95"/>
      <c r="F29" s="95"/>
      <c r="G29" s="95">
        <v>15800</v>
      </c>
      <c r="H29" s="95" t="s">
        <v>1019</v>
      </c>
      <c r="I29" s="114">
        <v>6</v>
      </c>
      <c r="J29" s="114">
        <v>15.264</v>
      </c>
      <c r="K29" s="114">
        <f t="shared" ref="K29:K45" si="6">J29*0.1</f>
        <v>1.5264</v>
      </c>
      <c r="L29" s="116">
        <f t="shared" si="2"/>
        <v>0.971396037951775</v>
      </c>
      <c r="M29" s="114">
        <f t="shared" si="3"/>
        <v>2.13856164341566</v>
      </c>
      <c r="N29" s="114">
        <f t="shared" si="4"/>
        <v>25.9003576813674</v>
      </c>
      <c r="O29" s="114">
        <f t="shared" si="5"/>
        <v>0</v>
      </c>
      <c r="P29" s="96" t="s">
        <v>1067</v>
      </c>
    </row>
    <row r="30" spans="1:16">
      <c r="A30" s="95">
        <v>26</v>
      </c>
      <c r="B30" s="96" t="s">
        <v>1068</v>
      </c>
      <c r="C30" s="95"/>
      <c r="D30" s="95"/>
      <c r="E30" s="95"/>
      <c r="F30" s="95">
        <v>3000</v>
      </c>
      <c r="G30" s="95">
        <v>23777</v>
      </c>
      <c r="H30" s="95" t="s">
        <v>78</v>
      </c>
      <c r="I30" s="114">
        <f t="shared" si="0"/>
        <v>0.8</v>
      </c>
      <c r="J30" s="114">
        <v>4</v>
      </c>
      <c r="K30" s="114">
        <f t="shared" si="6"/>
        <v>0.4</v>
      </c>
      <c r="L30" s="116">
        <f t="shared" si="2"/>
        <v>0.221639786811518</v>
      </c>
      <c r="M30" s="114">
        <f t="shared" si="3"/>
        <v>0.487947580813037</v>
      </c>
      <c r="N30" s="114">
        <f t="shared" si="4"/>
        <v>5.90958736762456</v>
      </c>
      <c r="O30" s="114">
        <f t="shared" si="5"/>
        <v>17728.7621028737</v>
      </c>
      <c r="P30" s="96"/>
    </row>
    <row r="31" spans="1:16">
      <c r="A31" s="92" t="s">
        <v>94</v>
      </c>
      <c r="B31" s="102" t="s">
        <v>1069</v>
      </c>
      <c r="C31" s="102"/>
      <c r="D31" s="102"/>
      <c r="E31" s="102"/>
      <c r="F31" s="102"/>
      <c r="G31" s="102"/>
      <c r="H31" s="102"/>
      <c r="I31" s="114"/>
      <c r="J31" s="118"/>
      <c r="K31" s="118"/>
      <c r="L31" s="116">
        <v>0</v>
      </c>
      <c r="M31" s="118"/>
      <c r="N31" s="118"/>
      <c r="O31" s="118"/>
      <c r="P31" s="102"/>
    </row>
    <row r="32" spans="1:16">
      <c r="A32" s="103" t="s">
        <v>1</v>
      </c>
      <c r="B32" s="104" t="s">
        <v>1070</v>
      </c>
      <c r="C32" s="103" t="s">
        <v>1071</v>
      </c>
      <c r="D32" s="90" t="s">
        <v>1007</v>
      </c>
      <c r="E32" s="103" t="s">
        <v>1072</v>
      </c>
      <c r="F32" s="103"/>
      <c r="G32" s="103" t="s">
        <v>47</v>
      </c>
      <c r="H32" s="103" t="s">
        <v>46</v>
      </c>
      <c r="I32" s="114"/>
      <c r="J32" s="114"/>
      <c r="K32" s="114"/>
      <c r="L32" s="116">
        <v>0</v>
      </c>
      <c r="M32" s="114"/>
      <c r="N32" s="114"/>
      <c r="O32" s="114"/>
      <c r="P32" s="103" t="s">
        <v>49</v>
      </c>
    </row>
    <row r="33" spans="1:16">
      <c r="A33" s="103">
        <v>1</v>
      </c>
      <c r="B33" s="105" t="s">
        <v>1073</v>
      </c>
      <c r="C33" s="106" t="s">
        <v>1074</v>
      </c>
      <c r="D33" s="106"/>
      <c r="E33" s="106" t="s">
        <v>1075</v>
      </c>
      <c r="F33" s="97"/>
      <c r="G33" s="97">
        <v>25</v>
      </c>
      <c r="H33" s="107" t="s">
        <v>860</v>
      </c>
      <c r="I33" s="114">
        <f t="shared" ref="I33:I45" si="7">J33*0.2</f>
        <v>80</v>
      </c>
      <c r="J33" s="114">
        <v>400</v>
      </c>
      <c r="K33" s="115">
        <f t="shared" si="6"/>
        <v>40</v>
      </c>
      <c r="L33" s="116">
        <f t="shared" ref="L33:L45" si="8">((I33+J33+K33)*0.06)*0.7103839320882</f>
        <v>22.1639786811518</v>
      </c>
      <c r="M33" s="114">
        <f t="shared" ref="M33:M45" si="9">(I33+J33+K33+L33)*0.09</f>
        <v>48.7947580813037</v>
      </c>
      <c r="N33" s="114">
        <f t="shared" ref="N33:N45" si="10">I33+J33+K33+L33+M33</f>
        <v>590.958736762456</v>
      </c>
      <c r="O33" s="114">
        <f t="shared" ref="O33:O45" si="11">N33*F33</f>
        <v>0</v>
      </c>
      <c r="P33" s="119" t="s">
        <v>1076</v>
      </c>
    </row>
    <row r="34" spans="1:16">
      <c r="A34" s="103">
        <v>2</v>
      </c>
      <c r="B34" s="105" t="s">
        <v>1077</v>
      </c>
      <c r="C34" s="106" t="s">
        <v>1075</v>
      </c>
      <c r="D34" s="106"/>
      <c r="E34" s="106" t="s">
        <v>1078</v>
      </c>
      <c r="F34" s="97"/>
      <c r="G34" s="97">
        <v>36</v>
      </c>
      <c r="H34" s="107" t="s">
        <v>860</v>
      </c>
      <c r="I34" s="114">
        <f t="shared" si="7"/>
        <v>130</v>
      </c>
      <c r="J34" s="114">
        <v>650</v>
      </c>
      <c r="K34" s="115">
        <f t="shared" si="6"/>
        <v>65</v>
      </c>
      <c r="L34" s="116">
        <f t="shared" si="8"/>
        <v>36.0164653568717</v>
      </c>
      <c r="M34" s="114">
        <f t="shared" si="9"/>
        <v>79.2914818821185</v>
      </c>
      <c r="N34" s="114">
        <f t="shared" si="10"/>
        <v>960.30794723899</v>
      </c>
      <c r="O34" s="114">
        <f t="shared" si="11"/>
        <v>0</v>
      </c>
      <c r="P34" s="119" t="s">
        <v>1076</v>
      </c>
    </row>
    <row r="35" spans="1:16">
      <c r="A35" s="103">
        <v>3</v>
      </c>
      <c r="B35" s="105" t="s">
        <v>1079</v>
      </c>
      <c r="C35" s="106" t="s">
        <v>1078</v>
      </c>
      <c r="D35" s="106"/>
      <c r="E35" s="106" t="s">
        <v>1080</v>
      </c>
      <c r="F35" s="97"/>
      <c r="G35" s="97">
        <v>31</v>
      </c>
      <c r="H35" s="107" t="s">
        <v>860</v>
      </c>
      <c r="I35" s="114">
        <f t="shared" si="7"/>
        <v>80</v>
      </c>
      <c r="J35" s="114">
        <v>400</v>
      </c>
      <c r="K35" s="115">
        <f t="shared" si="6"/>
        <v>40</v>
      </c>
      <c r="L35" s="116">
        <f t="shared" si="8"/>
        <v>22.1639786811518</v>
      </c>
      <c r="M35" s="114">
        <f t="shared" si="9"/>
        <v>48.7947580813037</v>
      </c>
      <c r="N35" s="114">
        <f t="shared" si="10"/>
        <v>590.958736762456</v>
      </c>
      <c r="O35" s="114">
        <f t="shared" si="11"/>
        <v>0</v>
      </c>
      <c r="P35" s="119" t="s">
        <v>1076</v>
      </c>
    </row>
    <row r="36" spans="1:16">
      <c r="A36" s="103">
        <v>4</v>
      </c>
      <c r="B36" s="105" t="s">
        <v>1081</v>
      </c>
      <c r="C36" s="106" t="s">
        <v>1082</v>
      </c>
      <c r="D36" s="106"/>
      <c r="E36" s="106" t="s">
        <v>1078</v>
      </c>
      <c r="F36" s="97"/>
      <c r="G36" s="97">
        <v>21</v>
      </c>
      <c r="H36" s="107" t="s">
        <v>860</v>
      </c>
      <c r="I36" s="114">
        <f t="shared" si="7"/>
        <v>190</v>
      </c>
      <c r="J36" s="114">
        <v>950</v>
      </c>
      <c r="K36" s="115">
        <f t="shared" si="6"/>
        <v>95</v>
      </c>
      <c r="L36" s="116">
        <f t="shared" si="8"/>
        <v>52.6394493677356</v>
      </c>
      <c r="M36" s="114">
        <f t="shared" si="9"/>
        <v>115.887550443096</v>
      </c>
      <c r="N36" s="114">
        <f t="shared" si="10"/>
        <v>1403.52699981083</v>
      </c>
      <c r="O36" s="114">
        <f t="shared" si="11"/>
        <v>0</v>
      </c>
      <c r="P36" s="119" t="s">
        <v>1076</v>
      </c>
    </row>
    <row r="37" spans="1:16">
      <c r="A37" s="103">
        <v>5</v>
      </c>
      <c r="B37" s="105" t="s">
        <v>1083</v>
      </c>
      <c r="C37" s="106" t="s">
        <v>1075</v>
      </c>
      <c r="D37" s="106"/>
      <c r="E37" s="106" t="s">
        <v>1078</v>
      </c>
      <c r="F37" s="97"/>
      <c r="G37" s="97">
        <v>25</v>
      </c>
      <c r="H37" s="107" t="s">
        <v>860</v>
      </c>
      <c r="I37" s="114">
        <f t="shared" si="7"/>
        <v>90</v>
      </c>
      <c r="J37" s="114">
        <v>450</v>
      </c>
      <c r="K37" s="115">
        <f t="shared" si="6"/>
        <v>45</v>
      </c>
      <c r="L37" s="116">
        <f t="shared" si="8"/>
        <v>24.9344760162958</v>
      </c>
      <c r="M37" s="114">
        <f t="shared" si="9"/>
        <v>54.8941028414666</v>
      </c>
      <c r="N37" s="114">
        <f t="shared" si="10"/>
        <v>664.828578857762</v>
      </c>
      <c r="O37" s="114">
        <f t="shared" si="11"/>
        <v>0</v>
      </c>
      <c r="P37" s="119" t="s">
        <v>1076</v>
      </c>
    </row>
    <row r="38" spans="1:16">
      <c r="A38" s="103">
        <v>6</v>
      </c>
      <c r="B38" s="105" t="s">
        <v>1084</v>
      </c>
      <c r="C38" s="106" t="s">
        <v>1085</v>
      </c>
      <c r="D38" s="106"/>
      <c r="E38" s="106" t="s">
        <v>1080</v>
      </c>
      <c r="F38" s="97"/>
      <c r="G38" s="97">
        <v>71</v>
      </c>
      <c r="H38" s="107" t="s">
        <v>860</v>
      </c>
      <c r="I38" s="114">
        <f t="shared" si="7"/>
        <v>44</v>
      </c>
      <c r="J38" s="114">
        <v>220</v>
      </c>
      <c r="K38" s="115">
        <f t="shared" si="6"/>
        <v>22</v>
      </c>
      <c r="L38" s="116">
        <f t="shared" si="8"/>
        <v>12.1901882746335</v>
      </c>
      <c r="M38" s="114">
        <f t="shared" si="9"/>
        <v>26.837116944717</v>
      </c>
      <c r="N38" s="114">
        <f t="shared" si="10"/>
        <v>325.027305219351</v>
      </c>
      <c r="O38" s="114">
        <f t="shared" si="11"/>
        <v>0</v>
      </c>
      <c r="P38" s="119" t="s">
        <v>1076</v>
      </c>
    </row>
    <row r="39" spans="1:16">
      <c r="A39" s="103">
        <v>7</v>
      </c>
      <c r="B39" s="105" t="s">
        <v>1086</v>
      </c>
      <c r="C39" s="106" t="s">
        <v>1085</v>
      </c>
      <c r="D39" s="106"/>
      <c r="E39" s="106" t="s">
        <v>1080</v>
      </c>
      <c r="F39" s="97"/>
      <c r="G39" s="97">
        <v>81</v>
      </c>
      <c r="H39" s="107" t="s">
        <v>860</v>
      </c>
      <c r="I39" s="114">
        <f t="shared" si="7"/>
        <v>44</v>
      </c>
      <c r="J39" s="114">
        <v>220</v>
      </c>
      <c r="K39" s="115">
        <f t="shared" si="6"/>
        <v>22</v>
      </c>
      <c r="L39" s="116">
        <f t="shared" si="8"/>
        <v>12.1901882746335</v>
      </c>
      <c r="M39" s="114">
        <f t="shared" si="9"/>
        <v>26.837116944717</v>
      </c>
      <c r="N39" s="114">
        <f t="shared" si="10"/>
        <v>325.027305219351</v>
      </c>
      <c r="O39" s="114">
        <f t="shared" si="11"/>
        <v>0</v>
      </c>
      <c r="P39" s="119" t="s">
        <v>1076</v>
      </c>
    </row>
    <row r="40" spans="1:16">
      <c r="A40" s="103">
        <v>8</v>
      </c>
      <c r="B40" s="105" t="s">
        <v>1087</v>
      </c>
      <c r="C40" s="106" t="s">
        <v>1074</v>
      </c>
      <c r="D40" s="106"/>
      <c r="E40" s="106" t="s">
        <v>1075</v>
      </c>
      <c r="F40" s="97"/>
      <c r="G40" s="97">
        <v>37</v>
      </c>
      <c r="H40" s="107" t="s">
        <v>860</v>
      </c>
      <c r="I40" s="114">
        <f t="shared" si="7"/>
        <v>84</v>
      </c>
      <c r="J40" s="114">
        <v>420</v>
      </c>
      <c r="K40" s="115">
        <f t="shared" si="6"/>
        <v>42</v>
      </c>
      <c r="L40" s="116">
        <f t="shared" si="8"/>
        <v>23.2721776152094</v>
      </c>
      <c r="M40" s="114">
        <f t="shared" si="9"/>
        <v>51.2344959853688</v>
      </c>
      <c r="N40" s="114">
        <f t="shared" si="10"/>
        <v>620.506673600578</v>
      </c>
      <c r="O40" s="114">
        <f t="shared" si="11"/>
        <v>0</v>
      </c>
      <c r="P40" s="119" t="s">
        <v>1076</v>
      </c>
    </row>
    <row r="41" spans="1:16">
      <c r="A41" s="103">
        <v>9</v>
      </c>
      <c r="B41" s="105" t="s">
        <v>1088</v>
      </c>
      <c r="C41" s="106" t="s">
        <v>1089</v>
      </c>
      <c r="D41" s="106"/>
      <c r="E41" s="106" t="s">
        <v>1090</v>
      </c>
      <c r="F41" s="97"/>
      <c r="G41" s="97">
        <v>42</v>
      </c>
      <c r="H41" s="107" t="s">
        <v>860</v>
      </c>
      <c r="I41" s="114">
        <f t="shared" si="7"/>
        <v>32</v>
      </c>
      <c r="J41" s="114">
        <v>160</v>
      </c>
      <c r="K41" s="115">
        <f t="shared" si="6"/>
        <v>16</v>
      </c>
      <c r="L41" s="116">
        <f t="shared" si="8"/>
        <v>8.86559147246074</v>
      </c>
      <c r="M41" s="114">
        <f t="shared" si="9"/>
        <v>19.5179032325215</v>
      </c>
      <c r="N41" s="114">
        <f t="shared" si="10"/>
        <v>236.383494704982</v>
      </c>
      <c r="O41" s="114">
        <f t="shared" si="11"/>
        <v>0</v>
      </c>
      <c r="P41" s="119" t="s">
        <v>1076</v>
      </c>
    </row>
    <row r="42" spans="1:16">
      <c r="A42" s="103">
        <v>10</v>
      </c>
      <c r="B42" s="105" t="s">
        <v>1091</v>
      </c>
      <c r="C42" s="106" t="s">
        <v>1092</v>
      </c>
      <c r="D42" s="106"/>
      <c r="E42" s="106" t="s">
        <v>1080</v>
      </c>
      <c r="F42" s="97"/>
      <c r="G42" s="97">
        <v>33</v>
      </c>
      <c r="H42" s="107" t="s">
        <v>860</v>
      </c>
      <c r="I42" s="114">
        <f t="shared" si="7"/>
        <v>66</v>
      </c>
      <c r="J42" s="114">
        <v>330</v>
      </c>
      <c r="K42" s="115">
        <f t="shared" si="6"/>
        <v>33</v>
      </c>
      <c r="L42" s="116">
        <f t="shared" si="8"/>
        <v>18.2852824119503</v>
      </c>
      <c r="M42" s="114">
        <f t="shared" si="9"/>
        <v>40.2556754170755</v>
      </c>
      <c r="N42" s="114">
        <f t="shared" si="10"/>
        <v>487.540957829026</v>
      </c>
      <c r="O42" s="114">
        <f t="shared" si="11"/>
        <v>0</v>
      </c>
      <c r="P42" s="119" t="s">
        <v>1076</v>
      </c>
    </row>
    <row r="43" spans="1:16">
      <c r="A43" s="103">
        <v>11</v>
      </c>
      <c r="B43" s="105" t="s">
        <v>1093</v>
      </c>
      <c r="C43" s="106" t="s">
        <v>1090</v>
      </c>
      <c r="D43" s="106"/>
      <c r="E43" s="106" t="s">
        <v>1090</v>
      </c>
      <c r="F43" s="97"/>
      <c r="G43" s="97">
        <v>54</v>
      </c>
      <c r="H43" s="107" t="s">
        <v>860</v>
      </c>
      <c r="I43" s="114">
        <f t="shared" si="7"/>
        <v>32</v>
      </c>
      <c r="J43" s="114">
        <v>160</v>
      </c>
      <c r="K43" s="115">
        <f t="shared" si="6"/>
        <v>16</v>
      </c>
      <c r="L43" s="116">
        <f t="shared" si="8"/>
        <v>8.86559147246074</v>
      </c>
      <c r="M43" s="114">
        <f t="shared" si="9"/>
        <v>19.5179032325215</v>
      </c>
      <c r="N43" s="114">
        <f t="shared" si="10"/>
        <v>236.383494704982</v>
      </c>
      <c r="O43" s="114">
        <f t="shared" si="11"/>
        <v>0</v>
      </c>
      <c r="P43" s="119" t="s">
        <v>1094</v>
      </c>
    </row>
    <row r="44" spans="1:16">
      <c r="A44" s="103">
        <v>12</v>
      </c>
      <c r="B44" s="105" t="s">
        <v>1095</v>
      </c>
      <c r="C44" s="106" t="s">
        <v>1085</v>
      </c>
      <c r="D44" s="106"/>
      <c r="E44" s="106" t="s">
        <v>1080</v>
      </c>
      <c r="F44" s="97"/>
      <c r="G44" s="97">
        <v>47</v>
      </c>
      <c r="H44" s="107" t="s">
        <v>860</v>
      </c>
      <c r="I44" s="114">
        <f t="shared" si="7"/>
        <v>56</v>
      </c>
      <c r="J44" s="114">
        <v>280</v>
      </c>
      <c r="K44" s="115">
        <f t="shared" si="6"/>
        <v>28</v>
      </c>
      <c r="L44" s="116">
        <f t="shared" si="8"/>
        <v>15.5147850768063</v>
      </c>
      <c r="M44" s="114">
        <f t="shared" si="9"/>
        <v>34.1563306569126</v>
      </c>
      <c r="N44" s="114">
        <f t="shared" si="10"/>
        <v>413.671115733719</v>
      </c>
      <c r="O44" s="114">
        <f t="shared" si="11"/>
        <v>0</v>
      </c>
      <c r="P44" s="119" t="s">
        <v>1076</v>
      </c>
    </row>
    <row r="45" spans="1:16">
      <c r="A45" s="103">
        <v>13</v>
      </c>
      <c r="B45" s="105" t="s">
        <v>1096</v>
      </c>
      <c r="C45" s="106" t="s">
        <v>1089</v>
      </c>
      <c r="D45" s="106"/>
      <c r="E45" s="106" t="s">
        <v>1090</v>
      </c>
      <c r="F45" s="97"/>
      <c r="G45" s="97">
        <v>25</v>
      </c>
      <c r="H45" s="107" t="s">
        <v>860</v>
      </c>
      <c r="I45" s="114">
        <f t="shared" si="7"/>
        <v>32</v>
      </c>
      <c r="J45" s="114">
        <v>160</v>
      </c>
      <c r="K45" s="115">
        <f t="shared" si="6"/>
        <v>16</v>
      </c>
      <c r="L45" s="116">
        <f t="shared" si="8"/>
        <v>8.86559147246074</v>
      </c>
      <c r="M45" s="114">
        <f t="shared" si="9"/>
        <v>19.5179032325215</v>
      </c>
      <c r="N45" s="114">
        <f t="shared" si="10"/>
        <v>236.383494704982</v>
      </c>
      <c r="O45" s="114">
        <f t="shared" si="11"/>
        <v>0</v>
      </c>
      <c r="P45" s="119" t="s">
        <v>1076</v>
      </c>
    </row>
    <row r="46" spans="1:16">
      <c r="A46" s="108" t="s">
        <v>100</v>
      </c>
      <c r="B46" s="105" t="s">
        <v>34</v>
      </c>
      <c r="C46" s="106"/>
      <c r="D46" s="106"/>
      <c r="E46" s="106"/>
      <c r="F46" s="97"/>
      <c r="G46" s="97"/>
      <c r="H46" s="107"/>
      <c r="I46" s="120"/>
      <c r="J46" s="120"/>
      <c r="K46" s="120"/>
      <c r="L46" s="120"/>
      <c r="M46" s="120"/>
      <c r="N46" s="120"/>
      <c r="O46" s="120">
        <f>SUM(O5:O45)</f>
        <v>17728.7621028737</v>
      </c>
      <c r="P46" s="119"/>
    </row>
    <row r="47" ht="14.25" spans="1:16">
      <c r="A47" s="109" t="s">
        <v>1097</v>
      </c>
      <c r="B47" s="110"/>
      <c r="C47" s="110"/>
      <c r="D47" s="111"/>
      <c r="E47" s="111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21"/>
    </row>
  </sheetData>
  <mergeCells count="13">
    <mergeCell ref="A1:P1"/>
    <mergeCell ref="C2:E2"/>
    <mergeCell ref="I2:M2"/>
    <mergeCell ref="B4:P4"/>
    <mergeCell ref="A47:P47"/>
    <mergeCell ref="A2:A3"/>
    <mergeCell ref="B2:B3"/>
    <mergeCell ref="F2:F3"/>
    <mergeCell ref="G2:G3"/>
    <mergeCell ref="H2:H3"/>
    <mergeCell ref="N2:N3"/>
    <mergeCell ref="O2:O3"/>
    <mergeCell ref="P2:P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9"/>
  <sheetViews>
    <sheetView zoomScaleSheetLayoutView="130" workbookViewId="0">
      <pane xSplit="5" ySplit="4" topLeftCell="F5" activePane="bottomRight" state="frozen"/>
      <selection/>
      <selection pane="topRight"/>
      <selection pane="bottomLeft"/>
      <selection pane="bottomRight" activeCell="P7" sqref="P7"/>
    </sheetView>
  </sheetViews>
  <sheetFormatPr defaultColWidth="10.2857142857143" defaultRowHeight="14.25"/>
  <cols>
    <col min="1" max="1" width="4.42857142857143" style="25" customWidth="1"/>
    <col min="2" max="2" width="7.66666666666667" style="25" customWidth="1"/>
    <col min="3" max="3" width="26.1428571428571" style="25" customWidth="1"/>
    <col min="4" max="4" width="4.42857142857143" style="25" customWidth="1"/>
    <col min="5" max="5" width="8.57142857142857" style="25" customWidth="1"/>
    <col min="6" max="6" width="7.55238095238095" style="25" customWidth="1"/>
    <col min="7" max="7" width="8.71428571428571" style="25" customWidth="1"/>
    <col min="8" max="8" width="9" style="25" customWidth="1"/>
    <col min="9" max="9" width="11.3333333333333" style="25" customWidth="1"/>
    <col min="10" max="10" width="7.33333333333333" style="25" customWidth="1"/>
    <col min="11" max="11" width="10.2857142857143" style="26"/>
    <col min="12" max="12" width="10.2857142857143" style="25"/>
    <col min="13" max="13" width="7.11428571428571" style="65" customWidth="1"/>
    <col min="14" max="16384" width="10.2857142857143" style="25"/>
  </cols>
  <sheetData>
    <row r="1" ht="33.95" customHeight="1" spans="1:13">
      <c r="A1" s="27" t="s">
        <v>1098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ht="12.95" customHeight="1" spans="1:15">
      <c r="A2" s="28" t="s">
        <v>1</v>
      </c>
      <c r="B2" s="29" t="s">
        <v>1099</v>
      </c>
      <c r="C2" s="29" t="s">
        <v>1100</v>
      </c>
      <c r="D2" s="29" t="s">
        <v>46</v>
      </c>
      <c r="E2" s="30" t="s">
        <v>1101</v>
      </c>
      <c r="F2" s="31" t="s">
        <v>61</v>
      </c>
      <c r="G2" s="32"/>
      <c r="H2" s="32"/>
      <c r="I2" s="32"/>
      <c r="J2" s="55"/>
      <c r="K2" s="36" t="s">
        <v>62</v>
      </c>
      <c r="L2" s="36" t="s">
        <v>63</v>
      </c>
      <c r="M2" s="36" t="s">
        <v>1102</v>
      </c>
      <c r="O2" s="26" t="s">
        <v>819</v>
      </c>
    </row>
    <row r="3" ht="34" customHeight="1" spans="1:15">
      <c r="A3" s="33"/>
      <c r="B3" s="34"/>
      <c r="C3" s="34"/>
      <c r="D3" s="34"/>
      <c r="E3" s="35"/>
      <c r="F3" s="36" t="s">
        <v>65</v>
      </c>
      <c r="G3" s="36" t="s">
        <v>66</v>
      </c>
      <c r="H3" s="36" t="s">
        <v>67</v>
      </c>
      <c r="I3" s="50" t="s">
        <v>1103</v>
      </c>
      <c r="J3" s="50" t="s">
        <v>69</v>
      </c>
      <c r="K3" s="56"/>
      <c r="L3" s="56"/>
      <c r="M3" s="56"/>
      <c r="O3" s="26"/>
    </row>
    <row r="4" ht="9.95" customHeight="1" spans="1:13">
      <c r="A4" s="37"/>
      <c r="B4" s="38"/>
      <c r="C4" s="38"/>
      <c r="D4" s="38"/>
      <c r="E4" s="39"/>
      <c r="F4" s="40"/>
      <c r="G4" s="40"/>
      <c r="H4" s="40"/>
      <c r="I4" s="50"/>
      <c r="J4" s="50"/>
      <c r="K4" s="40"/>
      <c r="L4" s="40"/>
      <c r="M4" s="40"/>
    </row>
    <row r="5" ht="12.75" spans="1:13">
      <c r="A5" s="41" t="s">
        <v>71</v>
      </c>
      <c r="B5" s="42" t="s">
        <v>1104</v>
      </c>
      <c r="C5" s="42"/>
      <c r="D5" s="41"/>
      <c r="E5" s="41"/>
      <c r="F5" s="43"/>
      <c r="G5" s="44"/>
      <c r="H5" s="43"/>
      <c r="I5" s="78"/>
      <c r="J5" s="79"/>
      <c r="K5" s="58"/>
      <c r="L5" s="59"/>
      <c r="M5" s="80"/>
    </row>
    <row r="6" ht="56.25" spans="1:15">
      <c r="A6" s="41">
        <v>1</v>
      </c>
      <c r="B6" s="66" t="s">
        <v>1105</v>
      </c>
      <c r="C6" s="66" t="s">
        <v>1106</v>
      </c>
      <c r="D6" s="67" t="s">
        <v>1107</v>
      </c>
      <c r="E6" s="68"/>
      <c r="F6" s="43">
        <v>400</v>
      </c>
      <c r="G6" s="50">
        <v>8500</v>
      </c>
      <c r="H6" s="43"/>
      <c r="I6" s="60">
        <f t="shared" ref="I6:I37" si="0">((F6+G6+H6)*0.06)*0.7103839320882</f>
        <v>379.345019735099</v>
      </c>
      <c r="J6" s="81">
        <f t="shared" ref="J6:J69" si="1">(F6+G6+H6+I6)*0.09</f>
        <v>835.141051776159</v>
      </c>
      <c r="K6" s="64">
        <f>F6+G6+H6+I6+J6</f>
        <v>10114.4860715113</v>
      </c>
      <c r="L6" s="64">
        <f>K6*E6</f>
        <v>0</v>
      </c>
      <c r="M6" s="82"/>
      <c r="O6" s="68">
        <v>1</v>
      </c>
    </row>
    <row r="7" ht="67.5" spans="1:15">
      <c r="A7" s="41">
        <v>2</v>
      </c>
      <c r="B7" s="66" t="s">
        <v>1108</v>
      </c>
      <c r="C7" s="42" t="s">
        <v>1109</v>
      </c>
      <c r="D7" s="67" t="s">
        <v>372</v>
      </c>
      <c r="E7" s="68"/>
      <c r="F7" s="43">
        <v>65</v>
      </c>
      <c r="G7" s="50">
        <v>180</v>
      </c>
      <c r="H7" s="43"/>
      <c r="I7" s="60">
        <f t="shared" si="0"/>
        <v>10.4426438016965</v>
      </c>
      <c r="J7" s="81">
        <f t="shared" si="1"/>
        <v>22.9898379421527</v>
      </c>
      <c r="K7" s="64">
        <f t="shared" ref="K7:K69" si="2">F7+G7+H7+I7+J7</f>
        <v>278.432481743849</v>
      </c>
      <c r="L7" s="64">
        <f t="shared" ref="L7:L69" si="3">K7*E7</f>
        <v>0</v>
      </c>
      <c r="M7" s="82"/>
      <c r="O7" s="68">
        <v>10</v>
      </c>
    </row>
    <row r="8" ht="33.75" spans="1:15">
      <c r="A8" s="41">
        <v>3</v>
      </c>
      <c r="B8" s="66" t="s">
        <v>1110</v>
      </c>
      <c r="C8" s="42" t="s">
        <v>1111</v>
      </c>
      <c r="D8" s="67" t="s">
        <v>193</v>
      </c>
      <c r="E8" s="68"/>
      <c r="F8" s="43">
        <v>10</v>
      </c>
      <c r="G8" s="50">
        <v>85</v>
      </c>
      <c r="H8" s="43"/>
      <c r="I8" s="60">
        <f t="shared" si="0"/>
        <v>4.04918841290274</v>
      </c>
      <c r="J8" s="81">
        <f t="shared" si="1"/>
        <v>8.91442695716125</v>
      </c>
      <c r="K8" s="64">
        <f t="shared" si="2"/>
        <v>107.963615370064</v>
      </c>
      <c r="L8" s="64">
        <f t="shared" si="3"/>
        <v>0</v>
      </c>
      <c r="M8" s="82"/>
      <c r="O8" s="68">
        <v>7</v>
      </c>
    </row>
    <row r="9" ht="101.25" spans="1:15">
      <c r="A9" s="41">
        <v>4</v>
      </c>
      <c r="B9" s="66" t="s">
        <v>1112</v>
      </c>
      <c r="C9" s="66" t="s">
        <v>1113</v>
      </c>
      <c r="D9" s="67" t="s">
        <v>372</v>
      </c>
      <c r="E9" s="68"/>
      <c r="F9" s="43">
        <v>200</v>
      </c>
      <c r="G9" s="50">
        <v>1200</v>
      </c>
      <c r="H9" s="43">
        <v>15</v>
      </c>
      <c r="I9" s="60">
        <f t="shared" si="0"/>
        <v>60.3115958342882</v>
      </c>
      <c r="J9" s="81">
        <f t="shared" si="1"/>
        <v>132.778043625086</v>
      </c>
      <c r="K9" s="64">
        <f t="shared" si="2"/>
        <v>1608.08963945937</v>
      </c>
      <c r="L9" s="64">
        <f t="shared" si="3"/>
        <v>0</v>
      </c>
      <c r="M9" s="82"/>
      <c r="O9" s="68">
        <v>78</v>
      </c>
    </row>
    <row r="10" ht="101.25" spans="1:15">
      <c r="A10" s="41">
        <v>5</v>
      </c>
      <c r="B10" s="66" t="s">
        <v>1114</v>
      </c>
      <c r="C10" s="66" t="s">
        <v>1115</v>
      </c>
      <c r="D10" s="67" t="s">
        <v>372</v>
      </c>
      <c r="E10" s="43"/>
      <c r="F10" s="69">
        <v>65</v>
      </c>
      <c r="G10" s="49">
        <v>280</v>
      </c>
      <c r="H10" s="43">
        <v>5</v>
      </c>
      <c r="I10" s="60">
        <f t="shared" si="0"/>
        <v>14.9180625738522</v>
      </c>
      <c r="J10" s="81">
        <f t="shared" si="1"/>
        <v>32.8426256316467</v>
      </c>
      <c r="K10" s="64">
        <f t="shared" si="2"/>
        <v>397.760688205499</v>
      </c>
      <c r="L10" s="64">
        <f t="shared" si="3"/>
        <v>0</v>
      </c>
      <c r="M10" s="82"/>
      <c r="O10" s="43">
        <v>41</v>
      </c>
    </row>
    <row r="11" ht="67.5" spans="1:15">
      <c r="A11" s="41">
        <v>6</v>
      </c>
      <c r="B11" s="66" t="s">
        <v>1116</v>
      </c>
      <c r="C11" s="66" t="s">
        <v>1117</v>
      </c>
      <c r="D11" s="67" t="s">
        <v>372</v>
      </c>
      <c r="E11" s="43"/>
      <c r="F11" s="69">
        <v>65</v>
      </c>
      <c r="G11" s="49">
        <v>850</v>
      </c>
      <c r="H11" s="43">
        <v>5</v>
      </c>
      <c r="I11" s="60">
        <f t="shared" si="0"/>
        <v>39.2131930512686</v>
      </c>
      <c r="J11" s="81">
        <f t="shared" si="1"/>
        <v>86.3291873746142</v>
      </c>
      <c r="K11" s="64">
        <f t="shared" si="2"/>
        <v>1045.54238042588</v>
      </c>
      <c r="L11" s="64">
        <f t="shared" si="3"/>
        <v>0</v>
      </c>
      <c r="M11" s="82"/>
      <c r="O11" s="43">
        <v>11</v>
      </c>
    </row>
    <row r="12" ht="78.75" spans="1:15">
      <c r="A12" s="41">
        <v>7</v>
      </c>
      <c r="B12" s="66" t="s">
        <v>1118</v>
      </c>
      <c r="C12" s="66" t="s">
        <v>1119</v>
      </c>
      <c r="D12" s="67" t="s">
        <v>372</v>
      </c>
      <c r="E12" s="43"/>
      <c r="F12" s="69">
        <v>55</v>
      </c>
      <c r="G12" s="49">
        <v>220</v>
      </c>
      <c r="H12" s="43">
        <v>5</v>
      </c>
      <c r="I12" s="60">
        <f t="shared" si="0"/>
        <v>11.9344500590818</v>
      </c>
      <c r="J12" s="81">
        <f t="shared" si="1"/>
        <v>26.2741005053174</v>
      </c>
      <c r="K12" s="64">
        <f t="shared" si="2"/>
        <v>318.208550564399</v>
      </c>
      <c r="L12" s="64">
        <f t="shared" si="3"/>
        <v>0</v>
      </c>
      <c r="M12" s="82"/>
      <c r="O12" s="43">
        <v>66</v>
      </c>
    </row>
    <row r="13" ht="78.75" spans="1:15">
      <c r="A13" s="41">
        <v>8</v>
      </c>
      <c r="B13" s="66" t="s">
        <v>1120</v>
      </c>
      <c r="C13" s="66" t="s">
        <v>1121</v>
      </c>
      <c r="D13" s="67" t="s">
        <v>372</v>
      </c>
      <c r="E13" s="43"/>
      <c r="F13" s="69">
        <v>55</v>
      </c>
      <c r="G13" s="49">
        <v>160</v>
      </c>
      <c r="H13" s="43">
        <v>5</v>
      </c>
      <c r="I13" s="60">
        <f t="shared" si="0"/>
        <v>9.37706790356424</v>
      </c>
      <c r="J13" s="81">
        <f t="shared" si="1"/>
        <v>20.6439361113208</v>
      </c>
      <c r="K13" s="64">
        <f t="shared" si="2"/>
        <v>250.021004014885</v>
      </c>
      <c r="L13" s="64">
        <f t="shared" si="3"/>
        <v>0</v>
      </c>
      <c r="M13" s="82"/>
      <c r="O13" s="43">
        <v>5</v>
      </c>
    </row>
    <row r="14" ht="78.75" spans="1:15">
      <c r="A14" s="41">
        <v>9</v>
      </c>
      <c r="B14" s="66" t="s">
        <v>1122</v>
      </c>
      <c r="C14" s="66" t="s">
        <v>1123</v>
      </c>
      <c r="D14" s="67" t="s">
        <v>372</v>
      </c>
      <c r="E14" s="43"/>
      <c r="F14" s="69">
        <v>55</v>
      </c>
      <c r="G14" s="49">
        <v>160</v>
      </c>
      <c r="H14" s="43">
        <v>5</v>
      </c>
      <c r="I14" s="60">
        <f t="shared" si="0"/>
        <v>9.37706790356424</v>
      </c>
      <c r="J14" s="81">
        <f t="shared" si="1"/>
        <v>20.6439361113208</v>
      </c>
      <c r="K14" s="64">
        <f t="shared" si="2"/>
        <v>250.021004014885</v>
      </c>
      <c r="L14" s="64">
        <f t="shared" si="3"/>
        <v>0</v>
      </c>
      <c r="M14" s="82"/>
      <c r="O14" s="43">
        <v>29</v>
      </c>
    </row>
    <row r="15" ht="67.5" spans="1:15">
      <c r="A15" s="41">
        <v>10</v>
      </c>
      <c r="B15" s="66" t="s">
        <v>1124</v>
      </c>
      <c r="C15" s="66" t="s">
        <v>1125</v>
      </c>
      <c r="D15" s="67" t="s">
        <v>372</v>
      </c>
      <c r="E15" s="43"/>
      <c r="F15" s="69">
        <v>55</v>
      </c>
      <c r="G15" s="49">
        <v>180</v>
      </c>
      <c r="H15" s="43">
        <v>5</v>
      </c>
      <c r="I15" s="60">
        <f t="shared" si="0"/>
        <v>10.2295286220701</v>
      </c>
      <c r="J15" s="81">
        <f t="shared" si="1"/>
        <v>22.5206575759863</v>
      </c>
      <c r="K15" s="64">
        <f t="shared" si="2"/>
        <v>272.750186198056</v>
      </c>
      <c r="L15" s="64">
        <f t="shared" si="3"/>
        <v>0</v>
      </c>
      <c r="M15" s="82"/>
      <c r="O15" s="43">
        <v>9</v>
      </c>
    </row>
    <row r="16" ht="78.75" spans="1:15">
      <c r="A16" s="41">
        <v>11</v>
      </c>
      <c r="B16" s="66" t="s">
        <v>1126</v>
      </c>
      <c r="C16" s="66" t="s">
        <v>1127</v>
      </c>
      <c r="D16" s="67" t="s">
        <v>372</v>
      </c>
      <c r="E16" s="43"/>
      <c r="F16" s="69">
        <v>55</v>
      </c>
      <c r="G16" s="49">
        <v>280</v>
      </c>
      <c r="H16" s="43">
        <v>5</v>
      </c>
      <c r="I16" s="60">
        <f t="shared" si="0"/>
        <v>14.4918322145993</v>
      </c>
      <c r="J16" s="81">
        <f t="shared" si="1"/>
        <v>31.9042648993139</v>
      </c>
      <c r="K16" s="64">
        <f t="shared" si="2"/>
        <v>386.396097113913</v>
      </c>
      <c r="L16" s="64">
        <f t="shared" si="3"/>
        <v>0</v>
      </c>
      <c r="M16" s="82"/>
      <c r="O16" s="43">
        <v>24</v>
      </c>
    </row>
    <row r="17" ht="78.75" spans="1:15">
      <c r="A17" s="41">
        <v>12</v>
      </c>
      <c r="B17" s="42" t="s">
        <v>1128</v>
      </c>
      <c r="C17" s="42" t="s">
        <v>1129</v>
      </c>
      <c r="D17" s="41" t="s">
        <v>89</v>
      </c>
      <c r="E17" s="43"/>
      <c r="F17" s="69">
        <v>10</v>
      </c>
      <c r="G17" s="49">
        <v>30</v>
      </c>
      <c r="H17" s="43">
        <v>2</v>
      </c>
      <c r="I17" s="60">
        <f t="shared" si="0"/>
        <v>1.79016750886226</v>
      </c>
      <c r="J17" s="81">
        <f t="shared" si="1"/>
        <v>3.9411150757976</v>
      </c>
      <c r="K17" s="64">
        <f t="shared" si="2"/>
        <v>47.7312825846599</v>
      </c>
      <c r="L17" s="64">
        <f t="shared" si="3"/>
        <v>0</v>
      </c>
      <c r="M17" s="82"/>
      <c r="O17" s="43">
        <v>91.53</v>
      </c>
    </row>
    <row r="18" ht="78.75" spans="1:15">
      <c r="A18" s="41">
        <v>13</v>
      </c>
      <c r="B18" s="42" t="s">
        <v>1130</v>
      </c>
      <c r="C18" s="42" t="s">
        <v>1131</v>
      </c>
      <c r="D18" s="41" t="s">
        <v>89</v>
      </c>
      <c r="E18" s="43"/>
      <c r="F18" s="69">
        <v>55</v>
      </c>
      <c r="G18" s="49">
        <v>120</v>
      </c>
      <c r="H18" s="43">
        <v>5</v>
      </c>
      <c r="I18" s="60">
        <f t="shared" si="0"/>
        <v>7.67214646655256</v>
      </c>
      <c r="J18" s="81">
        <f t="shared" si="1"/>
        <v>16.8904931819897</v>
      </c>
      <c r="K18" s="64">
        <f t="shared" si="2"/>
        <v>204.562639648542</v>
      </c>
      <c r="L18" s="64">
        <f t="shared" si="3"/>
        <v>0</v>
      </c>
      <c r="M18" s="82"/>
      <c r="O18" s="43">
        <v>8</v>
      </c>
    </row>
    <row r="19" ht="90" spans="1:15">
      <c r="A19" s="41">
        <v>14</v>
      </c>
      <c r="B19" s="42" t="s">
        <v>1128</v>
      </c>
      <c r="C19" s="42" t="s">
        <v>1132</v>
      </c>
      <c r="D19" s="41" t="s">
        <v>89</v>
      </c>
      <c r="E19" s="43"/>
      <c r="F19" s="69">
        <v>10</v>
      </c>
      <c r="G19" s="49">
        <v>30</v>
      </c>
      <c r="H19" s="43">
        <v>2</v>
      </c>
      <c r="I19" s="60">
        <f t="shared" si="0"/>
        <v>1.79016750886226</v>
      </c>
      <c r="J19" s="81">
        <f t="shared" si="1"/>
        <v>3.9411150757976</v>
      </c>
      <c r="K19" s="64">
        <f t="shared" si="2"/>
        <v>47.7312825846599</v>
      </c>
      <c r="L19" s="64">
        <f t="shared" si="3"/>
        <v>0</v>
      </c>
      <c r="M19" s="82"/>
      <c r="O19" s="43">
        <v>46</v>
      </c>
    </row>
    <row r="20" ht="56.25" spans="1:15">
      <c r="A20" s="41">
        <v>15</v>
      </c>
      <c r="B20" s="66" t="s">
        <v>1133</v>
      </c>
      <c r="C20" s="66" t="s">
        <v>1134</v>
      </c>
      <c r="D20" s="67" t="s">
        <v>372</v>
      </c>
      <c r="E20" s="43"/>
      <c r="F20" s="69">
        <v>35</v>
      </c>
      <c r="G20" s="49">
        <v>65</v>
      </c>
      <c r="H20" s="43">
        <v>5</v>
      </c>
      <c r="I20" s="60">
        <f t="shared" si="0"/>
        <v>4.47541877215566</v>
      </c>
      <c r="J20" s="81">
        <f t="shared" si="1"/>
        <v>9.85278768949401</v>
      </c>
      <c r="K20" s="64">
        <f t="shared" si="2"/>
        <v>119.32820646165</v>
      </c>
      <c r="L20" s="64">
        <f t="shared" si="3"/>
        <v>0</v>
      </c>
      <c r="M20" s="82"/>
      <c r="O20" s="43">
        <v>10</v>
      </c>
    </row>
    <row r="21" ht="45" spans="1:15">
      <c r="A21" s="41">
        <v>16</v>
      </c>
      <c r="B21" s="42" t="s">
        <v>1135</v>
      </c>
      <c r="C21" s="66" t="s">
        <v>1136</v>
      </c>
      <c r="D21" s="41" t="s">
        <v>1137</v>
      </c>
      <c r="E21" s="43"/>
      <c r="F21" s="69">
        <v>120</v>
      </c>
      <c r="G21" s="49">
        <v>320</v>
      </c>
      <c r="H21" s="43">
        <v>50</v>
      </c>
      <c r="I21" s="60">
        <f t="shared" si="0"/>
        <v>20.8852876033931</v>
      </c>
      <c r="J21" s="81">
        <f t="shared" si="1"/>
        <v>45.9796758843054</v>
      </c>
      <c r="K21" s="64">
        <f t="shared" si="2"/>
        <v>556.864963487698</v>
      </c>
      <c r="L21" s="64">
        <f t="shared" si="3"/>
        <v>0</v>
      </c>
      <c r="M21" s="82"/>
      <c r="O21" s="43">
        <v>34</v>
      </c>
    </row>
    <row r="22" ht="45" spans="1:15">
      <c r="A22" s="41">
        <v>17</v>
      </c>
      <c r="B22" s="42" t="s">
        <v>1138</v>
      </c>
      <c r="C22" s="46" t="s">
        <v>1139</v>
      </c>
      <c r="D22" s="41" t="s">
        <v>1137</v>
      </c>
      <c r="E22" s="43"/>
      <c r="F22" s="69">
        <v>180</v>
      </c>
      <c r="G22" s="49">
        <v>380</v>
      </c>
      <c r="H22" s="43">
        <v>50</v>
      </c>
      <c r="I22" s="60">
        <f t="shared" si="0"/>
        <v>26.0000519144281</v>
      </c>
      <c r="J22" s="81">
        <f t="shared" si="1"/>
        <v>57.2400046722985</v>
      </c>
      <c r="K22" s="64">
        <f t="shared" si="2"/>
        <v>693.240056586727</v>
      </c>
      <c r="L22" s="64">
        <f t="shared" si="3"/>
        <v>0</v>
      </c>
      <c r="M22" s="82"/>
      <c r="O22" s="43">
        <v>4</v>
      </c>
    </row>
    <row r="23" ht="56.25" spans="1:15">
      <c r="A23" s="41">
        <v>18</v>
      </c>
      <c r="B23" s="66" t="s">
        <v>1140</v>
      </c>
      <c r="C23" s="66" t="s">
        <v>1141</v>
      </c>
      <c r="D23" s="67" t="s">
        <v>89</v>
      </c>
      <c r="E23" s="43"/>
      <c r="F23" s="69">
        <v>1.5</v>
      </c>
      <c r="G23" s="69">
        <v>3.6</v>
      </c>
      <c r="H23" s="69">
        <v>0.5</v>
      </c>
      <c r="I23" s="60">
        <f t="shared" si="0"/>
        <v>0.238689001181635</v>
      </c>
      <c r="J23" s="81">
        <f t="shared" si="1"/>
        <v>0.525482010106347</v>
      </c>
      <c r="K23" s="64">
        <f t="shared" si="2"/>
        <v>6.36417101128798</v>
      </c>
      <c r="L23" s="64">
        <f t="shared" si="3"/>
        <v>0</v>
      </c>
      <c r="M23" s="82" t="s">
        <v>1142</v>
      </c>
      <c r="O23" s="43">
        <v>1390.74</v>
      </c>
    </row>
    <row r="24" ht="56.25" spans="1:15">
      <c r="A24" s="41">
        <v>19</v>
      </c>
      <c r="B24" s="66" t="s">
        <v>1140</v>
      </c>
      <c r="C24" s="66" t="s">
        <v>1143</v>
      </c>
      <c r="D24" s="67" t="s">
        <v>89</v>
      </c>
      <c r="E24" s="43"/>
      <c r="F24" s="69">
        <v>1.5</v>
      </c>
      <c r="G24" s="69">
        <v>2.8</v>
      </c>
      <c r="H24" s="69">
        <v>0.5</v>
      </c>
      <c r="I24" s="60">
        <f t="shared" si="0"/>
        <v>0.204590572441402</v>
      </c>
      <c r="J24" s="81">
        <f t="shared" si="1"/>
        <v>0.450413151519726</v>
      </c>
      <c r="K24" s="64">
        <f t="shared" si="2"/>
        <v>5.45500372396113</v>
      </c>
      <c r="L24" s="64">
        <f t="shared" si="3"/>
        <v>0</v>
      </c>
      <c r="M24" s="82" t="s">
        <v>1142</v>
      </c>
      <c r="O24" s="43">
        <v>6017.71</v>
      </c>
    </row>
    <row r="25" ht="56.25" spans="1:15">
      <c r="A25" s="41">
        <v>20</v>
      </c>
      <c r="B25" s="66" t="s">
        <v>1144</v>
      </c>
      <c r="C25" s="66" t="s">
        <v>1145</v>
      </c>
      <c r="D25" s="67" t="s">
        <v>89</v>
      </c>
      <c r="E25" s="43"/>
      <c r="F25" s="70">
        <v>15</v>
      </c>
      <c r="G25" s="70">
        <v>97.39</v>
      </c>
      <c r="H25" s="69">
        <v>5</v>
      </c>
      <c r="I25" s="60">
        <f t="shared" si="0"/>
        <v>5.00351818727003</v>
      </c>
      <c r="J25" s="81">
        <f t="shared" si="1"/>
        <v>11.0154166368543</v>
      </c>
      <c r="K25" s="64">
        <f t="shared" si="2"/>
        <v>133.408934824124</v>
      </c>
      <c r="L25" s="64">
        <f t="shared" si="3"/>
        <v>0</v>
      </c>
      <c r="M25" s="82"/>
      <c r="O25" s="43">
        <v>97.6</v>
      </c>
    </row>
    <row r="26" ht="56.25" spans="1:15">
      <c r="A26" s="41">
        <v>21</v>
      </c>
      <c r="B26" s="66" t="s">
        <v>1146</v>
      </c>
      <c r="C26" s="66" t="s">
        <v>1147</v>
      </c>
      <c r="D26" s="67" t="s">
        <v>89</v>
      </c>
      <c r="E26" s="43"/>
      <c r="F26" s="69">
        <v>5.5</v>
      </c>
      <c r="G26" s="69">
        <v>27.42</v>
      </c>
      <c r="H26" s="69">
        <v>2</v>
      </c>
      <c r="I26" s="60">
        <f t="shared" si="0"/>
        <v>1.4883964145112</v>
      </c>
      <c r="J26" s="81">
        <f t="shared" si="1"/>
        <v>3.27675567730601</v>
      </c>
      <c r="K26" s="64">
        <f t="shared" si="2"/>
        <v>39.6851520918172</v>
      </c>
      <c r="L26" s="64">
        <f t="shared" si="3"/>
        <v>0</v>
      </c>
      <c r="M26" s="82" t="s">
        <v>1148</v>
      </c>
      <c r="O26" s="43">
        <v>153.21</v>
      </c>
    </row>
    <row r="27" ht="56.25" spans="1:15">
      <c r="A27" s="41">
        <v>22</v>
      </c>
      <c r="B27" s="66" t="s">
        <v>1146</v>
      </c>
      <c r="C27" s="66" t="s">
        <v>1149</v>
      </c>
      <c r="D27" s="67" t="s">
        <v>89</v>
      </c>
      <c r="E27" s="43"/>
      <c r="F27" s="69">
        <v>5</v>
      </c>
      <c r="G27" s="69">
        <f>G28/3*5</f>
        <v>29.3666666666667</v>
      </c>
      <c r="H27" s="69">
        <v>2</v>
      </c>
      <c r="I27" s="60">
        <f t="shared" si="0"/>
        <v>1.55005773981645</v>
      </c>
      <c r="J27" s="81">
        <f t="shared" si="1"/>
        <v>3.41250519658348</v>
      </c>
      <c r="K27" s="64">
        <f t="shared" si="2"/>
        <v>41.3292296030666</v>
      </c>
      <c r="L27" s="64">
        <f t="shared" si="3"/>
        <v>0</v>
      </c>
      <c r="M27" s="82" t="s">
        <v>1148</v>
      </c>
      <c r="O27" s="43">
        <v>443.82</v>
      </c>
    </row>
    <row r="28" ht="56.25" spans="1:15">
      <c r="A28" s="41">
        <v>23</v>
      </c>
      <c r="B28" s="66" t="s">
        <v>1146</v>
      </c>
      <c r="C28" s="66" t="s">
        <v>1150</v>
      </c>
      <c r="D28" s="67" t="s">
        <v>89</v>
      </c>
      <c r="E28" s="43"/>
      <c r="F28" s="69">
        <v>3.5</v>
      </c>
      <c r="G28" s="69">
        <v>17.62</v>
      </c>
      <c r="H28" s="69">
        <v>1.5</v>
      </c>
      <c r="I28" s="60">
        <f t="shared" si="0"/>
        <v>0.964133072630105</v>
      </c>
      <c r="J28" s="81">
        <f t="shared" si="1"/>
        <v>2.12257197653671</v>
      </c>
      <c r="K28" s="64">
        <f t="shared" si="2"/>
        <v>25.7067050491668</v>
      </c>
      <c r="L28" s="64">
        <f t="shared" si="3"/>
        <v>0</v>
      </c>
      <c r="M28" s="82" t="s">
        <v>1148</v>
      </c>
      <c r="O28" s="43">
        <v>805.71</v>
      </c>
    </row>
    <row r="29" ht="56.25" spans="1:15">
      <c r="A29" s="41">
        <v>24</v>
      </c>
      <c r="B29" s="66" t="s">
        <v>1146</v>
      </c>
      <c r="C29" s="66" t="s">
        <v>1151</v>
      </c>
      <c r="D29" s="67" t="s">
        <v>89</v>
      </c>
      <c r="E29" s="43"/>
      <c r="F29" s="69">
        <v>3</v>
      </c>
      <c r="G29" s="69">
        <v>13.22</v>
      </c>
      <c r="H29" s="69">
        <v>1.5</v>
      </c>
      <c r="I29" s="60">
        <f t="shared" si="0"/>
        <v>0.755280196596174</v>
      </c>
      <c r="J29" s="81">
        <f t="shared" si="1"/>
        <v>1.66277521769366</v>
      </c>
      <c r="K29" s="64">
        <f t="shared" si="2"/>
        <v>20.1380554142898</v>
      </c>
      <c r="L29" s="64">
        <f t="shared" si="3"/>
        <v>0</v>
      </c>
      <c r="M29" s="82" t="s">
        <v>1148</v>
      </c>
      <c r="O29" s="43">
        <v>3238.67</v>
      </c>
    </row>
    <row r="30" ht="56.25" spans="1:15">
      <c r="A30" s="41">
        <v>25</v>
      </c>
      <c r="B30" s="66" t="s">
        <v>1146</v>
      </c>
      <c r="C30" s="66" t="s">
        <v>1152</v>
      </c>
      <c r="D30" s="67" t="s">
        <v>89</v>
      </c>
      <c r="E30" s="43"/>
      <c r="F30" s="69">
        <v>2</v>
      </c>
      <c r="G30" s="69">
        <f>5/4*3</f>
        <v>3.75</v>
      </c>
      <c r="H30" s="69">
        <v>0.5</v>
      </c>
      <c r="I30" s="60">
        <f t="shared" si="0"/>
        <v>0.266393974533075</v>
      </c>
      <c r="J30" s="81">
        <f t="shared" si="1"/>
        <v>0.586475457707977</v>
      </c>
      <c r="K30" s="64">
        <f t="shared" si="2"/>
        <v>7.10286943224105</v>
      </c>
      <c r="L30" s="64">
        <f t="shared" si="3"/>
        <v>0</v>
      </c>
      <c r="M30" s="82" t="s">
        <v>1148</v>
      </c>
      <c r="O30" s="43">
        <v>2804.64</v>
      </c>
    </row>
    <row r="31" ht="56.25" spans="1:15">
      <c r="A31" s="41">
        <v>26</v>
      </c>
      <c r="B31" s="66" t="s">
        <v>1146</v>
      </c>
      <c r="C31" s="66" t="s">
        <v>1153</v>
      </c>
      <c r="D31" s="67" t="s">
        <v>89</v>
      </c>
      <c r="E31" s="43"/>
      <c r="F31" s="69">
        <v>2</v>
      </c>
      <c r="G31" s="69">
        <v>3</v>
      </c>
      <c r="H31" s="69">
        <v>0.5</v>
      </c>
      <c r="I31" s="60">
        <f t="shared" si="0"/>
        <v>0.234426697589106</v>
      </c>
      <c r="J31" s="81">
        <f t="shared" si="1"/>
        <v>0.516098402783019</v>
      </c>
      <c r="K31" s="64">
        <f t="shared" si="2"/>
        <v>6.25052510037213</v>
      </c>
      <c r="L31" s="64">
        <f t="shared" si="3"/>
        <v>0</v>
      </c>
      <c r="M31" s="82" t="s">
        <v>1148</v>
      </c>
      <c r="O31" s="43">
        <v>101.86</v>
      </c>
    </row>
    <row r="32" ht="56.25" spans="1:15">
      <c r="A32" s="41">
        <v>27</v>
      </c>
      <c r="B32" s="66" t="s">
        <v>1146</v>
      </c>
      <c r="C32" s="66" t="s">
        <v>1154</v>
      </c>
      <c r="D32" s="67" t="s">
        <v>89</v>
      </c>
      <c r="E32" s="43"/>
      <c r="F32" s="69">
        <v>3.5</v>
      </c>
      <c r="G32" s="69">
        <v>17.62</v>
      </c>
      <c r="H32" s="69">
        <v>1.5</v>
      </c>
      <c r="I32" s="60">
        <f t="shared" si="0"/>
        <v>0.964133072630105</v>
      </c>
      <c r="J32" s="81">
        <f t="shared" si="1"/>
        <v>2.12257197653671</v>
      </c>
      <c r="K32" s="64">
        <f t="shared" si="2"/>
        <v>25.7067050491668</v>
      </c>
      <c r="L32" s="64">
        <f t="shared" si="3"/>
        <v>0</v>
      </c>
      <c r="M32" s="82" t="s">
        <v>1148</v>
      </c>
      <c r="O32" s="43">
        <v>61.25</v>
      </c>
    </row>
    <row r="33" ht="56.25" spans="1:15">
      <c r="A33" s="41">
        <v>28</v>
      </c>
      <c r="B33" s="66" t="s">
        <v>1146</v>
      </c>
      <c r="C33" s="66" t="s">
        <v>1155</v>
      </c>
      <c r="D33" s="67" t="s">
        <v>89</v>
      </c>
      <c r="E33" s="43"/>
      <c r="F33" s="69">
        <v>2</v>
      </c>
      <c r="G33" s="69">
        <v>3</v>
      </c>
      <c r="H33" s="69">
        <v>0.5</v>
      </c>
      <c r="I33" s="60">
        <f t="shared" si="0"/>
        <v>0.234426697589106</v>
      </c>
      <c r="J33" s="81">
        <f t="shared" si="1"/>
        <v>0.516098402783019</v>
      </c>
      <c r="K33" s="64">
        <f t="shared" si="2"/>
        <v>6.25052510037213</v>
      </c>
      <c r="L33" s="64">
        <f t="shared" si="3"/>
        <v>0</v>
      </c>
      <c r="M33" s="82" t="s">
        <v>1148</v>
      </c>
      <c r="O33" s="43">
        <v>61.87</v>
      </c>
    </row>
    <row r="34" ht="48" spans="1:15">
      <c r="A34" s="41">
        <v>29</v>
      </c>
      <c r="B34" s="71" t="s">
        <v>1156</v>
      </c>
      <c r="C34" s="71" t="s">
        <v>1157</v>
      </c>
      <c r="D34" s="72" t="s">
        <v>89</v>
      </c>
      <c r="E34" s="43"/>
      <c r="F34" s="69">
        <v>10</v>
      </c>
      <c r="G34" s="69">
        <v>22.49</v>
      </c>
      <c r="H34" s="69">
        <v>3</v>
      </c>
      <c r="I34" s="60">
        <f t="shared" si="0"/>
        <v>1.51269154498861</v>
      </c>
      <c r="J34" s="81">
        <f t="shared" si="1"/>
        <v>3.33024223904897</v>
      </c>
      <c r="K34" s="64">
        <f t="shared" si="2"/>
        <v>40.3329337840376</v>
      </c>
      <c r="L34" s="64">
        <f t="shared" si="3"/>
        <v>0</v>
      </c>
      <c r="M34" s="82"/>
      <c r="O34" s="43">
        <v>23.6</v>
      </c>
    </row>
    <row r="35" ht="48" spans="1:15">
      <c r="A35" s="41">
        <v>30</v>
      </c>
      <c r="B35" s="71" t="s">
        <v>1156</v>
      </c>
      <c r="C35" s="71" t="s">
        <v>1158</v>
      </c>
      <c r="D35" s="72" t="s">
        <v>89</v>
      </c>
      <c r="E35" s="43"/>
      <c r="F35" s="69">
        <v>5</v>
      </c>
      <c r="G35" s="69">
        <v>17.35</v>
      </c>
      <c r="H35" s="69">
        <v>3</v>
      </c>
      <c r="I35" s="60">
        <f t="shared" si="0"/>
        <v>1.08049396070615</v>
      </c>
      <c r="J35" s="81">
        <f t="shared" si="1"/>
        <v>2.37874445646355</v>
      </c>
      <c r="K35" s="64">
        <f t="shared" si="2"/>
        <v>28.8092384171697</v>
      </c>
      <c r="L35" s="64">
        <f t="shared" si="3"/>
        <v>0</v>
      </c>
      <c r="M35" s="82"/>
      <c r="O35" s="43">
        <v>99.63</v>
      </c>
    </row>
    <row r="36" ht="48" spans="1:15">
      <c r="A36" s="41">
        <v>31</v>
      </c>
      <c r="B36" s="73" t="s">
        <v>73</v>
      </c>
      <c r="C36" s="73" t="s">
        <v>1159</v>
      </c>
      <c r="D36" s="74" t="s">
        <v>75</v>
      </c>
      <c r="E36" s="43"/>
      <c r="F36" s="69"/>
      <c r="G36" s="69"/>
      <c r="H36" s="69">
        <v>8.5</v>
      </c>
      <c r="I36" s="60">
        <f t="shared" si="0"/>
        <v>0.362295805364982</v>
      </c>
      <c r="J36" s="81">
        <f t="shared" si="1"/>
        <v>0.797606622482848</v>
      </c>
      <c r="K36" s="64">
        <f t="shared" si="2"/>
        <v>9.65990242784783</v>
      </c>
      <c r="L36" s="64">
        <f t="shared" si="3"/>
        <v>0</v>
      </c>
      <c r="M36" s="82"/>
      <c r="O36" s="43">
        <v>592.67</v>
      </c>
    </row>
    <row r="37" ht="48" spans="1:15">
      <c r="A37" s="41">
        <v>32</v>
      </c>
      <c r="B37" s="73" t="s">
        <v>1160</v>
      </c>
      <c r="C37" s="73" t="s">
        <v>1161</v>
      </c>
      <c r="D37" s="74" t="s">
        <v>75</v>
      </c>
      <c r="E37" s="43"/>
      <c r="F37" s="69"/>
      <c r="G37" s="49"/>
      <c r="H37" s="43">
        <v>10</v>
      </c>
      <c r="I37" s="60">
        <f t="shared" si="0"/>
        <v>0.42623035925292</v>
      </c>
      <c r="J37" s="81">
        <f t="shared" si="1"/>
        <v>0.938360732332763</v>
      </c>
      <c r="K37" s="64">
        <f t="shared" si="2"/>
        <v>11.3645910915857</v>
      </c>
      <c r="L37" s="64">
        <f t="shared" si="3"/>
        <v>0</v>
      </c>
      <c r="M37" s="82"/>
      <c r="O37" s="43">
        <v>592.67</v>
      </c>
    </row>
    <row r="38" ht="12.75" spans="1:15">
      <c r="A38" s="41" t="s">
        <v>94</v>
      </c>
      <c r="B38" s="42" t="s">
        <v>1162</v>
      </c>
      <c r="C38" s="42"/>
      <c r="D38" s="41"/>
      <c r="E38" s="43"/>
      <c r="F38" s="69"/>
      <c r="G38" s="49"/>
      <c r="H38" s="43"/>
      <c r="I38" s="60">
        <f>((F38+G38+H38)*0.12)*0.7103839320882</f>
        <v>0</v>
      </c>
      <c r="J38" s="81"/>
      <c r="K38" s="64"/>
      <c r="L38" s="64"/>
      <c r="M38" s="82"/>
      <c r="O38" s="43"/>
    </row>
    <row r="39" ht="56.25" spans="1:15">
      <c r="A39" s="41">
        <v>1</v>
      </c>
      <c r="B39" s="66" t="s">
        <v>1105</v>
      </c>
      <c r="C39" s="66" t="s">
        <v>1163</v>
      </c>
      <c r="D39" s="67" t="s">
        <v>1107</v>
      </c>
      <c r="E39" s="68"/>
      <c r="F39" s="43">
        <v>120</v>
      </c>
      <c r="G39" s="50">
        <v>380</v>
      </c>
      <c r="H39" s="43">
        <v>15</v>
      </c>
      <c r="I39" s="60">
        <f t="shared" ref="I39:I48" si="4">((F39+G39+H39)*0.06)*0.7103839320882</f>
        <v>21.9508635015254</v>
      </c>
      <c r="J39" s="81">
        <f t="shared" si="1"/>
        <v>48.3255777151373</v>
      </c>
      <c r="K39" s="64">
        <f t="shared" si="2"/>
        <v>585.276441216663</v>
      </c>
      <c r="L39" s="64">
        <f t="shared" si="3"/>
        <v>0</v>
      </c>
      <c r="M39" s="82"/>
      <c r="O39" s="68">
        <v>1</v>
      </c>
    </row>
    <row r="40" ht="56.25" spans="1:15">
      <c r="A40" s="41">
        <v>2</v>
      </c>
      <c r="B40" s="66" t="s">
        <v>1133</v>
      </c>
      <c r="C40" s="66" t="s">
        <v>1164</v>
      </c>
      <c r="D40" s="67" t="s">
        <v>372</v>
      </c>
      <c r="E40" s="43"/>
      <c r="F40" s="69">
        <v>35</v>
      </c>
      <c r="G40" s="49">
        <v>65</v>
      </c>
      <c r="H40" s="43">
        <v>5</v>
      </c>
      <c r="I40" s="60">
        <f t="shared" si="4"/>
        <v>4.47541877215566</v>
      </c>
      <c r="J40" s="81">
        <f t="shared" si="1"/>
        <v>9.85278768949401</v>
      </c>
      <c r="K40" s="64">
        <f t="shared" si="2"/>
        <v>119.32820646165</v>
      </c>
      <c r="L40" s="64">
        <f t="shared" si="3"/>
        <v>0</v>
      </c>
      <c r="M40" s="82"/>
      <c r="O40" s="43">
        <v>40</v>
      </c>
    </row>
    <row r="41" ht="56.25" spans="1:15">
      <c r="A41" s="41">
        <v>3</v>
      </c>
      <c r="B41" s="66" t="s">
        <v>1165</v>
      </c>
      <c r="C41" s="66" t="s">
        <v>1166</v>
      </c>
      <c r="D41" s="67" t="s">
        <v>372</v>
      </c>
      <c r="E41" s="43"/>
      <c r="F41" s="69">
        <v>35</v>
      </c>
      <c r="G41" s="49">
        <v>65</v>
      </c>
      <c r="H41" s="43">
        <v>5</v>
      </c>
      <c r="I41" s="60">
        <f t="shared" si="4"/>
        <v>4.47541877215566</v>
      </c>
      <c r="J41" s="81">
        <f t="shared" si="1"/>
        <v>9.85278768949401</v>
      </c>
      <c r="K41" s="64">
        <f t="shared" si="2"/>
        <v>119.32820646165</v>
      </c>
      <c r="L41" s="64">
        <f t="shared" si="3"/>
        <v>0</v>
      </c>
      <c r="M41" s="82"/>
      <c r="O41" s="43">
        <v>1</v>
      </c>
    </row>
    <row r="42" ht="78.75" spans="1:15">
      <c r="A42" s="41">
        <v>4</v>
      </c>
      <c r="B42" s="42" t="s">
        <v>1128</v>
      </c>
      <c r="C42" s="42" t="s">
        <v>1167</v>
      </c>
      <c r="D42" s="41" t="s">
        <v>89</v>
      </c>
      <c r="E42" s="43"/>
      <c r="F42" s="69">
        <v>10</v>
      </c>
      <c r="G42" s="49">
        <v>30</v>
      </c>
      <c r="H42" s="43">
        <v>2</v>
      </c>
      <c r="I42" s="60">
        <f t="shared" si="4"/>
        <v>1.79016750886226</v>
      </c>
      <c r="J42" s="81">
        <f t="shared" si="1"/>
        <v>3.9411150757976</v>
      </c>
      <c r="K42" s="64">
        <f t="shared" si="2"/>
        <v>47.7312825846599</v>
      </c>
      <c r="L42" s="64">
        <f t="shared" si="3"/>
        <v>0</v>
      </c>
      <c r="M42" s="82"/>
      <c r="O42" s="43">
        <v>105</v>
      </c>
    </row>
    <row r="43" ht="67.5" spans="1:15">
      <c r="A43" s="41">
        <v>5</v>
      </c>
      <c r="B43" s="42" t="s">
        <v>1168</v>
      </c>
      <c r="C43" s="42" t="s">
        <v>1169</v>
      </c>
      <c r="D43" s="41" t="s">
        <v>193</v>
      </c>
      <c r="E43" s="43"/>
      <c r="F43" s="69">
        <v>5</v>
      </c>
      <c r="G43" s="49">
        <v>35</v>
      </c>
      <c r="H43" s="43">
        <v>2</v>
      </c>
      <c r="I43" s="60">
        <f t="shared" si="4"/>
        <v>1.79016750886226</v>
      </c>
      <c r="J43" s="81">
        <f t="shared" si="1"/>
        <v>3.9411150757976</v>
      </c>
      <c r="K43" s="64">
        <f t="shared" si="2"/>
        <v>47.7312825846599</v>
      </c>
      <c r="L43" s="64">
        <f t="shared" si="3"/>
        <v>0</v>
      </c>
      <c r="M43" s="82"/>
      <c r="O43" s="43">
        <v>1</v>
      </c>
    </row>
    <row r="44" ht="67.5" spans="1:15">
      <c r="A44" s="41">
        <v>6</v>
      </c>
      <c r="B44" s="42" t="s">
        <v>1170</v>
      </c>
      <c r="C44" s="42" t="s">
        <v>1171</v>
      </c>
      <c r="D44" s="41" t="s">
        <v>193</v>
      </c>
      <c r="E44" s="43"/>
      <c r="F44" s="69">
        <v>5</v>
      </c>
      <c r="G44" s="49">
        <v>25</v>
      </c>
      <c r="H44" s="43">
        <v>2</v>
      </c>
      <c r="I44" s="60">
        <f t="shared" si="4"/>
        <v>1.36393714960934</v>
      </c>
      <c r="J44" s="81">
        <f t="shared" si="1"/>
        <v>3.00275434346484</v>
      </c>
      <c r="K44" s="64">
        <f t="shared" si="2"/>
        <v>36.3666914930742</v>
      </c>
      <c r="L44" s="64">
        <f t="shared" si="3"/>
        <v>0</v>
      </c>
      <c r="M44" s="82"/>
      <c r="O44" s="43">
        <v>2</v>
      </c>
    </row>
    <row r="45" ht="67.5" spans="1:15">
      <c r="A45" s="41">
        <v>7</v>
      </c>
      <c r="B45" s="42" t="s">
        <v>1172</v>
      </c>
      <c r="C45" s="42" t="s">
        <v>1173</v>
      </c>
      <c r="D45" s="41" t="s">
        <v>193</v>
      </c>
      <c r="E45" s="43"/>
      <c r="F45" s="69">
        <v>5</v>
      </c>
      <c r="G45" s="49">
        <v>35</v>
      </c>
      <c r="H45" s="43">
        <v>2</v>
      </c>
      <c r="I45" s="60">
        <f t="shared" si="4"/>
        <v>1.79016750886226</v>
      </c>
      <c r="J45" s="81">
        <f t="shared" si="1"/>
        <v>3.9411150757976</v>
      </c>
      <c r="K45" s="64">
        <f t="shared" si="2"/>
        <v>47.7312825846599</v>
      </c>
      <c r="L45" s="64">
        <f t="shared" si="3"/>
        <v>0</v>
      </c>
      <c r="M45" s="82"/>
      <c r="O45" s="43">
        <v>1</v>
      </c>
    </row>
    <row r="46" ht="56.25" spans="1:15">
      <c r="A46" s="41">
        <v>8</v>
      </c>
      <c r="B46" s="66" t="s">
        <v>1140</v>
      </c>
      <c r="C46" s="66" t="s">
        <v>1174</v>
      </c>
      <c r="D46" s="67" t="s">
        <v>89</v>
      </c>
      <c r="E46" s="43"/>
      <c r="F46" s="69">
        <v>1.5</v>
      </c>
      <c r="G46" s="49">
        <v>5</v>
      </c>
      <c r="H46" s="43">
        <v>0.5</v>
      </c>
      <c r="I46" s="60">
        <f t="shared" si="4"/>
        <v>0.298361251477044</v>
      </c>
      <c r="J46" s="81">
        <f t="shared" si="1"/>
        <v>0.656852512632934</v>
      </c>
      <c r="K46" s="64">
        <f t="shared" si="2"/>
        <v>7.95521376410998</v>
      </c>
      <c r="L46" s="64">
        <f t="shared" si="3"/>
        <v>0</v>
      </c>
      <c r="M46" s="82" t="s">
        <v>1142</v>
      </c>
      <c r="O46" s="43">
        <v>166.84</v>
      </c>
    </row>
    <row r="47" ht="56.25" spans="1:15">
      <c r="A47" s="41">
        <v>9</v>
      </c>
      <c r="B47" s="66" t="s">
        <v>1175</v>
      </c>
      <c r="C47" s="66" t="s">
        <v>1176</v>
      </c>
      <c r="D47" s="67" t="s">
        <v>89</v>
      </c>
      <c r="E47" s="43"/>
      <c r="F47" s="69">
        <v>1.5</v>
      </c>
      <c r="G47" s="49">
        <v>2.04</v>
      </c>
      <c r="H47" s="43">
        <v>0.5</v>
      </c>
      <c r="I47" s="60">
        <f t="shared" si="4"/>
        <v>0.17219706513818</v>
      </c>
      <c r="J47" s="81">
        <f t="shared" si="1"/>
        <v>0.379097735862436</v>
      </c>
      <c r="K47" s="64">
        <f t="shared" si="2"/>
        <v>4.59129480100062</v>
      </c>
      <c r="L47" s="64">
        <f t="shared" si="3"/>
        <v>0</v>
      </c>
      <c r="M47" s="82" t="s">
        <v>1148</v>
      </c>
      <c r="O47" s="43">
        <v>370.57</v>
      </c>
    </row>
    <row r="48" ht="56.25" spans="1:15">
      <c r="A48" s="41">
        <v>10</v>
      </c>
      <c r="B48" s="66" t="s">
        <v>1175</v>
      </c>
      <c r="C48" s="66" t="s">
        <v>1177</v>
      </c>
      <c r="D48" s="67" t="s">
        <v>89</v>
      </c>
      <c r="E48" s="43"/>
      <c r="F48" s="69">
        <v>1.5</v>
      </c>
      <c r="G48" s="49">
        <v>2.98</v>
      </c>
      <c r="H48" s="43">
        <v>0.5</v>
      </c>
      <c r="I48" s="60">
        <f t="shared" si="4"/>
        <v>0.212262718907954</v>
      </c>
      <c r="J48" s="81">
        <f t="shared" si="1"/>
        <v>0.467303644701716</v>
      </c>
      <c r="K48" s="64">
        <f t="shared" si="2"/>
        <v>5.65956636360967</v>
      </c>
      <c r="L48" s="64">
        <f t="shared" si="3"/>
        <v>0</v>
      </c>
      <c r="M48" s="82" t="s">
        <v>1148</v>
      </c>
      <c r="O48" s="43">
        <v>20.15</v>
      </c>
    </row>
    <row r="49" ht="12.75" spans="1:15">
      <c r="A49" s="41" t="s">
        <v>100</v>
      </c>
      <c r="B49" s="42" t="s">
        <v>1178</v>
      </c>
      <c r="C49" s="42"/>
      <c r="D49" s="41"/>
      <c r="E49" s="43"/>
      <c r="F49" s="69"/>
      <c r="G49" s="49"/>
      <c r="H49" s="43"/>
      <c r="I49" s="60">
        <f>((F49+G49+H49)*0.12)*0.7103839320882</f>
        <v>0</v>
      </c>
      <c r="J49" s="81"/>
      <c r="K49" s="64"/>
      <c r="L49" s="64"/>
      <c r="M49" s="82"/>
      <c r="O49" s="43"/>
    </row>
    <row r="50" ht="36" spans="1:15">
      <c r="A50" s="41">
        <v>1</v>
      </c>
      <c r="B50" s="75" t="s">
        <v>73</v>
      </c>
      <c r="C50" s="75" t="s">
        <v>1179</v>
      </c>
      <c r="D50" s="75" t="s">
        <v>75</v>
      </c>
      <c r="E50" s="43"/>
      <c r="F50" s="69"/>
      <c r="G50" s="49"/>
      <c r="H50" s="43">
        <v>8.5</v>
      </c>
      <c r="I50" s="60">
        <f t="shared" ref="I50:I55" si="5">((F50+G50+H50)*0.06)*0.7103839320882</f>
        <v>0.362295805364982</v>
      </c>
      <c r="J50" s="81">
        <f t="shared" si="1"/>
        <v>0.797606622482848</v>
      </c>
      <c r="K50" s="64">
        <f t="shared" si="2"/>
        <v>9.65990242784783</v>
      </c>
      <c r="L50" s="64">
        <f t="shared" si="3"/>
        <v>0</v>
      </c>
      <c r="M50" s="82"/>
      <c r="O50" s="43">
        <v>18.76</v>
      </c>
    </row>
    <row r="51" ht="36" spans="1:15">
      <c r="A51" s="41">
        <v>2</v>
      </c>
      <c r="B51" s="75" t="s">
        <v>1180</v>
      </c>
      <c r="C51" s="75" t="s">
        <v>1181</v>
      </c>
      <c r="D51" s="75" t="s">
        <v>75</v>
      </c>
      <c r="E51" s="43"/>
      <c r="F51" s="69"/>
      <c r="G51" s="49"/>
      <c r="H51" s="43">
        <v>10</v>
      </c>
      <c r="I51" s="60">
        <f t="shared" si="5"/>
        <v>0.42623035925292</v>
      </c>
      <c r="J51" s="81">
        <f t="shared" si="1"/>
        <v>0.938360732332763</v>
      </c>
      <c r="K51" s="64">
        <f t="shared" si="2"/>
        <v>11.3645910915857</v>
      </c>
      <c r="L51" s="64">
        <f t="shared" si="3"/>
        <v>0</v>
      </c>
      <c r="M51" s="82"/>
      <c r="O51" s="43">
        <v>18.76</v>
      </c>
    </row>
    <row r="52" ht="84" spans="1:15">
      <c r="A52" s="41">
        <v>3</v>
      </c>
      <c r="B52" s="75" t="s">
        <v>1182</v>
      </c>
      <c r="C52" s="75" t="s">
        <v>1183</v>
      </c>
      <c r="D52" s="75" t="s">
        <v>89</v>
      </c>
      <c r="E52" s="43"/>
      <c r="F52" s="69">
        <v>5</v>
      </c>
      <c r="G52" s="49">
        <v>15</v>
      </c>
      <c r="H52" s="43">
        <v>1</v>
      </c>
      <c r="I52" s="60">
        <f t="shared" si="5"/>
        <v>0.895083754431132</v>
      </c>
      <c r="J52" s="81">
        <f t="shared" si="1"/>
        <v>1.9705575378988</v>
      </c>
      <c r="K52" s="64">
        <f t="shared" si="2"/>
        <v>23.8656412923299</v>
      </c>
      <c r="L52" s="64">
        <f t="shared" si="3"/>
        <v>0</v>
      </c>
      <c r="M52" s="82"/>
      <c r="O52" s="43">
        <f>23.5*2+1.23+9.33+15.26+6.96+10.69+6.84+9.35+4.29+8.1+1.25+9.16+3.25+6.58+2.29+5.81+3.56+4.93+0.58+4+0.91+3.9+1.83+3.04+0.62+4.23+0.66+6.63+1.86+7.86+1.21</f>
        <v>193.21</v>
      </c>
    </row>
    <row r="53" ht="84" spans="1:15">
      <c r="A53" s="41">
        <v>4</v>
      </c>
      <c r="B53" s="75" t="s">
        <v>1182</v>
      </c>
      <c r="C53" s="75" t="s">
        <v>1184</v>
      </c>
      <c r="D53" s="75" t="s">
        <v>89</v>
      </c>
      <c r="E53" s="43"/>
      <c r="F53" s="69">
        <v>5</v>
      </c>
      <c r="G53" s="49">
        <v>26</v>
      </c>
      <c r="H53" s="43">
        <v>1</v>
      </c>
      <c r="I53" s="60">
        <f t="shared" si="5"/>
        <v>1.36393714960934</v>
      </c>
      <c r="J53" s="81">
        <f t="shared" si="1"/>
        <v>3.00275434346484</v>
      </c>
      <c r="K53" s="64">
        <f t="shared" si="2"/>
        <v>36.3666914930742</v>
      </c>
      <c r="L53" s="64">
        <f t="shared" si="3"/>
        <v>0</v>
      </c>
      <c r="M53" s="82"/>
      <c r="O53" s="43">
        <f>78.55+25.66+2.25+51.32</f>
        <v>157.78</v>
      </c>
    </row>
    <row r="54" ht="60" spans="1:15">
      <c r="A54" s="41">
        <v>5</v>
      </c>
      <c r="B54" s="76" t="s">
        <v>1185</v>
      </c>
      <c r="C54" s="76" t="s">
        <v>1186</v>
      </c>
      <c r="D54" s="76" t="s">
        <v>193</v>
      </c>
      <c r="E54" s="43"/>
      <c r="F54" s="69">
        <v>8</v>
      </c>
      <c r="G54" s="49">
        <v>35</v>
      </c>
      <c r="H54" s="43">
        <v>2</v>
      </c>
      <c r="I54" s="60">
        <f t="shared" si="5"/>
        <v>1.91803661663814</v>
      </c>
      <c r="J54" s="81">
        <f t="shared" si="1"/>
        <v>4.22262329549743</v>
      </c>
      <c r="K54" s="64">
        <f t="shared" si="2"/>
        <v>51.1406599121356</v>
      </c>
      <c r="L54" s="64">
        <f t="shared" si="3"/>
        <v>0</v>
      </c>
      <c r="M54" s="82"/>
      <c r="O54" s="43">
        <v>291</v>
      </c>
    </row>
    <row r="55" ht="60" spans="1:15">
      <c r="A55" s="41">
        <v>6</v>
      </c>
      <c r="B55" s="76" t="s">
        <v>1187</v>
      </c>
      <c r="C55" s="75" t="s">
        <v>1188</v>
      </c>
      <c r="D55" s="76" t="s">
        <v>1107</v>
      </c>
      <c r="E55" s="43"/>
      <c r="F55" s="69">
        <v>1000</v>
      </c>
      <c r="G55" s="49">
        <v>8500</v>
      </c>
      <c r="H55" s="43">
        <v>200</v>
      </c>
      <c r="I55" s="60">
        <f t="shared" si="5"/>
        <v>413.443448475332</v>
      </c>
      <c r="J55" s="81">
        <f t="shared" si="1"/>
        <v>910.20991036278</v>
      </c>
      <c r="K55" s="64">
        <f t="shared" si="2"/>
        <v>11023.6533588381</v>
      </c>
      <c r="L55" s="64">
        <f t="shared" si="3"/>
        <v>0</v>
      </c>
      <c r="M55" s="82"/>
      <c r="O55" s="43">
        <v>1</v>
      </c>
    </row>
    <row r="56" ht="12.75" spans="1:15">
      <c r="A56" s="41" t="s">
        <v>102</v>
      </c>
      <c r="B56" s="42" t="s">
        <v>1189</v>
      </c>
      <c r="C56" s="42"/>
      <c r="D56" s="41"/>
      <c r="E56" s="43"/>
      <c r="F56" s="69"/>
      <c r="G56" s="49"/>
      <c r="H56" s="43"/>
      <c r="I56" s="60">
        <f>((F56+G56+H56)*0.12)*0.7103839320882</f>
        <v>0</v>
      </c>
      <c r="J56" s="81"/>
      <c r="K56" s="64"/>
      <c r="L56" s="64"/>
      <c r="M56" s="82"/>
      <c r="O56" s="43"/>
    </row>
    <row r="57" ht="84" spans="1:15">
      <c r="A57" s="41">
        <v>1</v>
      </c>
      <c r="B57" s="75" t="s">
        <v>1190</v>
      </c>
      <c r="C57" s="75" t="s">
        <v>1191</v>
      </c>
      <c r="D57" s="77" t="s">
        <v>1137</v>
      </c>
      <c r="E57" s="43"/>
      <c r="F57" s="70">
        <v>20</v>
      </c>
      <c r="G57" s="70">
        <v>85</v>
      </c>
      <c r="H57" s="43"/>
      <c r="I57" s="60">
        <f t="shared" ref="I57:I73" si="6">((F57+G57+H57)*0.06)*0.7103839320882</f>
        <v>4.47541877215566</v>
      </c>
      <c r="J57" s="81">
        <f t="shared" si="1"/>
        <v>9.85278768949401</v>
      </c>
      <c r="K57" s="64">
        <f t="shared" si="2"/>
        <v>119.32820646165</v>
      </c>
      <c r="L57" s="64">
        <f t="shared" si="3"/>
        <v>0</v>
      </c>
      <c r="M57" s="82"/>
      <c r="O57" s="43">
        <v>39</v>
      </c>
    </row>
    <row r="58" ht="60" spans="1:15">
      <c r="A58" s="41">
        <v>2</v>
      </c>
      <c r="B58" s="75" t="s">
        <v>1192</v>
      </c>
      <c r="C58" s="75" t="s">
        <v>1193</v>
      </c>
      <c r="D58" s="77" t="s">
        <v>193</v>
      </c>
      <c r="E58" s="43"/>
      <c r="F58" s="70">
        <v>25</v>
      </c>
      <c r="G58" s="70">
        <v>160</v>
      </c>
      <c r="H58" s="43"/>
      <c r="I58" s="60">
        <f t="shared" si="6"/>
        <v>7.88526164617902</v>
      </c>
      <c r="J58" s="81">
        <f t="shared" si="1"/>
        <v>17.3596735481561</v>
      </c>
      <c r="K58" s="64">
        <f t="shared" si="2"/>
        <v>210.244935194335</v>
      </c>
      <c r="L58" s="64">
        <f t="shared" si="3"/>
        <v>0</v>
      </c>
      <c r="M58" s="82"/>
      <c r="O58" s="43">
        <f>3+1</f>
        <v>4</v>
      </c>
    </row>
    <row r="59" ht="60" spans="1:15">
      <c r="A59" s="41">
        <v>3</v>
      </c>
      <c r="B59" s="75" t="s">
        <v>1192</v>
      </c>
      <c r="C59" s="75" t="s">
        <v>1194</v>
      </c>
      <c r="D59" s="77" t="s">
        <v>193</v>
      </c>
      <c r="E59" s="43"/>
      <c r="F59" s="70">
        <v>30</v>
      </c>
      <c r="G59" s="70">
        <v>180</v>
      </c>
      <c r="H59" s="43"/>
      <c r="I59" s="60">
        <f t="shared" si="6"/>
        <v>8.95083754431132</v>
      </c>
      <c r="J59" s="81">
        <f t="shared" si="1"/>
        <v>19.705575378988</v>
      </c>
      <c r="K59" s="64">
        <f t="shared" si="2"/>
        <v>238.656412923299</v>
      </c>
      <c r="L59" s="64">
        <f t="shared" si="3"/>
        <v>0</v>
      </c>
      <c r="M59" s="82"/>
      <c r="O59" s="43">
        <v>3</v>
      </c>
    </row>
    <row r="60" ht="60" spans="1:15">
      <c r="A60" s="41">
        <v>4</v>
      </c>
      <c r="B60" s="75" t="s">
        <v>1195</v>
      </c>
      <c r="C60" s="75" t="s">
        <v>1196</v>
      </c>
      <c r="D60" s="77" t="s">
        <v>193</v>
      </c>
      <c r="E60" s="43"/>
      <c r="F60" s="70">
        <v>25</v>
      </c>
      <c r="G60" s="70">
        <v>160</v>
      </c>
      <c r="H60" s="43"/>
      <c r="I60" s="60">
        <f t="shared" si="6"/>
        <v>7.88526164617902</v>
      </c>
      <c r="J60" s="81">
        <f t="shared" si="1"/>
        <v>17.3596735481561</v>
      </c>
      <c r="K60" s="64">
        <f t="shared" si="2"/>
        <v>210.244935194335</v>
      </c>
      <c r="L60" s="64">
        <f t="shared" si="3"/>
        <v>0</v>
      </c>
      <c r="M60" s="82"/>
      <c r="O60" s="43">
        <f>1+1+1</f>
        <v>3</v>
      </c>
    </row>
    <row r="61" ht="72" spans="1:15">
      <c r="A61" s="41">
        <v>5</v>
      </c>
      <c r="B61" s="75" t="s">
        <v>1197</v>
      </c>
      <c r="C61" s="75" t="s">
        <v>1198</v>
      </c>
      <c r="D61" s="77" t="s">
        <v>1137</v>
      </c>
      <c r="E61" s="43"/>
      <c r="F61" s="69">
        <v>35</v>
      </c>
      <c r="G61" s="49">
        <v>65</v>
      </c>
      <c r="H61" s="43"/>
      <c r="I61" s="60">
        <f t="shared" si="6"/>
        <v>4.2623035925292</v>
      </c>
      <c r="J61" s="81">
        <f t="shared" si="1"/>
        <v>9.38360732332763</v>
      </c>
      <c r="K61" s="64">
        <f t="shared" si="2"/>
        <v>113.645910915857</v>
      </c>
      <c r="L61" s="64">
        <f t="shared" si="3"/>
        <v>0</v>
      </c>
      <c r="M61" s="82"/>
      <c r="O61" s="43">
        <v>4</v>
      </c>
    </row>
    <row r="62" ht="60" spans="1:15">
      <c r="A62" s="41">
        <v>6</v>
      </c>
      <c r="B62" s="75" t="s">
        <v>1199</v>
      </c>
      <c r="C62" s="75" t="s">
        <v>1200</v>
      </c>
      <c r="D62" s="77" t="s">
        <v>193</v>
      </c>
      <c r="E62" s="43"/>
      <c r="F62" s="70">
        <v>15</v>
      </c>
      <c r="G62" s="70">
        <v>45</v>
      </c>
      <c r="H62" s="43"/>
      <c r="I62" s="60">
        <f t="shared" si="6"/>
        <v>2.55738215551752</v>
      </c>
      <c r="J62" s="81">
        <f t="shared" si="1"/>
        <v>5.63016439399658</v>
      </c>
      <c r="K62" s="64">
        <f t="shared" si="2"/>
        <v>68.1875465495141</v>
      </c>
      <c r="L62" s="64">
        <f t="shared" si="3"/>
        <v>0</v>
      </c>
      <c r="M62" s="82"/>
      <c r="O62" s="43">
        <v>4</v>
      </c>
    </row>
    <row r="63" ht="72" spans="1:15">
      <c r="A63" s="41">
        <v>7</v>
      </c>
      <c r="B63" s="75" t="s">
        <v>1201</v>
      </c>
      <c r="C63" s="75" t="s">
        <v>1202</v>
      </c>
      <c r="D63" s="77" t="s">
        <v>1137</v>
      </c>
      <c r="E63" s="43"/>
      <c r="F63" s="70">
        <v>120</v>
      </c>
      <c r="G63" s="70">
        <v>380</v>
      </c>
      <c r="H63" s="43">
        <v>50</v>
      </c>
      <c r="I63" s="60">
        <f t="shared" si="6"/>
        <v>23.4426697589106</v>
      </c>
      <c r="J63" s="81">
        <f t="shared" si="1"/>
        <v>51.609840278302</v>
      </c>
      <c r="K63" s="64">
        <f t="shared" si="2"/>
        <v>625.052510037213</v>
      </c>
      <c r="L63" s="64">
        <f t="shared" si="3"/>
        <v>0</v>
      </c>
      <c r="M63" s="82"/>
      <c r="O63" s="43">
        <v>2</v>
      </c>
    </row>
    <row r="64" ht="72" spans="1:15">
      <c r="A64" s="41">
        <v>8</v>
      </c>
      <c r="B64" s="75" t="s">
        <v>1201</v>
      </c>
      <c r="C64" s="75" t="s">
        <v>1203</v>
      </c>
      <c r="D64" s="77" t="s">
        <v>1137</v>
      </c>
      <c r="E64" s="43"/>
      <c r="F64" s="70">
        <v>120</v>
      </c>
      <c r="G64" s="70">
        <v>380</v>
      </c>
      <c r="H64" s="43">
        <v>50</v>
      </c>
      <c r="I64" s="60">
        <f t="shared" si="6"/>
        <v>23.4426697589106</v>
      </c>
      <c r="J64" s="81">
        <f t="shared" si="1"/>
        <v>51.609840278302</v>
      </c>
      <c r="K64" s="64">
        <f t="shared" si="2"/>
        <v>625.052510037213</v>
      </c>
      <c r="L64" s="64">
        <f t="shared" si="3"/>
        <v>0</v>
      </c>
      <c r="M64" s="82"/>
      <c r="O64" s="43">
        <v>4</v>
      </c>
    </row>
    <row r="65" ht="48" spans="1:15">
      <c r="A65" s="41">
        <v>9</v>
      </c>
      <c r="B65" s="75" t="s">
        <v>1204</v>
      </c>
      <c r="C65" s="75" t="s">
        <v>1205</v>
      </c>
      <c r="D65" s="77" t="s">
        <v>193</v>
      </c>
      <c r="E65" s="43"/>
      <c r="F65" s="70">
        <v>15</v>
      </c>
      <c r="G65" s="70">
        <v>35</v>
      </c>
      <c r="H65" s="43"/>
      <c r="I65" s="60">
        <f t="shared" si="6"/>
        <v>2.1311517962646</v>
      </c>
      <c r="J65" s="81">
        <f t="shared" si="1"/>
        <v>4.69180366166381</v>
      </c>
      <c r="K65" s="64">
        <f t="shared" si="2"/>
        <v>56.8229554579284</v>
      </c>
      <c r="L65" s="64">
        <f t="shared" si="3"/>
        <v>0</v>
      </c>
      <c r="M65" s="82"/>
      <c r="O65" s="43">
        <v>12</v>
      </c>
    </row>
    <row r="66" ht="90" spans="1:15">
      <c r="A66" s="41">
        <v>10</v>
      </c>
      <c r="B66" s="46" t="s">
        <v>1206</v>
      </c>
      <c r="C66" s="46" t="s">
        <v>1207</v>
      </c>
      <c r="D66" s="44" t="s">
        <v>89</v>
      </c>
      <c r="E66" s="43"/>
      <c r="F66" s="70">
        <v>4</v>
      </c>
      <c r="G66" s="70">
        <v>5.5</v>
      </c>
      <c r="H66" s="43">
        <v>0.5</v>
      </c>
      <c r="I66" s="60">
        <f t="shared" si="6"/>
        <v>0.42623035925292</v>
      </c>
      <c r="J66" s="81">
        <f t="shared" si="1"/>
        <v>0.938360732332763</v>
      </c>
      <c r="K66" s="64">
        <f t="shared" si="2"/>
        <v>11.3645910915857</v>
      </c>
      <c r="L66" s="64">
        <f t="shared" si="3"/>
        <v>0</v>
      </c>
      <c r="M66" s="82" t="s">
        <v>1142</v>
      </c>
      <c r="O66" s="43">
        <v>46.2</v>
      </c>
    </row>
    <row r="67" ht="90" spans="1:15">
      <c r="A67" s="41">
        <v>11</v>
      </c>
      <c r="B67" s="46" t="s">
        <v>1206</v>
      </c>
      <c r="C67" s="46" t="s">
        <v>1208</v>
      </c>
      <c r="D67" s="44" t="s">
        <v>89</v>
      </c>
      <c r="E67" s="43"/>
      <c r="F67" s="70">
        <v>4</v>
      </c>
      <c r="G67" s="70">
        <v>6.5</v>
      </c>
      <c r="H67" s="43">
        <v>0.5</v>
      </c>
      <c r="I67" s="60">
        <f t="shared" si="6"/>
        <v>0.468853395178212</v>
      </c>
      <c r="J67" s="81">
        <f t="shared" si="1"/>
        <v>1.03219680556604</v>
      </c>
      <c r="K67" s="64">
        <f t="shared" si="2"/>
        <v>12.5010502007443</v>
      </c>
      <c r="L67" s="64">
        <f t="shared" si="3"/>
        <v>0</v>
      </c>
      <c r="M67" s="82" t="s">
        <v>1142</v>
      </c>
      <c r="O67" s="43">
        <v>710.5</v>
      </c>
    </row>
    <row r="68" ht="90" spans="1:15">
      <c r="A68" s="41">
        <v>12</v>
      </c>
      <c r="B68" s="46" t="s">
        <v>1206</v>
      </c>
      <c r="C68" s="46" t="s">
        <v>1209</v>
      </c>
      <c r="D68" s="44" t="s">
        <v>89</v>
      </c>
      <c r="E68" s="43"/>
      <c r="F68" s="70">
        <v>5</v>
      </c>
      <c r="G68" s="70">
        <v>7.8</v>
      </c>
      <c r="H68" s="43">
        <v>0.5</v>
      </c>
      <c r="I68" s="60">
        <f t="shared" si="6"/>
        <v>0.566886377806384</v>
      </c>
      <c r="J68" s="81">
        <f t="shared" si="1"/>
        <v>1.24801977400257</v>
      </c>
      <c r="K68" s="64">
        <f t="shared" si="2"/>
        <v>15.114906151809</v>
      </c>
      <c r="L68" s="64">
        <f t="shared" si="3"/>
        <v>0</v>
      </c>
      <c r="M68" s="82" t="s">
        <v>1142</v>
      </c>
      <c r="O68" s="43">
        <v>122.62</v>
      </c>
    </row>
    <row r="69" ht="90" spans="1:15">
      <c r="A69" s="41">
        <v>13</v>
      </c>
      <c r="B69" s="46" t="s">
        <v>1206</v>
      </c>
      <c r="C69" s="46" t="s">
        <v>1210</v>
      </c>
      <c r="D69" s="44" t="s">
        <v>89</v>
      </c>
      <c r="E69" s="43"/>
      <c r="F69" s="70">
        <v>6</v>
      </c>
      <c r="G69" s="70">
        <v>12.5</v>
      </c>
      <c r="H69" s="43">
        <v>1</v>
      </c>
      <c r="I69" s="60">
        <f t="shared" si="6"/>
        <v>0.831149200543194</v>
      </c>
      <c r="J69" s="81">
        <f t="shared" si="1"/>
        <v>1.82980342804889</v>
      </c>
      <c r="K69" s="64">
        <f t="shared" si="2"/>
        <v>22.1609526285921</v>
      </c>
      <c r="L69" s="64">
        <f t="shared" si="3"/>
        <v>0</v>
      </c>
      <c r="M69" s="82" t="s">
        <v>1142</v>
      </c>
      <c r="O69" s="43">
        <v>34.68</v>
      </c>
    </row>
    <row r="70" ht="90" spans="1:15">
      <c r="A70" s="41">
        <v>14</v>
      </c>
      <c r="B70" s="46" t="s">
        <v>1206</v>
      </c>
      <c r="C70" s="46" t="s">
        <v>1211</v>
      </c>
      <c r="D70" s="44" t="s">
        <v>89</v>
      </c>
      <c r="E70" s="43"/>
      <c r="F70" s="70">
        <v>6</v>
      </c>
      <c r="G70" s="70">
        <v>28</v>
      </c>
      <c r="H70" s="43">
        <v>1</v>
      </c>
      <c r="I70" s="60">
        <f t="shared" si="6"/>
        <v>1.49180625738522</v>
      </c>
      <c r="J70" s="81">
        <f t="shared" ref="J70:J128" si="7">(F70+G70+H70+I70)*0.09</f>
        <v>3.28426256316467</v>
      </c>
      <c r="K70" s="64">
        <f t="shared" ref="K70:K128" si="8">F70+G70+H70+I70+J70</f>
        <v>39.7760688205499</v>
      </c>
      <c r="L70" s="64">
        <f t="shared" ref="L70:L128" si="9">K70*E70</f>
        <v>0</v>
      </c>
      <c r="M70" s="82" t="s">
        <v>1142</v>
      </c>
      <c r="O70" s="43">
        <v>31.24</v>
      </c>
    </row>
    <row r="71" ht="90" spans="1:15">
      <c r="A71" s="41">
        <v>15</v>
      </c>
      <c r="B71" s="46" t="s">
        <v>1206</v>
      </c>
      <c r="C71" s="46" t="s">
        <v>1212</v>
      </c>
      <c r="D71" s="44" t="s">
        <v>89</v>
      </c>
      <c r="E71" s="43"/>
      <c r="F71" s="70">
        <v>16</v>
      </c>
      <c r="G71" s="70">
        <v>36</v>
      </c>
      <c r="H71" s="43">
        <v>1</v>
      </c>
      <c r="I71" s="60">
        <f t="shared" si="6"/>
        <v>2.25902090404048</v>
      </c>
      <c r="J71" s="81">
        <f t="shared" si="7"/>
        <v>4.97331188136364</v>
      </c>
      <c r="K71" s="64">
        <f t="shared" si="8"/>
        <v>60.2323327854041</v>
      </c>
      <c r="L71" s="64">
        <f t="shared" si="9"/>
        <v>0</v>
      </c>
      <c r="M71" s="82" t="s">
        <v>1142</v>
      </c>
      <c r="O71" s="43">
        <v>604.97</v>
      </c>
    </row>
    <row r="72" ht="33.75" spans="1:15">
      <c r="A72" s="41">
        <v>16</v>
      </c>
      <c r="B72" s="46" t="s">
        <v>73</v>
      </c>
      <c r="C72" s="46" t="s">
        <v>1179</v>
      </c>
      <c r="D72" s="46" t="s">
        <v>75</v>
      </c>
      <c r="E72" s="43"/>
      <c r="F72" s="69"/>
      <c r="G72" s="49"/>
      <c r="H72" s="43">
        <v>8.5</v>
      </c>
      <c r="I72" s="60">
        <f t="shared" si="6"/>
        <v>0.362295805364982</v>
      </c>
      <c r="J72" s="81">
        <f t="shared" si="7"/>
        <v>0.797606622482848</v>
      </c>
      <c r="K72" s="64">
        <f t="shared" si="8"/>
        <v>9.65990242784783</v>
      </c>
      <c r="L72" s="64">
        <f t="shared" si="9"/>
        <v>0</v>
      </c>
      <c r="M72" s="82"/>
      <c r="O72" s="43">
        <v>248</v>
      </c>
    </row>
    <row r="73" ht="33.75" spans="1:15">
      <c r="A73" s="41">
        <v>17</v>
      </c>
      <c r="B73" s="46" t="s">
        <v>1180</v>
      </c>
      <c r="C73" s="46" t="s">
        <v>1181</v>
      </c>
      <c r="D73" s="46" t="s">
        <v>75</v>
      </c>
      <c r="E73" s="43"/>
      <c r="F73" s="69"/>
      <c r="G73" s="49"/>
      <c r="H73" s="43">
        <v>10</v>
      </c>
      <c r="I73" s="60">
        <f t="shared" si="6"/>
        <v>0.42623035925292</v>
      </c>
      <c r="J73" s="81">
        <f t="shared" si="7"/>
        <v>0.938360732332763</v>
      </c>
      <c r="K73" s="64">
        <f t="shared" si="8"/>
        <v>11.3645910915857</v>
      </c>
      <c r="L73" s="64">
        <f t="shared" si="9"/>
        <v>0</v>
      </c>
      <c r="M73" s="82"/>
      <c r="O73" s="43">
        <v>248</v>
      </c>
    </row>
    <row r="74" ht="12.75" spans="1:15">
      <c r="A74" s="41" t="s">
        <v>105</v>
      </c>
      <c r="B74" s="42" t="s">
        <v>1213</v>
      </c>
      <c r="C74" s="42"/>
      <c r="D74" s="41"/>
      <c r="E74" s="43"/>
      <c r="F74" s="69"/>
      <c r="G74" s="49"/>
      <c r="H74" s="43"/>
      <c r="I74" s="60">
        <f>((F74+G74+H74)*0.12)*0.7103839320882</f>
        <v>0</v>
      </c>
      <c r="J74" s="81"/>
      <c r="K74" s="64"/>
      <c r="L74" s="64"/>
      <c r="M74" s="82"/>
      <c r="O74" s="43"/>
    </row>
    <row r="75" ht="48" spans="1:15">
      <c r="A75" s="41">
        <v>1</v>
      </c>
      <c r="B75" s="46" t="s">
        <v>1214</v>
      </c>
      <c r="C75" s="75" t="s">
        <v>1215</v>
      </c>
      <c r="D75" s="77" t="s">
        <v>1107</v>
      </c>
      <c r="E75" s="43"/>
      <c r="F75" s="69">
        <v>200</v>
      </c>
      <c r="G75" s="49">
        <v>3200</v>
      </c>
      <c r="H75" s="43"/>
      <c r="I75" s="60">
        <f t="shared" ref="I75:I89" si="10">((F75+G75+H75)*0.06)*0.7103839320882</f>
        <v>144.918322145993</v>
      </c>
      <c r="J75" s="81">
        <f t="shared" si="7"/>
        <v>319.042648993139</v>
      </c>
      <c r="K75" s="64">
        <f t="shared" si="8"/>
        <v>3863.96097113913</v>
      </c>
      <c r="L75" s="64">
        <f t="shared" si="9"/>
        <v>0</v>
      </c>
      <c r="M75" s="82" t="s">
        <v>1216</v>
      </c>
      <c r="O75" s="43">
        <v>2</v>
      </c>
    </row>
    <row r="76" ht="48" spans="1:15">
      <c r="A76" s="41">
        <v>2</v>
      </c>
      <c r="B76" s="46" t="s">
        <v>1214</v>
      </c>
      <c r="C76" s="75" t="s">
        <v>1217</v>
      </c>
      <c r="D76" s="77" t="s">
        <v>1107</v>
      </c>
      <c r="E76" s="43"/>
      <c r="F76" s="69">
        <v>200</v>
      </c>
      <c r="G76" s="49">
        <v>2600</v>
      </c>
      <c r="H76" s="43"/>
      <c r="I76" s="60">
        <f t="shared" si="10"/>
        <v>119.344500590818</v>
      </c>
      <c r="J76" s="81">
        <f t="shared" si="7"/>
        <v>262.741005053174</v>
      </c>
      <c r="K76" s="64">
        <f t="shared" si="8"/>
        <v>3182.08550564399</v>
      </c>
      <c r="L76" s="64">
        <f t="shared" si="9"/>
        <v>0</v>
      </c>
      <c r="M76" s="82" t="s">
        <v>1216</v>
      </c>
      <c r="O76" s="43">
        <v>2</v>
      </c>
    </row>
    <row r="77" ht="60" spans="1:15">
      <c r="A77" s="41">
        <v>3</v>
      </c>
      <c r="B77" s="75" t="s">
        <v>1218</v>
      </c>
      <c r="C77" s="75" t="s">
        <v>1219</v>
      </c>
      <c r="D77" s="77" t="s">
        <v>193</v>
      </c>
      <c r="E77" s="43"/>
      <c r="F77" s="70">
        <v>65</v>
      </c>
      <c r="G77" s="70">
        <v>380</v>
      </c>
      <c r="H77" s="43"/>
      <c r="I77" s="60">
        <f t="shared" si="10"/>
        <v>18.9672509867549</v>
      </c>
      <c r="J77" s="81">
        <f t="shared" si="7"/>
        <v>41.7570525888079</v>
      </c>
      <c r="K77" s="64">
        <f t="shared" si="8"/>
        <v>505.724303575563</v>
      </c>
      <c r="L77" s="64">
        <f t="shared" si="9"/>
        <v>0</v>
      </c>
      <c r="M77" s="82"/>
      <c r="O77" s="43">
        <v>4</v>
      </c>
    </row>
    <row r="78" ht="60" spans="1:15">
      <c r="A78" s="41">
        <v>4</v>
      </c>
      <c r="B78" s="75" t="s">
        <v>1220</v>
      </c>
      <c r="C78" s="75" t="s">
        <v>1221</v>
      </c>
      <c r="D78" s="77" t="s">
        <v>193</v>
      </c>
      <c r="E78" s="43"/>
      <c r="F78" s="70">
        <v>65</v>
      </c>
      <c r="G78" s="70">
        <v>380</v>
      </c>
      <c r="H78" s="43"/>
      <c r="I78" s="60">
        <f t="shared" si="10"/>
        <v>18.9672509867549</v>
      </c>
      <c r="J78" s="81">
        <f t="shared" si="7"/>
        <v>41.7570525888079</v>
      </c>
      <c r="K78" s="64">
        <f t="shared" si="8"/>
        <v>505.724303575563</v>
      </c>
      <c r="L78" s="64">
        <f t="shared" si="9"/>
        <v>0</v>
      </c>
      <c r="M78" s="82"/>
      <c r="O78" s="43">
        <v>2</v>
      </c>
    </row>
    <row r="79" ht="60" spans="1:15">
      <c r="A79" s="41">
        <v>5</v>
      </c>
      <c r="B79" s="75" t="s">
        <v>1222</v>
      </c>
      <c r="C79" s="75" t="s">
        <v>1223</v>
      </c>
      <c r="D79" s="77" t="s">
        <v>193</v>
      </c>
      <c r="E79" s="43"/>
      <c r="F79" s="70">
        <v>30</v>
      </c>
      <c r="G79" s="70">
        <v>180</v>
      </c>
      <c r="H79" s="43"/>
      <c r="I79" s="60">
        <f t="shared" si="10"/>
        <v>8.95083754431132</v>
      </c>
      <c r="J79" s="81">
        <f t="shared" si="7"/>
        <v>19.705575378988</v>
      </c>
      <c r="K79" s="64">
        <f t="shared" si="8"/>
        <v>238.656412923299</v>
      </c>
      <c r="L79" s="64">
        <f t="shared" si="9"/>
        <v>0</v>
      </c>
      <c r="M79" s="82"/>
      <c r="O79" s="43">
        <v>2</v>
      </c>
    </row>
    <row r="80" ht="60" spans="1:15">
      <c r="A80" s="41">
        <v>6</v>
      </c>
      <c r="B80" s="75" t="s">
        <v>1224</v>
      </c>
      <c r="C80" s="75" t="s">
        <v>1225</v>
      </c>
      <c r="D80" s="77" t="s">
        <v>193</v>
      </c>
      <c r="E80" s="43"/>
      <c r="F80" s="70">
        <v>30</v>
      </c>
      <c r="G80" s="70">
        <v>160</v>
      </c>
      <c r="H80" s="43"/>
      <c r="I80" s="60">
        <f t="shared" si="10"/>
        <v>8.09837682580548</v>
      </c>
      <c r="J80" s="81">
        <f t="shared" si="7"/>
        <v>17.8288539143225</v>
      </c>
      <c r="K80" s="64">
        <f t="shared" si="8"/>
        <v>215.927230740128</v>
      </c>
      <c r="L80" s="64">
        <f t="shared" si="9"/>
        <v>0</v>
      </c>
      <c r="M80" s="82"/>
      <c r="O80" s="43">
        <v>2</v>
      </c>
    </row>
    <row r="81" ht="60" spans="1:15">
      <c r="A81" s="41">
        <v>7</v>
      </c>
      <c r="B81" s="75" t="s">
        <v>1224</v>
      </c>
      <c r="C81" s="75" t="s">
        <v>1226</v>
      </c>
      <c r="D81" s="77" t="s">
        <v>193</v>
      </c>
      <c r="E81" s="43"/>
      <c r="F81" s="70">
        <v>15</v>
      </c>
      <c r="G81" s="70">
        <v>45</v>
      </c>
      <c r="H81" s="43"/>
      <c r="I81" s="60">
        <f t="shared" si="10"/>
        <v>2.55738215551752</v>
      </c>
      <c r="J81" s="81">
        <f t="shared" si="7"/>
        <v>5.63016439399658</v>
      </c>
      <c r="K81" s="64">
        <f t="shared" si="8"/>
        <v>68.1875465495141</v>
      </c>
      <c r="L81" s="64">
        <f t="shared" si="9"/>
        <v>0</v>
      </c>
      <c r="M81" s="82"/>
      <c r="O81" s="43">
        <v>24</v>
      </c>
    </row>
    <row r="82" ht="90" spans="1:15">
      <c r="A82" s="41">
        <v>8</v>
      </c>
      <c r="B82" s="46" t="s">
        <v>1206</v>
      </c>
      <c r="C82" s="46" t="s">
        <v>1227</v>
      </c>
      <c r="D82" s="44" t="s">
        <v>89</v>
      </c>
      <c r="E82" s="43"/>
      <c r="F82" s="70">
        <v>20</v>
      </c>
      <c r="G82" s="70">
        <v>55</v>
      </c>
      <c r="H82" s="43">
        <v>1.5</v>
      </c>
      <c r="I82" s="60">
        <f t="shared" si="10"/>
        <v>3.26066224828484</v>
      </c>
      <c r="J82" s="81">
        <f t="shared" si="7"/>
        <v>7.17845960234563</v>
      </c>
      <c r="K82" s="64">
        <f t="shared" si="8"/>
        <v>86.9391218506305</v>
      </c>
      <c r="L82" s="64">
        <f t="shared" si="9"/>
        <v>0</v>
      </c>
      <c r="M82" s="82" t="s">
        <v>1142</v>
      </c>
      <c r="O82" s="43">
        <v>60.8</v>
      </c>
    </row>
    <row r="83" ht="90" spans="1:15">
      <c r="A83" s="41">
        <v>9</v>
      </c>
      <c r="B83" s="46" t="s">
        <v>1206</v>
      </c>
      <c r="C83" s="46" t="s">
        <v>1212</v>
      </c>
      <c r="D83" s="44" t="s">
        <v>89</v>
      </c>
      <c r="E83" s="43"/>
      <c r="F83" s="70">
        <v>16</v>
      </c>
      <c r="G83" s="70">
        <v>36</v>
      </c>
      <c r="H83" s="43">
        <v>1</v>
      </c>
      <c r="I83" s="60">
        <f t="shared" si="10"/>
        <v>2.25902090404048</v>
      </c>
      <c r="J83" s="81">
        <f t="shared" si="7"/>
        <v>4.97331188136364</v>
      </c>
      <c r="K83" s="64">
        <f t="shared" si="8"/>
        <v>60.2323327854041</v>
      </c>
      <c r="L83" s="64">
        <f t="shared" si="9"/>
        <v>0</v>
      </c>
      <c r="M83" s="82" t="s">
        <v>1142</v>
      </c>
      <c r="O83" s="43">
        <v>1</v>
      </c>
    </row>
    <row r="84" ht="90" spans="1:15">
      <c r="A84" s="41">
        <v>10</v>
      </c>
      <c r="B84" s="46" t="s">
        <v>1206</v>
      </c>
      <c r="C84" s="46" t="s">
        <v>1211</v>
      </c>
      <c r="D84" s="44" t="s">
        <v>89</v>
      </c>
      <c r="E84" s="43"/>
      <c r="F84" s="70">
        <v>6</v>
      </c>
      <c r="G84" s="70">
        <v>28</v>
      </c>
      <c r="H84" s="43">
        <v>1</v>
      </c>
      <c r="I84" s="60">
        <f t="shared" si="10"/>
        <v>1.49180625738522</v>
      </c>
      <c r="J84" s="81">
        <f t="shared" si="7"/>
        <v>3.28426256316467</v>
      </c>
      <c r="K84" s="64">
        <f t="shared" si="8"/>
        <v>39.7760688205499</v>
      </c>
      <c r="L84" s="64">
        <f t="shared" si="9"/>
        <v>0</v>
      </c>
      <c r="M84" s="82" t="s">
        <v>1142</v>
      </c>
      <c r="O84" s="43">
        <v>1</v>
      </c>
    </row>
    <row r="85" ht="90" spans="1:15">
      <c r="A85" s="41">
        <v>11</v>
      </c>
      <c r="B85" s="46" t="s">
        <v>1206</v>
      </c>
      <c r="C85" s="46" t="s">
        <v>1208</v>
      </c>
      <c r="D85" s="44" t="s">
        <v>89</v>
      </c>
      <c r="E85" s="43"/>
      <c r="F85" s="70">
        <v>4</v>
      </c>
      <c r="G85" s="70">
        <v>6.5</v>
      </c>
      <c r="H85" s="43">
        <v>0.5</v>
      </c>
      <c r="I85" s="60">
        <f t="shared" si="10"/>
        <v>0.468853395178212</v>
      </c>
      <c r="J85" s="81">
        <f t="shared" si="7"/>
        <v>1.03219680556604</v>
      </c>
      <c r="K85" s="64">
        <f t="shared" si="8"/>
        <v>12.5010502007443</v>
      </c>
      <c r="L85" s="64">
        <f t="shared" si="9"/>
        <v>0</v>
      </c>
      <c r="M85" s="82" t="s">
        <v>1142</v>
      </c>
      <c r="O85" s="43">
        <v>4.8</v>
      </c>
    </row>
    <row r="86" ht="112.5" spans="1:15">
      <c r="A86" s="41">
        <v>12</v>
      </c>
      <c r="B86" s="46" t="s">
        <v>1228</v>
      </c>
      <c r="C86" s="46" t="s">
        <v>1229</v>
      </c>
      <c r="D86" s="44" t="s">
        <v>89</v>
      </c>
      <c r="E86" s="43"/>
      <c r="F86" s="70">
        <v>20</v>
      </c>
      <c r="G86" s="70">
        <v>55</v>
      </c>
      <c r="H86" s="43">
        <v>1.5</v>
      </c>
      <c r="I86" s="60">
        <f t="shared" si="10"/>
        <v>3.26066224828484</v>
      </c>
      <c r="J86" s="81">
        <f t="shared" si="7"/>
        <v>7.17845960234563</v>
      </c>
      <c r="K86" s="64">
        <f t="shared" si="8"/>
        <v>86.9391218506305</v>
      </c>
      <c r="L86" s="64">
        <f t="shared" si="9"/>
        <v>0</v>
      </c>
      <c r="M86" s="82" t="s">
        <v>1142</v>
      </c>
      <c r="O86" s="43">
        <v>70.4</v>
      </c>
    </row>
    <row r="87" ht="56.25" spans="1:15">
      <c r="A87" s="41">
        <v>13</v>
      </c>
      <c r="B87" s="46" t="s">
        <v>1230</v>
      </c>
      <c r="C87" s="46" t="s">
        <v>1231</v>
      </c>
      <c r="D87" s="44" t="s">
        <v>89</v>
      </c>
      <c r="E87" s="43"/>
      <c r="F87" s="70">
        <v>9</v>
      </c>
      <c r="G87" s="70">
        <v>16.5</v>
      </c>
      <c r="H87" s="43">
        <v>1</v>
      </c>
      <c r="I87" s="60">
        <f t="shared" si="10"/>
        <v>1.12951045202024</v>
      </c>
      <c r="J87" s="81">
        <f t="shared" si="7"/>
        <v>2.48665594068182</v>
      </c>
      <c r="K87" s="64">
        <f t="shared" si="8"/>
        <v>30.1161663927021</v>
      </c>
      <c r="L87" s="64">
        <f t="shared" si="9"/>
        <v>0</v>
      </c>
      <c r="M87" s="82" t="s">
        <v>1142</v>
      </c>
      <c r="O87" s="43">
        <v>3.3</v>
      </c>
    </row>
    <row r="88" ht="33.75" spans="1:15">
      <c r="A88" s="41">
        <v>14</v>
      </c>
      <c r="B88" s="46" t="s">
        <v>73</v>
      </c>
      <c r="C88" s="46" t="s">
        <v>1179</v>
      </c>
      <c r="D88" s="46" t="s">
        <v>75</v>
      </c>
      <c r="E88" s="43"/>
      <c r="F88" s="69"/>
      <c r="G88" s="49"/>
      <c r="H88" s="43">
        <v>8.5</v>
      </c>
      <c r="I88" s="60">
        <f t="shared" si="10"/>
        <v>0.362295805364982</v>
      </c>
      <c r="J88" s="81">
        <f t="shared" si="7"/>
        <v>0.797606622482848</v>
      </c>
      <c r="K88" s="64">
        <f t="shared" si="8"/>
        <v>9.65990242784783</v>
      </c>
      <c r="L88" s="64">
        <f t="shared" si="9"/>
        <v>0</v>
      </c>
      <c r="M88" s="82"/>
      <c r="O88" s="43">
        <v>22.56</v>
      </c>
    </row>
    <row r="89" ht="33.75" spans="1:15">
      <c r="A89" s="41">
        <v>15</v>
      </c>
      <c r="B89" s="46" t="s">
        <v>1180</v>
      </c>
      <c r="C89" s="46" t="s">
        <v>1181</v>
      </c>
      <c r="D89" s="46" t="s">
        <v>75</v>
      </c>
      <c r="E89" s="43"/>
      <c r="F89" s="69"/>
      <c r="G89" s="49"/>
      <c r="H89" s="43">
        <v>10</v>
      </c>
      <c r="I89" s="60">
        <f t="shared" si="10"/>
        <v>0.42623035925292</v>
      </c>
      <c r="J89" s="81">
        <f t="shared" si="7"/>
        <v>0.938360732332763</v>
      </c>
      <c r="K89" s="64">
        <f t="shared" si="8"/>
        <v>11.3645910915857</v>
      </c>
      <c r="L89" s="64">
        <f t="shared" si="9"/>
        <v>0</v>
      </c>
      <c r="M89" s="82"/>
      <c r="O89" s="43">
        <v>22.56</v>
      </c>
    </row>
    <row r="90" ht="12.75" spans="1:15">
      <c r="A90" s="41" t="s">
        <v>107</v>
      </c>
      <c r="B90" s="42" t="s">
        <v>1232</v>
      </c>
      <c r="C90" s="42"/>
      <c r="D90" s="41"/>
      <c r="E90" s="43"/>
      <c r="F90" s="69"/>
      <c r="G90" s="49"/>
      <c r="H90" s="43"/>
      <c r="I90" s="60">
        <f>((F90+G90+H90)*0.12)*0.7103839320882</f>
        <v>0</v>
      </c>
      <c r="J90" s="81"/>
      <c r="K90" s="64"/>
      <c r="L90" s="64"/>
      <c r="M90" s="82"/>
      <c r="O90" s="43"/>
    </row>
    <row r="91" ht="48" spans="1:15">
      <c r="A91" s="41">
        <v>1</v>
      </c>
      <c r="B91" s="46" t="s">
        <v>1214</v>
      </c>
      <c r="C91" s="75" t="s">
        <v>1233</v>
      </c>
      <c r="D91" s="77" t="s">
        <v>1107</v>
      </c>
      <c r="E91" s="43"/>
      <c r="F91" s="69">
        <v>200</v>
      </c>
      <c r="G91" s="49">
        <v>2800</v>
      </c>
      <c r="H91" s="43"/>
      <c r="I91" s="60">
        <f t="shared" ref="I91:I102" si="11">((F91+G91+H91)*0.06)*0.7103839320882</f>
        <v>127.869107775876</v>
      </c>
      <c r="J91" s="81">
        <f t="shared" si="7"/>
        <v>281.508219699829</v>
      </c>
      <c r="K91" s="64">
        <f t="shared" si="8"/>
        <v>3409.3773274757</v>
      </c>
      <c r="L91" s="64">
        <f t="shared" si="9"/>
        <v>0</v>
      </c>
      <c r="M91" s="82" t="s">
        <v>1216</v>
      </c>
      <c r="O91" s="43">
        <v>1</v>
      </c>
    </row>
    <row r="92" ht="60" spans="1:15">
      <c r="A92" s="41">
        <v>2</v>
      </c>
      <c r="B92" s="75" t="s">
        <v>1218</v>
      </c>
      <c r="C92" s="75" t="s">
        <v>1234</v>
      </c>
      <c r="D92" s="77" t="s">
        <v>193</v>
      </c>
      <c r="E92" s="43"/>
      <c r="F92" s="70">
        <v>30</v>
      </c>
      <c r="G92" s="70">
        <v>180</v>
      </c>
      <c r="H92" s="43"/>
      <c r="I92" s="60">
        <f t="shared" si="11"/>
        <v>8.95083754431132</v>
      </c>
      <c r="J92" s="81">
        <f t="shared" si="7"/>
        <v>19.705575378988</v>
      </c>
      <c r="K92" s="64">
        <f t="shared" si="8"/>
        <v>238.656412923299</v>
      </c>
      <c r="L92" s="64">
        <f t="shared" si="9"/>
        <v>0</v>
      </c>
      <c r="M92" s="82"/>
      <c r="O92" s="43">
        <v>1</v>
      </c>
    </row>
    <row r="93" ht="60" spans="1:15">
      <c r="A93" s="41">
        <v>3</v>
      </c>
      <c r="B93" s="75" t="s">
        <v>1222</v>
      </c>
      <c r="C93" s="75" t="s">
        <v>1223</v>
      </c>
      <c r="D93" s="77" t="s">
        <v>193</v>
      </c>
      <c r="E93" s="43"/>
      <c r="F93" s="70">
        <v>30</v>
      </c>
      <c r="G93" s="70">
        <v>180</v>
      </c>
      <c r="H93" s="43"/>
      <c r="I93" s="60">
        <f t="shared" si="11"/>
        <v>8.95083754431132</v>
      </c>
      <c r="J93" s="81">
        <f t="shared" si="7"/>
        <v>19.705575378988</v>
      </c>
      <c r="K93" s="64">
        <f t="shared" si="8"/>
        <v>238.656412923299</v>
      </c>
      <c r="L93" s="64">
        <f t="shared" si="9"/>
        <v>0</v>
      </c>
      <c r="M93" s="82"/>
      <c r="O93" s="43">
        <v>1</v>
      </c>
    </row>
    <row r="94" ht="60" spans="1:15">
      <c r="A94" s="41">
        <v>4</v>
      </c>
      <c r="B94" s="75" t="s">
        <v>1192</v>
      </c>
      <c r="C94" s="75" t="s">
        <v>1194</v>
      </c>
      <c r="D94" s="77" t="s">
        <v>193</v>
      </c>
      <c r="E94" s="43"/>
      <c r="F94" s="70">
        <v>30</v>
      </c>
      <c r="G94" s="70">
        <v>180</v>
      </c>
      <c r="H94" s="43"/>
      <c r="I94" s="60">
        <f t="shared" si="11"/>
        <v>8.95083754431132</v>
      </c>
      <c r="J94" s="81">
        <f t="shared" si="7"/>
        <v>19.705575378988</v>
      </c>
      <c r="K94" s="64">
        <f t="shared" si="8"/>
        <v>238.656412923299</v>
      </c>
      <c r="L94" s="64">
        <f t="shared" si="9"/>
        <v>0</v>
      </c>
      <c r="M94" s="82"/>
      <c r="O94" s="43">
        <v>2</v>
      </c>
    </row>
    <row r="95" ht="84" spans="1:15">
      <c r="A95" s="41">
        <v>5</v>
      </c>
      <c r="B95" s="75" t="s">
        <v>1235</v>
      </c>
      <c r="C95" s="75" t="s">
        <v>1236</v>
      </c>
      <c r="D95" s="77" t="s">
        <v>1137</v>
      </c>
      <c r="E95" s="43"/>
      <c r="F95" s="70">
        <v>120</v>
      </c>
      <c r="G95" s="70">
        <v>380</v>
      </c>
      <c r="H95" s="43">
        <v>50</v>
      </c>
      <c r="I95" s="60">
        <f t="shared" si="11"/>
        <v>23.4426697589106</v>
      </c>
      <c r="J95" s="81">
        <f t="shared" si="7"/>
        <v>51.609840278302</v>
      </c>
      <c r="K95" s="64">
        <f t="shared" si="8"/>
        <v>625.052510037213</v>
      </c>
      <c r="L95" s="64">
        <f t="shared" si="9"/>
        <v>0</v>
      </c>
      <c r="M95" s="82"/>
      <c r="O95" s="43">
        <v>1</v>
      </c>
    </row>
    <row r="96" ht="48" spans="1:15">
      <c r="A96" s="41">
        <v>6</v>
      </c>
      <c r="B96" s="75" t="s">
        <v>1237</v>
      </c>
      <c r="C96" s="75" t="s">
        <v>1238</v>
      </c>
      <c r="D96" s="77" t="s">
        <v>193</v>
      </c>
      <c r="E96" s="43"/>
      <c r="F96" s="70">
        <v>120</v>
      </c>
      <c r="G96" s="70">
        <v>380</v>
      </c>
      <c r="H96" s="43">
        <v>50</v>
      </c>
      <c r="I96" s="60">
        <f t="shared" si="11"/>
        <v>23.4426697589106</v>
      </c>
      <c r="J96" s="81">
        <f t="shared" si="7"/>
        <v>51.609840278302</v>
      </c>
      <c r="K96" s="64">
        <f t="shared" si="8"/>
        <v>625.052510037213</v>
      </c>
      <c r="L96" s="64">
        <f t="shared" si="9"/>
        <v>0</v>
      </c>
      <c r="M96" s="82"/>
      <c r="O96" s="43">
        <v>2</v>
      </c>
    </row>
    <row r="97" ht="90" spans="1:15">
      <c r="A97" s="41">
        <v>7</v>
      </c>
      <c r="B97" s="46" t="s">
        <v>1206</v>
      </c>
      <c r="C97" s="46" t="s">
        <v>1212</v>
      </c>
      <c r="D97" s="44" t="s">
        <v>89</v>
      </c>
      <c r="E97" s="43"/>
      <c r="F97" s="70">
        <v>16</v>
      </c>
      <c r="G97" s="70">
        <v>36</v>
      </c>
      <c r="H97" s="43">
        <v>1</v>
      </c>
      <c r="I97" s="60">
        <f t="shared" si="11"/>
        <v>2.25902090404048</v>
      </c>
      <c r="J97" s="81">
        <f t="shared" si="7"/>
        <v>4.97331188136364</v>
      </c>
      <c r="K97" s="64">
        <f t="shared" si="8"/>
        <v>60.2323327854041</v>
      </c>
      <c r="L97" s="64">
        <f t="shared" si="9"/>
        <v>0</v>
      </c>
      <c r="M97" s="82" t="s">
        <v>1142</v>
      </c>
      <c r="O97" s="43">
        <v>45</v>
      </c>
    </row>
    <row r="98" ht="90" spans="1:15">
      <c r="A98" s="41">
        <v>8</v>
      </c>
      <c r="B98" s="46" t="s">
        <v>1206</v>
      </c>
      <c r="C98" s="46" t="s">
        <v>1210</v>
      </c>
      <c r="D98" s="44" t="s">
        <v>89</v>
      </c>
      <c r="E98" s="43"/>
      <c r="F98" s="70">
        <v>6</v>
      </c>
      <c r="G98" s="70">
        <v>12.5</v>
      </c>
      <c r="H98" s="43">
        <v>1</v>
      </c>
      <c r="I98" s="60">
        <f t="shared" si="11"/>
        <v>0.831149200543194</v>
      </c>
      <c r="J98" s="81">
        <f t="shared" si="7"/>
        <v>1.82980342804889</v>
      </c>
      <c r="K98" s="64">
        <f t="shared" si="8"/>
        <v>22.1609526285921</v>
      </c>
      <c r="L98" s="64">
        <f t="shared" si="9"/>
        <v>0</v>
      </c>
      <c r="M98" s="82" t="s">
        <v>1142</v>
      </c>
      <c r="O98" s="43">
        <v>10.2</v>
      </c>
    </row>
    <row r="99" ht="45" spans="1:15">
      <c r="A99" s="41">
        <v>9</v>
      </c>
      <c r="B99" s="46" t="s">
        <v>1239</v>
      </c>
      <c r="C99" s="46" t="s">
        <v>1240</v>
      </c>
      <c r="D99" s="44" t="s">
        <v>89</v>
      </c>
      <c r="E99" s="43"/>
      <c r="F99" s="70">
        <v>12</v>
      </c>
      <c r="G99" s="70">
        <v>113.5</v>
      </c>
      <c r="H99" s="43">
        <v>3.5</v>
      </c>
      <c r="I99" s="60">
        <f t="shared" si="11"/>
        <v>5.49837163436267</v>
      </c>
      <c r="J99" s="81">
        <f t="shared" si="7"/>
        <v>12.1048534470926</v>
      </c>
      <c r="K99" s="64">
        <f t="shared" si="8"/>
        <v>146.603225081455</v>
      </c>
      <c r="L99" s="64">
        <f t="shared" si="9"/>
        <v>0</v>
      </c>
      <c r="M99" s="82" t="s">
        <v>1142</v>
      </c>
      <c r="O99" s="43">
        <v>9.9</v>
      </c>
    </row>
    <row r="100" ht="56.25" spans="1:15">
      <c r="A100" s="41">
        <v>10</v>
      </c>
      <c r="B100" s="46" t="s">
        <v>1230</v>
      </c>
      <c r="C100" s="46" t="s">
        <v>1241</v>
      </c>
      <c r="D100" s="44" t="s">
        <v>89</v>
      </c>
      <c r="E100" s="43"/>
      <c r="F100" s="70">
        <v>9</v>
      </c>
      <c r="G100" s="70">
        <v>21</v>
      </c>
      <c r="H100" s="43">
        <v>1.5</v>
      </c>
      <c r="I100" s="60">
        <f t="shared" si="11"/>
        <v>1.3426256316467</v>
      </c>
      <c r="J100" s="81">
        <f t="shared" si="7"/>
        <v>2.9558363068482</v>
      </c>
      <c r="K100" s="64">
        <f t="shared" si="8"/>
        <v>35.7984619384949</v>
      </c>
      <c r="L100" s="64">
        <f t="shared" si="9"/>
        <v>0</v>
      </c>
      <c r="M100" s="82" t="s">
        <v>1142</v>
      </c>
      <c r="O100" s="43">
        <v>1.6</v>
      </c>
    </row>
    <row r="101" ht="33.75" spans="1:15">
      <c r="A101" s="41">
        <v>11</v>
      </c>
      <c r="B101" s="46" t="s">
        <v>73</v>
      </c>
      <c r="C101" s="46" t="s">
        <v>1179</v>
      </c>
      <c r="D101" s="46" t="s">
        <v>75</v>
      </c>
      <c r="E101" s="43"/>
      <c r="F101" s="69"/>
      <c r="G101" s="49"/>
      <c r="H101" s="43">
        <v>8.5</v>
      </c>
      <c r="I101" s="60">
        <f t="shared" si="11"/>
        <v>0.362295805364982</v>
      </c>
      <c r="J101" s="81">
        <f t="shared" si="7"/>
        <v>0.797606622482848</v>
      </c>
      <c r="K101" s="64">
        <f t="shared" si="8"/>
        <v>9.65990242784783</v>
      </c>
      <c r="L101" s="64">
        <f t="shared" si="9"/>
        <v>0</v>
      </c>
      <c r="M101" s="82"/>
      <c r="O101" s="43">
        <v>10.67</v>
      </c>
    </row>
    <row r="102" ht="33.75" spans="1:15">
      <c r="A102" s="41">
        <v>12</v>
      </c>
      <c r="B102" s="46" t="s">
        <v>1180</v>
      </c>
      <c r="C102" s="46" t="s">
        <v>1181</v>
      </c>
      <c r="D102" s="46" t="s">
        <v>75</v>
      </c>
      <c r="E102" s="43"/>
      <c r="F102" s="69"/>
      <c r="G102" s="49"/>
      <c r="H102" s="43">
        <v>10</v>
      </c>
      <c r="I102" s="60">
        <f t="shared" si="11"/>
        <v>0.42623035925292</v>
      </c>
      <c r="J102" s="81">
        <f t="shared" si="7"/>
        <v>0.938360732332763</v>
      </c>
      <c r="K102" s="64">
        <f t="shared" si="8"/>
        <v>11.3645910915857</v>
      </c>
      <c r="L102" s="64">
        <f t="shared" si="9"/>
        <v>0</v>
      </c>
      <c r="M102" s="82"/>
      <c r="O102" s="43">
        <v>10.67</v>
      </c>
    </row>
    <row r="103" ht="12.75" spans="1:15">
      <c r="A103" s="41" t="s">
        <v>115</v>
      </c>
      <c r="B103" s="42" t="s">
        <v>1242</v>
      </c>
      <c r="C103" s="42"/>
      <c r="D103" s="41"/>
      <c r="E103" s="43"/>
      <c r="F103" s="69"/>
      <c r="G103" s="49"/>
      <c r="H103" s="43"/>
      <c r="I103" s="60">
        <f>((F103+G103+H103)*0.12)*0.7103839320882</f>
        <v>0</v>
      </c>
      <c r="J103" s="81"/>
      <c r="K103" s="64"/>
      <c r="L103" s="64"/>
      <c r="M103" s="82"/>
      <c r="O103" s="43"/>
    </row>
    <row r="104" ht="48" spans="1:15">
      <c r="A104" s="41">
        <v>1</v>
      </c>
      <c r="B104" s="46" t="s">
        <v>1214</v>
      </c>
      <c r="C104" s="75" t="s">
        <v>1243</v>
      </c>
      <c r="D104" s="77" t="s">
        <v>1107</v>
      </c>
      <c r="E104" s="43"/>
      <c r="F104" s="69">
        <v>200</v>
      </c>
      <c r="G104" s="49">
        <v>2200</v>
      </c>
      <c r="H104" s="43"/>
      <c r="I104" s="60">
        <f t="shared" ref="I104:I114" si="12">((F104+G104+H104)*0.06)*0.7103839320882</f>
        <v>102.295286220701</v>
      </c>
      <c r="J104" s="81">
        <f t="shared" si="7"/>
        <v>225.206575759863</v>
      </c>
      <c r="K104" s="64">
        <f t="shared" si="8"/>
        <v>2727.50186198056</v>
      </c>
      <c r="L104" s="64">
        <f t="shared" si="9"/>
        <v>0</v>
      </c>
      <c r="M104" s="82" t="s">
        <v>1216</v>
      </c>
      <c r="O104" s="43">
        <v>2</v>
      </c>
    </row>
    <row r="105" ht="60" spans="1:15">
      <c r="A105" s="41">
        <v>2</v>
      </c>
      <c r="B105" s="75" t="s">
        <v>1218</v>
      </c>
      <c r="C105" s="75" t="s">
        <v>1244</v>
      </c>
      <c r="D105" s="77" t="s">
        <v>193</v>
      </c>
      <c r="E105" s="43"/>
      <c r="F105" s="70">
        <v>50</v>
      </c>
      <c r="G105" s="70">
        <v>380</v>
      </c>
      <c r="H105" s="43"/>
      <c r="I105" s="60">
        <f t="shared" si="12"/>
        <v>18.3279054478756</v>
      </c>
      <c r="J105" s="81">
        <f t="shared" si="7"/>
        <v>40.3495114903088</v>
      </c>
      <c r="K105" s="64">
        <f t="shared" si="8"/>
        <v>488.677416938184</v>
      </c>
      <c r="L105" s="64">
        <f t="shared" si="9"/>
        <v>0</v>
      </c>
      <c r="M105" s="82"/>
      <c r="O105" s="43">
        <v>2</v>
      </c>
    </row>
    <row r="106" ht="60" spans="1:15">
      <c r="A106" s="41">
        <v>3</v>
      </c>
      <c r="B106" s="75" t="s">
        <v>1222</v>
      </c>
      <c r="C106" s="75" t="s">
        <v>1223</v>
      </c>
      <c r="D106" s="77" t="s">
        <v>193</v>
      </c>
      <c r="E106" s="43"/>
      <c r="F106" s="70">
        <v>50</v>
      </c>
      <c r="G106" s="70">
        <v>380</v>
      </c>
      <c r="H106" s="43"/>
      <c r="I106" s="60">
        <f t="shared" si="12"/>
        <v>18.3279054478756</v>
      </c>
      <c r="J106" s="81">
        <f t="shared" si="7"/>
        <v>40.3495114903088</v>
      </c>
      <c r="K106" s="64">
        <f t="shared" si="8"/>
        <v>488.677416938184</v>
      </c>
      <c r="L106" s="64">
        <f t="shared" si="9"/>
        <v>0</v>
      </c>
      <c r="M106" s="82"/>
      <c r="O106" s="43">
        <v>3</v>
      </c>
    </row>
    <row r="107" ht="60" spans="1:15">
      <c r="A107" s="41">
        <v>4</v>
      </c>
      <c r="B107" s="75" t="s">
        <v>1192</v>
      </c>
      <c r="C107" s="75" t="s">
        <v>1245</v>
      </c>
      <c r="D107" s="77" t="s">
        <v>193</v>
      </c>
      <c r="E107" s="43"/>
      <c r="F107" s="70">
        <v>50</v>
      </c>
      <c r="G107" s="70">
        <v>380</v>
      </c>
      <c r="H107" s="43"/>
      <c r="I107" s="60">
        <f t="shared" si="12"/>
        <v>18.3279054478756</v>
      </c>
      <c r="J107" s="81">
        <f t="shared" si="7"/>
        <v>40.3495114903088</v>
      </c>
      <c r="K107" s="64">
        <f t="shared" si="8"/>
        <v>488.677416938184</v>
      </c>
      <c r="L107" s="64">
        <f t="shared" si="9"/>
        <v>0</v>
      </c>
      <c r="M107" s="82"/>
      <c r="O107" s="43">
        <v>2</v>
      </c>
    </row>
    <row r="108" ht="84" spans="1:15">
      <c r="A108" s="41">
        <v>5</v>
      </c>
      <c r="B108" s="75" t="s">
        <v>1235</v>
      </c>
      <c r="C108" s="75" t="s">
        <v>1236</v>
      </c>
      <c r="D108" s="77" t="s">
        <v>1137</v>
      </c>
      <c r="E108" s="43"/>
      <c r="F108" s="70">
        <v>120</v>
      </c>
      <c r="G108" s="70">
        <v>380</v>
      </c>
      <c r="H108" s="43">
        <v>50</v>
      </c>
      <c r="I108" s="60">
        <f t="shared" si="12"/>
        <v>23.4426697589106</v>
      </c>
      <c r="J108" s="81">
        <f t="shared" si="7"/>
        <v>51.609840278302</v>
      </c>
      <c r="K108" s="64">
        <f t="shared" si="8"/>
        <v>625.052510037213</v>
      </c>
      <c r="L108" s="64">
        <f t="shared" si="9"/>
        <v>0</v>
      </c>
      <c r="M108" s="82"/>
      <c r="O108" s="43">
        <v>1</v>
      </c>
    </row>
    <row r="109" ht="90" spans="1:15">
      <c r="A109" s="41">
        <v>6</v>
      </c>
      <c r="B109" s="46" t="s">
        <v>1206</v>
      </c>
      <c r="C109" s="46" t="s">
        <v>1246</v>
      </c>
      <c r="D109" s="44" t="s">
        <v>89</v>
      </c>
      <c r="E109" s="43"/>
      <c r="F109" s="70">
        <v>20</v>
      </c>
      <c r="G109" s="70">
        <v>52</v>
      </c>
      <c r="H109" s="43">
        <v>1.5</v>
      </c>
      <c r="I109" s="60">
        <f t="shared" si="12"/>
        <v>3.13279314050896</v>
      </c>
      <c r="J109" s="81">
        <f t="shared" si="7"/>
        <v>6.89695138264581</v>
      </c>
      <c r="K109" s="64">
        <f t="shared" si="8"/>
        <v>83.5297445231548</v>
      </c>
      <c r="L109" s="64">
        <f t="shared" si="9"/>
        <v>0</v>
      </c>
      <c r="M109" s="82" t="s">
        <v>1142</v>
      </c>
      <c r="O109" s="43">
        <v>33.8</v>
      </c>
    </row>
    <row r="110" ht="90" spans="1:15">
      <c r="A110" s="41">
        <v>7</v>
      </c>
      <c r="B110" s="46" t="s">
        <v>1206</v>
      </c>
      <c r="C110" s="46" t="s">
        <v>1212</v>
      </c>
      <c r="D110" s="44" t="s">
        <v>89</v>
      </c>
      <c r="E110" s="43"/>
      <c r="F110" s="70">
        <v>16</v>
      </c>
      <c r="G110" s="70">
        <v>36</v>
      </c>
      <c r="H110" s="43">
        <v>1</v>
      </c>
      <c r="I110" s="60">
        <f t="shared" si="12"/>
        <v>2.25902090404048</v>
      </c>
      <c r="J110" s="81">
        <f t="shared" si="7"/>
        <v>4.97331188136364</v>
      </c>
      <c r="K110" s="64">
        <f t="shared" si="8"/>
        <v>60.2323327854041</v>
      </c>
      <c r="L110" s="64">
        <f t="shared" si="9"/>
        <v>0</v>
      </c>
      <c r="M110" s="82" t="s">
        <v>1142</v>
      </c>
      <c r="O110" s="43">
        <v>20.6</v>
      </c>
    </row>
    <row r="111" ht="112.5" spans="1:15">
      <c r="A111" s="41">
        <v>8</v>
      </c>
      <c r="B111" s="46" t="s">
        <v>1228</v>
      </c>
      <c r="C111" s="46" t="s">
        <v>1247</v>
      </c>
      <c r="D111" s="44" t="s">
        <v>89</v>
      </c>
      <c r="E111" s="43"/>
      <c r="F111" s="70">
        <v>20</v>
      </c>
      <c r="G111" s="70">
        <v>52</v>
      </c>
      <c r="H111" s="43">
        <v>1.5</v>
      </c>
      <c r="I111" s="60">
        <f t="shared" si="12"/>
        <v>3.13279314050896</v>
      </c>
      <c r="J111" s="81">
        <f t="shared" si="7"/>
        <v>6.89695138264581</v>
      </c>
      <c r="K111" s="64">
        <f t="shared" si="8"/>
        <v>83.5297445231548</v>
      </c>
      <c r="L111" s="64">
        <f t="shared" si="9"/>
        <v>0</v>
      </c>
      <c r="M111" s="82" t="s">
        <v>1142</v>
      </c>
      <c r="O111" s="43">
        <v>13.2</v>
      </c>
    </row>
    <row r="112" ht="56.25" spans="1:15">
      <c r="A112" s="41">
        <v>9</v>
      </c>
      <c r="B112" s="46" t="s">
        <v>1230</v>
      </c>
      <c r="C112" s="46" t="s">
        <v>1241</v>
      </c>
      <c r="D112" s="44" t="s">
        <v>89</v>
      </c>
      <c r="E112" s="43"/>
      <c r="F112" s="70">
        <v>9</v>
      </c>
      <c r="G112" s="70">
        <v>21</v>
      </c>
      <c r="H112" s="43">
        <v>1.5</v>
      </c>
      <c r="I112" s="60">
        <f t="shared" si="12"/>
        <v>1.3426256316467</v>
      </c>
      <c r="J112" s="81">
        <f t="shared" si="7"/>
        <v>2.9558363068482</v>
      </c>
      <c r="K112" s="64">
        <f t="shared" si="8"/>
        <v>35.7984619384949</v>
      </c>
      <c r="L112" s="64">
        <f t="shared" si="9"/>
        <v>0</v>
      </c>
      <c r="M112" s="82"/>
      <c r="O112" s="43">
        <v>3.6</v>
      </c>
    </row>
    <row r="113" ht="33.75" spans="1:15">
      <c r="A113" s="41">
        <v>10</v>
      </c>
      <c r="B113" s="46" t="s">
        <v>73</v>
      </c>
      <c r="C113" s="46" t="s">
        <v>1179</v>
      </c>
      <c r="D113" s="46" t="s">
        <v>75</v>
      </c>
      <c r="E113" s="43"/>
      <c r="F113" s="69"/>
      <c r="G113" s="49"/>
      <c r="H113" s="43">
        <v>8.5</v>
      </c>
      <c r="I113" s="60">
        <f t="shared" si="12"/>
        <v>0.362295805364982</v>
      </c>
      <c r="J113" s="81">
        <f t="shared" si="7"/>
        <v>0.797606622482848</v>
      </c>
      <c r="K113" s="64">
        <f t="shared" si="8"/>
        <v>9.65990242784783</v>
      </c>
      <c r="L113" s="64">
        <f t="shared" si="9"/>
        <v>0</v>
      </c>
      <c r="M113" s="82"/>
      <c r="O113" s="43">
        <v>11.39</v>
      </c>
    </row>
    <row r="114" ht="33.75" spans="1:15">
      <c r="A114" s="41">
        <v>11</v>
      </c>
      <c r="B114" s="46" t="s">
        <v>1180</v>
      </c>
      <c r="C114" s="46" t="s">
        <v>1181</v>
      </c>
      <c r="D114" s="46" t="s">
        <v>75</v>
      </c>
      <c r="E114" s="43"/>
      <c r="F114" s="69"/>
      <c r="G114" s="49"/>
      <c r="H114" s="43">
        <v>10</v>
      </c>
      <c r="I114" s="60">
        <f t="shared" si="12"/>
        <v>0.42623035925292</v>
      </c>
      <c r="J114" s="81">
        <f t="shared" si="7"/>
        <v>0.938360732332763</v>
      </c>
      <c r="K114" s="64">
        <f t="shared" si="8"/>
        <v>11.3645910915857</v>
      </c>
      <c r="L114" s="64">
        <f t="shared" si="9"/>
        <v>0</v>
      </c>
      <c r="M114" s="82"/>
      <c r="O114" s="43">
        <v>11.39</v>
      </c>
    </row>
    <row r="115" ht="12.75" spans="1:15">
      <c r="A115" s="41" t="s">
        <v>126</v>
      </c>
      <c r="B115" s="42" t="s">
        <v>1248</v>
      </c>
      <c r="C115" s="42"/>
      <c r="D115" s="41"/>
      <c r="E115" s="43"/>
      <c r="F115" s="69"/>
      <c r="G115" s="49"/>
      <c r="H115" s="43"/>
      <c r="I115" s="60">
        <f>((F115+G115+H115)*0.12)*0.7103839320882</f>
        <v>0</v>
      </c>
      <c r="J115" s="81"/>
      <c r="K115" s="64"/>
      <c r="L115" s="64"/>
      <c r="M115" s="82"/>
      <c r="O115" s="43"/>
    </row>
    <row r="116" ht="101.25" spans="1:15">
      <c r="A116" s="41">
        <v>1</v>
      </c>
      <c r="B116" s="41" t="s">
        <v>1249</v>
      </c>
      <c r="C116" s="45" t="s">
        <v>1250</v>
      </c>
      <c r="D116" s="46" t="s">
        <v>89</v>
      </c>
      <c r="E116" s="43"/>
      <c r="F116" s="69">
        <v>10</v>
      </c>
      <c r="G116" s="49">
        <v>38</v>
      </c>
      <c r="H116" s="43">
        <v>5.5</v>
      </c>
      <c r="I116" s="60">
        <f t="shared" ref="I116:I128" si="13">((F116+G116+H116)*0.06)*0.7103839320882</f>
        <v>2.28033242200312</v>
      </c>
      <c r="J116" s="81">
        <f t="shared" si="7"/>
        <v>5.02022991798028</v>
      </c>
      <c r="K116" s="64">
        <f t="shared" si="8"/>
        <v>60.8005623399834</v>
      </c>
      <c r="L116" s="64">
        <f t="shared" si="9"/>
        <v>0</v>
      </c>
      <c r="M116" s="82" t="s">
        <v>1142</v>
      </c>
      <c r="O116" s="43">
        <f>858.98-107</f>
        <v>751.98</v>
      </c>
    </row>
    <row r="117" ht="101.25" spans="1:15">
      <c r="A117" s="41">
        <v>2</v>
      </c>
      <c r="B117" s="41" t="s">
        <v>1249</v>
      </c>
      <c r="C117" s="45" t="s">
        <v>1251</v>
      </c>
      <c r="D117" s="46" t="s">
        <v>89</v>
      </c>
      <c r="E117" s="43"/>
      <c r="F117" s="69">
        <v>10</v>
      </c>
      <c r="G117" s="49">
        <v>38</v>
      </c>
      <c r="H117" s="43">
        <v>5.5</v>
      </c>
      <c r="I117" s="60">
        <f t="shared" si="13"/>
        <v>2.28033242200312</v>
      </c>
      <c r="J117" s="81">
        <f t="shared" si="7"/>
        <v>5.02022991798028</v>
      </c>
      <c r="K117" s="64">
        <f t="shared" si="8"/>
        <v>60.8005623399834</v>
      </c>
      <c r="L117" s="64">
        <f t="shared" si="9"/>
        <v>0</v>
      </c>
      <c r="M117" s="82" t="s">
        <v>1142</v>
      </c>
      <c r="O117" s="43">
        <v>107</v>
      </c>
    </row>
    <row r="118" ht="101.25" spans="1:15">
      <c r="A118" s="41">
        <v>3</v>
      </c>
      <c r="B118" s="41" t="s">
        <v>1252</v>
      </c>
      <c r="C118" s="45" t="s">
        <v>1253</v>
      </c>
      <c r="D118" s="46" t="s">
        <v>89</v>
      </c>
      <c r="E118" s="43"/>
      <c r="F118" s="70">
        <v>9</v>
      </c>
      <c r="G118" s="70">
        <v>26</v>
      </c>
      <c r="H118" s="43">
        <v>1.5</v>
      </c>
      <c r="I118" s="60">
        <f t="shared" si="13"/>
        <v>1.55574081127316</v>
      </c>
      <c r="J118" s="81">
        <f t="shared" si="7"/>
        <v>3.42501667301458</v>
      </c>
      <c r="K118" s="64">
        <f t="shared" si="8"/>
        <v>41.4807574842877</v>
      </c>
      <c r="L118" s="64">
        <f t="shared" si="9"/>
        <v>0</v>
      </c>
      <c r="M118" s="82" t="s">
        <v>1142</v>
      </c>
      <c r="O118" s="43">
        <v>145.77</v>
      </c>
    </row>
    <row r="119" ht="101.25" spans="1:15">
      <c r="A119" s="41">
        <v>4</v>
      </c>
      <c r="B119" s="41" t="s">
        <v>1252</v>
      </c>
      <c r="C119" s="45" t="s">
        <v>1254</v>
      </c>
      <c r="D119" s="46" t="s">
        <v>89</v>
      </c>
      <c r="E119" s="43"/>
      <c r="F119" s="70">
        <v>9</v>
      </c>
      <c r="G119" s="70">
        <v>21</v>
      </c>
      <c r="H119" s="43">
        <v>1.5</v>
      </c>
      <c r="I119" s="60">
        <f t="shared" si="13"/>
        <v>1.3426256316467</v>
      </c>
      <c r="J119" s="81">
        <f t="shared" si="7"/>
        <v>2.9558363068482</v>
      </c>
      <c r="K119" s="64">
        <f t="shared" si="8"/>
        <v>35.7984619384949</v>
      </c>
      <c r="L119" s="64">
        <f t="shared" si="9"/>
        <v>0</v>
      </c>
      <c r="M119" s="82" t="s">
        <v>1142</v>
      </c>
      <c r="O119" s="43">
        <v>19.81</v>
      </c>
    </row>
    <row r="120" ht="101.25" spans="1:15">
      <c r="A120" s="41">
        <v>5</v>
      </c>
      <c r="B120" s="41" t="s">
        <v>1252</v>
      </c>
      <c r="C120" s="45" t="s">
        <v>1255</v>
      </c>
      <c r="D120" s="46" t="s">
        <v>89</v>
      </c>
      <c r="E120" s="43"/>
      <c r="F120" s="70">
        <v>9</v>
      </c>
      <c r="G120" s="70">
        <v>16.5</v>
      </c>
      <c r="H120" s="43">
        <v>1</v>
      </c>
      <c r="I120" s="60">
        <f t="shared" si="13"/>
        <v>1.12951045202024</v>
      </c>
      <c r="J120" s="81">
        <f t="shared" si="7"/>
        <v>2.48665594068182</v>
      </c>
      <c r="K120" s="64">
        <f t="shared" si="8"/>
        <v>30.1161663927021</v>
      </c>
      <c r="L120" s="64">
        <f t="shared" si="9"/>
        <v>0</v>
      </c>
      <c r="M120" s="82" t="s">
        <v>1142</v>
      </c>
      <c r="O120" s="43">
        <v>4.27</v>
      </c>
    </row>
    <row r="121" ht="56.25" spans="1:15">
      <c r="A121" s="41">
        <v>6</v>
      </c>
      <c r="B121" s="42" t="s">
        <v>1256</v>
      </c>
      <c r="C121" s="45" t="s">
        <v>1257</v>
      </c>
      <c r="D121" s="46" t="s">
        <v>1137</v>
      </c>
      <c r="E121" s="43"/>
      <c r="F121" s="69">
        <v>180</v>
      </c>
      <c r="G121" s="49">
        <v>350</v>
      </c>
      <c r="H121" s="43">
        <v>50</v>
      </c>
      <c r="I121" s="60">
        <f t="shared" si="13"/>
        <v>24.7213608366694</v>
      </c>
      <c r="J121" s="81">
        <f t="shared" si="7"/>
        <v>54.4249224753002</v>
      </c>
      <c r="K121" s="64">
        <f t="shared" si="8"/>
        <v>659.14628331197</v>
      </c>
      <c r="L121" s="64">
        <f t="shared" si="9"/>
        <v>0</v>
      </c>
      <c r="M121" s="82"/>
      <c r="O121" s="43">
        <v>171</v>
      </c>
    </row>
    <row r="122" ht="56.25" spans="1:15">
      <c r="A122" s="41">
        <v>7</v>
      </c>
      <c r="B122" s="42" t="s">
        <v>1256</v>
      </c>
      <c r="C122" s="45" t="s">
        <v>1258</v>
      </c>
      <c r="D122" s="46" t="s">
        <v>1137</v>
      </c>
      <c r="E122" s="43"/>
      <c r="F122" s="69">
        <v>85</v>
      </c>
      <c r="G122" s="49">
        <v>220</v>
      </c>
      <c r="H122" s="43">
        <v>50</v>
      </c>
      <c r="I122" s="60">
        <f t="shared" si="13"/>
        <v>15.1311777534787</v>
      </c>
      <c r="J122" s="81">
        <f t="shared" si="7"/>
        <v>33.3118059978131</v>
      </c>
      <c r="K122" s="64">
        <f t="shared" si="8"/>
        <v>403.442983751292</v>
      </c>
      <c r="L122" s="64">
        <f t="shared" si="9"/>
        <v>0</v>
      </c>
      <c r="M122" s="82"/>
      <c r="O122" s="43">
        <v>14</v>
      </c>
    </row>
    <row r="123" ht="45" spans="1:15">
      <c r="A123" s="41">
        <v>8</v>
      </c>
      <c r="B123" s="42" t="s">
        <v>1259</v>
      </c>
      <c r="C123" s="45" t="s">
        <v>1260</v>
      </c>
      <c r="D123" s="46" t="s">
        <v>193</v>
      </c>
      <c r="E123" s="43"/>
      <c r="F123" s="69">
        <v>15</v>
      </c>
      <c r="G123" s="49">
        <v>35</v>
      </c>
      <c r="H123" s="43"/>
      <c r="I123" s="60">
        <f t="shared" si="13"/>
        <v>2.1311517962646</v>
      </c>
      <c r="J123" s="81">
        <f t="shared" si="7"/>
        <v>4.69180366166381</v>
      </c>
      <c r="K123" s="64">
        <f t="shared" si="8"/>
        <v>56.8229554579284</v>
      </c>
      <c r="L123" s="64">
        <f t="shared" si="9"/>
        <v>0</v>
      </c>
      <c r="M123" s="82"/>
      <c r="O123" s="43">
        <v>10</v>
      </c>
    </row>
    <row r="124" ht="45" spans="1:15">
      <c r="A124" s="41">
        <v>9</v>
      </c>
      <c r="B124" s="42" t="s">
        <v>1259</v>
      </c>
      <c r="C124" s="45" t="s">
        <v>1261</v>
      </c>
      <c r="D124" s="46" t="s">
        <v>193</v>
      </c>
      <c r="E124" s="43"/>
      <c r="F124" s="69">
        <v>15</v>
      </c>
      <c r="G124" s="49">
        <v>20</v>
      </c>
      <c r="H124" s="43"/>
      <c r="I124" s="60">
        <f t="shared" si="13"/>
        <v>1.49180625738522</v>
      </c>
      <c r="J124" s="81">
        <f t="shared" si="7"/>
        <v>3.28426256316467</v>
      </c>
      <c r="K124" s="64">
        <f t="shared" si="8"/>
        <v>39.7760688205499</v>
      </c>
      <c r="L124" s="64">
        <f t="shared" si="9"/>
        <v>0</v>
      </c>
      <c r="M124" s="82"/>
      <c r="O124" s="43">
        <v>11</v>
      </c>
    </row>
    <row r="125" ht="60" spans="1:15">
      <c r="A125" s="41">
        <v>10</v>
      </c>
      <c r="B125" s="75" t="s">
        <v>1262</v>
      </c>
      <c r="C125" s="75" t="s">
        <v>1263</v>
      </c>
      <c r="D125" s="77" t="s">
        <v>193</v>
      </c>
      <c r="E125" s="43"/>
      <c r="F125" s="69">
        <v>65</v>
      </c>
      <c r="G125" s="49">
        <v>120</v>
      </c>
      <c r="H125" s="43"/>
      <c r="I125" s="60">
        <f t="shared" si="13"/>
        <v>7.88526164617902</v>
      </c>
      <c r="J125" s="81">
        <f t="shared" si="7"/>
        <v>17.3596735481561</v>
      </c>
      <c r="K125" s="64">
        <f t="shared" si="8"/>
        <v>210.244935194335</v>
      </c>
      <c r="L125" s="64">
        <f t="shared" si="9"/>
        <v>0</v>
      </c>
      <c r="M125" s="82"/>
      <c r="O125" s="43">
        <f>494-53</f>
        <v>441</v>
      </c>
    </row>
    <row r="126" ht="60" spans="1:15">
      <c r="A126" s="41">
        <v>11</v>
      </c>
      <c r="B126" s="75" t="s">
        <v>1262</v>
      </c>
      <c r="C126" s="75" t="s">
        <v>1264</v>
      </c>
      <c r="D126" s="77" t="s">
        <v>193</v>
      </c>
      <c r="E126" s="43"/>
      <c r="F126" s="69">
        <v>65</v>
      </c>
      <c r="G126" s="49">
        <v>160</v>
      </c>
      <c r="H126" s="43"/>
      <c r="I126" s="60">
        <f t="shared" si="13"/>
        <v>9.5901830831907</v>
      </c>
      <c r="J126" s="81">
        <f t="shared" si="7"/>
        <v>21.1131164774872</v>
      </c>
      <c r="K126" s="64">
        <f t="shared" si="8"/>
        <v>255.703299560678</v>
      </c>
      <c r="L126" s="64">
        <f t="shared" si="9"/>
        <v>0</v>
      </c>
      <c r="M126" s="82"/>
      <c r="O126" s="43">
        <v>53</v>
      </c>
    </row>
    <row r="127" ht="33.75" spans="1:15">
      <c r="A127" s="41">
        <v>12</v>
      </c>
      <c r="B127" s="46" t="s">
        <v>73</v>
      </c>
      <c r="C127" s="46" t="s">
        <v>1179</v>
      </c>
      <c r="D127" s="46" t="s">
        <v>75</v>
      </c>
      <c r="E127" s="43"/>
      <c r="F127" s="69"/>
      <c r="G127" s="49"/>
      <c r="H127" s="43">
        <v>8.5</v>
      </c>
      <c r="I127" s="60">
        <f t="shared" si="13"/>
        <v>0.362295805364982</v>
      </c>
      <c r="J127" s="81">
        <f t="shared" si="7"/>
        <v>0.797606622482848</v>
      </c>
      <c r="K127" s="64">
        <f t="shared" si="8"/>
        <v>9.65990242784783</v>
      </c>
      <c r="L127" s="64">
        <f t="shared" si="9"/>
        <v>0</v>
      </c>
      <c r="M127" s="82"/>
      <c r="O127" s="43">
        <v>164.48</v>
      </c>
    </row>
    <row r="128" ht="33.75" spans="1:15">
      <c r="A128" s="41">
        <v>13</v>
      </c>
      <c r="B128" s="46" t="s">
        <v>1180</v>
      </c>
      <c r="C128" s="46" t="s">
        <v>1181</v>
      </c>
      <c r="D128" s="46" t="s">
        <v>75</v>
      </c>
      <c r="E128" s="43"/>
      <c r="F128" s="69"/>
      <c r="G128" s="49"/>
      <c r="H128" s="43">
        <v>10</v>
      </c>
      <c r="I128" s="60">
        <f t="shared" si="13"/>
        <v>0.42623035925292</v>
      </c>
      <c r="J128" s="81">
        <f t="shared" si="7"/>
        <v>0.938360732332763</v>
      </c>
      <c r="K128" s="64">
        <f t="shared" si="8"/>
        <v>11.3645910915857</v>
      </c>
      <c r="L128" s="64">
        <f t="shared" si="9"/>
        <v>0</v>
      </c>
      <c r="M128" s="82"/>
      <c r="O128" s="43">
        <v>164.48</v>
      </c>
    </row>
    <row r="129" ht="12.75" spans="1:13">
      <c r="A129" s="51" t="s">
        <v>1265</v>
      </c>
      <c r="B129" s="51"/>
      <c r="C129" s="51"/>
      <c r="D129" s="51"/>
      <c r="E129" s="51"/>
      <c r="F129" s="51"/>
      <c r="G129" s="51"/>
      <c r="H129" s="43"/>
      <c r="I129" s="78"/>
      <c r="J129" s="79"/>
      <c r="K129" s="58"/>
      <c r="L129" s="64">
        <f>SUM(L6:L128)</f>
        <v>0</v>
      </c>
      <c r="M129" s="80"/>
    </row>
    <row r="130" ht="27" customHeight="1" spans="1:13">
      <c r="A130" s="52" t="s">
        <v>1266</v>
      </c>
      <c r="B130" s="52"/>
      <c r="C130" s="52"/>
      <c r="D130" s="52"/>
      <c r="E130" s="52"/>
      <c r="F130" s="52"/>
      <c r="G130" s="52"/>
      <c r="H130" s="52"/>
      <c r="I130" s="52"/>
      <c r="J130" s="52"/>
      <c r="K130" s="53"/>
      <c r="L130" s="52"/>
      <c r="M130" s="52"/>
    </row>
    <row r="137" spans="5:5">
      <c r="E137" s="54"/>
    </row>
    <row r="138" spans="5:5">
      <c r="E138" s="54"/>
    </row>
    <row r="139" spans="5:5">
      <c r="E139" s="54"/>
    </row>
  </sheetData>
  <protectedRanges>
    <protectedRange sqref="F23:H23" name="区域3"/>
    <protectedRange sqref="F24:H24" name="区域3_1"/>
    <protectedRange sqref="F26:H26" name="区域3_2"/>
    <protectedRange sqref="F28:H28 F32:H32" name="区域3_3"/>
    <protectedRange sqref="F29:H29" name="区域3_4"/>
    <protectedRange sqref="F35:H35" name="区域3_5"/>
    <protectedRange sqref="F34:H34" name="区域3_6"/>
    <protectedRange sqref="F59:G59" name="区域3_7"/>
    <protectedRange sqref="F64:G64 F95:G95 F63:G63 F64:G64 F96:G96 F108:G108" name="区域3_9"/>
    <protectedRange sqref="H70 H84" name="区域3_10"/>
    <protectedRange sqref="F70:G70 F84:G84" name="区域3_11"/>
    <protectedRange sqref="F77:G77" name="区域3_12"/>
    <protectedRange sqref="F78:G78" name="区域3_13"/>
    <protectedRange sqref="F79:G79 F92:G92 F93:G93 F94:G94" name="区域3_14"/>
    <protectedRange sqref="F80:G80" name="区域3_15"/>
    <protectedRange sqref="F99:H99" name="区域3_8"/>
  </protectedRanges>
  <autoFilter ref="A4:N130">
    <extLst/>
  </autoFilter>
  <mergeCells count="24">
    <mergeCell ref="A1:M1"/>
    <mergeCell ref="F2:J2"/>
    <mergeCell ref="B5:C5"/>
    <mergeCell ref="B38:C38"/>
    <mergeCell ref="B49:C49"/>
    <mergeCell ref="B56:C56"/>
    <mergeCell ref="B74:C74"/>
    <mergeCell ref="B90:C90"/>
    <mergeCell ref="B103:C103"/>
    <mergeCell ref="B115:C115"/>
    <mergeCell ref="A129:G129"/>
    <mergeCell ref="A130:M130"/>
    <mergeCell ref="A2:A4"/>
    <mergeCell ref="B2:B4"/>
    <mergeCell ref="C2:C4"/>
    <mergeCell ref="D2:D4"/>
    <mergeCell ref="E2:E4"/>
    <mergeCell ref="F3:F4"/>
    <mergeCell ref="G3:G4"/>
    <mergeCell ref="H3:H4"/>
    <mergeCell ref="K2:K4"/>
    <mergeCell ref="L2:L4"/>
    <mergeCell ref="M2:M4"/>
    <mergeCell ref="O2:O3"/>
  </mergeCells>
  <pageMargins left="0.75" right="0.75" top="1" bottom="1" header="0.5" footer="0.5"/>
  <pageSetup paperSize="9" scale="6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zoomScaleSheetLayoutView="130" workbookViewId="0">
      <pane xSplit="5" ySplit="4" topLeftCell="F23" activePane="bottomRight" state="frozen"/>
      <selection/>
      <selection pane="topRight"/>
      <selection pane="bottomLeft"/>
      <selection pane="bottomRight" activeCell="E25" sqref="E25"/>
    </sheetView>
  </sheetViews>
  <sheetFormatPr defaultColWidth="10.2857142857143" defaultRowHeight="14.25"/>
  <cols>
    <col min="1" max="1" width="4.42857142857143" style="25" customWidth="1"/>
    <col min="2" max="2" width="12.8571428571429" style="25" customWidth="1"/>
    <col min="3" max="3" width="26.1428571428571" style="25" customWidth="1"/>
    <col min="4" max="4" width="4.42857142857143" style="25" customWidth="1"/>
    <col min="5" max="5" width="8.57142857142857" style="25" customWidth="1"/>
    <col min="6" max="6" width="10.5714285714286" style="26"/>
    <col min="7" max="7" width="8.71428571428571" style="26" customWidth="1"/>
    <col min="8" max="8" width="11.5714285714286" style="26" customWidth="1"/>
    <col min="9" max="9" width="15.7142857142857" style="26" customWidth="1"/>
    <col min="10" max="10" width="11.8571428571429" style="26" customWidth="1"/>
    <col min="11" max="11" width="11.1428571428571" style="26"/>
    <col min="12" max="12" width="13" style="25"/>
    <col min="13" max="13" width="7.78095238095238" style="25" customWidth="1"/>
    <col min="14" max="14" width="10.7142857142857" style="25"/>
    <col min="15" max="16384" width="10.2857142857143" style="25"/>
  </cols>
  <sheetData>
    <row r="1" ht="33.95" customHeight="1" spans="1:13">
      <c r="A1" s="27" t="s">
        <v>1267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ht="12.95" customHeight="1" spans="1:13">
      <c r="A2" s="28" t="s">
        <v>1</v>
      </c>
      <c r="B2" s="29" t="s">
        <v>1099</v>
      </c>
      <c r="C2" s="29" t="s">
        <v>1100</v>
      </c>
      <c r="D2" s="29" t="s">
        <v>46</v>
      </c>
      <c r="E2" s="30" t="s">
        <v>1101</v>
      </c>
      <c r="F2" s="31" t="s">
        <v>61</v>
      </c>
      <c r="G2" s="32"/>
      <c r="H2" s="32"/>
      <c r="I2" s="32"/>
      <c r="J2" s="55"/>
      <c r="K2" s="36" t="s">
        <v>62</v>
      </c>
      <c r="L2" s="36" t="s">
        <v>63</v>
      </c>
      <c r="M2" s="36" t="s">
        <v>1102</v>
      </c>
    </row>
    <row r="3" ht="35.1" customHeight="1" spans="1:15">
      <c r="A3" s="33"/>
      <c r="B3" s="34"/>
      <c r="C3" s="34"/>
      <c r="D3" s="34"/>
      <c r="E3" s="35"/>
      <c r="F3" s="36" t="s">
        <v>65</v>
      </c>
      <c r="G3" s="36" t="s">
        <v>66</v>
      </c>
      <c r="H3" s="36" t="s">
        <v>67</v>
      </c>
      <c r="I3" s="50" t="s">
        <v>1103</v>
      </c>
      <c r="J3" s="50" t="s">
        <v>69</v>
      </c>
      <c r="K3" s="56"/>
      <c r="L3" s="56"/>
      <c r="M3" s="56"/>
      <c r="O3" s="25" t="s">
        <v>819</v>
      </c>
    </row>
    <row r="4" ht="9" customHeight="1" spans="1:13">
      <c r="A4" s="37"/>
      <c r="B4" s="38"/>
      <c r="C4" s="38"/>
      <c r="D4" s="38"/>
      <c r="E4" s="39"/>
      <c r="F4" s="40"/>
      <c r="G4" s="40"/>
      <c r="H4" s="40"/>
      <c r="I4" s="50"/>
      <c r="J4" s="50"/>
      <c r="K4" s="40"/>
      <c r="L4" s="40"/>
      <c r="M4" s="40"/>
    </row>
    <row r="5" ht="12.75" spans="1:13">
      <c r="A5" s="41" t="s">
        <v>71</v>
      </c>
      <c r="B5" s="42" t="s">
        <v>1268</v>
      </c>
      <c r="C5" s="42"/>
      <c r="D5" s="41"/>
      <c r="E5" s="41"/>
      <c r="F5" s="43"/>
      <c r="G5" s="44"/>
      <c r="H5" s="43"/>
      <c r="I5" s="51"/>
      <c r="J5" s="57"/>
      <c r="K5" s="58"/>
      <c r="L5" s="59"/>
      <c r="M5" s="59"/>
    </row>
    <row r="6" ht="123.75" spans="1:15">
      <c r="A6" s="41">
        <v>1</v>
      </c>
      <c r="B6" s="41" t="s">
        <v>1269</v>
      </c>
      <c r="C6" s="45" t="s">
        <v>1270</v>
      </c>
      <c r="D6" s="46" t="s">
        <v>89</v>
      </c>
      <c r="E6" s="43">
        <v>97.28</v>
      </c>
      <c r="F6" s="47">
        <v>34</v>
      </c>
      <c r="G6" s="47">
        <v>184.21</v>
      </c>
      <c r="H6" s="47">
        <v>25</v>
      </c>
      <c r="I6" s="60">
        <f t="shared" ref="I6:I26" si="0">((F6+G6+H6)*0.06)*0.7103839320882</f>
        <v>10.3663485673903</v>
      </c>
      <c r="J6" s="61">
        <f>(F6+G6+H6+I6)*0.09</f>
        <v>22.8218713710651</v>
      </c>
      <c r="K6" s="61">
        <f>SUM(F6:J6)</f>
        <v>276.398219938455</v>
      </c>
      <c r="L6" s="61">
        <f>K6*E6</f>
        <v>26888.0188356129</v>
      </c>
      <c r="M6" s="62" t="s">
        <v>1271</v>
      </c>
      <c r="O6" s="25">
        <v>97.28</v>
      </c>
    </row>
    <row r="7" ht="123.75" spans="1:15">
      <c r="A7" s="41">
        <v>2</v>
      </c>
      <c r="B7" s="41" t="s">
        <v>1269</v>
      </c>
      <c r="C7" s="45" t="s">
        <v>1272</v>
      </c>
      <c r="D7" s="46" t="s">
        <v>89</v>
      </c>
      <c r="E7" s="43">
        <v>2.047</v>
      </c>
      <c r="F7" s="47">
        <v>30</v>
      </c>
      <c r="G7" s="47">
        <v>110.76</v>
      </c>
      <c r="H7" s="47">
        <v>20</v>
      </c>
      <c r="I7" s="60">
        <f t="shared" si="0"/>
        <v>6.85207925534994</v>
      </c>
      <c r="J7" s="61">
        <f t="shared" ref="J7:J16" si="1">(F7+G7+H7+I7)*0.09</f>
        <v>15.0850871329815</v>
      </c>
      <c r="K7" s="61">
        <f t="shared" ref="K7:K16" si="2">SUM(F7:J7)</f>
        <v>182.697166388331</v>
      </c>
      <c r="L7" s="61">
        <f t="shared" ref="L7:L16" si="3">K7*E7</f>
        <v>373.981099596914</v>
      </c>
      <c r="M7" s="62" t="s">
        <v>1271</v>
      </c>
      <c r="O7" s="25">
        <v>51.5</v>
      </c>
    </row>
    <row r="8" ht="123.75" spans="1:15">
      <c r="A8" s="41">
        <v>3</v>
      </c>
      <c r="B8" s="41" t="s">
        <v>1269</v>
      </c>
      <c r="C8" s="45" t="s">
        <v>1273</v>
      </c>
      <c r="D8" s="46" t="s">
        <v>89</v>
      </c>
      <c r="E8" s="43"/>
      <c r="F8" s="47">
        <v>15</v>
      </c>
      <c r="G8" s="47">
        <v>70.4</v>
      </c>
      <c r="H8" s="47">
        <v>15</v>
      </c>
      <c r="I8" s="60">
        <f t="shared" si="0"/>
        <v>4.27935280689932</v>
      </c>
      <c r="J8" s="61">
        <f t="shared" si="1"/>
        <v>9.42114175262094</v>
      </c>
      <c r="K8" s="61">
        <f t="shared" si="2"/>
        <v>114.10049455952</v>
      </c>
      <c r="L8" s="61">
        <f t="shared" si="3"/>
        <v>0</v>
      </c>
      <c r="M8" s="62" t="s">
        <v>1271</v>
      </c>
      <c r="O8" s="25">
        <v>238.94</v>
      </c>
    </row>
    <row r="9" ht="123.75" spans="1:15">
      <c r="A9" s="41">
        <v>4</v>
      </c>
      <c r="B9" s="41" t="s">
        <v>1269</v>
      </c>
      <c r="C9" s="45" t="s">
        <v>1274</v>
      </c>
      <c r="D9" s="46" t="s">
        <v>89</v>
      </c>
      <c r="E9" s="43">
        <v>434.528</v>
      </c>
      <c r="F9" s="47">
        <v>10</v>
      </c>
      <c r="G9" s="47">
        <v>46.83</v>
      </c>
      <c r="H9" s="47">
        <v>8</v>
      </c>
      <c r="I9" s="60">
        <f t="shared" si="0"/>
        <v>2.76325141903668</v>
      </c>
      <c r="J9" s="61">
        <f t="shared" si="1"/>
        <v>6.0833926277133</v>
      </c>
      <c r="K9" s="61">
        <f t="shared" si="2"/>
        <v>73.67664404675</v>
      </c>
      <c r="L9" s="61">
        <f t="shared" si="3"/>
        <v>32014.5647843462</v>
      </c>
      <c r="M9" s="62" t="s">
        <v>1271</v>
      </c>
      <c r="O9" s="25">
        <v>1931.66</v>
      </c>
    </row>
    <row r="10" ht="123.75" spans="1:15">
      <c r="A10" s="41">
        <v>5</v>
      </c>
      <c r="B10" s="41" t="s">
        <v>1269</v>
      </c>
      <c r="C10" s="45" t="s">
        <v>1275</v>
      </c>
      <c r="D10" s="46" t="s">
        <v>89</v>
      </c>
      <c r="E10" s="43"/>
      <c r="F10" s="47">
        <v>10</v>
      </c>
      <c r="G10" s="47">
        <v>46.83</v>
      </c>
      <c r="H10" s="47">
        <v>8</v>
      </c>
      <c r="I10" s="60">
        <f t="shared" si="0"/>
        <v>2.76325141903668</v>
      </c>
      <c r="J10" s="61">
        <f t="shared" si="1"/>
        <v>6.0833926277133</v>
      </c>
      <c r="K10" s="61">
        <f t="shared" si="2"/>
        <v>73.67664404675</v>
      </c>
      <c r="L10" s="61">
        <f t="shared" si="3"/>
        <v>0</v>
      </c>
      <c r="M10" s="62" t="s">
        <v>1271</v>
      </c>
      <c r="O10" s="25">
        <v>62</v>
      </c>
    </row>
    <row r="11" ht="123.75" spans="1:15">
      <c r="A11" s="41">
        <v>6</v>
      </c>
      <c r="B11" s="41" t="s">
        <v>1269</v>
      </c>
      <c r="C11" s="45" t="s">
        <v>1276</v>
      </c>
      <c r="D11" s="46" t="s">
        <v>89</v>
      </c>
      <c r="E11" s="43"/>
      <c r="F11" s="48">
        <v>10</v>
      </c>
      <c r="G11" s="49">
        <v>38</v>
      </c>
      <c r="H11" s="43">
        <v>5.5</v>
      </c>
      <c r="I11" s="60">
        <f t="shared" si="0"/>
        <v>2.28033242200312</v>
      </c>
      <c r="J11" s="61">
        <f t="shared" si="1"/>
        <v>5.02022991798028</v>
      </c>
      <c r="K11" s="61">
        <f t="shared" si="2"/>
        <v>60.8005623399834</v>
      </c>
      <c r="L11" s="61">
        <f t="shared" si="3"/>
        <v>0</v>
      </c>
      <c r="M11" s="62" t="s">
        <v>1271</v>
      </c>
      <c r="O11" s="25">
        <v>363.36</v>
      </c>
    </row>
    <row r="12" ht="67.5" spans="1:15">
      <c r="A12" s="41">
        <v>7</v>
      </c>
      <c r="B12" s="42" t="s">
        <v>1277</v>
      </c>
      <c r="C12" s="45" t="s">
        <v>1278</v>
      </c>
      <c r="D12" s="46" t="s">
        <v>1137</v>
      </c>
      <c r="E12" s="43"/>
      <c r="F12" s="48">
        <v>160</v>
      </c>
      <c r="G12" s="49">
        <v>420</v>
      </c>
      <c r="H12" s="43">
        <v>35</v>
      </c>
      <c r="I12" s="60">
        <f t="shared" si="0"/>
        <v>26.2131670940546</v>
      </c>
      <c r="J12" s="61">
        <f t="shared" si="1"/>
        <v>57.7091850384649</v>
      </c>
      <c r="K12" s="61">
        <f t="shared" si="2"/>
        <v>698.92235213252</v>
      </c>
      <c r="L12" s="61">
        <f t="shared" si="3"/>
        <v>0</v>
      </c>
      <c r="M12" s="62"/>
      <c r="O12" s="25">
        <v>176</v>
      </c>
    </row>
    <row r="13" ht="67.5" spans="1:15">
      <c r="A13" s="41">
        <v>8</v>
      </c>
      <c r="B13" s="42" t="s">
        <v>1277</v>
      </c>
      <c r="C13" s="45" t="s">
        <v>1279</v>
      </c>
      <c r="D13" s="46" t="s">
        <v>1137</v>
      </c>
      <c r="E13" s="43"/>
      <c r="F13" s="48">
        <v>160</v>
      </c>
      <c r="G13" s="49">
        <v>480</v>
      </c>
      <c r="H13" s="43">
        <v>35</v>
      </c>
      <c r="I13" s="60">
        <f t="shared" si="0"/>
        <v>28.7705492495721</v>
      </c>
      <c r="J13" s="61">
        <f t="shared" si="1"/>
        <v>63.3393494324615</v>
      </c>
      <c r="K13" s="61">
        <f t="shared" si="2"/>
        <v>767.109898682034</v>
      </c>
      <c r="L13" s="61">
        <f t="shared" si="3"/>
        <v>0</v>
      </c>
      <c r="M13" s="62"/>
      <c r="O13" s="25">
        <v>26</v>
      </c>
    </row>
    <row r="14" ht="56.25" spans="1:15">
      <c r="A14" s="41">
        <v>9</v>
      </c>
      <c r="B14" s="42" t="s">
        <v>1280</v>
      </c>
      <c r="C14" s="45" t="s">
        <v>1281</v>
      </c>
      <c r="D14" s="46" t="s">
        <v>1137</v>
      </c>
      <c r="E14" s="43"/>
      <c r="F14" s="48">
        <v>120</v>
      </c>
      <c r="G14" s="49">
        <v>260</v>
      </c>
      <c r="H14" s="43">
        <v>30</v>
      </c>
      <c r="I14" s="60">
        <f t="shared" si="0"/>
        <v>17.4754447293697</v>
      </c>
      <c r="J14" s="61">
        <f t="shared" si="1"/>
        <v>38.4727900256433</v>
      </c>
      <c r="K14" s="61">
        <f t="shared" si="2"/>
        <v>465.948234755013</v>
      </c>
      <c r="L14" s="61">
        <f t="shared" si="3"/>
        <v>0</v>
      </c>
      <c r="M14" s="62"/>
      <c r="O14" s="25">
        <v>96</v>
      </c>
    </row>
    <row r="15" ht="33.75" spans="1:15">
      <c r="A15" s="41">
        <v>10</v>
      </c>
      <c r="B15" s="46" t="s">
        <v>73</v>
      </c>
      <c r="C15" s="46" t="s">
        <v>1179</v>
      </c>
      <c r="D15" s="46" t="s">
        <v>75</v>
      </c>
      <c r="E15" s="43"/>
      <c r="F15" s="48"/>
      <c r="G15" s="49"/>
      <c r="H15" s="43">
        <v>8.5</v>
      </c>
      <c r="I15" s="60">
        <f t="shared" si="0"/>
        <v>0.362295805364982</v>
      </c>
      <c r="J15" s="61">
        <f t="shared" si="1"/>
        <v>0.797606622482848</v>
      </c>
      <c r="K15" s="61">
        <f t="shared" si="2"/>
        <v>9.65990242784783</v>
      </c>
      <c r="L15" s="61">
        <f t="shared" si="3"/>
        <v>0</v>
      </c>
      <c r="M15" s="62"/>
      <c r="O15" s="25">
        <v>595.25</v>
      </c>
    </row>
    <row r="16" ht="33.75" spans="1:15">
      <c r="A16" s="41">
        <v>11</v>
      </c>
      <c r="B16" s="46" t="s">
        <v>1180</v>
      </c>
      <c r="C16" s="46" t="s">
        <v>1181</v>
      </c>
      <c r="D16" s="46" t="s">
        <v>75</v>
      </c>
      <c r="E16" s="43"/>
      <c r="F16" s="48"/>
      <c r="G16" s="49"/>
      <c r="H16" s="43">
        <v>10</v>
      </c>
      <c r="I16" s="60">
        <f t="shared" si="0"/>
        <v>0.42623035925292</v>
      </c>
      <c r="J16" s="61">
        <f t="shared" si="1"/>
        <v>0.938360732332763</v>
      </c>
      <c r="K16" s="61">
        <f t="shared" si="2"/>
        <v>11.3645910915857</v>
      </c>
      <c r="L16" s="61">
        <f t="shared" si="3"/>
        <v>0</v>
      </c>
      <c r="M16" s="62"/>
      <c r="O16" s="25">
        <v>595.25</v>
      </c>
    </row>
    <row r="17" ht="12.75" spans="1:13">
      <c r="A17" s="41" t="s">
        <v>94</v>
      </c>
      <c r="B17" s="42" t="s">
        <v>1282</v>
      </c>
      <c r="C17" s="42"/>
      <c r="D17" s="41"/>
      <c r="E17" s="43"/>
      <c r="F17" s="43"/>
      <c r="G17" s="50"/>
      <c r="H17" s="43"/>
      <c r="I17" s="60">
        <f t="shared" si="0"/>
        <v>0</v>
      </c>
      <c r="J17" s="63"/>
      <c r="K17" s="64"/>
      <c r="L17" s="64"/>
      <c r="M17" s="62"/>
    </row>
    <row r="18" ht="123.75" spans="1:15">
      <c r="A18" s="41">
        <v>1</v>
      </c>
      <c r="B18" s="41" t="s">
        <v>1269</v>
      </c>
      <c r="C18" s="45" t="s">
        <v>1283</v>
      </c>
      <c r="D18" s="46" t="s">
        <v>89</v>
      </c>
      <c r="E18" s="43">
        <v>59.586</v>
      </c>
      <c r="F18" s="47">
        <v>30</v>
      </c>
      <c r="G18" s="47">
        <v>110.76</v>
      </c>
      <c r="H18" s="47">
        <v>20</v>
      </c>
      <c r="I18" s="60">
        <f t="shared" si="0"/>
        <v>6.85207925534994</v>
      </c>
      <c r="J18" s="61">
        <f t="shared" ref="J18:J26" si="4">(F18+G18+H18+I18)*0.09</f>
        <v>15.0850871329815</v>
      </c>
      <c r="K18" s="64">
        <f t="shared" ref="K18:K26" si="5">F18+G18+H18+I18+J18</f>
        <v>182.697166388331</v>
      </c>
      <c r="L18" s="64">
        <f t="shared" ref="L18:L26" si="6">K18*E18</f>
        <v>10886.1933564151</v>
      </c>
      <c r="M18" s="62" t="s">
        <v>1271</v>
      </c>
      <c r="O18" s="25">
        <v>91.41</v>
      </c>
    </row>
    <row r="19" ht="123.75" spans="1:15">
      <c r="A19" s="41">
        <v>2</v>
      </c>
      <c r="B19" s="41" t="s">
        <v>1269</v>
      </c>
      <c r="C19" s="45" t="s">
        <v>1284</v>
      </c>
      <c r="D19" s="46" t="s">
        <v>89</v>
      </c>
      <c r="E19" s="43">
        <v>92.442</v>
      </c>
      <c r="F19" s="47">
        <v>15</v>
      </c>
      <c r="G19" s="47">
        <v>70.4</v>
      </c>
      <c r="H19" s="47">
        <v>15</v>
      </c>
      <c r="I19" s="60">
        <f t="shared" si="0"/>
        <v>4.27935280689932</v>
      </c>
      <c r="J19" s="61">
        <f t="shared" si="4"/>
        <v>9.42114175262094</v>
      </c>
      <c r="K19" s="64">
        <f t="shared" si="5"/>
        <v>114.10049455952</v>
      </c>
      <c r="L19" s="64">
        <f t="shared" si="6"/>
        <v>10547.6779180711</v>
      </c>
      <c r="M19" s="62" t="s">
        <v>1271</v>
      </c>
      <c r="O19" s="25">
        <v>246.07</v>
      </c>
    </row>
    <row r="20" ht="123.75" spans="1:15">
      <c r="A20" s="41">
        <v>3</v>
      </c>
      <c r="B20" s="41" t="s">
        <v>1269</v>
      </c>
      <c r="C20" s="45" t="s">
        <v>1285</v>
      </c>
      <c r="D20" s="46" t="s">
        <v>89</v>
      </c>
      <c r="E20" s="43">
        <v>387.038</v>
      </c>
      <c r="F20" s="47">
        <v>10</v>
      </c>
      <c r="G20" s="47">
        <v>46.83</v>
      </c>
      <c r="H20" s="47">
        <v>8</v>
      </c>
      <c r="I20" s="60">
        <f t="shared" si="0"/>
        <v>2.76325141903668</v>
      </c>
      <c r="J20" s="61">
        <f t="shared" si="4"/>
        <v>6.0833926277133</v>
      </c>
      <c r="K20" s="64">
        <f t="shared" si="5"/>
        <v>73.67664404675</v>
      </c>
      <c r="L20" s="64">
        <f t="shared" si="6"/>
        <v>28515.660958566</v>
      </c>
      <c r="M20" s="62" t="s">
        <v>1271</v>
      </c>
      <c r="O20" s="25">
        <v>1799.14</v>
      </c>
    </row>
    <row r="21" ht="123.75" spans="1:15">
      <c r="A21" s="41">
        <v>4</v>
      </c>
      <c r="B21" s="41" t="s">
        <v>1269</v>
      </c>
      <c r="C21" s="45" t="s">
        <v>1286</v>
      </c>
      <c r="D21" s="46" t="s">
        <v>89</v>
      </c>
      <c r="E21" s="43"/>
      <c r="F21" s="47">
        <v>10</v>
      </c>
      <c r="G21" s="47">
        <v>46.83</v>
      </c>
      <c r="H21" s="47">
        <v>8</v>
      </c>
      <c r="I21" s="60">
        <f t="shared" si="0"/>
        <v>2.76325141903668</v>
      </c>
      <c r="J21" s="61">
        <f t="shared" si="4"/>
        <v>6.0833926277133</v>
      </c>
      <c r="K21" s="64">
        <f t="shared" si="5"/>
        <v>73.67664404675</v>
      </c>
      <c r="L21" s="64">
        <f t="shared" si="6"/>
        <v>0</v>
      </c>
      <c r="M21" s="62" t="s">
        <v>1271</v>
      </c>
      <c r="O21" s="25">
        <v>69</v>
      </c>
    </row>
    <row r="22" ht="67.5" spans="1:15">
      <c r="A22" s="41">
        <v>5</v>
      </c>
      <c r="B22" s="42" t="s">
        <v>1277</v>
      </c>
      <c r="C22" s="45" t="s">
        <v>1278</v>
      </c>
      <c r="D22" s="46" t="s">
        <v>1137</v>
      </c>
      <c r="E22" s="43"/>
      <c r="F22" s="48">
        <v>160</v>
      </c>
      <c r="G22" s="49">
        <v>420</v>
      </c>
      <c r="H22" s="43">
        <v>35</v>
      </c>
      <c r="I22" s="60">
        <f t="shared" si="0"/>
        <v>26.2131670940546</v>
      </c>
      <c r="J22" s="61">
        <f t="shared" si="4"/>
        <v>57.7091850384649</v>
      </c>
      <c r="K22" s="64">
        <f t="shared" si="5"/>
        <v>698.92235213252</v>
      </c>
      <c r="L22" s="64">
        <f t="shared" si="6"/>
        <v>0</v>
      </c>
      <c r="M22" s="62"/>
      <c r="O22" s="25">
        <v>265</v>
      </c>
    </row>
    <row r="23" ht="67.5" spans="1:15">
      <c r="A23" s="41">
        <v>6</v>
      </c>
      <c r="B23" s="42" t="s">
        <v>1277</v>
      </c>
      <c r="C23" s="45" t="s">
        <v>1279</v>
      </c>
      <c r="D23" s="46" t="s">
        <v>1137</v>
      </c>
      <c r="E23" s="43"/>
      <c r="F23" s="48">
        <v>160</v>
      </c>
      <c r="G23" s="49">
        <v>480</v>
      </c>
      <c r="H23" s="43">
        <v>35</v>
      </c>
      <c r="I23" s="60">
        <f t="shared" si="0"/>
        <v>28.7705492495721</v>
      </c>
      <c r="J23" s="61">
        <f t="shared" si="4"/>
        <v>63.3393494324615</v>
      </c>
      <c r="K23" s="64">
        <f t="shared" si="5"/>
        <v>767.109898682034</v>
      </c>
      <c r="L23" s="64">
        <f t="shared" si="6"/>
        <v>0</v>
      </c>
      <c r="M23" s="62"/>
      <c r="O23" s="25">
        <v>27</v>
      </c>
    </row>
    <row r="24" ht="72" customHeight="1" spans="1:15">
      <c r="A24" s="41">
        <v>7</v>
      </c>
      <c r="B24" s="42" t="s">
        <v>1287</v>
      </c>
      <c r="C24" s="45" t="s">
        <v>1288</v>
      </c>
      <c r="D24" s="46" t="s">
        <v>1137</v>
      </c>
      <c r="E24" s="43">
        <v>1</v>
      </c>
      <c r="F24" s="48">
        <v>35000</v>
      </c>
      <c r="G24" s="49">
        <v>1000</v>
      </c>
      <c r="H24" s="43">
        <v>3000</v>
      </c>
      <c r="I24" s="60">
        <f t="shared" si="0"/>
        <v>1662.29840108639</v>
      </c>
      <c r="J24" s="61">
        <f t="shared" si="4"/>
        <v>3659.60685609777</v>
      </c>
      <c r="K24" s="64">
        <f t="shared" si="5"/>
        <v>44321.9052571842</v>
      </c>
      <c r="L24" s="64">
        <f t="shared" si="6"/>
        <v>44321.9052571842</v>
      </c>
      <c r="M24" s="62"/>
      <c r="O24" s="25">
        <v>2</v>
      </c>
    </row>
    <row r="25" ht="33.75" spans="1:15">
      <c r="A25" s="41">
        <v>8</v>
      </c>
      <c r="B25" s="46" t="s">
        <v>73</v>
      </c>
      <c r="C25" s="46" t="s">
        <v>1179</v>
      </c>
      <c r="D25" s="46" t="s">
        <v>75</v>
      </c>
      <c r="E25" s="43"/>
      <c r="F25" s="48"/>
      <c r="G25" s="49"/>
      <c r="H25" s="43">
        <v>8.5</v>
      </c>
      <c r="I25" s="60">
        <f t="shared" si="0"/>
        <v>0.362295805364982</v>
      </c>
      <c r="J25" s="61">
        <f t="shared" si="4"/>
        <v>0.797606622482848</v>
      </c>
      <c r="K25" s="64">
        <f t="shared" si="5"/>
        <v>9.65990242784783</v>
      </c>
      <c r="L25" s="64">
        <f t="shared" si="6"/>
        <v>0</v>
      </c>
      <c r="M25" s="62"/>
      <c r="O25" s="25">
        <v>851.25</v>
      </c>
    </row>
    <row r="26" ht="33.75" spans="1:15">
      <c r="A26" s="41">
        <v>9</v>
      </c>
      <c r="B26" s="46" t="s">
        <v>1180</v>
      </c>
      <c r="C26" s="46" t="s">
        <v>1181</v>
      </c>
      <c r="D26" s="46" t="s">
        <v>75</v>
      </c>
      <c r="E26" s="43"/>
      <c r="F26" s="48"/>
      <c r="G26" s="49"/>
      <c r="H26" s="43">
        <v>10</v>
      </c>
      <c r="I26" s="60">
        <f t="shared" si="0"/>
        <v>0.42623035925292</v>
      </c>
      <c r="J26" s="61">
        <f t="shared" si="4"/>
        <v>0.938360732332763</v>
      </c>
      <c r="K26" s="64">
        <f t="shared" si="5"/>
        <v>11.3645910915857</v>
      </c>
      <c r="L26" s="64">
        <f t="shared" si="6"/>
        <v>0</v>
      </c>
      <c r="M26" s="62"/>
      <c r="O26" s="25">
        <v>851.25</v>
      </c>
    </row>
    <row r="27" ht="12.75" spans="1:13">
      <c r="A27" s="51" t="s">
        <v>1265</v>
      </c>
      <c r="B27" s="51"/>
      <c r="C27" s="51"/>
      <c r="D27" s="51"/>
      <c r="E27" s="51"/>
      <c r="F27" s="51"/>
      <c r="G27" s="51"/>
      <c r="H27" s="43"/>
      <c r="I27" s="51"/>
      <c r="J27" s="57"/>
      <c r="K27" s="58"/>
      <c r="L27" s="64">
        <f>SUM(L6:L26)</f>
        <v>153548.002209792</v>
      </c>
      <c r="M27" s="59"/>
    </row>
    <row r="28" ht="27" customHeight="1" spans="1:13">
      <c r="A28" s="52" t="s">
        <v>1266</v>
      </c>
      <c r="B28" s="52"/>
      <c r="C28" s="52"/>
      <c r="D28" s="52"/>
      <c r="E28" s="52"/>
      <c r="F28" s="53"/>
      <c r="G28" s="53"/>
      <c r="H28" s="53"/>
      <c r="I28" s="53"/>
      <c r="J28" s="53"/>
      <c r="K28" s="53"/>
      <c r="L28" s="52"/>
      <c r="M28" s="52"/>
    </row>
    <row r="35" spans="5:5">
      <c r="E35" s="54"/>
    </row>
    <row r="36" spans="5:5">
      <c r="E36" s="54"/>
    </row>
    <row r="37" spans="5:5">
      <c r="E37" s="54"/>
    </row>
  </sheetData>
  <mergeCells count="17">
    <mergeCell ref="A1:M1"/>
    <mergeCell ref="F2:J2"/>
    <mergeCell ref="B5:C5"/>
    <mergeCell ref="B17:C17"/>
    <mergeCell ref="A27:G27"/>
    <mergeCell ref="A28:M28"/>
    <mergeCell ref="A2:A4"/>
    <mergeCell ref="B2:B4"/>
    <mergeCell ref="C2:C4"/>
    <mergeCell ref="D2:D4"/>
    <mergeCell ref="E2:E4"/>
    <mergeCell ref="F3:F4"/>
    <mergeCell ref="G3:G4"/>
    <mergeCell ref="H3:H4"/>
    <mergeCell ref="K2:K4"/>
    <mergeCell ref="L2:L4"/>
    <mergeCell ref="M2:M4"/>
  </mergeCells>
  <pageMargins left="0.75" right="0.75" top="1" bottom="1" header="0.5" footer="0.5"/>
  <pageSetup paperSize="9" scale="61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zoomScale="85" zoomScaleNormal="85" workbookViewId="0">
      <selection activeCell="J5" sqref="J5"/>
    </sheetView>
  </sheetViews>
  <sheetFormatPr defaultColWidth="8.85714285714286" defaultRowHeight="12.75"/>
  <cols>
    <col min="1" max="1" width="8.85714285714286" style="2"/>
    <col min="2" max="2" width="23" style="2" customWidth="1"/>
    <col min="3" max="3" width="15.5714285714286" style="2" customWidth="1"/>
    <col min="4" max="4" width="13.8571428571429" style="2" customWidth="1"/>
    <col min="5" max="5" width="8.85714285714286" style="2"/>
    <col min="6" max="6" width="13.1428571428571" style="2" customWidth="1"/>
    <col min="7" max="7" width="52.5428571428571" style="2" customWidth="1"/>
    <col min="8" max="8" width="10.1428571428571" style="1" customWidth="1"/>
    <col min="9" max="9" width="14.7142857142857" style="1" customWidth="1"/>
    <col min="10" max="16376" width="8.85714285714286" style="1"/>
    <col min="16377" max="16384" width="8.85714285714286" style="3"/>
  </cols>
  <sheetData>
    <row r="1" s="1" customFormat="1" ht="27.95" customHeight="1" spans="1:7">
      <c r="A1" s="4" t="s">
        <v>1289</v>
      </c>
      <c r="B1" s="4"/>
      <c r="C1" s="4"/>
      <c r="D1" s="4"/>
      <c r="E1" s="4"/>
      <c r="F1" s="4"/>
      <c r="G1" s="5"/>
    </row>
    <row r="2" s="1" customFormat="1" ht="32.1" customHeight="1" spans="1:8">
      <c r="A2" s="6" t="s">
        <v>1</v>
      </c>
      <c r="B2" s="7" t="s">
        <v>844</v>
      </c>
      <c r="C2" s="6" t="s">
        <v>1290</v>
      </c>
      <c r="D2" s="7" t="s">
        <v>1006</v>
      </c>
      <c r="E2" s="7" t="s">
        <v>46</v>
      </c>
      <c r="F2" s="6" t="s">
        <v>1291</v>
      </c>
      <c r="G2" s="6" t="s">
        <v>49</v>
      </c>
      <c r="H2" s="8"/>
    </row>
    <row r="3" s="1" customFormat="1" ht="18" customHeight="1" spans="1:13">
      <c r="A3" s="9" t="s">
        <v>1292</v>
      </c>
      <c r="B3" s="9"/>
      <c r="C3" s="10"/>
      <c r="D3" s="11"/>
      <c r="E3" s="11"/>
      <c r="F3" s="12"/>
      <c r="G3" s="13" t="s">
        <v>1293</v>
      </c>
      <c r="H3" s="14"/>
      <c r="I3" s="14"/>
      <c r="J3" s="14"/>
      <c r="K3" s="21"/>
      <c r="L3" s="14"/>
      <c r="M3" s="22"/>
    </row>
    <row r="4" s="1" customFormat="1" ht="95.1" customHeight="1" spans="1:13">
      <c r="A4" s="7">
        <v>1</v>
      </c>
      <c r="B4" s="6" t="s">
        <v>1294</v>
      </c>
      <c r="C4" s="15" t="s">
        <v>1295</v>
      </c>
      <c r="D4" s="16"/>
      <c r="E4" s="17" t="s">
        <v>372</v>
      </c>
      <c r="F4" s="18">
        <f>550*(12000000/13572919.58)</f>
        <v>486.262366847384</v>
      </c>
      <c r="G4" s="19" t="s">
        <v>1296</v>
      </c>
      <c r="H4" s="14"/>
      <c r="I4" s="14"/>
      <c r="J4" s="14"/>
      <c r="K4" s="23"/>
      <c r="L4" s="24"/>
      <c r="M4" s="22"/>
    </row>
    <row r="5" s="1" customFormat="1" ht="95.1" customHeight="1" spans="1:13">
      <c r="A5" s="7">
        <v>2</v>
      </c>
      <c r="B5" s="6" t="s">
        <v>1294</v>
      </c>
      <c r="C5" s="15" t="s">
        <v>1297</v>
      </c>
      <c r="D5" s="16"/>
      <c r="E5" s="17" t="s">
        <v>372</v>
      </c>
      <c r="F5" s="18">
        <f>850*(12000000/13572919.58)</f>
        <v>751.496385127775</v>
      </c>
      <c r="G5" s="19" t="s">
        <v>1296</v>
      </c>
      <c r="H5" s="14"/>
      <c r="I5" s="14"/>
      <c r="J5" s="14"/>
      <c r="K5" s="23"/>
      <c r="L5" s="24"/>
      <c r="M5" s="22"/>
    </row>
    <row r="6" s="1" customFormat="1" ht="95.1" customHeight="1" spans="1:13">
      <c r="A6" s="7">
        <v>3</v>
      </c>
      <c r="B6" s="7" t="s">
        <v>1298</v>
      </c>
      <c r="C6" s="15" t="s">
        <v>1299</v>
      </c>
      <c r="D6" s="16"/>
      <c r="E6" s="17" t="s">
        <v>372</v>
      </c>
      <c r="F6" s="18">
        <f>120*(12000000/13572919.58)</f>
        <v>106.093607312156</v>
      </c>
      <c r="G6" s="19" t="s">
        <v>1296</v>
      </c>
      <c r="H6" s="14"/>
      <c r="I6" s="14"/>
      <c r="J6" s="14"/>
      <c r="K6" s="23"/>
      <c r="L6" s="23"/>
      <c r="M6" s="22"/>
    </row>
    <row r="7" s="1" customFormat="1" ht="71.1" customHeight="1" spans="1:7">
      <c r="A7" s="7">
        <v>4</v>
      </c>
      <c r="B7" s="7" t="s">
        <v>1298</v>
      </c>
      <c r="C7" s="15" t="s">
        <v>1300</v>
      </c>
      <c r="D7" s="16"/>
      <c r="E7" s="17" t="s">
        <v>372</v>
      </c>
      <c r="F7" s="18">
        <f>160*(12000000/13572919.58)</f>
        <v>141.458143082875</v>
      </c>
      <c r="G7" s="19" t="s">
        <v>1296</v>
      </c>
    </row>
    <row r="8" s="1" customFormat="1" ht="18" customHeight="1" spans="1:7">
      <c r="A8" s="2"/>
      <c r="B8" s="2"/>
      <c r="C8" s="2"/>
      <c r="D8" s="2"/>
      <c r="E8" s="2"/>
      <c r="F8" s="2"/>
      <c r="G8" s="2"/>
    </row>
    <row r="9" s="1" customFormat="1" ht="18" customHeight="1" spans="1:7">
      <c r="A9" s="2"/>
      <c r="B9" s="2"/>
      <c r="C9" s="2"/>
      <c r="D9" s="2"/>
      <c r="E9" s="2"/>
      <c r="F9" s="2"/>
      <c r="G9" s="2"/>
    </row>
    <row r="10" s="1" customFormat="1" ht="18" customHeight="1" spans="1:7">
      <c r="A10" s="2"/>
      <c r="B10" s="2"/>
      <c r="C10" s="2"/>
      <c r="D10" s="2"/>
      <c r="E10" s="2"/>
      <c r="F10" s="2"/>
      <c r="G10" s="2"/>
    </row>
    <row r="11" s="1" customFormat="1" ht="18" customHeight="1" spans="1:7">
      <c r="A11" s="2"/>
      <c r="B11" s="2"/>
      <c r="C11" s="2"/>
      <c r="D11" s="2"/>
      <c r="E11" s="2"/>
      <c r="F11" s="2"/>
      <c r="G11" s="2"/>
    </row>
    <row r="12" s="1" customFormat="1" ht="18" customHeight="1" spans="1:7">
      <c r="A12" s="2"/>
      <c r="B12" s="2"/>
      <c r="C12" s="2"/>
      <c r="D12" s="2"/>
      <c r="E12" s="2"/>
      <c r="F12" s="2"/>
      <c r="G12" s="2"/>
    </row>
    <row r="13" s="1" customFormat="1" ht="18" customHeight="1" spans="1:7">
      <c r="A13" s="2"/>
      <c r="B13" s="2"/>
      <c r="C13" s="2"/>
      <c r="D13" s="2"/>
      <c r="E13" s="2"/>
      <c r="F13" s="2"/>
      <c r="G13" s="2"/>
    </row>
    <row r="14" s="1" customFormat="1" ht="18" customHeight="1" spans="1:7">
      <c r="A14" s="2"/>
      <c r="B14" s="2"/>
      <c r="C14" s="2"/>
      <c r="D14" s="2"/>
      <c r="E14" s="2"/>
      <c r="F14" s="2"/>
      <c r="G14" s="2"/>
    </row>
    <row r="15" s="1" customFormat="1" ht="18" customHeight="1" spans="1:7">
      <c r="A15" s="2"/>
      <c r="B15" s="2"/>
      <c r="C15" s="2"/>
      <c r="D15" s="2"/>
      <c r="E15" s="2"/>
      <c r="F15" s="2"/>
      <c r="G15" s="2"/>
    </row>
    <row r="16" s="1" customFormat="1" ht="18" customHeight="1" spans="1:7">
      <c r="A16" s="2"/>
      <c r="B16" s="2"/>
      <c r="C16" s="2"/>
      <c r="D16" s="2"/>
      <c r="E16" s="2"/>
      <c r="F16" s="2"/>
      <c r="G16" s="2"/>
    </row>
    <row r="17" s="1" customFormat="1" ht="18" customHeight="1" spans="1:7">
      <c r="A17" s="2"/>
      <c r="B17" s="2"/>
      <c r="C17" s="2"/>
      <c r="D17" s="2"/>
      <c r="E17" s="2"/>
      <c r="F17" s="2"/>
      <c r="G17" s="2"/>
    </row>
    <row r="18" s="1" customFormat="1" ht="18" customHeight="1" spans="1:7">
      <c r="A18" s="2"/>
      <c r="B18" s="2"/>
      <c r="C18" s="2"/>
      <c r="D18" s="2"/>
      <c r="E18" s="2"/>
      <c r="F18" s="2"/>
      <c r="G18" s="2"/>
    </row>
    <row r="19" s="1" customFormat="1" ht="18" customHeight="1" spans="1:7">
      <c r="A19" s="2"/>
      <c r="B19" s="2"/>
      <c r="C19" s="20"/>
      <c r="D19" s="2"/>
      <c r="E19" s="2"/>
      <c r="F19" s="2"/>
      <c r="G19" s="2"/>
    </row>
    <row r="20" ht="18" customHeight="1"/>
  </sheetData>
  <mergeCells count="6">
    <mergeCell ref="A1:G1"/>
    <mergeCell ref="A3:B3"/>
    <mergeCell ref="C4:D4"/>
    <mergeCell ref="C5:D5"/>
    <mergeCell ref="C6:D6"/>
    <mergeCell ref="C7:D7"/>
  </mergeCells>
  <pageMargins left="0.75" right="0.75" top="1" bottom="1" header="0.5" footer="0.5"/>
  <pageSetup paperSize="9" scale="44" orientation="portrait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8" master=""/>
  <rangeList sheetStid="9" master=""/>
  <rangeList sheetStid="1" master=""/>
  <rangeList sheetStid="10" master=""/>
  <rangeList sheetStid="16" master=""/>
  <rangeList sheetStid="17" master=""/>
  <rangeList sheetStid="13" master="">
    <arrUserId title="区域3" rangeCreator="" othersAccessPermission="edit"/>
    <arrUserId title="区域3_1" rangeCreator="" othersAccessPermission="edit"/>
    <arrUserId title="区域3_2" rangeCreator="" othersAccessPermission="edit"/>
    <arrUserId title="区域3_3" rangeCreator="" othersAccessPermission="edit"/>
    <arrUserId title="区域3_4" rangeCreator="" othersAccessPermission="edit"/>
    <arrUserId title="区域3_5" rangeCreator="" othersAccessPermission="edit"/>
    <arrUserId title="区域3_6" rangeCreator="" othersAccessPermission="edit"/>
    <arrUserId title="区域3_7" rangeCreator="" othersAccessPermission="edit"/>
    <arrUserId title="区域3_9" rangeCreator="" othersAccessPermission="edit"/>
    <arrUserId title="区域3_10" rangeCreator="" othersAccessPermission="edit"/>
    <arrUserId title="区域3_11" rangeCreator="" othersAccessPermission="edit"/>
    <arrUserId title="区域3_12" rangeCreator="" othersAccessPermission="edit"/>
    <arrUserId title="区域3_13" rangeCreator="" othersAccessPermission="edit"/>
    <arrUserId title="区域3_14" rangeCreator="" othersAccessPermission="edit"/>
    <arrUserId title="区域3_15" rangeCreator="" othersAccessPermission="edit"/>
    <arrUserId title="区域3_8" rangeCreator="" othersAccessPermission="edit"/>
  </rangeList>
  <rangeList sheetStid="14" master=""/>
  <rangeList sheetStid="15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进度款</vt:lpstr>
      <vt:lpstr>汇总表</vt:lpstr>
      <vt:lpstr>硬质铺装</vt:lpstr>
      <vt:lpstr>软装</vt:lpstr>
      <vt:lpstr>绿植乔木</vt:lpstr>
      <vt:lpstr>绿植灌木</vt:lpstr>
      <vt:lpstr>景观水电</vt:lpstr>
      <vt:lpstr>外网雨污水</vt:lpstr>
      <vt:lpstr>备选类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admin</cp:lastModifiedBy>
  <dcterms:created xsi:type="dcterms:W3CDTF">2020-11-19T09:45:00Z</dcterms:created>
  <dcterms:modified xsi:type="dcterms:W3CDTF">2023-05-15T08:40:16Z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55F7D292C97D488AB58B6B7E85DCF405_13</vt:lpwstr>
  </property>
</Properties>
</file>