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8855" tabRatio="630" firstSheet="2" activeTab="2"/>
  </bookViews>
  <sheets>
    <sheet name="汇总表0" sheetId="18" state="hidden" r:id="rId1"/>
    <sheet name="Sheet2" sheetId="20" state="hidden" r:id="rId2"/>
    <sheet name="第二次进度款支付" sheetId="21" r:id="rId3"/>
    <sheet name="汇总表" sheetId="9" r:id="rId4"/>
    <sheet name="Sheet1" sheetId="19" state="hidden" r:id="rId5"/>
    <sheet name="装饰工程" sheetId="12" r:id="rId6"/>
    <sheet name="安装工程" sheetId="11" r:id="rId7"/>
    <sheet name="增加示范区弱电工程" sheetId="14" r:id="rId8"/>
    <sheet name="门头钢结构工程量计算" sheetId="13" state="hidden" r:id="rId9"/>
  </sheets>
  <externalReferences>
    <externalReference r:id="rId10"/>
  </externalReferences>
  <definedNames>
    <definedName name="_xlnm._FilterDatabase" localSheetId="5" hidden="1">装饰工程!$A$5:$S$282</definedName>
    <definedName name="_xlnm._FilterDatabase" localSheetId="6" hidden="1">安装工程!$A$5:$R$219</definedName>
    <definedName name="_xlnm._FilterDatabase" localSheetId="8" hidden="1">门头钢结构工程量计算!$A$2:$G$22</definedName>
    <definedName name="_xlnm.Print_Titles" localSheetId="5">装饰工程!$1:$5</definedName>
    <definedName name="_xlnm.Print_Titles" localSheetId="6">安装工程!$1:$5</definedName>
    <definedName name="_xlnm.Print_Area" localSheetId="7">增加示范区弱电工程!$A$1:$R$26</definedName>
    <definedName name="_xlnm.Print_Area" localSheetId="5">装饰工程!$A$1:$R$282</definedName>
    <definedName name="_xlnm.Print_Area" localSheetId="3">汇总表!$A$1:$J$14</definedName>
    <definedName name="_xlnm.Print_Area" localSheetId="0">汇总表0!$A$1:$D$6</definedName>
    <definedName name="_xlnm.Print_Area" localSheetId="6">安装工程!$A$1:$R$219</definedName>
    <definedName name="_xlnm.Print_Area" localSheetId="4">Sheet1!$A$1:$I$53</definedName>
    <definedName name="_xlnm.Print_Area" localSheetId="1">Sheet2!$A$1:$I$55</definedName>
  </definedNames>
  <calcPr calcId="144525"/>
</workbook>
</file>

<file path=xl/sharedStrings.xml><?xml version="1.0" encoding="utf-8"?>
<sst xmlns="http://schemas.openxmlformats.org/spreadsheetml/2006/main" count="1751" uniqueCount="602">
  <si>
    <t>洛阳市洛龙区伊河湾项目售楼部室内精装及外幕墙工程造价汇总表</t>
  </si>
  <si>
    <t>序 号</t>
  </si>
  <si>
    <t>项目名称</t>
  </si>
  <si>
    <t>金额 (元)</t>
  </si>
  <si>
    <t>备注</t>
  </si>
  <si>
    <t>伊河湾项目售楼部室内精装饰工程</t>
  </si>
  <si>
    <t>伊河湾项目售楼部外幕墙工程</t>
  </si>
  <si>
    <t>合计</t>
  </si>
  <si>
    <t>工程进度款费用计算明细表-售楼部精装修</t>
  </si>
  <si>
    <t>序号</t>
  </si>
  <si>
    <t>分项名称</t>
  </si>
  <si>
    <t>暂定/固定合同价
(元)</t>
  </si>
  <si>
    <t>合同总工程量</t>
  </si>
  <si>
    <t>合同单价</t>
  </si>
  <si>
    <t>累计已审批进度款（元）</t>
  </si>
  <si>
    <t>本次申请应付款（元）</t>
  </si>
  <si>
    <t>累计应付款（含本次申请，元)</t>
  </si>
  <si>
    <t>累计实付款
(元)</t>
  </si>
  <si>
    <t>累计已批未付 (不含本次申请，元)</t>
  </si>
  <si>
    <t>本次付款形象进度简述</t>
  </si>
  <si>
    <t>累计已审批工程量</t>
  </si>
  <si>
    <t>累计已审批款</t>
  </si>
  <si>
    <t>本次应付工程量</t>
  </si>
  <si>
    <t>合同节点比例</t>
  </si>
  <si>
    <t>本次应付款</t>
  </si>
  <si>
    <t>应申请总金额</t>
  </si>
  <si>
    <t>累计申请比例</t>
  </si>
  <si>
    <t>装饰工程</t>
  </si>
  <si>
    <t>安装工程</t>
  </si>
  <si>
    <t>进度款合计</t>
  </si>
  <si>
    <t>河南省洛阳市浩德地产伊河湾营销中心装饰工程造价汇总表</t>
  </si>
  <si>
    <t>单位</t>
  </si>
  <si>
    <t>合计(元)</t>
  </si>
  <si>
    <t>20230426第一次付款</t>
  </si>
  <si>
    <t>20230612第二次含税进度款</t>
  </si>
  <si>
    <t>20230612第二次不含税进度款</t>
  </si>
  <si>
    <t>本次申请已完成工程量80%进度款（含税）</t>
  </si>
  <si>
    <t>一</t>
  </si>
  <si>
    <t>一层</t>
  </si>
  <si>
    <t>一层地面</t>
  </si>
  <si>
    <t>项</t>
  </si>
  <si>
    <t>一层天棚</t>
  </si>
  <si>
    <t>一层墙面</t>
  </si>
  <si>
    <t>一层安装</t>
  </si>
  <si>
    <t>二</t>
  </si>
  <si>
    <t>负一层</t>
  </si>
  <si>
    <t>负一层地面</t>
  </si>
  <si>
    <t>负一层天棚</t>
  </si>
  <si>
    <t>负一层墙面</t>
  </si>
  <si>
    <t>负一层安装</t>
  </si>
  <si>
    <t>三</t>
  </si>
  <si>
    <t>示范区弱电工程</t>
  </si>
  <si>
    <t>价格清单（伊河湾项目售楼部室内精装工程）（装饰部分）</t>
  </si>
  <si>
    <t>工程名称：河南省洛阳市浩德地产伊河湾营销中心装饰工程--装饰工程</t>
  </si>
  <si>
    <t>工程项目名称</t>
  </si>
  <si>
    <t>工程内容</t>
  </si>
  <si>
    <t>工程量
g</t>
  </si>
  <si>
    <t>20230612第二次进度款工程量</t>
  </si>
  <si>
    <t>其中：各子项构成（元）</t>
  </si>
  <si>
    <t>含税综合单价(元)
f=(a+b+c+d+e)</t>
  </si>
  <si>
    <t>合价(元)=g*f</t>
  </si>
  <si>
    <t>20230612第二次进度款工程量合价(元)=g*f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</si>
  <si>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</si>
  <si>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</si>
  <si>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</si>
  <si>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</si>
  <si>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</si>
  <si>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</si>
  <si>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</si>
  <si>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</si>
  <si>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</si>
  <si>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</si>
  <si>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</si>
  <si>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1层地面</t>
  </si>
  <si>
    <t>平面砂浆找平层</t>
  </si>
  <si>
    <r>
      <rPr>
        <sz val="9"/>
        <color rgb="FFFF0000"/>
        <rFont val="宋体"/>
        <charset val="134"/>
      </rPr>
      <t>1.30mm厚（最薄处）M20水泥砂浆找坡兼找平层。</t>
    </r>
    <r>
      <rPr>
        <sz val="9"/>
        <rFont val="宋体"/>
        <charset val="134"/>
      </rPr>
      <t xml:space="preserve">
2.部位：景观区一、景观区二
3.其它说明：满足规范和设计图纸要求</t>
    </r>
  </si>
  <si>
    <t>m2</t>
  </si>
  <si>
    <t>按答疑修改了清单描述，工程量未变。</t>
  </si>
  <si>
    <t>石材楼地面</t>
  </si>
  <si>
    <t>1.ST01石材地面
2.石材背面刷胶封闭（石材六面防护）
3.5-8mm厚石材专用粘结剂/水泥砂浆粘贴层(根据项目需求)
4.20mm厚1:3干硬性水泥砂浆调平层
5.界面剂、水泥砂浆一道
6.10mm厚1:2.5水泥砂浆找平层
7.钢筋混凝土楼板
8.部位：大堂、景观区一、景观区二
9.其它说明：满足规范和设计图纸要求</t>
  </si>
  <si>
    <t>1.ST02石材地面
2.石材背面刷胶封闭（石材六面防护）
3.5-8mm厚石材专用粘结剂/水泥砂浆粘贴层(根据项目需求)
4.20mm厚1:3干硬性水泥砂浆调平层
5.界面剂、水泥砂浆一道
6.10mm厚1:2.5水泥砂浆找平层
7.钢筋混凝土楼板
8.部位：大堂
9.其它说明：满足规范和设计图纸要求</t>
  </si>
  <si>
    <t>瓷砖楼地面（无防水）</t>
  </si>
  <si>
    <t>1.CT04瓷砖地面
2.瓷砖填缝剂处理
3.瓷砖(低吸水率硬质砖石需要背覆胶处理)
4.5mm专用瓷砖胶泥粘结层/水泥砂浆粘贴层
5.20mm厚1:3干硬性水泥砂浆调平层
6.界面剂、水泥砂浆一道
7.15mm厚1:2.5水泥砂浆找平层
8.钢筋混凝土楼板
9.部位：景观区一
10.其它说明：满足规范和设计图纸要求</t>
  </si>
  <si>
    <t>广东产</t>
  </si>
  <si>
    <t>1.50*50*5镀锌方钢龙骨
2.9mm厚阻燃板基层
3.ST02+ST07石材地面+MT03不锈钢饰面
4.部位：大堂、景观区一
5.详见1F-DT-06节点10、11
6.其它满足规范和设计图纸要求</t>
  </si>
  <si>
    <t>1层天棚</t>
  </si>
  <si>
    <t>吊顶天棚</t>
  </si>
  <si>
    <t>1.木饰面天棚
2.钢筋混凝土楼板
3.膨胀螺栓,∅10钢筋吊杆,双向吊点,900~1200
4.轻钢主龙骨(金属吊件连接)
5.轻钢次龙骨、收边轻钢龙骨(专用连接挂件)
6.9.5mm厚石膏板基层
7.12mm厚阻燃夹板基层
8.木饰面
9.含风口、灯孔等
10.部位：景观区一、景观区二
11.作法详见1F-TH-01节点01、02
12.其它说明：满足规范和设计图纸要求</t>
  </si>
  <si>
    <t>龙骨驰龙、石膏板泰山</t>
  </si>
  <si>
    <t>吊顶天棚（跌级）</t>
  </si>
  <si>
    <t>1.木饰面天棚
2.钢筋混凝土楼板
3.膨胀螺栓,∅10钢筋吊杆,双向吊点,900~1200
4.轻钢主龙骨(金属吊件连接)
5.轻钢次龙骨、收边轻钢龙骨(专用连接挂件)
6.9.5mm厚石膏板基层
7.12mm厚阻燃夹板基层
8.木饰面
9.含风口、灯孔等
10.部位：大厅
11.作法详见1F-TH-01节点01、02
12.其它说明：满足规范和设计图纸要求</t>
  </si>
  <si>
    <t>格栅吊顶</t>
  </si>
  <si>
    <t>1.木纹铝格栅
2.部位：景观区一、景观区二
3.作法详见1F-TH-01节点03
4.其它说明：满足规范和设计图纸要求</t>
  </si>
  <si>
    <t>1层墙面</t>
  </si>
  <si>
    <t>东立面</t>
  </si>
  <si>
    <t>墙面装饰板</t>
  </si>
  <si>
    <t>1.50*50*5镀锌方钢龙骨+20*40*3镀锌方钢龙骨@600*600
2.12厚阻燃板基层
3.WD-01木饰面面层
4.作法详见1F-DT-0节点01
5.其它说明：满足规范和设计图纸要求</t>
  </si>
  <si>
    <t>厂家定制</t>
  </si>
  <si>
    <t>1.45*25*4镀锌方钢龙骨+30*10*4镀锌方钢龙骨@600*600
2.12厚阻燃板基层
3.WD-01木饰面面层
4.作法详见1F-DT-02节点03
5.其它说明：满足规范和设计图纸要求</t>
  </si>
  <si>
    <t>1.12厚阻燃板基层
2.MT-03不锈钢饰面面层
3.作法详见1F-DT-02节点02
4.其它说明：满足规范和设计图纸要求</t>
  </si>
  <si>
    <t>1.9.5mm厚石膏板基层
2.12厚阻燃板基层
3.WD-01木饰面面层
4.作法详见详见MB-07/08
5.其它说明：满足规范和设计图纸要求</t>
  </si>
  <si>
    <t>石材踢脚线</t>
  </si>
  <si>
    <t>1.12mm厚阻燃板基层
2.ST-05踢脚线
3.作法详见1F-DT-03节点05
4.其它说明：满足规范和设计图纸要求</t>
  </si>
  <si>
    <t>金属字</t>
  </si>
  <si>
    <t>1.发光字
2.详见1F-DT-02节点02
3.其它满足规范和设计图纸要求</t>
  </si>
  <si>
    <t>个</t>
  </si>
  <si>
    <t>钢化玻璃双开门</t>
  </si>
  <si>
    <t>1.GL-01钢化玻璃双开门
2.作法详见MB-07/08
3.含定制不锈钢拉手、五金配件
4.其它说明：满足规范和设计图纸要求</t>
  </si>
  <si>
    <t>樘</t>
  </si>
  <si>
    <t>玻璃栏板</t>
  </si>
  <si>
    <t>1.楼梯玻璃栏杆，含五金配件
2.作法详见1F-DT-08
3.其它说明：满足规范和设计图纸要求</t>
  </si>
  <si>
    <t>m</t>
  </si>
  <si>
    <t>西立面</t>
  </si>
  <si>
    <t>屏风</t>
  </si>
  <si>
    <t>1.屏风
2.部位：大堂西侧
3.作法详见1F-DT-05节点07
4.其它说明：满足规范和设计图纸要求</t>
  </si>
  <si>
    <t>1.50*50*5镀锌方钢龙骨@600*600
2.12厚双层阻燃板基层
3.WD-01木饰面面层
4.作法详见1F-DT-03节点04
5.其它说明：满足规范和设计图纸要求</t>
  </si>
  <si>
    <t>1.45*25*4镀锌方钢龙骨+30*10*4镀锌方钢龙骨@600*600
2.12厚双层阻燃板基层
3.WD-01木饰面面层
4.作法详见1F-DT-02节点03
5.其它说明：满足规范和设计图纸要求</t>
  </si>
  <si>
    <t>1.50*50*5镀锌方钢龙骨+30*40*4镀锌方钢龙骨@600*600
2.12厚双层阻燃板基层
3.WD-01木饰面面层
4.作法详见1F-DT-03节点04a
5.其它说明：满足规范和设计图纸要求</t>
  </si>
  <si>
    <t>南立面</t>
  </si>
  <si>
    <t>1.屏风
2.部位：大堂南侧
3.做法详见1F-DT-05节点08
4.其它说明：满足规范和设计图纸要求</t>
  </si>
  <si>
    <t>1.50*50*5镀锌方钢竖向龙骨，@600*600
2.12厚阻燃板基层
3.WD-01木饰面面层
4.作法详见1F-DT-03节点04
5.其它说明：满足规范和设计图纸要求</t>
  </si>
  <si>
    <t>1.12mm厚阻燃板基层
2.ST-05踢脚线
3.作法详见1F-DT-03节点05
3.其它说明：满足规范和设计图纸要求</t>
  </si>
  <si>
    <t>北立面</t>
  </si>
  <si>
    <t>1.45*25*4镀锌方钢竖向龙骨+30*10*4横向龙骨，@600*600
2.12厚阻燃板基层
3.WD-01木饰面面层
4.作法详见1F-DT-02节点03
5.其它说明：满足规范和设计图纸要求</t>
  </si>
  <si>
    <t>1.屏风
2.部位：大堂北侧
3.做法详见1F-DT-04节点06
4.其它说明：满足规范和设计图纸要求</t>
  </si>
  <si>
    <t>电动卷帘</t>
  </si>
  <si>
    <t>1.成品电动卷帘
2.含电动装置
3.其它说明：满足规范和设计图纸要求</t>
  </si>
  <si>
    <t>景观区一</t>
  </si>
  <si>
    <t>1.GL-01钢化玻璃双开门
2.详见MB-07/08
3.含定制不锈钢拉手，五金配件
4.其它说明：满足规范和设计图纸要求</t>
  </si>
  <si>
    <t>1.50*50*5镀锌方钢龙骨，@600*600
2.双层12厚阻燃板基层
3.WD-01木饰面面层
4.其它说明：满足规范和设计图纸要求</t>
  </si>
  <si>
    <t>1.屏风
2.部位：景观区一
3.做法详见1F-DT-07节点12
4.其它说明：满足规范和设计图纸要求</t>
  </si>
  <si>
    <t>1.ST-01踢脚线
2.其它说明：满足规范和设计图纸要求</t>
  </si>
  <si>
    <t>景观区二</t>
  </si>
  <si>
    <t>1.屏风
2.部位：景观区二
3.做法详见1F-DT-07
4.其它说明：满足规范和设计图纸要求</t>
  </si>
  <si>
    <t>1.GL-01钢化玻璃双开门
2.详见MB-07/08
3.含定制不锈钢拉手、五金配件
4.其它说明：满足规范和设计图纸要求</t>
  </si>
  <si>
    <t>1.50*50*5镀锌方钢龙骨/45*25*4镀锌方钢龙骨，@600*600
2.12厚阻燃板基层
3.WD-01木饰面面层
4.其它说明：满足规范和设计图纸要求</t>
  </si>
  <si>
    <t>石材墙面</t>
  </si>
  <si>
    <t>1.ST-03 石材
2.50*50*5镀锌角铁（预埋件）+M12膨胀螺栓+不锈钢石材干挂件+石材
3.作法详见1F-DT-08节点13
4.其它说明：满足规范和设计图纸要求</t>
  </si>
  <si>
    <t>金属扶手、栏杆、栏板</t>
  </si>
  <si>
    <t>1.不锈钢扶手，含五金配件
2.作法详见1F-DT-08节点13
3.其它说明：满足规范和设计图纸要求</t>
  </si>
  <si>
    <t>1.12mm厚阻燃板基层
2.ST-01踢脚线
3.其它说明：满足规范和设计图纸要求</t>
  </si>
  <si>
    <t>1.GL-01钢化玻璃
2.热镀锌U型槽+MT-03不锈钢（间距1600一根不锈钢立柱）+钢化玻璃+不锈钢扶手
3.其它说明：满足规范和设计图纸要求</t>
  </si>
  <si>
    <t>MT-03不锈钢线条</t>
  </si>
  <si>
    <t>1.MT-03不锈钢线条
2.其它满足规范和设计图纸要求</t>
  </si>
  <si>
    <t>1.ST-01石材
2.其它说明：详见相关设计、要求及规范</t>
  </si>
  <si>
    <t>1层家具</t>
  </si>
  <si>
    <t>服务台</t>
  </si>
  <si>
    <t>1.接待前台
2.部位：大堂南侧
3.做法详见01/1F-JJ-01
4.其它说明：满足规范和设计图纸要求</t>
  </si>
  <si>
    <t>-1层地面</t>
  </si>
  <si>
    <t>1.ST01石材地面
2.石材背面刷胶封闭（石材六面防护）
3.5-8mm厚石材专用粘结剂/水泥砂浆粘贴层(根据项目需求)
4.20mm厚1:3干硬性水泥砂浆调平层
5.界面剂、水泥砂浆一道
6.10mm厚1:2.5水泥砂浆找平层
7.钢筋混凝土楼板
8.部位：VIP室、财务签约室、沙盘区、3D影音室、台球室、乒乓球室、走道
9.其它说明：满足规范和设计图纸要求</t>
  </si>
  <si>
    <t>过门石</t>
  </si>
  <si>
    <t>1.ST01石材地面
2.石材背面刷胶封闭（石材六面防护）
3.5-8mm厚石材专用粘结剂/水泥砂浆粘贴层(根据项目需求)
4.20mm厚1:3干硬性水泥砂浆调平层
5.界面剂、水泥砂浆一道
6.10mm厚1:2.5水泥砂浆找平层
7.钢筋混凝土楼板
8.部位：过门石
9.其它说明：满足规范和设计图纸要求</t>
  </si>
  <si>
    <t>1.ST01石材地面
2.石材背面刷胶封闭（石材六面防护）
3.5-8mm厚石材专用粘结剂/水泥砂浆粘贴层(根据项目需求)
4.20mm厚1:3干硬性水泥砂浆调平层
5.界面剂、水泥砂浆一道
6.10mm厚1:2.5水泥砂浆找平层
7.钢筋混凝土楼板
8.部位：楼梯
9.其它说明：满足规范和设计图纸要求</t>
  </si>
  <si>
    <t>1.CT01瓷砖地面
2.瓷砖填缝剂处理
3.瓷砖(低吸水率硬质砖石需要背覆胶处理)
4.5mm专用瓷砖胶泥粘结层/水泥砂浆粘贴层
5.20mm厚1:3干硬性水泥砂浆调平层
6.界面剂、水泥砂浆一道
7.15mm厚1:2.5水泥砂浆找平层
8.钢筋混凝土楼板
9.部位：总监办公室、经理办公室、按揭办公室、休息室、会议室、储藏室、麻将室、更衣间、工具室、走道
10.其它说明：满足规范和设计图纸要求</t>
  </si>
  <si>
    <t>瓷砖楼地面（有防水）</t>
  </si>
  <si>
    <t>1.CT02瓷砖地面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10.部位：卫生间、保洁工具室
11.其它说明：满足规范和设计图纸要求</t>
  </si>
  <si>
    <t>1.CT04瓷砖地面
2.瓷砖填缝剂处理
3.瓷砖(低吸水率硬质砖石需要背覆胶处理)
4.5mm专用瓷砖胶泥粘结层/水泥砂浆粘贴层
5.20mm厚(最薄处)M20聚合物水泥砂浆保护兼找坡层(向地漏位置找坡)
6.1.5mm厚JS-Ⅱ防水涂料(附加层(内贴玻璃纤维布))
7.界面剂、水泥砂浆一道,四周墙角水泥砂浆做圆角
8.15mm厚1:2.5水泥砂浆找平层
9.钢筋混凝土楼板
10.部位：水景区
11.其它说明：满足规范和设计图纸要求</t>
  </si>
  <si>
    <t>细石楼地面</t>
  </si>
  <si>
    <t>1.细石楼地面
2.细石
2.20mm厚(最薄处)M20聚合物水泥砂浆保护兼找坡层(向地漏位置找坡)
3.1.5mm厚JS-Ⅱ防水涂料(附加层(内贴玻璃纤维布))
4.界面剂、水泥砂浆一道,四周墙角水泥砂浆做圆角
5.15mm厚1:2.5水泥砂浆找平层
6.钢筋混凝土楼板
7.部位：卫生间
8.其它说明：满足规范和设计图纸要求</t>
  </si>
  <si>
    <t>鹅卵石楼地面</t>
  </si>
  <si>
    <t>1.鹅卵石楼地面
2.鹅卵石
3.20mm厚1:3干硬性水泥砂浆调平层
4.界面剂、水泥砂浆一道
5.15mm厚1:2.5水泥砂浆找平层
6.钢筋混凝土楼板
7.部位：休息区、儿童区一侧
8.其它说明：满足规范和设计图纸要求</t>
  </si>
  <si>
    <t>实木地板楼地面</t>
  </si>
  <si>
    <t>1.FL01木地板
2.双层9mm阻燃板（防火涂料三度）
3.40*40*2镀锌方通，双层，1000*1000间距
4.3mm厚铝膜防潮层
5.10mm厚1:2.5水泥砂浆找平层
6.钢筋混凝土楼板
7.部位：健身区
8.其它说明：满足规范和设计图纸要求</t>
  </si>
  <si>
    <t>木饰面地板楼地面</t>
  </si>
  <si>
    <t>1.WD01木饰面
2.双层12mm阻燃板
3.40*40*2镀锌方通，双层
4.10mm厚1:2.5水泥砂浆找平层
5.钢筋混凝土楼板
6.部位：水吧总台
7.其它说明：满足规范和设计图纸要求</t>
  </si>
  <si>
    <t>1.FL01木地板(含3mm金属条）
2.3厚铝膜防潮垫
3.5mm自流平面层
4.20mm厚1:3水泥沙浆找平
5.界面剂、水泥砂浆一道
6.10mm厚1:2.5水泥砂浆找平层
7.钢筋混凝土楼板
8.部位：展示区
9.其它说明：满足规范和设计图纸要求</t>
  </si>
  <si>
    <t>绿植皮楼地面</t>
  </si>
  <si>
    <t>1.SP01绿植皮
2.20mm厚1:3干硬性水泥砂浆调平层
3.界面剂、水泥砂浆一道
5.10mm厚1:2.5水泥砂浆找平层
6.钢筋混凝土楼板
7.部位：沙盘区一侧
8.其它说明：满足规范和设计图纸要求</t>
  </si>
  <si>
    <t>皮革楼地面</t>
  </si>
  <si>
    <t>1.UP01 皮革地面
2.双层9mm阻燃板
3.40*40*2镀锌方通，双层，1000*1000间距
4.10mm厚1:2.5水泥砂浆找平层
5.钢筋混凝土楼板
6.部位：泡泡池
7.其它说明：满足规范和设计图纸要求</t>
  </si>
  <si>
    <t>-1层天棚</t>
  </si>
  <si>
    <r>
      <rPr>
        <sz val="9"/>
        <rFont val="宋体"/>
        <charset val="134"/>
      </rPr>
      <t>1.米白色防水肌理漆吊顶</t>
    </r>
    <r>
      <rPr>
        <sz val="9"/>
        <color rgb="FFFF0000"/>
        <rFont val="宋体"/>
        <charset val="134"/>
      </rPr>
      <t>（各种颜色）</t>
    </r>
    <r>
      <rPr>
        <sz val="9"/>
        <rFont val="宋体"/>
        <charset val="134"/>
      </rPr>
      <t xml:space="preserve">
2.部位：卫生间
3.膨胀螺栓,10钢筋吊杆,双向吊点,900~1200
4.轻钢主龙骨(金属吊件连接)
5.轻钢次龙骨、收边轻钢龙骨(专用连接挂件)
6.9.5mm厚防水石膏板基层+12mm阻燃板基层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13.作法详见-1F-TH-04节点12
14.其它说明：满足规范和设计图纸要求</t>
    </r>
  </si>
  <si>
    <r>
      <rPr>
        <sz val="9"/>
        <color theme="1"/>
        <rFont val="宋体"/>
        <charset val="134"/>
        <scheme val="minor"/>
      </rPr>
      <t>按答疑，更衣室、储藏室及办公室等非展示区改为乳胶漆。原肌理漆部分工程量减小。乳胶漆在清单最后进行了增加分项。</t>
    </r>
    <r>
      <rPr>
        <sz val="9"/>
        <color rgb="FFFF0000"/>
        <rFont val="宋体"/>
        <charset val="134"/>
        <scheme val="minor"/>
      </rPr>
      <t>工程量有修改</t>
    </r>
  </si>
  <si>
    <r>
      <rPr>
        <sz val="9"/>
        <rFont val="宋体"/>
        <charset val="134"/>
      </rPr>
      <t>1.木饰面吊顶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9.作法详见-1F-TH-04节点09、10、15
10.其它说明：满足规范和设计图纸要求</t>
    </r>
  </si>
  <si>
    <t>按答疑回复修改了描述，工程量未修改。</t>
  </si>
  <si>
    <r>
      <rPr>
        <sz val="9"/>
        <rFont val="宋体"/>
        <charset val="134"/>
      </rPr>
      <t>1.木饰面吊顶
2.部位：水吧台、休闲区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6.双层12mm厚阻燃板基层
7.木饰面
8.含风口、灯孔等
9.作法详见-1F-TH-02节点03、04
10.其它说明：满足规范和设计图纸要求</t>
    </r>
  </si>
  <si>
    <r>
      <rPr>
        <sz val="9"/>
        <rFont val="宋体"/>
        <charset val="134"/>
      </rPr>
      <t>1.哑光色铝板+</t>
    </r>
    <r>
      <rPr>
        <sz val="9"/>
        <color rgb="FFFF0000"/>
        <rFont val="宋体"/>
        <charset val="134"/>
      </rPr>
      <t>米白色肌理漆（各种颜色）</t>
    </r>
    <r>
      <rPr>
        <sz val="9"/>
        <rFont val="宋体"/>
        <charset val="134"/>
      </rPr>
      <t xml:space="preserve">+木饰面
2.部位：健身区
3.40*40*2镀锌方通骨架
</t>
    </r>
    <r>
      <rPr>
        <sz val="9"/>
        <color theme="1"/>
        <rFont val="宋体"/>
        <charset val="134"/>
      </rPr>
      <t>4.12mm厚阻燃板基层+9.5mm石膏板基层，</t>
    </r>
    <r>
      <rPr>
        <sz val="9"/>
        <color rgb="FFFF0000"/>
        <rFont val="宋体"/>
        <charset val="134"/>
      </rPr>
      <t>含专用腻子等</t>
    </r>
    <r>
      <rPr>
        <sz val="9"/>
        <rFont val="宋体"/>
        <charset val="134"/>
      </rPr>
      <t xml:space="preserve">
5.哑光色铝板+米白色肌理漆+木饰面
6.含风口、灯孔等
7.作法详见-1F-TH-03节点07、08
8.其它说明：满足规范和设计图纸要求</t>
    </r>
  </si>
  <si>
    <t>按图纸对描述进行了完善，工程量未修改。</t>
  </si>
  <si>
    <r>
      <rPr>
        <sz val="9"/>
        <rFont val="宋体"/>
        <charset val="134"/>
      </rPr>
      <t>1.深橙色肌理漆天棚
2.部位：休息区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t>
    </r>
    <r>
      <rPr>
        <sz val="9"/>
        <rFont val="宋体"/>
        <charset val="134"/>
      </rPr>
      <t xml:space="preserve">
</t>
    </r>
    <r>
      <rPr>
        <sz val="9"/>
        <color rgb="FFFF0000"/>
        <rFont val="宋体"/>
        <charset val="134"/>
      </rPr>
      <t>11.喷肌理漆一道</t>
    </r>
    <r>
      <rPr>
        <sz val="9"/>
        <rFont val="宋体"/>
        <charset val="134"/>
      </rPr>
      <t xml:space="preserve">
12.作法详见-1F-TH-04节点10
13.其它说明：满足规范和设计图纸要求</t>
    </r>
  </si>
  <si>
    <r>
      <rPr>
        <sz val="9"/>
        <rFont val="宋体"/>
        <charset val="134"/>
      </rPr>
      <t>1.深橙色肌理漆天棚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6.双层9.5mm厚石膏板基层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13.其它说明：满足规范和设计图纸要求</t>
    </r>
  </si>
  <si>
    <r>
      <rPr>
        <sz val="9"/>
        <rFont val="宋体"/>
        <charset val="134"/>
      </rPr>
      <t>1.红色夯土肌理漆天棚
2.部位：走廊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6.12mm厚阻燃板基层+9.5mm厚石膏板基层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13.作法详见-1F-TH-03节点06
14.其它说明：满足规范和设计图纸要求</t>
    </r>
  </si>
  <si>
    <r>
      <rPr>
        <sz val="9"/>
        <rFont val="宋体"/>
        <charset val="134"/>
      </rPr>
      <t>1.米白色肌理漆天棚</t>
    </r>
    <r>
      <rPr>
        <sz val="9"/>
        <color rgb="FFFF0000"/>
        <rFont val="宋体"/>
        <charset val="134"/>
      </rPr>
      <t>（各种颜色）</t>
    </r>
    <r>
      <rPr>
        <sz val="9"/>
        <rFont val="宋体"/>
        <charset val="134"/>
      </rPr>
      <t xml:space="preserve">
2.部位：</t>
    </r>
    <r>
      <rPr>
        <sz val="9"/>
        <color rgb="FFFF0000"/>
        <rFont val="宋体"/>
        <charset val="134"/>
      </rPr>
      <t>走廊、麻将室、乒乓球室、台球室、3D影音室、VIP室、签约财务室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t>
    </r>
    <r>
      <rPr>
        <sz val="9"/>
        <color rgb="FFFF0000"/>
        <rFont val="宋体"/>
        <charset val="134"/>
      </rPr>
      <t>8.刮专用腻子找平二遍、打磨
9.刷抗碱度漆一道
10.刷肌理漆一道
11.喷肌理漆一道</t>
    </r>
    <r>
      <rPr>
        <sz val="9"/>
        <rFont val="宋体"/>
        <charset val="134"/>
      </rPr>
      <t xml:space="preserve">
12.含风口、灯孔等
13.作法详见-1F-TH-04节点05、11
14.其它说明：满足规范和设计图纸要求</t>
    </r>
  </si>
  <si>
    <t>楼梯踏步天棚</t>
  </si>
  <si>
    <t>1.MT02 金属天棚+ST01 石材
2.部位：楼梯踏步底面天棚
3.作法详见-1F-DF-02节点07
4.其它说明：满足规范和设计图纸要求</t>
  </si>
  <si>
    <t>1.白色哑光漆铝板检修口
2.40*40*2镀锌角钢骨架
3.白色哑光漆铝板
4.做法详见-1F-TH-04节点14、15
5.其它说明：满足规范和设计图纸要求</t>
  </si>
  <si>
    <t>-1层墙面</t>
  </si>
  <si>
    <t>健身区</t>
  </si>
  <si>
    <t>木门窗套</t>
  </si>
  <si>
    <t>1.WD-01木饰面
2.具体做法详见-1F-DT-06节点17
3.其它说明：满足规范和设计图纸要求</t>
  </si>
  <si>
    <t>玻璃隔断</t>
  </si>
  <si>
    <t>1.GL01 玻璃隔断
2.详见-1F-DT-10节点27
3.其它说明：满足规范和设计图纸要求</t>
  </si>
  <si>
    <t>隔墙</t>
  </si>
  <si>
    <t>1.40*40*2镀锌方通骨架
2.12厚阻燃板基层
3.WD-01木饰面+AL-01哑光铝材面层
4.作法详见-1F-DT-06节点17
5.其它说明：满足规范和设计图纸要求</t>
  </si>
  <si>
    <t>杜邦纸木饰面隔墙</t>
  </si>
  <si>
    <t>1.40*40*2镀锌方通骨架
2.12厚阻燃板基层
3.WC杜邦纸+木饰面+木装饰条
4.作法详见-1F-DT-08节点20
5.其它说明：满足规范和设计图纸要求</t>
  </si>
  <si>
    <t>木质装饰线</t>
  </si>
  <si>
    <t>1.30*30木质装饰条
2.详见-1F-DT-04节点10 
3.其它说明：满足规范和设计图纸要求</t>
  </si>
  <si>
    <t>1.30*15木质装饰条
2.详见-1F-DT-05节点10
3.其它说明：满足规范和设计图纸要求</t>
  </si>
  <si>
    <t>休息区</t>
  </si>
  <si>
    <t>儿童区18/-1F-DT-07</t>
  </si>
  <si>
    <t>科技区造型隔墙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</si>
  <si>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3.UP02软包+PT05 深橙色肌理漆+WD-01木饰面
4.作法详见-1F-DT-07节点18
5.其它说明：满足规范和设计图纸要求</t>
    </r>
  </si>
  <si>
    <t>泡泡池19/-1F-DT-06</t>
  </si>
  <si>
    <t>休息区16/-1F-DT-06</t>
  </si>
  <si>
    <t>抹灰面油漆</t>
  </si>
  <si>
    <r>
      <rPr>
        <sz val="9"/>
        <color rgb="FFFF0000"/>
        <rFont val="宋体"/>
        <charset val="134"/>
      </rPr>
      <t>1.米白色肌理漆（各种颜色），含专用腻子、打磨等</t>
    </r>
    <r>
      <rPr>
        <sz val="9"/>
        <rFont val="宋体"/>
        <charset val="134"/>
      </rPr>
      <t xml:space="preserve">
</t>
    </r>
    <r>
      <rPr>
        <sz val="9"/>
        <color rgb="FFFF0000"/>
        <rFont val="宋体"/>
        <charset val="134"/>
      </rPr>
      <t>2</t>
    </r>
    <r>
      <rPr>
        <sz val="9"/>
        <rFont val="宋体"/>
        <charset val="134"/>
      </rPr>
      <t xml:space="preserve">.阴阳角护角收边
3.3-5mm厚薄抹灰砂浆层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</si>
  <si>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金属踢脚线</t>
  </si>
  <si>
    <t>1.12mm厚阻燃板基层
2.MT01金属（踢脚线）
3.其它说明：满足规范和设计图纸要求</t>
  </si>
  <si>
    <r>
      <rPr>
        <sz val="9"/>
        <rFont val="宋体"/>
        <charset val="134"/>
      </rPr>
      <t>1.9mm石膏板基层
2.12mm厚阻燃板基层，</t>
    </r>
    <r>
      <rPr>
        <sz val="9"/>
        <color rgb="FFFF0000"/>
        <rFont val="宋体"/>
        <charset val="134"/>
      </rPr>
      <t>含专用腻子等</t>
    </r>
    <r>
      <rPr>
        <sz val="9"/>
        <rFont val="宋体"/>
        <charset val="134"/>
      </rPr>
      <t xml:space="preserve">
3.PT05 深橙色肌理漆
4.其它说明：满足规范和设计图纸要求</t>
    </r>
  </si>
  <si>
    <t>走廊</t>
  </si>
  <si>
    <t>木饰面隔墙</t>
  </si>
  <si>
    <t>1.40*40*2镀锌方通骨架
2.12厚阻燃板基层
3.WD-01木饰面
4.作法详见-1F-DT-05节点13
5.其它说明：满足规范和设计图纸要求</t>
  </si>
  <si>
    <t>1.40*40*2镀锌方通骨架
2.12厚阻燃板基层
3.WD-01木饰面
4.作法详见-1F-DT-05节点14
5.其它说明：满足规范和设计图纸要求</t>
  </si>
  <si>
    <t>1.40*40*2镀锌方通骨架
2.12厚阻燃板基层
3.WD-01木饰面
4.作法详见-1F-DT-01节点02b
5.其它说明：满足规范和设计图纸要求</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</si>
  <si>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</si>
  <si>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1.12mm厚阻燃板基层
2.MT01金属（踢脚线）30高
3.其它说明：满足规范和设计图纸要求</t>
  </si>
  <si>
    <t>1.成品电动卷帘
2.电动装置
3.其它说明：满足规范和设计图纸要求</t>
  </si>
  <si>
    <t>木质门</t>
  </si>
  <si>
    <t>1.M-03
2.具体做法详-1F-MB-03
3.其它说明：满足规范和设计图纸要求</t>
  </si>
  <si>
    <t>总台区</t>
  </si>
  <si>
    <t>南立面04/-1F-1E-02</t>
  </si>
  <si>
    <r>
      <rPr>
        <sz val="9"/>
        <color rgb="FFFF0000"/>
        <rFont val="宋体"/>
        <charset val="134"/>
      </rPr>
      <t>1.米白色肌理漆（各种颜色），含专用腻子等</t>
    </r>
    <r>
      <rPr>
        <sz val="9"/>
        <rFont val="宋体"/>
        <charset val="134"/>
      </rPr>
      <t xml:space="preserve">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</si>
  <si>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东立面03/-1F-1E-02</t>
  </si>
  <si>
    <t>1.1:3水泥砂浆找平层
2.12mm厚阻燃板基层
3.WD-01木饰面
4.其它说明：满足规范和设计图纸要求</t>
  </si>
  <si>
    <t>1.30*30木质装饰条
2.详见-1F-DT-04节点10
3.其它说明：满足规范和设计图纸要求</t>
  </si>
  <si>
    <t>1.30*35木质装饰条
2.详见-1F-DT-05节点10
3.其它说明：满足规范和设计图纸要求</t>
  </si>
  <si>
    <t>1.发光字
2.详见-1F-DT-05节点10 
3.其它说明：满足规范和设计图纸要求</t>
  </si>
  <si>
    <t>1.40*40*2镀锌方通骨架
2.12厚阻燃板+12厚埃特板
3.WD-01木饰面+白色乳胶漆
4.作法详见-1F-DT-05节点12
5.其它说明：满足规范和设计图纸要求</t>
  </si>
  <si>
    <t>立邦</t>
  </si>
  <si>
    <t>正立面01/-1F-1E-01</t>
  </si>
  <si>
    <t>1.1:3水泥砂浆找平层
2.9mm厚阻燃夹板基层
3.SP-03毛石饰面板
4.其它说明：满足规范和设计图纸要求</t>
  </si>
  <si>
    <t>1.40*40*2镀锌方通骨架
2.12厚阻燃板基层
3.作法详见-1F-DT-02节点03
4.其它说明：满足规范和设计图纸要求</t>
  </si>
  <si>
    <t>LED显示屏</t>
  </si>
  <si>
    <t>1.LED显示屏
2.参数：P2.5级别
3.其它说明：满足规范和设计图纸要求</t>
  </si>
  <si>
    <t>1.LED显示屏（甲供）
2.参数：P2.5级别 
3.品牌：亮彩
4.其它说明：满足规范和设计图纸要求</t>
  </si>
  <si>
    <t>此项主材为甲供，主材费0，记取其他费用</t>
  </si>
  <si>
    <t>1.40*40*2镀锌方通骨架
2.12厚阻燃板基层
3.WD-01木饰面
4.作法详见-1F-DT-02节点03 
5.其它说明：满足规范和设计图纸要求</t>
  </si>
  <si>
    <t>1.40*40*2镀锌方通骨架
2.12厚阻燃板基层
3.MT01金属饰面
4.作法详见-1F-DT-02节点03 
5.其它说明：满足规范和设计图纸要求</t>
  </si>
  <si>
    <t>沙盘</t>
  </si>
  <si>
    <t>1.LED显示屏
2.LED显示屏金属边
3.其它说明：满足规范和设计图纸要求</t>
  </si>
  <si>
    <t>此项取消招标人另行更换电视机</t>
  </si>
  <si>
    <t>沙盘区造型隔墙</t>
  </si>
  <si>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2.12厚阻燃板基层+9厚石膏板基层，含专用腻子等</t>
    </r>
    <r>
      <rPr>
        <sz val="9"/>
        <rFont val="宋体"/>
        <charset val="134"/>
      </rPr>
      <t xml:space="preserve">
3.PT01 米白色肌理漆
4.作法详见-1F-DT-01节点01、02
5.其它说明：满足规范和设计图纸要求</t>
    </r>
  </si>
  <si>
    <r>
      <rPr>
        <sz val="9"/>
        <rFont val="宋体"/>
        <charset val="134"/>
      </rPr>
      <t>1</t>
    </r>
    <r>
      <rPr>
        <sz val="9"/>
        <color rgb="FFFF0000"/>
        <rFont val="宋体"/>
        <charset val="134"/>
      </rPr>
      <t>.75系列轻钢龙骨，壁厚1.2mm骨架</t>
    </r>
    <r>
      <rPr>
        <sz val="9"/>
        <rFont val="宋体"/>
        <charset val="134"/>
      </rPr>
      <t xml:space="preserve">
</t>
    </r>
    <r>
      <rPr>
        <sz val="9"/>
        <color rgb="FFFF0000"/>
        <rFont val="宋体"/>
        <charset val="134"/>
      </rPr>
      <t>2.12厚阻燃板基层+9厚石膏板，含专用腻子等</t>
    </r>
    <r>
      <rPr>
        <sz val="9"/>
        <rFont val="宋体"/>
        <charset val="134"/>
      </rPr>
      <t xml:space="preserve">
3.PT01 米白色肌理漆
4.作法详见-1F-DT-03节点06，-1F-DT-04节点07
5.其它说明：满足规范和设计图纸要求</t>
    </r>
  </si>
  <si>
    <t>1.LED显示屏
2.参数P2级别
3.其它说明：满足规范和设计图纸要求</t>
  </si>
  <si>
    <t>弧形</t>
  </si>
  <si>
    <t>消火栓隔板</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</si>
  <si>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4.作法详见-1F-DT-01节点2a
5.其它说明：满足规范和设计图纸要求</t>
    </r>
  </si>
  <si>
    <t>科技展示区</t>
  </si>
  <si>
    <r>
      <rPr>
        <sz val="9"/>
        <rFont val="宋体"/>
        <charset val="134"/>
      </rPr>
      <t>1.40*40*2镀锌方通骨架
2.12厚阻燃板基层+9厚石膏板基层
3.MT01金属包台面+PT01 米白色肌理漆+PT05 深橙色肌理漆+SP-01艺术绿植</t>
    </r>
    <r>
      <rPr>
        <sz val="9"/>
        <color rgb="FFFF0000"/>
        <rFont val="宋体"/>
        <charset val="134"/>
      </rPr>
      <t>，含专用腻子等</t>
    </r>
    <r>
      <rPr>
        <sz val="9"/>
        <rFont val="宋体"/>
        <charset val="134"/>
      </rPr>
      <t xml:space="preserve">
4.作法详见-1F-DT-04节点08、09
5.其它说明：满足规范和设计图纸要求</t>
    </r>
  </si>
  <si>
    <t>金属装饰线</t>
  </si>
  <si>
    <t>1.12mm厚阻燃板基层
2.MT01金属30宽
3.其它说明：满足规范和设计图纸要求</t>
  </si>
  <si>
    <t>签约财务室</t>
  </si>
  <si>
    <t>挡板隔墙</t>
  </si>
  <si>
    <t>1.40*40*2镀锌方通骨架
2.12厚阻燃板基层+9厚石膏板基层
3.MT01金属包台面
4.作法详见-1F-DT-08节点21
5.其它说明：满足规范和设计图纸要求</t>
  </si>
  <si>
    <t>柜台顶部</t>
  </si>
  <si>
    <t>1.40*40*2镀锌方通骨架
2.12厚阻燃板/9厚石膏板
3.MT01金属
4.作法详见-1F-DT-09节点22
5.其它说明：满足规范和设计图纸要求</t>
  </si>
  <si>
    <t>柜台</t>
  </si>
  <si>
    <t>1.40*40*2镀锌方通骨架
2.12厚阻燃板/9厚石膏板
3.ST03a石材
4.作法详见-1F-DT-09节点22
5.其它说明：满足规范和设计图纸要求</t>
  </si>
  <si>
    <t>1.尺寸：800*2400
2.门锁及其他五金配件
3.其它说明：满足规范和设计图纸要求</t>
  </si>
  <si>
    <t>1.WD-01木饰面
2.具体做法详见-1F-MB-01
3.其它说明：满足规范和设计图纸要求</t>
  </si>
  <si>
    <t>1.WD-01木饰面
2.具体做法详-1F-MB-01
3.其它说明：满足规范和设计图纸要求</t>
  </si>
  <si>
    <t>VIP室</t>
  </si>
  <si>
    <t>1.双层12厚阻燃板基层
2.WD-01木饰面
3.其它说明：满足规范和设计图纸要求</t>
  </si>
  <si>
    <t>1.双层12厚阻燃板基层
2.UP02硬包
3.其它说明：满足规范和设计图纸要求</t>
  </si>
  <si>
    <t>1.双层12厚阻燃板基层
2.SP-03毛石饰面板
3.其它说明：满足规范和设计图纸要求</t>
  </si>
  <si>
    <t>壁柜</t>
  </si>
  <si>
    <t>1.40*40*2镀锌方通骨架
2. 双层12厚阻燃板基层
3.WD01木饰面
4.作法详见-1F-DT-09节点24
5.其它说明：满足规范和设计图纸要求</t>
  </si>
  <si>
    <t>台面</t>
  </si>
  <si>
    <t>1.40*40*2镀锌方通骨架
2. 双层12厚阻燃板基层
3.MT01金属包台面
4.作法详见-1F-DT-09节点23
5.其它说明：满足规范和设计图纸要求</t>
  </si>
  <si>
    <t>1.M-04
2.具体做法详见门表
3.其它说明：满足规范和设计图纸要求</t>
  </si>
  <si>
    <t>营销休息室/会议室</t>
  </si>
  <si>
    <t>1.喷乳胶漆一道
2.刷乳胶漆一道
3.刷抗碱底漆一道
4.刮白胶腻子找平二遍，打磨
5.阴阳角护角收边
6.3-5mm厚薄抹灰砂浆层
7.界面剂，接缝处网格布处理
8.其它说明：满足规范和设计图纸要求</t>
  </si>
  <si>
    <t>按揭办公室</t>
  </si>
  <si>
    <t>总经理办公室</t>
  </si>
  <si>
    <t>总监办公室</t>
  </si>
  <si>
    <t>储藏室</t>
  </si>
  <si>
    <t>物业储藏室</t>
  </si>
  <si>
    <t>3D影音室</t>
  </si>
  <si>
    <t>1.12mm钢化玻璃，U型玻璃槽钢固定于地面
2.详见-1F-DT-10节点27A
3.其它说明：满足规范和设计图纸要求</t>
  </si>
  <si>
    <r>
      <rPr>
        <sz val="9"/>
        <rFont val="宋体"/>
        <charset val="134"/>
      </rPr>
      <t>1.12厚阻燃板基层
2.9厚石膏板基层，</t>
    </r>
    <r>
      <rPr>
        <sz val="9"/>
        <color rgb="FFFF0000"/>
        <rFont val="宋体"/>
        <charset val="134"/>
      </rPr>
      <t>含专用腻子等</t>
    </r>
    <r>
      <rPr>
        <sz val="9"/>
        <rFont val="宋体"/>
        <charset val="134"/>
      </rPr>
      <t xml:space="preserve">
3.PT-01米白色肌理漆
4.作法详见-1F-DT-01节点02a
5.其它说明：满足规范和设计图纸要求</t>
    </r>
  </si>
  <si>
    <t>投影</t>
  </si>
  <si>
    <t>1.3D影音投影
2.包含投影设备
3.其它说明：满足规范和设计图纸要求</t>
  </si>
  <si>
    <t>套</t>
  </si>
  <si>
    <t>台球室</t>
  </si>
  <si>
    <r>
      <rPr>
        <sz val="9"/>
        <color rgb="FFFF0000"/>
        <rFont val="宋体"/>
        <charset val="134"/>
      </rPr>
      <t>1.米白色肌理漆（各种颜色）</t>
    </r>
    <r>
      <rPr>
        <sz val="9"/>
        <rFont val="宋体"/>
        <charset val="134"/>
      </rPr>
      <t xml:space="preserve">，含专用腻子等
</t>
    </r>
    <r>
      <rPr>
        <sz val="9"/>
        <color rgb="FFFF0000"/>
        <rFont val="宋体"/>
        <charset val="134"/>
      </rPr>
      <t>2</t>
    </r>
    <r>
      <rPr>
        <sz val="9"/>
        <rFont val="宋体"/>
        <charset val="134"/>
      </rPr>
      <t xml:space="preserve">.阴阳角护角收边
</t>
    </r>
    <r>
      <rPr>
        <sz val="9"/>
        <color rgb="FFFF0000"/>
        <rFont val="宋体"/>
        <charset val="134"/>
      </rPr>
      <t>3.</t>
    </r>
    <r>
      <rPr>
        <sz val="9"/>
        <rFont val="宋体"/>
        <charset val="134"/>
      </rPr>
      <t xml:space="preserve">3-5mm厚薄抹灰砂浆层
</t>
    </r>
    <r>
      <rPr>
        <sz val="9"/>
        <color rgb="FFFF0000"/>
        <rFont val="宋体"/>
        <charset val="134"/>
      </rPr>
      <t>4</t>
    </r>
    <r>
      <rPr>
        <sz val="9"/>
        <rFont val="宋体"/>
        <charset val="134"/>
      </rPr>
      <t xml:space="preserve">.界面剂，接缝处网格布处理
</t>
    </r>
    <r>
      <rPr>
        <sz val="9"/>
        <color rgb="FFFF0000"/>
        <rFont val="宋体"/>
        <charset val="134"/>
      </rPr>
      <t>5</t>
    </r>
    <r>
      <rPr>
        <sz val="9"/>
        <rFont val="宋体"/>
        <charset val="134"/>
      </rPr>
      <t>.其它说明：满足规范和设计图纸要求</t>
    </r>
  </si>
  <si>
    <t>木隔断</t>
  </si>
  <si>
    <t>1.M-06
2.具体做法详见-1F-MB-06
3.其它说明：满足规范和设计图纸要求</t>
  </si>
  <si>
    <t>乒乓球室</t>
  </si>
  <si>
    <t>1.M-05
2.具体做法详见-1F-MB-05
3.其它说明：满足规范和设计图纸要求</t>
  </si>
  <si>
    <t>麻将室</t>
  </si>
  <si>
    <t>1.GL01 玻璃隔断
2.详见27/-1F-DT-10
3.其它说明：满足规范和设计图纸要求</t>
  </si>
  <si>
    <t>男更衣室</t>
  </si>
  <si>
    <t>女更衣室</t>
  </si>
  <si>
    <t>1.WD-01木饰面
2.具体做法详见门表
3.其它说明：满足规范和设计图纸要求</t>
  </si>
  <si>
    <t>保洁工作室</t>
  </si>
  <si>
    <t>1.喷乳胶漆一道
2.刷乳胶漆一道
3.刷抗碱底漆一道
4.刮白胶腻子找平二遍，打磨
5.阴阳角护角收边
6.3-5mm厚薄抹灰砂浆层
7.界面剂，接缝处网格布处理
8.其它说明：详见相关设计、要求及规范</t>
  </si>
  <si>
    <t>块料踢脚线</t>
  </si>
  <si>
    <t>1.水泥砂浆找平
2.100高CT02瓷砖踢脚线
3.其它说明：满足规范和设计图纸要求</t>
  </si>
  <si>
    <t>男卫生间</t>
  </si>
  <si>
    <t>块料墙面（卫生间）</t>
  </si>
  <si>
    <t>1.瓷砖填缝剂处理
2.瓷砖(低吸水率硬质砖石需要背覆胶处理)
3.专用瓷砖胶泥粘结层
4.聚氨酯防水层1.5厚（另列项计算）
5.素水泥浆一道(内参建筑胶)
6.1:3水泥砂浆抹灰层
7.界面剂,接缝处网格布处理
8.其它说明：满足规范和设计图纸要求</t>
  </si>
  <si>
    <t>成品隔断</t>
  </si>
  <si>
    <t>1.抗倍特板隔断
2.其它说明：满足规范和设计图纸要求</t>
  </si>
  <si>
    <t>1.40*40*2镀锌方通骨架
2.12厚埃特板基层
3.ST-02石材墙面
4.其它说明：满足规范和设计图纸要求
5.部位：水景区</t>
  </si>
  <si>
    <t>1.40*40*2镀锌方通骨架
2.12厚埃特板基层
3.ST-06石材墙面
4.其它说明：满足规范和设计图纸要求
5.部位：坐便器背部</t>
  </si>
  <si>
    <t>镜面玻璃</t>
  </si>
  <si>
    <t>1.尺寸：1940*600
2.40*40*2镀锌方通骨架
3.12厚埃特板基层
4.MR01镜子
5.MT01金属包边（50宽）
6.其它说明：满足规范和设计图纸要求</t>
  </si>
  <si>
    <t>墙面涂膜防水</t>
  </si>
  <si>
    <t>1.部位：墙面
2.聚氨酯防水层1.5厚
3.其它说明：满足规范和设计图纸要求</t>
  </si>
  <si>
    <t>现场彩绘墙面</t>
  </si>
  <si>
    <t>1.现场预留水泥砂浆找平层
2.刷白色防水乳胶漆
3.其它说明：满足规范和设计图纸要求</t>
  </si>
  <si>
    <t>1.WD-01木饰面
2.具体做法详-1F-MB-02
3.其它说明：满足规范和设计图纸要求</t>
  </si>
  <si>
    <t>1.WD-01木饰面
2.具体做法详见-1F-MB-02
3.其它说明：满足规范和设计图纸要求</t>
  </si>
  <si>
    <t>1.WD-01木饰面（成品木隔断）
2.具体做法详见27/-1F-DT-10
3.其它说明：满足规范和设计图纸要求</t>
  </si>
  <si>
    <t>女卫生间</t>
  </si>
  <si>
    <t>楼梯间</t>
  </si>
  <si>
    <t>1.1:3水泥砂浆找平层
2.12mm厚阻燃夹板
3.WD-01木饰面
4.其它说明：满足规范和设计图纸要求</t>
  </si>
  <si>
    <t>1.1:3水泥砂浆找平层
2.9mm厚阻燃夹板
3.SP-03毛石饰面板
4.其它说明：满足规范和设计图纸要求</t>
  </si>
  <si>
    <t>-1层家具</t>
  </si>
  <si>
    <t>亚克力展示架</t>
  </si>
  <si>
    <t>亚克力置物架</t>
  </si>
  <si>
    <t>1.亚克力置物架
2.其它说明：满足规范和设计图纸要求</t>
  </si>
  <si>
    <t>沙盘底座</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</si>
  <si>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3.PT-04木饰面油红色夯土肌理漆
4.GL-01玻璃
5.MT-01φ10实心金属
6.作法详见-1F-JJ-01
7.其它说明：满足规范和设计图纸要求</t>
    </r>
  </si>
  <si>
    <t>户模平台-1F-JJ-02节点31</t>
  </si>
  <si>
    <t>展台</t>
  </si>
  <si>
    <r>
      <rPr>
        <sz val="9"/>
        <rFont val="宋体"/>
        <charset val="134"/>
      </rPr>
      <t xml:space="preserve">1.40*40*2镀锌方通骨架
</t>
    </r>
    <r>
      <rPr>
        <sz val="9"/>
        <color rgb="FFFF0000"/>
        <rFont val="宋体"/>
        <charset val="134"/>
      </rPr>
      <t>2.12mm厚阻燃板基层，含专用腻子等</t>
    </r>
    <r>
      <rPr>
        <sz val="9"/>
        <rFont val="宋体"/>
        <charset val="134"/>
      </rPr>
      <t xml:space="preserve">
3.MT02-金属面+木饰面油红色夯土肌理漆+木饰面白色油漆
4.GL-01玻璃
5.作法详见-1F-JJ-02节点31
6.其它说明：满足规范和设计图纸要求</t>
    </r>
  </si>
  <si>
    <t>展示台1 -1F-JJ-02节点32</t>
  </si>
  <si>
    <t>1.40*40*2镀锌方通骨架
2.12mm厚阻燃板基层
3.MT02-金属面+木饰面白色油漆
4.GL-01玻璃
5.作法详见-1F-JJ-02节点32
6.其它说明：满足规范和设计图纸要求</t>
  </si>
  <si>
    <t>展示台2 -1F-JJ-04节点33</t>
  </si>
  <si>
    <t>1.40*40*2镀锌方通骨架
2.12mm厚阻燃板基层
3.MT02-金属面+木饰面白色油漆
4.SP02亚克力+GL01玻璃
5.做法详见-1F-JJ-04节点33
6.其它说明：满足规范和设计图纸要求</t>
  </si>
  <si>
    <t>展示台3 34/-1F-JJ-04</t>
  </si>
  <si>
    <t>1.40*40*2镀锌方通骨架
2.12mm厚阻燃板基层
3.MT02-金属面+木饰面白色油漆
4.SP02亚克力+GL01玻璃
5.作法详见-1F-JJ-04节点34
6.其它说明：满足规范和设计图纸要求</t>
  </si>
  <si>
    <r>
      <rPr>
        <sz val="9"/>
        <rFont val="宋体"/>
        <charset val="134"/>
      </rPr>
      <t>1.40*40*2镀锌方通骨架
2.12mm厚阻燃板基层，</t>
    </r>
    <r>
      <rPr>
        <sz val="9"/>
        <color rgb="FFFF0000"/>
        <rFont val="宋体"/>
        <charset val="134"/>
      </rPr>
      <t>含专用腻子等</t>
    </r>
    <r>
      <rPr>
        <sz val="9"/>
        <rFont val="宋体"/>
        <charset val="134"/>
      </rPr>
      <t xml:space="preserve">
3.MT02-金属面+WD-01木饰面+</t>
    </r>
    <r>
      <rPr>
        <sz val="9"/>
        <color rgb="FFFF0000"/>
        <rFont val="宋体"/>
        <charset val="134"/>
      </rPr>
      <t>肌理漆</t>
    </r>
    <r>
      <rPr>
        <sz val="9"/>
        <rFont val="宋体"/>
        <charset val="134"/>
      </rPr>
      <t>+WD-01实木
4.SP02亚克力+GL01玻璃
5.作法详见-1F-JJ-05、-1F-JJ-06
6.其它说明：满足规范和设计图纸要求</t>
    </r>
  </si>
  <si>
    <r>
      <rPr>
        <sz val="9"/>
        <color rgb="FFFF0000"/>
        <rFont val="宋体"/>
        <charset val="134"/>
      </rPr>
      <t>1.白色乳胶漆天棚（各种颜色）
2.部位：储藏室、总监办公室、经理办公室、按揭办公室、休息室、会议室、男、女更衣室</t>
    </r>
    <r>
      <rPr>
        <sz val="9"/>
        <rFont val="宋体"/>
        <charset val="134"/>
      </rPr>
      <t xml:space="preserve">
3.膨胀螺栓,10钢筋吊杆,双向吊点,900~1200
4.轻钢主龙骨(金属吊件连接)
5.轻钢次龙骨、收边轻钢龙骨(专用连接挂件)</t>
    </r>
    <r>
      <rPr>
        <sz val="9"/>
        <color rgb="FFFF0000"/>
        <rFont val="宋体"/>
        <charset val="134"/>
      </rPr>
      <t>转换层可以取消，采用反支撑</t>
    </r>
    <r>
      <rPr>
        <sz val="9"/>
        <rFont val="宋体"/>
        <charset val="134"/>
      </rPr>
      <t xml:space="preserve">
6.12mm阻燃板基层+9.5mm厚石膏板基层
7.钉眼防锈处理,石膏板接缝处理,阴、阳角护角收边
8.刮白胶腻子找平二遍、打磨
9.刷抗碱度漆一道
10.刷乳胶漆一道
11.喷乳胶漆一道
12.含风口、灯孔等
13.作法详见-1F-TH-04节点05、11
14.其它说明：满足规范和设计图纸要求</t>
    </r>
  </si>
  <si>
    <t>新加项</t>
  </si>
  <si>
    <r>
      <rPr>
        <sz val="9"/>
        <rFont val="宋体"/>
        <charset val="134"/>
      </rPr>
      <t>1.米白色防水乳胶漆吊顶</t>
    </r>
    <r>
      <rPr>
        <sz val="9"/>
        <color rgb="FFFF0000"/>
        <rFont val="宋体"/>
        <charset val="134"/>
      </rPr>
      <t>（各种颜色）</t>
    </r>
    <r>
      <rPr>
        <sz val="9"/>
        <rFont val="宋体"/>
        <charset val="134"/>
      </rPr>
      <t xml:space="preserve">
2.部位：保洁室
3.膨胀螺栓,10钢筋吊杆,双向吊点,900~1200
4.轻钢主龙骨(金属吊件连接)
5.轻钢次龙骨、收边轻钢龙骨(专用连接挂件)
6.9.5mm厚防水石膏板基层+12mm阻燃板基层
7.钉眼防锈处理,石膏板接缝处理,阴、阳角护角收边
8.刮白胶腻子找平二遍、打磨
9.刷抗碱度漆一道
10.刷乳胶漆一道
11.喷乳胶漆一道
12.含风口、灯孔等
13.作法详见-1F-TH-04节点12
14.其它说明：满足规范和设计图纸要求</t>
    </r>
  </si>
  <si>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</si>
  <si>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</si>
  <si>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t>工程名称：河南省洛阳市浩德地产伊河湾营销中心装饰工程--安装工程</t>
  </si>
  <si>
    <t>强电</t>
  </si>
  <si>
    <t>配电箱</t>
  </si>
  <si>
    <t>1.名称:售楼部照明配电箱
2.型号、规格:ZAL1-10#
3.安装方式:暗装,H+1.6m
4.含无端子接线</t>
  </si>
  <si>
    <t>台</t>
  </si>
  <si>
    <t>1.名称:售楼部总配电箱
2.型号、规格:ZAP-10#
3.安装方式:明装,H+1.1m
4.其它说明：满足规范和设计图纸要求</t>
  </si>
  <si>
    <t>桥架</t>
  </si>
  <si>
    <t>1.名称:强电线槽
2.规格:100x50
3.安装位置:室内
4.其它说明：满足规范和设计图纸要求</t>
  </si>
  <si>
    <t>1.名称:强电线槽
2.规格:150x100
3.安装位置:室内
4.其它说明：满足规范和设计图纸要求</t>
  </si>
  <si>
    <t>1.名称:强电线槽
2.规格:250x100
3.安装位置:室内
4.其它说明：满足规范和设计图纸要求</t>
  </si>
  <si>
    <t>1.名称:强电线槽
2.规格:300x150
3.安装位置:室内
4.其它说明：满足规范和设计图纸要求</t>
  </si>
  <si>
    <t>铁构件</t>
  </si>
  <si>
    <t>1.名称:桥架支架
2.材质、规格及除锈刷漆要求:详见图纸设计
3.安装部位:室内
4.其它说明：满足规范和设计图纸要求</t>
  </si>
  <si>
    <t>kg</t>
  </si>
  <si>
    <t>配管</t>
  </si>
  <si>
    <t>1.名称:电气配管
2.规格:JDG20
3.配置形式:吊顶内明敷
4.其它说明：满足规范和设计图纸要求</t>
  </si>
  <si>
    <t>郑州三厂</t>
  </si>
  <si>
    <t>1.名称:电气配管
2.规格:JDG20
3.配置形式:暗敷
4.其它说明：满足规范和设计图纸要求</t>
  </si>
  <si>
    <t>1.名称:电气配管
2.规格:JDG25
3.配置形式:吊顶内明敷
4.其它说明：满足规范和设计图纸要求</t>
  </si>
  <si>
    <t>1.名称:电气配管
2.规格:JDG25
3.配置形式:暗敷
4.其它说明：满足规范和设计图纸要求</t>
  </si>
  <si>
    <t>电力电缆</t>
  </si>
  <si>
    <t>1.名称:电力电缆
2.规格:WDZR-YJY-4X35+1X16
3.敷设方式、部位:综合考虑
4.其它说明：满足规范和设计图纸要求</t>
  </si>
  <si>
    <t>电力电缆头</t>
  </si>
  <si>
    <t>1.名称:电力电缆终端头
2.规格:五芯35mm2
3.材质、类型:铜芯
4.安装部位:室内
5.其它说明：满足规范和设计图纸要求</t>
  </si>
  <si>
    <t>配线</t>
  </si>
  <si>
    <t>1.名称:铜芯导线
2.规格、型号:WDZ-BYJ-1.0
3.敷设方式:穿管敷设
4.其它说明：满足规范和设计图纸要求</t>
  </si>
  <si>
    <t>1.名称:铜芯导线
2.规格、型号:WDZ-BYJ-2.5
3.敷设方式:穿管敷设
4.其它说明：满足规范和设计图纸要求</t>
  </si>
  <si>
    <t>1.名称:铜芯导线
2.规格、型号:WDZ-BYJ-2.5
3.敷设方式:桥架内敷设
4.其它说明：满足规范和设计图纸要求</t>
  </si>
  <si>
    <t>1.名称:铜芯导线
2.规格、型号:WDZ-BYJ-4
3.敷设方式:穿管敷设
4.其它说明：满足规范和设计图纸要求</t>
  </si>
  <si>
    <t>1.名称:铜芯导线
2.规格、型号:WDZ-BYJ-4
3.敷设方式:桥架内敷设
4.其它说明：满足规范和设计图纸要求</t>
  </si>
  <si>
    <t>装饰灯</t>
  </si>
  <si>
    <t>1.名称:石英圆形射灯
2.规格:详见图纸
3.安装方式:吸顶
4.其它说明：满足规范和设计图纸要求</t>
  </si>
  <si>
    <t>雷士或星发现</t>
  </si>
  <si>
    <t>1.名称:筒灯
2.规格:详见图纸
3.安装方式:嵌入式
4.其它说明：满足规范和设计图纸要求</t>
  </si>
  <si>
    <t>1.名称:艺术壁灯
2.规格:详见图纸
3.安装方式:壁装
4.其它说明：满足规范和设计图纸要求</t>
  </si>
  <si>
    <t>属于软装不报价格</t>
  </si>
  <si>
    <t>1.名称:LED灯带
2.规格:详见图纸
3.安装方式:天棚内
4.其它说明：满足规范和设计图纸要求</t>
  </si>
  <si>
    <t>1.名称:艺术吊灯1
2.规格:详见图纸
3.安装方式:吊装
4.其它说明：满足规范和设计图纸要求</t>
  </si>
  <si>
    <t>1.名称:艺术吊灯2
2.规格:详见图纸
3.安装方式:吊装
4.其它说明：满足规范和设计图纸要求</t>
  </si>
  <si>
    <t>照明开关</t>
  </si>
  <si>
    <t>1.名称:一位面板开关
2.规格:250V/10A
3.安装方式:暗装</t>
  </si>
  <si>
    <t>罗格朗</t>
  </si>
  <si>
    <t>1.名称:二位面板开关
2.规格:250V/10A
3.安装方式:暗装</t>
  </si>
  <si>
    <t>1.名称:三位面板开关
2.规格:250V/10A
3.安装方式:暗装</t>
  </si>
  <si>
    <t>1.名称:四位面板开关
2.规格:250V/10A
3.安装方式:暗装</t>
  </si>
  <si>
    <t>控制开关</t>
  </si>
  <si>
    <t>1.名称:温控开关
2.规格:250V/10A
3.安装方式:暗装</t>
  </si>
  <si>
    <t>插座</t>
  </si>
  <si>
    <t>1.名称：单相二、三极插座
2.规格：250V 10A
3.安装方式：暗装</t>
  </si>
  <si>
    <t>1.名称：单相二、三极地面插座
2.规格：250V 10A
3.安装方式：地面暗装</t>
  </si>
  <si>
    <t>1.名称：含开关防溅插座
2.规格：250V 10A
3.安装方式：暗装</t>
  </si>
  <si>
    <t>接线盒</t>
  </si>
  <si>
    <t>1.名称:开关（插座）盒
2.材质:详见图纸
3.安装形式:暗装</t>
  </si>
  <si>
    <t>1.名称:接线盒
2.材质:详见图纸
3.安装形式:暗装</t>
  </si>
  <si>
    <t>送配电装置系统</t>
  </si>
  <si>
    <t>1.名称:送配电装置系统调试</t>
  </si>
  <si>
    <t>系统</t>
  </si>
  <si>
    <t>弱电</t>
  </si>
  <si>
    <t>1.名称:弱电线槽
2.规格:(100+100)x100
3.安装位置:室内
4.其它说明：满足规范和设计图纸要求</t>
  </si>
  <si>
    <t>1.名称:弱电线槽
2.规格:(75+75)x100
3.安装位置:室内
4.其它说明：满足规范和设计图纸要求</t>
  </si>
  <si>
    <t>1.名称:多芯软导线
2.规格、型号:HYV-4x0.5
3.敷设方式:穿管敷设
4.其它说明：满足规范和设计图纸要求</t>
  </si>
  <si>
    <t>1.名称:多芯软导线
2.规格、型号:HYV-4x0.5
3.敷设方式:桥架内敷设
4.其它说明：满足规范和设计图纸要求</t>
  </si>
  <si>
    <t>1.名称:多芯软导线
2.规格、型号:RVV-2x0.75
3.敷设方式:穿管敷设
4.其它说明：满足规范和设计图纸要求</t>
  </si>
  <si>
    <t>1.名称:多芯软导线
2.规格、型号:RVV-2x1.5
3.敷设方式:穿管敷设
4.其它说明：满足规范和设计图纸要求</t>
  </si>
  <si>
    <t>1.名称:多芯软导线
2.规格、型号:RVV-3x1.5
3.敷设方式:桥架内敷设
4.其它说明：满足规范和设计图纸要求</t>
  </si>
  <si>
    <t>1.名称:多芯软导线
2.规格、型号:RVV-4x0.75
3.敷设方式:穿管敷设
4.其它说明：满足规范和设计图纸要求</t>
  </si>
  <si>
    <t>1.名称:多芯软导线
2.规格、型号:RVV-6x0.5
3.敷设方式:穿管敷设
4.其它说明：满足规范和设计图纸要求</t>
  </si>
  <si>
    <t>双绞线缆</t>
  </si>
  <si>
    <t>1.名称:双绞线缆
2.规格:UTP-CAT6
3.敷设方式:穿管敷设
4.其它说明：满足规范和设计图纸要求</t>
  </si>
  <si>
    <t>1.名称:双绞线缆
2.规格:UTP-CAT6
3.敷设方式:桥架内敷设
4.其它说明：满足规范和设计图纸要求</t>
  </si>
  <si>
    <t>机柜、机架</t>
  </si>
  <si>
    <t>1.名称:弱电机柜
2.规格:详见图纸
3.其它说明：满足规范和设计图纸要求</t>
  </si>
  <si>
    <t>背景音乐系统设备</t>
  </si>
  <si>
    <t>1.名称:背景音乐主机
2.规格:详见图纸
3.其它说明：满足规范和设计图纸要求</t>
  </si>
  <si>
    <t>扩声系统设备</t>
  </si>
  <si>
    <t>1.名称:背景音乐
2.规格:详见图纸
3.安装方式:天花安装
4.其它说明：满足规范和设计图纸要求</t>
  </si>
  <si>
    <t>1.名称:音量控制器
2.安装方式:暗装
3.其它说明：满足规范和设计图纸要求</t>
  </si>
  <si>
    <t>电视、电话插座</t>
  </si>
  <si>
    <t>1.名称:一位电视插座
2.安装方式:暗装
3.其它说明：满足规范和设计图纸要求</t>
  </si>
  <si>
    <t>1.名称:一位网络+电话插座
2.安装方式:暗装
3.其它说明：满足规范和设计图纸要求</t>
  </si>
  <si>
    <t>信息插座</t>
  </si>
  <si>
    <t>1.名称:一位网络插座
2.安装方式:暗装
3.其它说明：满足规范和设计图纸要求</t>
  </si>
  <si>
    <t>监控摄像设备</t>
  </si>
  <si>
    <t>1.名称:半球摄像机
2.安装方式:天花安装
3.其它说明：满足规范和设计图纸要求</t>
  </si>
  <si>
    <t>路由器</t>
  </si>
  <si>
    <t>1.名称:无线AP
2.安装方式:天花安装
3.其它说明：满足规范和设计图纸要求</t>
  </si>
  <si>
    <t>出入口目标识别设备</t>
  </si>
  <si>
    <t>1.名称:门禁读卡器
2.规格:详见图纸</t>
  </si>
  <si>
    <t>1.名称:开门按钮
2.规格:详见图纸</t>
  </si>
  <si>
    <t>出入口控制设备</t>
  </si>
  <si>
    <t>1.名称:门禁控制器
2.规格:详见图纸</t>
  </si>
  <si>
    <t>出入口执行机构设备</t>
  </si>
  <si>
    <t>1.名称:门禁锁
2.规格:详见图纸</t>
  </si>
  <si>
    <t>给排水</t>
  </si>
  <si>
    <t>洗脸盆</t>
  </si>
  <si>
    <t>1.名称:台式洗脸盆
2.组装形式:成套
3.附件名称、数量:含五金配件
4.安装后需满足使用要求
5.其它说明：满足规范和设计图纸要求</t>
  </si>
  <si>
    <t>组</t>
  </si>
  <si>
    <t>TOTO</t>
  </si>
  <si>
    <t>大便器</t>
  </si>
  <si>
    <t>1.名称:坐式大便器
2.组装形式:成套
3.附件名称、数量:含五金配件
4.安装后需满足使用要求
5.其它说明：满足规范和设计图纸要求</t>
  </si>
  <si>
    <t>小便器</t>
  </si>
  <si>
    <t>1.名称:小便器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</si>
  <si>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</si>
  <si>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</si>
  <si>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给、排水附(配)件</t>
  </si>
  <si>
    <t>1.名称:地漏
2.型号、规格:De63</t>
  </si>
  <si>
    <t>1.名称:地面清扫口
2.型号、规格:De90</t>
  </si>
  <si>
    <t>塑料管</t>
  </si>
  <si>
    <t>1.安装部位:室内
2.介质:污水
3.材质、规格:UPVC排水管De63
4.连接形式:粘接连接</t>
  </si>
  <si>
    <t>1.安装部位:室内
2.介质:污水
3.材质、规格:UPVC排水管De90
4.连接形式:粘接连接</t>
  </si>
  <si>
    <t>1.安装部位:室内
2.介质:污水
3.材质、规格:UPVC排水管De110
4.连接形式:粘接连接</t>
  </si>
  <si>
    <t>1.安装部位:室内
2.介质:给水
3.材质、规格:PP-R管De20
4.连接形式:热熔连接
5.压力试验及吹、洗设计要求:满足设计要求</t>
  </si>
  <si>
    <t>1.安装部位:室内
2.介质:给水
3.材质、规格:PP-R管De25
4.连接形式:热熔连接
5.压力试验及吹、洗设计要求:满足设计要求</t>
  </si>
  <si>
    <t>1.安装部位:室内
2.介质:给水
3.材质、规格:PP-R管De32
4.连接形式:热熔连接
5.压力试验及吹、洗设计要求:满足设计要求</t>
  </si>
  <si>
    <t>1.安装部位:室内
2.介质:给水
3.材质、规格:PP-R管De50
4.连接形式:热熔连接
5.压力试验及吹、洗设计要求:满足设计要求</t>
  </si>
  <si>
    <t>螺纹阀门</t>
  </si>
  <si>
    <t>1.名称:铜球阀
2.规格、压力等级:DN25
3.连接形式:螺纹连接</t>
  </si>
  <si>
    <t>1.名称:铜球阀
2.规格、压力等级:DN40
3.连接形式:螺纹连接</t>
  </si>
  <si>
    <t>通风空调</t>
  </si>
  <si>
    <t>小电器</t>
  </si>
  <si>
    <t>1.名称：BLD-1200
2.规格型号：Q=1200m3/h，P=115Pa， N=70W
3.备注：PQ-1，带止回装置
4.其它说明：满足规范和设计图纸要求</t>
  </si>
  <si>
    <t>防火玻璃挡烟垂壁</t>
  </si>
  <si>
    <t>1.名称:防火玻璃挡烟垂壁
2.安装方式:底距地3.0m
3.其它说明：满足规范和设计图纸要求</t>
  </si>
  <si>
    <t>空调器</t>
  </si>
  <si>
    <t>1.名称:室内机标准型薄型风管机 KF系列
2.型号、规格:HVR-71KF/G2FZBp 制冷量:7.1KW,制热量:8KW 输入功率:0.12KW
3.外形尺寸：1180x447x192
3.其它说明：满足规范和设计图纸要求</t>
  </si>
  <si>
    <t>海信</t>
  </si>
  <si>
    <t>1.名称:室内机标准型薄型风管机 KF系列
2.型号、规格:HVR-63KF/G2FZBp 制冷量:6.3KW,制热量:7.1KW 输入功率:0.12KW
3.外形尺寸：1180x447x192
4.其它说明：满足规范和设计图纸要求</t>
  </si>
  <si>
    <t>1.名称:室内机标准型薄型风管机 KF系列
2.型号、规格:HVR-50KF/G2FZBp 制冷量:5KW,制热量:5.6KW 输入功率:0.08KW
3.外形尺寸：910x447x192
4.其它说明：满足规范和设计图纸要求</t>
  </si>
  <si>
    <t>1.名称:室内机标准型薄型风管机 KF系列
2.型号、规格:HVR-45KF/G2FZBp 制冷量:4.5KW,制热量:5KW 输入功率:0.08KW
3.外形尺寸：910x447x192
4.其它说明：满足规范和设计图纸要求</t>
  </si>
  <si>
    <t>1.名称:室内机标准型薄型风管机 KF系列
2.型号、规格:HVR-40KF/G2FZBp 制冷量:4KW,制热量:4.5KW 输入功率:0.08KW
3.外形尺寸：910x447x192
4.其它说明：满足规范和设计图纸要求</t>
  </si>
  <si>
    <t>1.名称:室内机标准型薄型风管机 KF系列
2.型号、规格:HVR-32KF/G2FZBp 制冷量:3.2KW,制热量:3.6KW 输入功率:0.07KW
3.外形尺寸：700x447x192
4.其它说明：满足规范和设计图纸要求</t>
  </si>
  <si>
    <t>1.名称:室内机标准型薄型风管机 KF系列
2.型号、规格:HVR-28KF/G2FZBp 制冷量:2.8KW,制热量:3.2KW 输入功率:0.07KW
3.外形尺寸：700x447x192
4.其它说明：满足规范和设计图纸要求</t>
  </si>
  <si>
    <t>1.名称:室内机标准型薄型风管机 KF系列
2.型号、规格:HVR-25KF/G2FZBp 制冷量:2.5KW,制热量:2.8KW 输入功率:0.05KW
3.外形尺寸：700x447x192
4.其它说明：满足规范和设计图纸要求</t>
  </si>
  <si>
    <t>1.名称:室内机标准型薄型风管机 KF系列
2.型号、规格:HVR-22KF/G2FZBp 制冷量:2.2KW,制热量:2.5KW 输入功率:0.05KW
3.外形尺寸：700x447x192
4.其它说明：满足规范和设计图纸要求</t>
  </si>
  <si>
    <t>1.名称:室内机低静压风管机 F系列
2.型号、规格:HVR-36F/G2FZBp 制冷量:3.6KW,制热量:4KW 输入功率:0.11KW
3.外形尺寸：720x650x270
4.其它说明：满足规范和设计图纸要求</t>
  </si>
  <si>
    <t>1.名称:室内机低静压风管机 F系列
2.型号、规格:HVR-160F/G2FZBp 制冷量:2.216KW,制热量:18KW 输入功率:0.36KW
3.外形尺寸：800x1400x300
4.其它说明：满足规范和设计图纸要求</t>
  </si>
  <si>
    <t>复合型风管</t>
  </si>
  <si>
    <t>1.名称:空调管道
2.材质:GK-Ⅱ节能不燃型玻镁复合风管（含保温层）
3.形状:矩形
4.规格:长边长≤2000mm
5.板材厚度:δ=0.5mm
6.其它说明：满足规范和设计图纸要求</t>
  </si>
  <si>
    <t>1.名称:空调管道
2.材质:GK-Ⅱ节能不燃型玻镁复合风管（含保温层）
3.形状:矩形
4.规格:长边长≤1000mm
5.板材厚度:δ=0.5mm
6.其它说明：满足规范和设计图纸要求</t>
  </si>
  <si>
    <t>1.名称:空调管道
2.材质:GK-Ⅱ节能不燃型玻镁复合风管（含保温层）
3.形状:矩形
4.规格:长边长≤600mm
5.板材厚度:δ=0.5mm
6.其它说明：满足规范和设计图纸要求</t>
  </si>
  <si>
    <t>弯头导流叶片</t>
  </si>
  <si>
    <t>1.名称:风管软接头
2.其它说明：满足规范和设计图纸要求</t>
  </si>
  <si>
    <t>铜管</t>
  </si>
  <si>
    <t>1.安装部位:室内
2.介质:空调水
3.材质、规格:铜管φ41.3
4.连接形式:氧乙炔焊
5.含氮气置换
6.其它说明：满足规范和设计图纸要求</t>
  </si>
  <si>
    <t>金龙/华美</t>
  </si>
  <si>
    <t>1.安装部位:室内
2.介质:空调水
3.材质、规格:铜管φ38.1
4.连接形式:氧乙炔焊
5.含氮气置换
6.其它说明：满足规范和设计图纸要求</t>
  </si>
  <si>
    <t>1.安装部位:室内
2.介质:空调水
3.材质、规格:铜管φ31.75
4.连接形式:氧乙炔焊
5.含氮气置换
6.其它说明：满足规范和设计图纸要求</t>
  </si>
  <si>
    <t>1.安装部位:室内
2.介质:空调水
3.材质、规格:铜管φ28.6
4.连接形式:氧乙炔焊
5.含氮气置换
6.其它说明：满足规范和设计图纸要求</t>
  </si>
  <si>
    <t>1.安装部位:室内
2.介质:空调水
3.材质、规格:铜管φ25.4
4.连接形式:氧乙炔焊
5.含氮气置换
6.其它说明：满足规范和设计图纸要求</t>
  </si>
  <si>
    <t>1.安装部位:室内
2.介质:空调水
3.材质、规格:铜管φ22.2
4.连接形式:氧乙炔焊
5.含氮气置换
6.其它说明：满足规范和设计图纸要求</t>
  </si>
  <si>
    <t>1.安装部位:室内
2.介质:空调水
3.材质、规格:铜管φ19.05
4.连接形式:氧乙炔焊
5.含氮气置换
6.其它说明：满足规范和设计图纸要求</t>
  </si>
  <si>
    <t>1.安装部位:室内
2.介质:空调水
3.材质、规格:铜管φ15.88
4.连接形式:氧乙炔焊
5.含氮气置换
6.其它说明：满足规范和设计图纸要求</t>
  </si>
  <si>
    <t>1.安装部位:室内
2.介质:空调水
3.材质、规格:铜管φ12.7
4.连接形式:氧乙炔焊
5.含氮气置换
6.其它说明：满足规范和设计图纸要求</t>
  </si>
  <si>
    <t>1.安装部位:室内
2.介质:空调水
3.材质、规格:铜管φ9.53
4.连接形式:氧乙炔焊
5.含氮气置换
6.其它说明：满足规范和设计图纸要求</t>
  </si>
  <si>
    <t>1.安装部位:室内
2.介质:空调冷凝水
3.材质、规格:硬聚氯乙稀管PVC-U De63
4.连接形式:粘接连接
5.含成品管卡
6.其它说明：满足规范和设计图纸要求</t>
  </si>
  <si>
    <t>1.安装部位:室内
2.介质:空调冷凝水
3.材质、规格:硬聚氯乙稀管PVC-U De32
4.连接形式:粘接连接
5.含成品管卡
6.其它说明：满足规范和设计图纸要求</t>
  </si>
  <si>
    <t>铜管管件</t>
  </si>
  <si>
    <t>1.名称：分歧管
2.规格：41.3*41.3*28.6
3.介质：冷剂管
4.其它说明：满足规范和设计图纸要求</t>
  </si>
  <si>
    <t>1.名称：分歧管
2.规格：41.3*38.1*31.75
3.介质：冷剂管
4.其它说明：满足规范和设计图纸要求</t>
  </si>
  <si>
    <t>1.名称：分歧管
2.规格：41.3*28.6*15.88
3.介质：冷剂管
4.其它说明：满足规范和设计图纸要求</t>
  </si>
  <si>
    <t>1.名称：分歧管
2.规格：38.1*31.75*15.88
3.介质：冷剂管
4.其它说明：满足规范和设计图纸要求</t>
  </si>
  <si>
    <t>1.名称：分歧管
2.规格：31.75*31.75*15.88
3.介质：冷剂管
4.其它说明：满足规范和设计图纸要求</t>
  </si>
  <si>
    <t>1.名称：分歧管
2.规格：31.75*28.6*15.88
3.介质：冷剂管
4.其它说明：满足规范和设计图纸要求</t>
  </si>
  <si>
    <t>1.名称：分歧管
2.规格：28.6*28.6*15.88
3.介质：冷剂管
4.其它说明：满足规范和设计图纸要求</t>
  </si>
  <si>
    <t>1.名称：分歧管
2.规格：28.6*25.4*15.88
3.介质：冷剂管
4.其它说明：满足规范和设计图纸要求</t>
  </si>
  <si>
    <t>1.名称：分歧管
2.规格：25.4*19.05*15.88
3.介质：冷剂管
4.其它说明：满足规范和设计图纸要求</t>
  </si>
  <si>
    <t>1.名称：分歧管
2.规格：25.4*15.88*15.88
3.介质：冷剂管
4.其它说明：满足规范和设计图纸要求</t>
  </si>
  <si>
    <t>1.名称：分歧管
2.规格：22.2*22.2*19.05
3.介质：冷剂管
4.其它说明：满足规范和设计图纸要求</t>
  </si>
  <si>
    <t>1.名称：分歧管
2.规格：22.2*22.2*15.88
3.介质：冷剂管
4.其它说明：满足规范和设计图纸要求</t>
  </si>
  <si>
    <t>1.名称：分歧管
2.规格：22.2*19.05*9.53
3.介质：冷剂管
4.其它说明：满足规范和设计图纸要求</t>
  </si>
  <si>
    <t>1.名称：分歧管
2.规格：22.2*15.88*9.53
3.介质：冷剂管
4.其它说明：满足规范和设计图纸要求</t>
  </si>
  <si>
    <t>1.名称：分歧管
2.规格：19.05*19.05*9.53
3.介质：冷剂管
4.其它说明：满足规范和设计图纸要求</t>
  </si>
  <si>
    <t>1.名称：分歧管
2.规格：19.05*19.05*15.88
3.介质：冷剂管
4.其它说明：满足规范和设计图纸要求</t>
  </si>
  <si>
    <t>1.名称：分歧管
2.规格：19.05*15.88*9.53
3.介质：冷剂管
4.其它说明：满足规范和设计图纸要求</t>
  </si>
  <si>
    <t>1.名称：分歧管
2.规格：19.05*15.88*15.88
3.介质：冷剂管
4.其它说明：满足规范和设计图纸要求</t>
  </si>
  <si>
    <t>1.名称：分歧管
2.规格：15.88*15.88*9.53
3.介质：冷剂管
4.其它说明：满足规范和设计图纸要求</t>
  </si>
  <si>
    <t>1.名称：分歧管
2.规格：15.88*12.7*9.53
3.介质：冷剂管
4.其它说明：满足规范和设计图纸要求</t>
  </si>
  <si>
    <t>1.名称：分歧管
2.规格：12.7*12.7*9.53
3.介质：冷剂管
4.其它说明：满足规范和设计图纸要求</t>
  </si>
  <si>
    <t>1.名称：分歧管
2.规格：12.7*9.53*9.53
3.介质：冷剂管
4.其它说明：满足规范和设计图纸要求</t>
  </si>
  <si>
    <t>管道绝热</t>
  </si>
  <si>
    <t>1.绝热材料品种：闭孔带铝箔难燃B1级橡塑管壳
2.绝热厚度：10mm
3.其它说明：满足规范和设计图纸要求</t>
  </si>
  <si>
    <t>m3</t>
  </si>
  <si>
    <t>1.绝热材料品种：闭孔柔性泡沫难燃B1级橡塑管壳
2.绝热厚度：32mm
3.其它说明：满足规范和设计图纸要求</t>
  </si>
  <si>
    <t>通风工程检测、调试</t>
  </si>
  <si>
    <t>1.空调工程系统调试</t>
  </si>
  <si>
    <t>1.名称:一层售楼部照明配电箱
2.型号、规格:1AL1
3.安装方式:暗装,H+1.8m
4.含无端子接线</t>
  </si>
  <si>
    <t>1.名称:售楼部空调外机配电箱
2.型号、规格:AP-KT
3.安装方式:明装,支架安装
4.其它说明：满足规范和设计图纸要求</t>
  </si>
  <si>
    <t>1.名称:售楼部电梯电源箱
2.型号、规格:DTAT
3.安装方式:暗装,顶距地2.0m
4.其它说明：满足规范和设计图纸要求</t>
  </si>
  <si>
    <t>1.名称:电气配管
2.规格:焊接钢管 SC40
3.配置形式:明敷
4.其它说明：满足规范和设计图纸要求</t>
  </si>
  <si>
    <t>1.名称:电气配管
2.规格:焊接钢管 SC50
3.配置形式:明敷
4.其它说明：满足规范和设计图纸要求</t>
  </si>
  <si>
    <t>1.名称:电气配管
2.规格:焊接钢管 SC100
3.配置形式:明敷
4.其它说明：满足规范和设计图纸要求</t>
  </si>
  <si>
    <t>1.名称:电力电缆
2.规格:WDZR-YJY-5X10
3.敷设方式、部位:综合考虑
4.其它说明：满足规范和设计图纸要求</t>
  </si>
  <si>
    <t>1.名称:电力电缆
2.规格:WDZR-YJY-5X16
3.敷设方式、部位:综合考虑
4.其它说明：满足规范和设计图纸要求</t>
  </si>
  <si>
    <t>1.名称:电力电缆
2.规格:WDZR-YJY-4X95+1X50
3.敷设方式、部位:综合考虑
4.其它说明：满足规范和设计图纸要求</t>
  </si>
  <si>
    <t>1.名称:电力电缆终端头
2.规格:五芯10mm2
3.材质、类型:铜芯
4.安装部位:室内
5.其它说明：满足规范和设计图纸要求</t>
  </si>
  <si>
    <t>1.名称:电力电缆终端头
2.规格:五芯16mm2
3.材质、类型:铜芯
4.安装部位:室内
5.其它说明：满足规范和设计图纸要求</t>
  </si>
  <si>
    <t>1.名称:电力电缆终端头
2.规格:五芯95mm2
3.材质、类型:铜芯
4.安装部位:室内
5.其它说明：满足规范和设计图纸要求</t>
  </si>
  <si>
    <t>1.名称:双头射灯
2.规格:详见图纸
3.安装方式:吸顶
4.其它说明：满足规范和设计图纸要求</t>
  </si>
  <si>
    <t>1.名称:LED灯带
2.规格:详见图纸
3.安装方式:天棚内 
4.其它说明：满足规范和设计图纸要求</t>
  </si>
  <si>
    <t>1.名称:电动窗帘控制面板
2.规格:250V/10A
3.安装方式:暗装</t>
  </si>
  <si>
    <t>1.名称:空调控制开关
2.规格:250V/10A
3.安装方式:暗装</t>
  </si>
  <si>
    <t>1.名称:空调室外机HVR-1535W/SM2FZBph
2.外形尺寸:3200x750x1730
3.型号、规格:制冷量:153.5KW,制热量:172.5KW， 重量783kg
4.安装形式:落地安装
5.其它说明：满足规范和设计图纸要求</t>
  </si>
  <si>
    <t>1.名称:空调室外机HVR-800W/SM2FZBph
2.外形尺寸:3200x750x1730
3.型号、规格:制冷量:80KW,制热量:90KW， 重量392kg
4.安装形式:落地安装
5.其它说明：满足规范和设计图纸要求</t>
  </si>
  <si>
    <t>1.名称:空调室外机HVR-615W/SM2FZBph
2.外形尺寸:3200x750x1730
3.型号、规格:制冷量:61.5KW,制热量:69KW， 重量363kg
4.安装形式:落地安装
5.其它说明：满足规范和设计图纸要求</t>
  </si>
  <si>
    <t>1.安装部位:室内
2.介质:空调冷凝水
3.材质、规格:硬聚氯乙稀管PVC-U De40
4.连接形式:粘接连接
5.含成品管卡
6.其它说明：满足规范和设计图纸要求</t>
  </si>
  <si>
    <t>1.名称：分歧管
2.规格：15.88*15.88*15.88
3.介质：冷剂管
4.其它说明：满足规范和设计图纸要求</t>
  </si>
  <si>
    <t>1.名称：分歧管
2.规格：9.53*9.53*9.53
3.介质：冷剂管
4.其它说明：满足规范和设计图纸要求</t>
  </si>
  <si>
    <t>增加示范区弱电工程--清单工程程量清单</t>
  </si>
  <si>
    <t>工程名称：河南省洛阳市浩德地产伊河湾营销中心装饰工程--增加示范区弱电工程</t>
  </si>
  <si>
    <t>1.名称:摄像机
2.类别:网络一体化枪式摄像机
3.安装方式:立杆安装,颜色与园林结合
4.其它说明：满足规范和设计图纸要求</t>
  </si>
  <si>
    <t>大华</t>
  </si>
  <si>
    <t>1.名称:摄像机
2.类别:网络一体化球机
3.安装方式:立杆安装,颜色与园林结合
4.其它说明：满足规范和设计图纸要求</t>
  </si>
  <si>
    <t>1.名称:电梯轿厢摄像机
2.类别:详见图纸
3.安装方式:轿厢内安装
4.其它说明：满足规范和设计图纸要求</t>
  </si>
  <si>
    <t>监控立杆</t>
  </si>
  <si>
    <t>1.名称：监控立杆
2.型号、规格：镀锌烤漆 高3.5m
3.基础规格、浇筑材质：详见图纸
4.其它说明：满足规范和设计图纸要求</t>
  </si>
  <si>
    <t>定制</t>
  </si>
  <si>
    <t>1.名称:室外防水设备箱 ZP-RD-01/02
2.规格:600m*450mm*600mm
3.配置:含交换机、光纤收发器、光纤收发盒等
4.安装方式:落地
5.其它说明：满足规范和设计图纸要求</t>
  </si>
  <si>
    <t>机柜：定制
交换机、
收发器：普联</t>
  </si>
  <si>
    <t>1.名称:音箱
2.类别:室外防水
3.规格:15W 广音域
4.安装方式:选用现代样式音箱,与景观协调,并可对安装位置作微调
5.其它说明：满足规范和设计图纸要求</t>
  </si>
  <si>
    <t>菱声</t>
  </si>
  <si>
    <t>人(手）孔砌筑</t>
  </si>
  <si>
    <t>1.名称:弱电手孔井
2.规格:400m*400mm*800mm
3.做法详见图纸
4.其它说明：满足规范和设计图纸要求</t>
  </si>
  <si>
    <t>1.名称:弱电人孔井
2.规格:1000m*900mm*1200mm
3.做法详见图纸
4.其它说明：满足规范和设计图纸要求</t>
  </si>
  <si>
    <t>1.名称:单元门口机
2.规格:详见图纸
3.安装方式:嵌墙安装,安装高度底边距地1.3m
4.其它说明：满足规范和设计图纸要求</t>
  </si>
  <si>
    <t>海康威视</t>
  </si>
  <si>
    <t>1.名称:电气配管
2.材质、规格:PVC20
3.配置形式:埋地
4.其它说明：满足规范和设计图纸要求</t>
  </si>
  <si>
    <t>联塑</t>
  </si>
  <si>
    <t>1.名称:电气配管
2.材质、规格:PCV20
3.配置形式:暗配
4.其它说明：满足规范和设计图纸要求</t>
  </si>
  <si>
    <t>1.名称:电气配管
2.材质、规格:焊接钢管 SC50
3.配置形式:埋地
4.其它说明：满足规范和设计图纸要求</t>
  </si>
  <si>
    <t>1.名称:多芯软导线
2.规格、型号:RVV-2*1.0
3.敷设方式:穿管敷设
4.其它说明：满足规范和设计图纸要求</t>
  </si>
  <si>
    <t>1.名称:多芯软导线
2.规格、型号:RVS-2*1.5
3.敷设方式:穿管敷设
4.其它说明：满足规范和设计图纸要求</t>
  </si>
  <si>
    <t>1.名称:多芯软导线
2.规格、型号:RVV-3x2.5
3.敷设方式:管内敷设
4.其它说明：满足规范和设计图纸要求</t>
  </si>
  <si>
    <t>光缆</t>
  </si>
  <si>
    <t>1.名称：监控光缆
2.规格：4芯单模光纤
3.敷设方式：穿管敷设
4.其它说明：满足规范和设计图纸要求</t>
  </si>
  <si>
    <t>挖沟槽土方</t>
  </si>
  <si>
    <t>1.名称:土方开挖
2.土壤类别:综合考虑
3.挖土深度:详见图纸设计
4.其它说明：满足规范和设计图纸要求</t>
  </si>
  <si>
    <t>回填方</t>
  </si>
  <si>
    <t>1.名称:土方回填
2.密实度要求:夯填
3.填方材料品种:现场土
4填方粒径要求:满足图纸及规范要求</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</si>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</sst>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0">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b/>
      <sz val="9"/>
      <name val="宋体"/>
      <charset val="134"/>
    </font>
    <font>
      <u/>
      <sz val="9"/>
      <name val="宋体"/>
      <charset val="134"/>
    </font>
    <font>
      <sz val="12"/>
      <name val="宋体"/>
      <charset val="134"/>
    </font>
    <font>
      <sz val="9"/>
      <color rgb="FFFF0000"/>
      <name val="宋体"/>
      <charset val="134"/>
    </font>
    <font>
      <b/>
      <sz val="16"/>
      <name val="宋体"/>
      <charset val="134"/>
    </font>
    <font>
      <sz val="10"/>
      <color theme="1"/>
      <name val="微软雅黑"/>
      <charset val="134"/>
    </font>
    <font>
      <sz val="10"/>
      <name val="微软雅黑"/>
      <charset val="134"/>
    </font>
    <font>
      <b/>
      <sz val="10"/>
      <name val="宋体"/>
      <charset val="134"/>
    </font>
    <font>
      <sz val="10"/>
      <color rgb="FFFF0000"/>
      <name val="微软雅黑"/>
      <charset val="134"/>
    </font>
    <font>
      <sz val="10"/>
      <color rgb="FFFF0000"/>
      <name val="宋体"/>
      <charset val="134"/>
    </font>
    <font>
      <sz val="11"/>
      <color theme="1"/>
      <name val="宋体"/>
      <charset val="134"/>
      <scheme val="minor"/>
    </font>
    <font>
      <b/>
      <sz val="14"/>
      <color theme="1"/>
      <name val="宋体"/>
      <charset val="134"/>
      <scheme val="minor"/>
    </font>
    <font>
      <b/>
      <sz val="18"/>
      <color theme="1"/>
      <name val="宋体"/>
      <charset val="134"/>
      <scheme val="minor"/>
    </font>
    <font>
      <b/>
      <sz val="8"/>
      <name val="微软雅黑"/>
      <charset val="134"/>
    </font>
    <font>
      <b/>
      <sz val="9"/>
      <name val="微软雅黑"/>
      <charset val="134"/>
    </font>
    <font>
      <b/>
      <sz val="8"/>
      <color theme="1"/>
      <name val="宋体"/>
      <charset val="134"/>
      <scheme val="minor"/>
    </font>
    <font>
      <b/>
      <sz val="8"/>
      <color rgb="FFFF0000"/>
      <name val="宋体"/>
      <charset val="134"/>
      <scheme val="minor"/>
    </font>
    <font>
      <b/>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
      <sz val="9"/>
      <color rgb="FFFF0000"/>
      <name val="宋体"/>
      <charset val="134"/>
      <scheme val="minor"/>
    </font>
    <font>
      <sz val="9"/>
      <color theme="1"/>
      <name val="宋体"/>
      <charset val="134"/>
    </font>
  </fonts>
  <fills count="45">
    <fill>
      <patternFill patternType="none"/>
    </fill>
    <fill>
      <patternFill patternType="gray125"/>
    </fill>
    <fill>
      <patternFill patternType="solid">
        <fgColor rgb="FF00B050"/>
        <bgColor indexed="64"/>
      </patternFill>
    </fill>
    <fill>
      <patternFill patternType="solid">
        <fgColor rgb="FFFFFF00"/>
        <bgColor indexed="1"/>
      </patternFill>
    </fill>
    <fill>
      <patternFill patternType="solid">
        <fgColor indexed="9"/>
        <bgColor indexed="1"/>
      </patternFill>
    </fill>
    <fill>
      <patternFill patternType="solid">
        <fgColor theme="0"/>
        <bgColor indexed="1"/>
      </patternFill>
    </fill>
    <fill>
      <patternFill patternType="solid">
        <fgColor rgb="FF00B050"/>
        <bgColor indexed="1"/>
      </patternFill>
    </fill>
    <fill>
      <patternFill patternType="solid">
        <fgColor theme="9"/>
        <bgColor indexed="1"/>
      </patternFill>
    </fill>
    <fill>
      <patternFill patternType="solid">
        <fgColor rgb="FF00B0F0"/>
        <bgColor indexed="1"/>
      </patternFill>
    </fill>
    <fill>
      <patternFill patternType="solid">
        <fgColor theme="9"/>
        <bgColor indexed="64"/>
      </patternFill>
    </fill>
    <fill>
      <patternFill patternType="solid">
        <fgColor theme="0"/>
        <bgColor indexed="64"/>
      </patternFill>
    </fill>
    <fill>
      <patternFill patternType="solid">
        <fgColor rgb="FFFFFF00"/>
        <bgColor indexed="64"/>
      </patternFill>
    </fill>
    <fill>
      <patternFill patternType="solid">
        <fgColor rgb="FF92D050"/>
        <bgColor indexed="1"/>
      </patternFill>
    </fill>
    <fill>
      <patternFill patternType="solid">
        <fgColor rgb="FF92D050"/>
        <bgColor indexed="64"/>
      </patternFill>
    </fill>
    <fill>
      <patternFill patternType="solid">
        <fgColor theme="8"/>
        <bgColor indexed="64"/>
      </patternFill>
    </fill>
    <fill>
      <patternFill patternType="solid">
        <fgColor theme="9" tint="0.4"/>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17" fillId="0" borderId="0" applyFont="0" applyFill="0" applyBorder="0" applyAlignment="0" applyProtection="0">
      <alignment vertical="center"/>
    </xf>
    <xf numFmtId="0" fontId="25" fillId="16" borderId="0" applyNumberFormat="0" applyBorder="0" applyAlignment="0" applyProtection="0">
      <alignment vertical="center"/>
    </xf>
    <xf numFmtId="0" fontId="26" fillId="17" borderId="1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43" fontId="17" fillId="0" borderId="0" applyFont="0" applyFill="0" applyBorder="0" applyAlignment="0" applyProtection="0">
      <alignment vertical="center"/>
    </xf>
    <xf numFmtId="0" fontId="9" fillId="0" borderId="0">
      <alignment vertical="center"/>
    </xf>
    <xf numFmtId="0" fontId="9" fillId="0" borderId="0">
      <alignment vertical="center"/>
    </xf>
    <xf numFmtId="0" fontId="25"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9" fillId="0" borderId="0" applyNumberFormat="0" applyFill="0" applyBorder="0" applyAlignment="0" applyProtection="0">
      <alignment vertical="center"/>
    </xf>
    <xf numFmtId="9"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17" fillId="21" borderId="15" applyNumberFormat="0" applyFont="0" applyAlignment="0" applyProtection="0">
      <alignment vertical="center"/>
    </xf>
    <xf numFmtId="0" fontId="28" fillId="22"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7" fillId="0" borderId="0">
      <alignment vertical="center"/>
    </xf>
    <xf numFmtId="0" fontId="9" fillId="0" borderId="0">
      <alignment vertical="center"/>
    </xf>
    <xf numFmtId="0" fontId="34" fillId="0" borderId="0" applyNumberFormat="0" applyFill="0" applyBorder="0" applyAlignment="0" applyProtection="0">
      <alignment vertical="center"/>
    </xf>
    <xf numFmtId="0" fontId="35" fillId="0" borderId="16" applyNumberFormat="0" applyFill="0" applyAlignment="0" applyProtection="0">
      <alignment vertical="center"/>
    </xf>
    <xf numFmtId="0" fontId="36" fillId="0" borderId="16" applyNumberFormat="0" applyFill="0" applyAlignment="0" applyProtection="0">
      <alignment vertical="center"/>
    </xf>
    <xf numFmtId="0" fontId="17" fillId="0" borderId="0">
      <alignment vertical="center"/>
    </xf>
    <xf numFmtId="0" fontId="28" fillId="23" borderId="0" applyNumberFormat="0" applyBorder="0" applyAlignment="0" applyProtection="0">
      <alignment vertical="center"/>
    </xf>
    <xf numFmtId="0" fontId="31" fillId="0" borderId="17" applyNumberFormat="0" applyFill="0" applyAlignment="0" applyProtection="0">
      <alignment vertical="center"/>
    </xf>
    <xf numFmtId="0" fontId="28" fillId="24" borderId="0" applyNumberFormat="0" applyBorder="0" applyAlignment="0" applyProtection="0">
      <alignment vertical="center"/>
    </xf>
    <xf numFmtId="0" fontId="37" fillId="25" borderId="18" applyNumberFormat="0" applyAlignment="0" applyProtection="0">
      <alignment vertical="center"/>
    </xf>
    <xf numFmtId="0" fontId="9" fillId="0" borderId="0">
      <alignment vertical="center"/>
    </xf>
    <xf numFmtId="0" fontId="38" fillId="25" borderId="14" applyNumberFormat="0" applyAlignment="0" applyProtection="0">
      <alignment vertical="center"/>
    </xf>
    <xf numFmtId="0" fontId="39" fillId="26" borderId="19" applyNumberFormat="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40" fillId="0" borderId="20" applyNumberFormat="0" applyFill="0" applyAlignment="0" applyProtection="0">
      <alignment vertical="center"/>
    </xf>
    <xf numFmtId="0" fontId="41" fillId="0" borderId="21" applyNumberFormat="0" applyFill="0" applyAlignment="0" applyProtection="0">
      <alignment vertical="center"/>
    </xf>
    <xf numFmtId="0" fontId="9" fillId="0" borderId="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25"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28" fillId="37" borderId="0" applyNumberFormat="0" applyBorder="0" applyAlignment="0" applyProtection="0">
      <alignment vertical="center"/>
    </xf>
    <xf numFmtId="0" fontId="9" fillId="0" borderId="0">
      <alignment vertical="center"/>
    </xf>
    <xf numFmtId="0" fontId="28" fillId="38" borderId="0" applyNumberFormat="0" applyBorder="0" applyAlignment="0" applyProtection="0">
      <alignment vertical="center"/>
    </xf>
    <xf numFmtId="0" fontId="25" fillId="39" borderId="0" applyNumberFormat="0" applyBorder="0" applyAlignment="0" applyProtection="0">
      <alignment vertical="center"/>
    </xf>
    <xf numFmtId="0" fontId="25" fillId="40" borderId="0" applyNumberFormat="0" applyBorder="0" applyAlignment="0" applyProtection="0">
      <alignment vertical="center"/>
    </xf>
    <xf numFmtId="0" fontId="9" fillId="0" borderId="0">
      <alignment vertical="center"/>
    </xf>
    <xf numFmtId="0" fontId="28" fillId="14" borderId="0" applyNumberFormat="0" applyBorder="0" applyAlignment="0" applyProtection="0">
      <alignment vertical="center"/>
    </xf>
    <xf numFmtId="0" fontId="25" fillId="41" borderId="0" applyNumberFormat="0" applyBorder="0" applyAlignment="0" applyProtection="0">
      <alignment vertical="center"/>
    </xf>
    <xf numFmtId="0" fontId="28" fillId="42" borderId="0" applyNumberFormat="0" applyBorder="0" applyAlignment="0" applyProtection="0">
      <alignment vertical="center"/>
    </xf>
    <xf numFmtId="0" fontId="9" fillId="0" borderId="0">
      <alignment vertical="center"/>
    </xf>
    <xf numFmtId="0" fontId="9" fillId="0" borderId="0">
      <alignment vertical="center"/>
    </xf>
    <xf numFmtId="0" fontId="28" fillId="9" borderId="0" applyNumberFormat="0" applyBorder="0" applyAlignment="0" applyProtection="0">
      <alignment vertical="center"/>
    </xf>
    <xf numFmtId="0" fontId="25" fillId="43" borderId="0" applyNumberFormat="0" applyBorder="0" applyAlignment="0" applyProtection="0">
      <alignment vertical="center"/>
    </xf>
    <xf numFmtId="0" fontId="28" fillId="44" borderId="0" applyNumberFormat="0" applyBorder="0" applyAlignment="0" applyProtection="0">
      <alignment vertical="center"/>
    </xf>
    <xf numFmtId="0" fontId="9" fillId="0" borderId="0">
      <alignment vertical="center"/>
    </xf>
    <xf numFmtId="0" fontId="9" fillId="0" borderId="0">
      <alignment vertical="center"/>
    </xf>
    <xf numFmtId="0" fontId="44" fillId="0" borderId="0">
      <alignment vertical="center"/>
    </xf>
    <xf numFmtId="0" fontId="9" fillId="0" borderId="0">
      <alignment vertical="center"/>
    </xf>
    <xf numFmtId="176" fontId="45"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46" fillId="0" borderId="0"/>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4" fillId="0" borderId="0">
      <alignment vertical="center"/>
    </xf>
    <xf numFmtId="176" fontId="45" fillId="0" borderId="1">
      <alignment horizontal="right" vertical="center" wrapText="1"/>
    </xf>
    <xf numFmtId="0" fontId="17" fillId="0" borderId="0">
      <alignment vertical="center"/>
    </xf>
    <xf numFmtId="0" fontId="9" fillId="0" borderId="0"/>
    <xf numFmtId="0" fontId="45" fillId="0" borderId="0" applyProtection="0">
      <alignment vertical="center"/>
    </xf>
    <xf numFmtId="0" fontId="4" fillId="0" borderId="0"/>
  </cellStyleXfs>
  <cellXfs count="219">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0" fontId="4" fillId="0" borderId="0" xfId="81" applyFont="1" applyFill="1" applyAlignment="1">
      <alignment horizontal="center"/>
    </xf>
    <xf numFmtId="0" fontId="4" fillId="0" borderId="0" xfId="81" applyFont="1" applyFill="1" applyAlignment="1">
      <alignment horizontal="left"/>
    </xf>
    <xf numFmtId="0" fontId="4" fillId="0" borderId="0" xfId="81" applyFont="1" applyFill="1" applyAlignment="1">
      <alignment horizontal="center" vertical="center"/>
    </xf>
    <xf numFmtId="176" fontId="4" fillId="0" borderId="0" xfId="81" applyNumberFormat="1" applyFont="1" applyFill="1" applyAlignment="1">
      <alignment horizontal="center" vertical="center"/>
    </xf>
    <xf numFmtId="176" fontId="4" fillId="2" borderId="0" xfId="81" applyNumberFormat="1" applyFont="1" applyFill="1" applyAlignment="1">
      <alignment horizontal="center" vertical="center"/>
    </xf>
    <xf numFmtId="10" fontId="4" fillId="0" borderId="0" xfId="81" applyNumberFormat="1" applyFont="1" applyFill="1" applyAlignment="1">
      <alignment horizontal="center" vertical="center"/>
    </xf>
    <xf numFmtId="0" fontId="5" fillId="0" borderId="0" xfId="81" applyFont="1" applyFill="1" applyAlignment="1">
      <alignment horizontal="center" vertical="center" wrapText="1"/>
    </xf>
    <xf numFmtId="176" fontId="5" fillId="0" borderId="0" xfId="81" applyNumberFormat="1" applyFont="1" applyFill="1" applyAlignment="1">
      <alignment horizontal="center" vertical="center" wrapText="1"/>
    </xf>
    <xf numFmtId="176" fontId="5" fillId="2" borderId="0" xfId="81" applyNumberFormat="1" applyFont="1" applyFill="1" applyAlignment="1">
      <alignment horizontal="center" vertical="center" wrapText="1"/>
    </xf>
    <xf numFmtId="0" fontId="6" fillId="0" borderId="0" xfId="81" applyFont="1" applyFill="1" applyAlignment="1">
      <alignment horizontal="left" vertical="center" wrapText="1"/>
    </xf>
    <xf numFmtId="176" fontId="6" fillId="0" borderId="0" xfId="81" applyNumberFormat="1" applyFont="1" applyFill="1" applyAlignment="1">
      <alignment horizontal="left" vertical="center" wrapText="1"/>
    </xf>
    <xf numFmtId="176" fontId="6" fillId="2" borderId="0" xfId="81" applyNumberFormat="1" applyFont="1" applyFill="1" applyAlignment="1">
      <alignment horizontal="left" vertical="center" wrapText="1"/>
    </xf>
    <xf numFmtId="176" fontId="6" fillId="0" borderId="0" xfId="81" applyNumberFormat="1" applyFont="1" applyFill="1" applyAlignment="1">
      <alignment horizontal="center" vertical="center" wrapText="1"/>
    </xf>
    <xf numFmtId="0" fontId="6" fillId="0" borderId="1" xfId="8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2" borderId="1" xfId="81" applyFont="1" applyFill="1" applyBorder="1" applyAlignment="1">
      <alignment horizontal="left" vertical="center" wrapText="1"/>
    </xf>
    <xf numFmtId="0" fontId="6" fillId="0" borderId="1" xfId="81" applyFont="1" applyFill="1" applyBorder="1" applyAlignment="1">
      <alignment horizontal="left" vertical="center" wrapText="1"/>
    </xf>
    <xf numFmtId="176" fontId="6" fillId="2" borderId="1" xfId="81" applyNumberFormat="1" applyFont="1" applyFill="1" applyBorder="1" applyAlignment="1">
      <alignment horizontal="center" vertical="center" wrapText="1"/>
    </xf>
    <xf numFmtId="176" fontId="6" fillId="3" borderId="1" xfId="81" applyNumberFormat="1" applyFont="1" applyFill="1" applyBorder="1" applyAlignment="1">
      <alignment horizontal="center" vertical="center" wrapText="1"/>
    </xf>
    <xf numFmtId="176" fontId="6" fillId="4" borderId="1" xfId="81" applyNumberFormat="1" applyFont="1" applyFill="1" applyBorder="1" applyAlignment="1">
      <alignment horizontal="center" vertical="center" wrapText="1"/>
    </xf>
    <xf numFmtId="176" fontId="6" fillId="5" borderId="1" xfId="81" applyNumberFormat="1" applyFont="1" applyFill="1" applyBorder="1" applyAlignment="1">
      <alignment horizontal="center" vertical="center" wrapText="1"/>
    </xf>
    <xf numFmtId="0" fontId="7" fillId="0" borderId="1" xfId="81" applyFont="1" applyFill="1" applyBorder="1" applyAlignment="1">
      <alignment horizontal="center" vertical="center" wrapText="1"/>
    </xf>
    <xf numFmtId="176" fontId="7" fillId="0" borderId="1" xfId="81" applyNumberFormat="1" applyFont="1" applyFill="1" applyBorder="1" applyAlignment="1">
      <alignment horizontal="center" vertical="center" wrapText="1"/>
    </xf>
    <xf numFmtId="176" fontId="7" fillId="2" borderId="1" xfId="81"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10" fontId="5" fillId="0" borderId="0" xfId="81" applyNumberFormat="1" applyFont="1" applyFill="1" applyAlignment="1">
      <alignment horizontal="center" vertical="center" wrapText="1"/>
    </xf>
    <xf numFmtId="10" fontId="6" fillId="0" borderId="0" xfId="81" applyNumberFormat="1" applyFont="1" applyFill="1" applyAlignment="1">
      <alignment horizontal="center" vertical="center" wrapText="1"/>
    </xf>
    <xf numFmtId="10" fontId="6" fillId="0" borderId="1" xfId="81" applyNumberFormat="1" applyFont="1" applyFill="1" applyBorder="1" applyAlignment="1">
      <alignment horizontal="center" vertical="center" wrapText="1"/>
    </xf>
    <xf numFmtId="10" fontId="8" fillId="0" borderId="1" xfId="81" applyNumberFormat="1" applyFont="1" applyFill="1" applyBorder="1" applyAlignment="1">
      <alignment horizontal="center" vertical="center" wrapText="1"/>
    </xf>
    <xf numFmtId="10" fontId="6" fillId="4" borderId="1" xfId="81" applyNumberFormat="1" applyFont="1" applyFill="1" applyBorder="1" applyAlignment="1">
      <alignment horizontal="center" vertical="center" wrapText="1"/>
    </xf>
    <xf numFmtId="10" fontId="7" fillId="0" borderId="1" xfId="81" applyNumberFormat="1" applyFont="1" applyFill="1" applyBorder="1" applyAlignment="1">
      <alignment horizontal="center" vertical="center" wrapText="1"/>
    </xf>
    <xf numFmtId="176" fontId="7" fillId="0" borderId="2" xfId="81" applyNumberFormat="1" applyFont="1" applyFill="1" applyBorder="1" applyAlignment="1">
      <alignment horizontal="center" vertical="center" wrapText="1"/>
    </xf>
    <xf numFmtId="176" fontId="7" fillId="0" borderId="3" xfId="81" applyNumberFormat="1" applyFont="1" applyFill="1" applyBorder="1" applyAlignment="1">
      <alignment horizontal="center" vertical="center" wrapText="1"/>
    </xf>
    <xf numFmtId="176" fontId="6" fillId="2" borderId="0" xfId="81" applyNumberFormat="1" applyFont="1" applyFill="1" applyAlignment="1">
      <alignment horizontal="center" vertical="center" wrapText="1"/>
    </xf>
    <xf numFmtId="0" fontId="6" fillId="0" borderId="0" xfId="81" applyFont="1" applyFill="1" applyAlignment="1">
      <alignment horizontal="center" vertical="center" wrapText="1"/>
    </xf>
    <xf numFmtId="0" fontId="6" fillId="6" borderId="1" xfId="81" applyFont="1" applyFill="1" applyBorder="1" applyAlignment="1">
      <alignment horizontal="left" vertical="center" wrapText="1"/>
    </xf>
    <xf numFmtId="0" fontId="6" fillId="4" borderId="1" xfId="81" applyFont="1" applyFill="1" applyBorder="1" applyAlignment="1">
      <alignment horizontal="center" vertical="center" wrapText="1"/>
    </xf>
    <xf numFmtId="0" fontId="2" fillId="0" borderId="0" xfId="0" applyFont="1" applyFill="1" applyBorder="1" applyAlignment="1" applyProtection="1">
      <alignment vertical="center" wrapText="1"/>
    </xf>
    <xf numFmtId="0" fontId="4" fillId="2" borderId="0" xfId="81" applyFont="1" applyFill="1" applyAlignment="1">
      <alignment horizontal="left"/>
    </xf>
    <xf numFmtId="0" fontId="5" fillId="4" borderId="0" xfId="81" applyFont="1" applyFill="1" applyAlignment="1">
      <alignment horizontal="center" vertical="center" wrapText="1"/>
    </xf>
    <xf numFmtId="0" fontId="5" fillId="6" borderId="0" xfId="81" applyFont="1" applyFill="1" applyAlignment="1">
      <alignment horizontal="center" vertical="center" wrapText="1"/>
    </xf>
    <xf numFmtId="0" fontId="6" fillId="4" borderId="0" xfId="81" applyFont="1" applyFill="1" applyAlignment="1">
      <alignment horizontal="left" vertical="center" wrapText="1"/>
    </xf>
    <xf numFmtId="0" fontId="6" fillId="6" borderId="0" xfId="81" applyFont="1" applyFill="1" applyAlignment="1">
      <alignment horizontal="left" vertical="center" wrapText="1"/>
    </xf>
    <xf numFmtId="0" fontId="6" fillId="4" borderId="1" xfId="81" applyFont="1" applyFill="1" applyBorder="1" applyAlignment="1">
      <alignment horizontal="left" vertical="center" wrapText="1"/>
    </xf>
    <xf numFmtId="0" fontId="6" fillId="7" borderId="1" xfId="81" applyFont="1" applyFill="1" applyBorder="1" applyAlignment="1">
      <alignment horizontal="left" vertical="center" wrapText="1"/>
    </xf>
    <xf numFmtId="176" fontId="6" fillId="4" borderId="1" xfId="81" applyNumberFormat="1" applyFont="1" applyFill="1" applyBorder="1" applyAlignment="1">
      <alignment horizontal="right" vertical="center" wrapText="1"/>
    </xf>
    <xf numFmtId="0" fontId="6" fillId="3" borderId="1" xfId="81" applyFont="1" applyFill="1" applyBorder="1" applyAlignment="1">
      <alignment horizontal="left" vertical="center" wrapText="1"/>
    </xf>
    <xf numFmtId="0" fontId="6" fillId="8" borderId="1" xfId="81" applyFont="1" applyFill="1" applyBorder="1" applyAlignment="1">
      <alignment horizontal="left" vertical="center" wrapText="1"/>
    </xf>
    <xf numFmtId="0" fontId="6" fillId="5" borderId="1" xfId="81" applyFont="1" applyFill="1" applyBorder="1" applyAlignment="1">
      <alignment horizontal="left" vertical="center" wrapText="1"/>
    </xf>
    <xf numFmtId="176" fontId="6" fillId="5" borderId="1" xfId="81" applyNumberFormat="1" applyFont="1" applyFill="1" applyBorder="1" applyAlignment="1">
      <alignment horizontal="right" vertical="center" wrapText="1"/>
    </xf>
    <xf numFmtId="176" fontId="6" fillId="7" borderId="1" xfId="81" applyNumberFormat="1" applyFont="1" applyFill="1" applyBorder="1" applyAlignment="1">
      <alignment horizontal="right" vertical="center" wrapText="1"/>
    </xf>
    <xf numFmtId="0" fontId="6" fillId="4" borderId="0" xfId="81" applyFont="1" applyFill="1" applyAlignment="1">
      <alignment horizontal="center" vertical="center" wrapText="1"/>
    </xf>
    <xf numFmtId="9" fontId="6" fillId="4" borderId="1" xfId="13" applyFont="1" applyFill="1" applyBorder="1" applyAlignment="1" applyProtection="1">
      <alignment horizontal="center" vertical="center" wrapText="1"/>
    </xf>
    <xf numFmtId="176" fontId="6" fillId="9" borderId="1" xfId="81" applyNumberFormat="1" applyFont="1" applyFill="1" applyBorder="1" applyAlignment="1">
      <alignment horizontal="right" vertical="center" wrapText="1"/>
    </xf>
    <xf numFmtId="9" fontId="6" fillId="9" borderId="1" xfId="13" applyFont="1" applyFill="1" applyBorder="1" applyAlignment="1" applyProtection="1">
      <alignment horizontal="center" vertical="center" wrapText="1"/>
    </xf>
    <xf numFmtId="176" fontId="6" fillId="9" borderId="1" xfId="81" applyNumberFormat="1" applyFont="1" applyFill="1" applyBorder="1" applyAlignment="1">
      <alignment horizontal="center" vertical="center" wrapText="1"/>
    </xf>
    <xf numFmtId="9" fontId="6" fillId="10" borderId="1" xfId="13" applyFont="1" applyFill="1" applyBorder="1" applyAlignment="1" applyProtection="1">
      <alignment horizontal="center" vertical="center" wrapText="1"/>
    </xf>
    <xf numFmtId="176" fontId="6" fillId="10" borderId="1" xfId="81" applyNumberFormat="1" applyFont="1" applyFill="1" applyBorder="1" applyAlignment="1">
      <alignment horizontal="center" vertical="center" wrapText="1"/>
    </xf>
    <xf numFmtId="176" fontId="6" fillId="10" borderId="1" xfId="81" applyNumberFormat="1" applyFont="1" applyFill="1" applyBorder="1" applyAlignment="1">
      <alignment horizontal="right" vertical="center" wrapText="1"/>
    </xf>
    <xf numFmtId="9" fontId="6" fillId="4" borderId="1" xfId="13" applyNumberFormat="1" applyFont="1" applyFill="1" applyBorder="1" applyAlignment="1" applyProtection="1">
      <alignment horizontal="center" vertical="center" wrapText="1"/>
    </xf>
    <xf numFmtId="176" fontId="6" fillId="6" borderId="1" xfId="81" applyNumberFormat="1" applyFont="1" applyFill="1" applyBorder="1" applyAlignment="1">
      <alignment horizontal="right" vertical="center" wrapText="1"/>
    </xf>
    <xf numFmtId="0" fontId="6" fillId="10" borderId="1" xfId="81" applyFont="1" applyFill="1" applyBorder="1" applyAlignment="1">
      <alignment horizontal="left" vertical="center" wrapText="1"/>
    </xf>
    <xf numFmtId="0" fontId="6" fillId="4" borderId="4" xfId="81" applyFont="1" applyFill="1" applyBorder="1" applyAlignment="1">
      <alignment horizontal="left" vertical="center" wrapText="1"/>
    </xf>
    <xf numFmtId="0" fontId="6" fillId="6" borderId="4" xfId="81" applyFont="1" applyFill="1" applyBorder="1" applyAlignment="1">
      <alignment horizontal="left" vertical="center" wrapText="1"/>
    </xf>
    <xf numFmtId="0" fontId="6" fillId="7" borderId="4" xfId="81" applyFont="1" applyFill="1" applyBorder="1" applyAlignment="1">
      <alignment horizontal="left" vertical="center" wrapText="1"/>
    </xf>
    <xf numFmtId="0" fontId="6" fillId="10" borderId="1" xfId="81" applyFont="1" applyFill="1" applyBorder="1" applyAlignment="1">
      <alignment horizontal="center" vertical="center" wrapText="1"/>
    </xf>
    <xf numFmtId="9" fontId="6" fillId="7" borderId="1" xfId="13" applyFont="1" applyFill="1" applyBorder="1" applyAlignment="1" applyProtection="1">
      <alignment horizontal="center" vertical="center" wrapText="1"/>
    </xf>
    <xf numFmtId="0" fontId="6" fillId="7" borderId="1" xfId="81" applyFont="1" applyFill="1" applyBorder="1" applyAlignment="1">
      <alignment horizontal="center" vertical="center" wrapText="1"/>
    </xf>
    <xf numFmtId="9" fontId="6" fillId="7" borderId="4" xfId="13" applyFont="1" applyFill="1" applyBorder="1" applyAlignment="1" applyProtection="1">
      <alignment horizontal="center" vertical="center" wrapText="1"/>
    </xf>
    <xf numFmtId="0" fontId="6" fillId="7" borderId="4" xfId="81" applyFont="1" applyFill="1" applyBorder="1" applyAlignment="1">
      <alignment horizontal="center" vertical="center" wrapText="1"/>
    </xf>
    <xf numFmtId="0" fontId="6" fillId="4" borderId="4" xfId="81" applyFont="1" applyFill="1" applyBorder="1" applyAlignment="1">
      <alignment horizontal="center" vertical="center" wrapText="1"/>
    </xf>
    <xf numFmtId="9" fontId="6" fillId="4" borderId="4" xfId="13"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6" fillId="4" borderId="1" xfId="81" applyNumberFormat="1" applyFont="1" applyFill="1" applyBorder="1" applyAlignment="1">
      <alignment horizontal="right" vertical="center" wrapText="1"/>
    </xf>
    <xf numFmtId="176" fontId="6" fillId="11" borderId="1" xfId="81" applyNumberFormat="1" applyFont="1" applyFill="1" applyBorder="1" applyAlignment="1">
      <alignment horizontal="right" vertical="center" wrapText="1"/>
    </xf>
    <xf numFmtId="176" fontId="6" fillId="4" borderId="2" xfId="81" applyNumberFormat="1" applyFont="1" applyFill="1" applyBorder="1" applyAlignment="1">
      <alignment horizontal="center" vertical="center" wrapText="1"/>
    </xf>
    <xf numFmtId="176" fontId="6" fillId="4" borderId="3" xfId="81" applyNumberFormat="1" applyFont="1" applyFill="1" applyBorder="1" applyAlignment="1">
      <alignment horizontal="center" vertical="center" wrapText="1"/>
    </xf>
    <xf numFmtId="176" fontId="6" fillId="6" borderId="3" xfId="81" applyNumberFormat="1" applyFont="1" applyFill="1" applyBorder="1" applyAlignment="1">
      <alignment horizontal="center" vertical="center" wrapText="1"/>
    </xf>
    <xf numFmtId="0" fontId="4" fillId="0" borderId="0" xfId="81" applyAlignment="1">
      <alignment horizontal="left"/>
    </xf>
    <xf numFmtId="0" fontId="4" fillId="11" borderId="0" xfId="81" applyFont="1" applyFill="1" applyAlignment="1">
      <alignment horizontal="left"/>
    </xf>
    <xf numFmtId="0" fontId="4" fillId="0" borderId="0" xfId="81" applyFont="1" applyFill="1" applyAlignment="1">
      <alignment horizontal="center" vertical="center" wrapText="1"/>
    </xf>
    <xf numFmtId="177" fontId="6" fillId="4" borderId="1" xfId="81" applyNumberFormat="1" applyFont="1" applyFill="1" applyBorder="1" applyAlignment="1">
      <alignment horizontal="right" vertical="center" wrapText="1"/>
    </xf>
    <xf numFmtId="0" fontId="10" fillId="12" borderId="1" xfId="81" applyFont="1" applyFill="1" applyBorder="1" applyAlignment="1">
      <alignment horizontal="left" vertical="center" wrapText="1"/>
    </xf>
    <xf numFmtId="177" fontId="6" fillId="7" borderId="1" xfId="81" applyNumberFormat="1" applyFont="1" applyFill="1" applyBorder="1" applyAlignment="1">
      <alignment horizontal="right" vertical="center" wrapText="1"/>
    </xf>
    <xf numFmtId="176" fontId="6" fillId="4" borderId="4" xfId="81" applyNumberFormat="1" applyFont="1" applyFill="1" applyBorder="1" applyAlignment="1">
      <alignment horizontal="right" vertical="center" wrapText="1"/>
    </xf>
    <xf numFmtId="177" fontId="6" fillId="5" borderId="1" xfId="81" applyNumberFormat="1" applyFont="1" applyFill="1" applyBorder="1" applyAlignment="1">
      <alignment horizontal="right" vertical="center" wrapText="1"/>
    </xf>
    <xf numFmtId="177" fontId="6" fillId="9" borderId="1" xfId="81" applyNumberFormat="1" applyFont="1" applyFill="1" applyBorder="1" applyAlignment="1">
      <alignment horizontal="right" vertical="center" wrapText="1"/>
    </xf>
    <xf numFmtId="177" fontId="6" fillId="10" borderId="1" xfId="81" applyNumberFormat="1" applyFont="1" applyFill="1" applyBorder="1" applyAlignment="1">
      <alignment horizontal="right" vertical="center" wrapText="1"/>
    </xf>
    <xf numFmtId="9" fontId="6" fillId="7" borderId="1" xfId="13" applyNumberFormat="1" applyFont="1" applyFill="1" applyBorder="1" applyAlignment="1" applyProtection="1">
      <alignment horizontal="center" vertical="center" wrapText="1"/>
    </xf>
    <xf numFmtId="9" fontId="6" fillId="5" borderId="1" xfId="13" applyFont="1" applyFill="1" applyBorder="1" applyAlignment="1" applyProtection="1">
      <alignment horizontal="center" vertical="center" wrapText="1"/>
    </xf>
    <xf numFmtId="177" fontId="6" fillId="7" borderId="4" xfId="81" applyNumberFormat="1" applyFont="1" applyFill="1" applyBorder="1" applyAlignment="1">
      <alignment horizontal="right" vertical="center" wrapText="1"/>
    </xf>
    <xf numFmtId="176" fontId="6" fillId="7" borderId="4" xfId="81" applyNumberFormat="1" applyFont="1" applyFill="1" applyBorder="1" applyAlignment="1">
      <alignment horizontal="right" vertical="center" wrapText="1"/>
    </xf>
    <xf numFmtId="177" fontId="6" fillId="4" borderId="4" xfId="81" applyNumberFormat="1" applyFont="1" applyFill="1" applyBorder="1" applyAlignment="1">
      <alignment horizontal="right" vertical="center" wrapText="1"/>
    </xf>
    <xf numFmtId="0" fontId="4" fillId="0" borderId="0" xfId="81" applyAlignment="1">
      <alignment horizontal="center" vertical="center" wrapText="1"/>
    </xf>
    <xf numFmtId="176" fontId="6" fillId="4" borderId="1" xfId="81" applyNumberFormat="1" applyFont="1" applyFill="1" applyBorder="1" applyAlignment="1">
      <alignment horizontal="left" vertical="center" wrapText="1"/>
    </xf>
    <xf numFmtId="0" fontId="4" fillId="13" borderId="0" xfId="81" applyFill="1" applyAlignment="1">
      <alignment horizontal="center" vertical="center" wrapText="1"/>
    </xf>
    <xf numFmtId="176" fontId="6" fillId="6" borderId="4" xfId="81" applyNumberFormat="1" applyFont="1" applyFill="1" applyBorder="1" applyAlignment="1">
      <alignment horizontal="center" vertical="center" wrapText="1"/>
    </xf>
    <xf numFmtId="176" fontId="6" fillId="6" borderId="4" xfId="81" applyNumberFormat="1" applyFont="1" applyFill="1" applyBorder="1" applyAlignment="1">
      <alignment horizontal="right" vertical="center" wrapText="1"/>
    </xf>
    <xf numFmtId="0" fontId="6" fillId="12" borderId="4" xfId="81" applyFont="1" applyFill="1" applyBorder="1" applyAlignment="1">
      <alignment horizontal="left" vertical="center" wrapText="1"/>
    </xf>
    <xf numFmtId="0" fontId="10" fillId="12" borderId="4" xfId="81" applyFont="1" applyFill="1" applyBorder="1" applyAlignment="1">
      <alignment horizontal="left" vertical="center" wrapText="1"/>
    </xf>
    <xf numFmtId="0" fontId="10" fillId="6" borderId="4" xfId="81" applyFont="1" applyFill="1" applyBorder="1" applyAlignment="1">
      <alignment horizontal="left" vertical="center" wrapText="1"/>
    </xf>
    <xf numFmtId="177" fontId="6" fillId="4" borderId="4" xfId="81" applyNumberFormat="1" applyFont="1" applyFill="1" applyBorder="1" applyAlignment="1">
      <alignment horizontal="center" vertical="center" wrapText="1"/>
    </xf>
    <xf numFmtId="176" fontId="6" fillId="4" borderId="4" xfId="81" applyNumberFormat="1" applyFont="1" applyFill="1" applyBorder="1" applyAlignment="1">
      <alignment horizontal="center" vertical="center" wrapText="1"/>
    </xf>
    <xf numFmtId="0" fontId="6" fillId="12" borderId="1" xfId="81" applyFont="1" applyFill="1" applyBorder="1" applyAlignment="1">
      <alignment horizontal="left" vertical="center" wrapText="1"/>
    </xf>
    <xf numFmtId="177" fontId="6" fillId="0" borderId="1" xfId="81" applyNumberFormat="1" applyFont="1" applyFill="1" applyBorder="1" applyAlignment="1">
      <alignment horizontal="right" vertical="center" wrapText="1"/>
    </xf>
    <xf numFmtId="176" fontId="6" fillId="0" borderId="1" xfId="81" applyNumberFormat="1" applyFont="1" applyFill="1" applyBorder="1" applyAlignment="1">
      <alignment horizontal="right" vertical="center" wrapText="1"/>
    </xf>
    <xf numFmtId="176" fontId="6" fillId="5" borderId="4" xfId="81" applyNumberFormat="1" applyFont="1" applyFill="1" applyBorder="1" applyAlignment="1">
      <alignment horizontal="right" vertical="center" wrapText="1"/>
    </xf>
    <xf numFmtId="0" fontId="10" fillId="3" borderId="4" xfId="81" applyFont="1" applyFill="1" applyBorder="1" applyAlignment="1">
      <alignment horizontal="left" vertical="center" wrapText="1"/>
    </xf>
    <xf numFmtId="177" fontId="6" fillId="5" borderId="4" xfId="81" applyNumberFormat="1" applyFont="1" applyFill="1" applyBorder="1" applyAlignment="1">
      <alignment horizontal="right" vertical="center" wrapText="1"/>
    </xf>
    <xf numFmtId="0" fontId="6" fillId="13" borderId="1" xfId="81" applyFont="1" applyFill="1" applyBorder="1" applyAlignment="1">
      <alignment horizontal="left" vertical="center" wrapText="1"/>
    </xf>
    <xf numFmtId="0" fontId="6" fillId="0" borderId="4" xfId="81" applyFont="1" applyFill="1" applyBorder="1" applyAlignment="1">
      <alignment horizontal="left" vertical="center" wrapText="1"/>
    </xf>
    <xf numFmtId="0" fontId="6" fillId="13" borderId="4" xfId="81" applyFont="1" applyFill="1" applyBorder="1" applyAlignment="1">
      <alignment horizontal="left" vertical="center" wrapText="1"/>
    </xf>
    <xf numFmtId="0" fontId="6" fillId="0" borderId="4" xfId="81" applyFont="1" applyFill="1" applyBorder="1" applyAlignment="1">
      <alignment horizontal="center" vertical="center" wrapText="1"/>
    </xf>
    <xf numFmtId="0" fontId="6" fillId="2" borderId="4" xfId="81" applyFont="1" applyFill="1" applyBorder="1" applyAlignment="1">
      <alignment horizontal="left" vertical="center" wrapText="1"/>
    </xf>
    <xf numFmtId="0" fontId="6" fillId="3" borderId="1" xfId="81" applyFont="1" applyFill="1" applyBorder="1" applyAlignment="1">
      <alignment horizontal="center" vertical="center" wrapText="1"/>
    </xf>
    <xf numFmtId="177" fontId="6" fillId="3" borderId="1" xfId="81" applyNumberFormat="1" applyFont="1" applyFill="1" applyBorder="1" applyAlignment="1">
      <alignment horizontal="right" vertical="center" wrapText="1"/>
    </xf>
    <xf numFmtId="176" fontId="6" fillId="3" borderId="1" xfId="81" applyNumberFormat="1" applyFont="1" applyFill="1" applyBorder="1" applyAlignment="1">
      <alignment horizontal="right" vertical="center" wrapText="1"/>
    </xf>
    <xf numFmtId="9" fontId="6" fillId="0" borderId="1" xfId="13" applyFont="1" applyFill="1" applyBorder="1" applyAlignment="1" applyProtection="1">
      <alignment horizontal="center" vertical="center" wrapText="1"/>
    </xf>
    <xf numFmtId="9" fontId="6" fillId="5" borderId="4" xfId="13" applyFont="1" applyFill="1" applyBorder="1" applyAlignment="1" applyProtection="1">
      <alignment horizontal="center" vertical="center" wrapText="1"/>
    </xf>
    <xf numFmtId="177" fontId="6" fillId="10" borderId="4" xfId="81" applyNumberFormat="1" applyFont="1" applyFill="1" applyBorder="1" applyAlignment="1">
      <alignment horizontal="right" vertical="center" wrapText="1"/>
    </xf>
    <xf numFmtId="9" fontId="6" fillId="10" borderId="4" xfId="13" applyFont="1" applyFill="1" applyBorder="1" applyAlignment="1" applyProtection="1">
      <alignment horizontal="center" vertical="center" wrapText="1"/>
    </xf>
    <xf numFmtId="176" fontId="6" fillId="10" borderId="4" xfId="81" applyNumberFormat="1" applyFont="1" applyFill="1" applyBorder="1" applyAlignment="1">
      <alignment horizontal="right" vertical="center" wrapText="1"/>
    </xf>
    <xf numFmtId="9" fontId="6" fillId="3" borderId="1" xfId="13" applyFont="1" applyFill="1" applyBorder="1" applyAlignment="1" applyProtection="1">
      <alignment horizontal="center" vertical="center" wrapText="1"/>
    </xf>
    <xf numFmtId="9" fontId="6" fillId="3" borderId="1" xfId="13" applyNumberFormat="1" applyFont="1" applyFill="1" applyBorder="1" applyAlignment="1" applyProtection="1">
      <alignment horizontal="center" vertical="center" wrapText="1"/>
    </xf>
    <xf numFmtId="0" fontId="4" fillId="13" borderId="0" xfId="81" applyFont="1" applyFill="1" applyAlignment="1">
      <alignment horizontal="center" vertical="center" wrapText="1"/>
    </xf>
    <xf numFmtId="176" fontId="6" fillId="4" borderId="4" xfId="81" applyNumberFormat="1" applyFont="1" applyFill="1" applyBorder="1" applyAlignment="1">
      <alignment horizontal="left" vertical="center" wrapText="1"/>
    </xf>
    <xf numFmtId="0" fontId="4" fillId="14" borderId="0" xfId="81" applyFill="1" applyAlignment="1">
      <alignment horizontal="left"/>
    </xf>
    <xf numFmtId="176" fontId="6" fillId="3" borderId="1" xfId="81" applyNumberFormat="1" applyFont="1" applyFill="1" applyBorder="1" applyAlignment="1">
      <alignment horizontal="left" vertical="center" wrapText="1"/>
    </xf>
    <xf numFmtId="0" fontId="4" fillId="11" borderId="0" xfId="81" applyFont="1" applyFill="1" applyAlignment="1">
      <alignment horizontal="center" vertical="center" wrapText="1"/>
    </xf>
    <xf numFmtId="0" fontId="6" fillId="12" borderId="1" xfId="81" applyFont="1" applyFill="1" applyBorder="1" applyAlignment="1">
      <alignment horizontal="center" vertical="center" wrapText="1"/>
    </xf>
    <xf numFmtId="0" fontId="10" fillId="6" borderId="1" xfId="81" applyFont="1" applyFill="1" applyBorder="1" applyAlignment="1">
      <alignment horizontal="left" vertical="center" wrapText="1"/>
    </xf>
    <xf numFmtId="177" fontId="6" fillId="0" borderId="1" xfId="81" applyNumberFormat="1" applyFont="1" applyFill="1" applyBorder="1" applyAlignment="1">
      <alignment vertical="center" wrapText="1"/>
    </xf>
    <xf numFmtId="176" fontId="6" fillId="0" borderId="1" xfId="81" applyNumberFormat="1" applyFont="1" applyFill="1" applyBorder="1" applyAlignment="1">
      <alignment vertical="center" wrapText="1"/>
    </xf>
    <xf numFmtId="177" fontId="6" fillId="7" borderId="1" xfId="81" applyNumberFormat="1" applyFont="1" applyFill="1" applyBorder="1" applyAlignment="1">
      <alignment vertical="center" wrapText="1"/>
    </xf>
    <xf numFmtId="177" fontId="6" fillId="15" borderId="1" xfId="81" applyNumberFormat="1" applyFont="1" applyFill="1" applyBorder="1" applyAlignment="1">
      <alignment horizontal="right" vertical="center" wrapText="1"/>
    </xf>
    <xf numFmtId="9" fontId="6" fillId="5" borderId="1" xfId="81" applyNumberFormat="1" applyFont="1" applyFill="1" applyBorder="1" applyAlignment="1">
      <alignment horizontal="right" vertical="center" wrapText="1"/>
    </xf>
    <xf numFmtId="9" fontId="6" fillId="7" borderId="1" xfId="81" applyNumberFormat="1" applyFont="1" applyFill="1" applyBorder="1" applyAlignment="1">
      <alignment vertical="center" wrapText="1"/>
    </xf>
    <xf numFmtId="176" fontId="6" fillId="15" borderId="1" xfId="81" applyNumberFormat="1" applyFont="1" applyFill="1" applyBorder="1" applyAlignment="1">
      <alignment horizontal="right" vertical="center" wrapText="1"/>
    </xf>
    <xf numFmtId="176" fontId="6" fillId="4" borderId="1" xfId="81" applyNumberFormat="1" applyFont="1" applyFill="1" applyBorder="1" applyAlignment="1">
      <alignment vertical="center" wrapText="1"/>
    </xf>
    <xf numFmtId="177" fontId="6" fillId="7" borderId="1" xfId="81" applyNumberFormat="1" applyFont="1" applyFill="1" applyBorder="1" applyAlignment="1">
      <alignment horizontal="center" vertical="center" wrapText="1"/>
    </xf>
    <xf numFmtId="0" fontId="10" fillId="0" borderId="1" xfId="81" applyFont="1" applyFill="1" applyBorder="1" applyAlignment="1">
      <alignment horizontal="left" vertical="center" wrapText="1"/>
    </xf>
    <xf numFmtId="0" fontId="10" fillId="2" borderId="1" xfId="81" applyFont="1" applyFill="1" applyBorder="1" applyAlignment="1">
      <alignment horizontal="left" vertical="center" wrapText="1"/>
    </xf>
    <xf numFmtId="176" fontId="6" fillId="7" borderId="1" xfId="81" applyNumberFormat="1" applyFont="1" applyFill="1" applyBorder="1" applyAlignment="1">
      <alignment horizontal="center" vertical="center" wrapText="1"/>
    </xf>
    <xf numFmtId="9" fontId="6" fillId="12" borderId="1" xfId="13" applyFont="1" applyFill="1" applyBorder="1" applyAlignment="1" applyProtection="1">
      <alignment horizontal="left" vertical="center" wrapText="1"/>
    </xf>
    <xf numFmtId="0" fontId="9" fillId="0" borderId="0" xfId="0" applyFont="1" applyFill="1" applyBorder="1" applyAlignment="1">
      <alignment vertical="center"/>
    </xf>
    <xf numFmtId="0" fontId="0" fillId="0" borderId="0" xfId="0" applyFill="1" applyAlignment="1">
      <alignment horizontal="center"/>
    </xf>
    <xf numFmtId="0" fontId="0" fillId="2" borderId="0" xfId="0" applyFill="1"/>
    <xf numFmtId="0" fontId="11" fillId="0" borderId="0" xfId="0" applyFont="1" applyFill="1" applyAlignment="1">
      <alignment horizontal="center" vertical="center" wrapText="1"/>
    </xf>
    <xf numFmtId="0" fontId="11" fillId="2" borderId="0" xfId="0" applyFont="1" applyFill="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wrapText="1"/>
    </xf>
    <xf numFmtId="176" fontId="13"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9" fontId="13" fillId="2" borderId="1" xfId="13"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0" xfId="0" applyFont="1" applyFill="1" applyAlignment="1">
      <alignment vertical="center"/>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176" fontId="19" fillId="0" borderId="0" xfId="0" applyNumberFormat="1" applyFont="1" applyFill="1" applyAlignment="1">
      <alignment horizontal="center" vertical="center" wrapText="1"/>
    </xf>
    <xf numFmtId="176" fontId="19" fillId="0" borderId="0" xfId="0" applyNumberFormat="1" applyFont="1" applyFill="1" applyAlignment="1">
      <alignment horizontal="center" vertical="center"/>
    </xf>
    <xf numFmtId="0" fontId="20"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0" fontId="17" fillId="0" borderId="1" xfId="0" applyFont="1" applyFill="1" applyBorder="1" applyAlignment="1">
      <alignment vertical="center"/>
    </xf>
    <xf numFmtId="0" fontId="21"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3" xfId="0" applyFont="1" applyFill="1" applyBorder="1" applyAlignment="1">
      <alignment horizontal="center" vertical="center" wrapText="1"/>
    </xf>
    <xf numFmtId="176" fontId="17" fillId="0" borderId="1" xfId="0" applyNumberFormat="1" applyFont="1" applyFill="1" applyBorder="1" applyAlignment="1">
      <alignment vertical="center"/>
    </xf>
    <xf numFmtId="176" fontId="19" fillId="0" borderId="0" xfId="13" applyNumberFormat="1" applyFont="1" applyFill="1" applyAlignment="1">
      <alignment horizontal="center" vertical="center"/>
    </xf>
    <xf numFmtId="0" fontId="19" fillId="0" borderId="0" xfId="0" applyFont="1" applyFill="1" applyAlignment="1">
      <alignment horizontal="center" vertical="center"/>
    </xf>
    <xf numFmtId="176" fontId="20" fillId="0" borderId="1" xfId="13" applyNumberFormat="1" applyFont="1" applyFill="1" applyBorder="1" applyAlignment="1">
      <alignment horizontal="center" vertical="center" wrapText="1"/>
    </xf>
    <xf numFmtId="9" fontId="23" fillId="0" borderId="1" xfId="13" applyNumberFormat="1" applyFont="1" applyFill="1" applyBorder="1" applyAlignment="1">
      <alignment horizontal="center" vertical="center" wrapText="1"/>
    </xf>
    <xf numFmtId="176" fontId="22" fillId="0" borderId="2" xfId="0" applyNumberFormat="1" applyFont="1" applyFill="1" applyBorder="1" applyAlignment="1">
      <alignment horizontal="center" vertical="center"/>
    </xf>
    <xf numFmtId="176" fontId="22" fillId="0" borderId="0" xfId="0" applyNumberFormat="1" applyFont="1" applyFill="1" applyBorder="1" applyAlignment="1">
      <alignment horizontal="center" vertical="center"/>
    </xf>
    <xf numFmtId="0" fontId="24" fillId="10" borderId="0" xfId="0" applyFont="1" applyFill="1" applyAlignment="1">
      <alignment horizontal="center" vertical="center" wrapText="1"/>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176" fontId="13" fillId="10" borderId="7" xfId="0" applyNumberFormat="1" applyFont="1" applyFill="1" applyBorder="1" applyAlignment="1">
      <alignment horizontal="center" vertical="center" wrapText="1"/>
    </xf>
    <xf numFmtId="176" fontId="12" fillId="10" borderId="8" xfId="0" applyNumberFormat="1" applyFont="1" applyFill="1" applyBorder="1" applyAlignment="1">
      <alignment horizontal="center" vertical="center"/>
    </xf>
    <xf numFmtId="0" fontId="12" fillId="10" borderId="9" xfId="0" applyFont="1" applyFill="1" applyBorder="1" applyAlignment="1">
      <alignment horizontal="center" vertical="center"/>
    </xf>
    <xf numFmtId="0" fontId="12" fillId="10" borderId="1" xfId="0" applyFont="1" applyFill="1" applyBorder="1" applyAlignment="1">
      <alignment horizontal="center" vertical="center"/>
    </xf>
    <xf numFmtId="177" fontId="13" fillId="10" borderId="1" xfId="0" applyNumberFormat="1" applyFont="1" applyFill="1" applyBorder="1" applyAlignment="1">
      <alignment horizontal="center" vertical="center" wrapText="1"/>
    </xf>
    <xf numFmtId="176" fontId="12" fillId="10" borderId="10" xfId="0" applyNumberFormat="1" applyFont="1" applyFill="1" applyBorder="1" applyAlignment="1">
      <alignment horizontal="center" vertical="center"/>
    </xf>
    <xf numFmtId="0" fontId="12" fillId="10" borderId="11" xfId="0" applyFont="1" applyFill="1" applyBorder="1" applyAlignment="1">
      <alignment horizontal="center" vertical="center"/>
    </xf>
    <xf numFmtId="0" fontId="12" fillId="10" borderId="12" xfId="0" applyFont="1" applyFill="1" applyBorder="1" applyAlignment="1">
      <alignment horizontal="center" vertical="center"/>
    </xf>
    <xf numFmtId="176" fontId="13" fillId="10" borderId="12" xfId="0" applyNumberFormat="1" applyFont="1" applyFill="1" applyBorder="1" applyAlignment="1">
      <alignment horizontal="center" vertical="center" wrapText="1"/>
    </xf>
    <xf numFmtId="176" fontId="12" fillId="10" borderId="13" xfId="0" applyNumberFormat="1" applyFont="1" applyFill="1" applyBorder="1" applyAlignment="1">
      <alignment horizontal="center"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 7 3" xfId="7"/>
    <cellStyle name="3232 2 2"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146;\20230314&#20234;&#27827;&#28286;&#21806;&#27004;&#37096;&#21450;&#31034;&#33539;&#21306;\02&#12289;2320230222&#20215;&#26684;&#28165;&#21333;&#65288;&#20234;&#27827;&#28286;&#21806;&#27004;&#37096;&#24149;&#22681;&#24037;&#31243;&#65289;&#65288;&#23436;&#21892;&#21644;&#20462;&#25913;&#37096;&#20998;&#24050;&#26631;&#27880;&#39068;&#33394;&#65289;(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清单报价说明"/>
      <sheetName val="汇总表"/>
      <sheetName val="Sheet1"/>
      <sheetName val="幕墙"/>
      <sheetName val="门头钢结构工程量计算"/>
    </sheetNames>
    <sheetDataSet>
      <sheetData sheetId="0"/>
      <sheetData sheetId="1">
        <row r="4">
          <cell r="F4">
            <v>2433364.70479046</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workbookViewId="0">
      <selection activeCell="C3" sqref="C3"/>
    </sheetView>
  </sheetViews>
  <sheetFormatPr defaultColWidth="11.5740740740741" defaultRowHeight="63" customHeight="1" outlineLevelRow="5" outlineLevelCol="3"/>
  <cols>
    <col min="1" max="1" width="8" customWidth="1"/>
    <col min="2" max="2" width="36.287037037037" customWidth="1"/>
    <col min="3" max="3" width="28.712962962963" customWidth="1"/>
    <col min="4" max="4" width="10.4259259259259" customWidth="1"/>
    <col min="5" max="16381" width="11.5740740740741" customWidth="1"/>
  </cols>
  <sheetData>
    <row r="1" customHeight="1" spans="1:4">
      <c r="A1" s="206" t="s">
        <v>0</v>
      </c>
      <c r="B1" s="206"/>
      <c r="C1" s="206"/>
      <c r="D1" s="206"/>
    </row>
    <row r="2" customHeight="1" spans="1:4">
      <c r="A2" s="207" t="s">
        <v>1</v>
      </c>
      <c r="B2" s="208" t="s">
        <v>2</v>
      </c>
      <c r="C2" s="209" t="s">
        <v>3</v>
      </c>
      <c r="D2" s="210" t="s">
        <v>4</v>
      </c>
    </row>
    <row r="3" customHeight="1" spans="1:4">
      <c r="A3" s="211">
        <v>1</v>
      </c>
      <c r="B3" s="212" t="s">
        <v>5</v>
      </c>
      <c r="C3" s="213">
        <f>汇总表!E14</f>
        <v>5740654.82521242</v>
      </c>
      <c r="D3" s="214"/>
    </row>
    <row r="4" customHeight="1" spans="1:4">
      <c r="A4" s="211">
        <v>2</v>
      </c>
      <c r="B4" s="212" t="s">
        <v>6</v>
      </c>
      <c r="C4" s="213">
        <f>[1]汇总表!$F$4</f>
        <v>2433364.70479046</v>
      </c>
      <c r="D4" s="214"/>
    </row>
    <row r="5" customHeight="1" spans="1:4">
      <c r="A5" s="211"/>
      <c r="B5" s="212" t="s">
        <v>7</v>
      </c>
      <c r="C5" s="213">
        <f>C4+C3</f>
        <v>8174019.53000288</v>
      </c>
      <c r="D5" s="214"/>
    </row>
    <row r="6" customHeight="1" spans="1:4">
      <c r="A6" s="215"/>
      <c r="B6" s="216"/>
      <c r="C6" s="217"/>
      <c r="D6" s="218"/>
    </row>
  </sheetData>
  <mergeCells count="1">
    <mergeCell ref="A1:D1"/>
  </mergeCells>
  <pageMargins left="0.751388888888889" right="0.751388888888889" top="1" bottom="1" header="0.5" footer="0.5"/>
  <pageSetup paperSize="9"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55" sqref="A1:I55"/>
    </sheetView>
  </sheetViews>
  <sheetFormatPr defaultColWidth="9.13888888888889" defaultRowHeight="13.2"/>
  <sheetData/>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zoomScale="110" zoomScaleNormal="110" workbookViewId="0">
      <selection activeCell="R12" sqref="R12"/>
    </sheetView>
  </sheetViews>
  <sheetFormatPr defaultColWidth="9.13888888888889" defaultRowHeight="13.2" outlineLevelRow="6"/>
  <cols>
    <col min="1" max="1" width="3.0462962962963" customWidth="1"/>
    <col min="2" max="2" width="11.5740740740741" customWidth="1"/>
    <col min="3" max="3" width="12.287037037037" customWidth="1"/>
    <col min="4" max="4" width="9.77777777777778" customWidth="1"/>
    <col min="5" max="5" width="11.4259259259259" customWidth="1"/>
    <col min="6" max="6" width="12.0740740740741" customWidth="1"/>
    <col min="7" max="7" width="9.43518518518519" customWidth="1"/>
    <col min="8" max="8" width="11.8611111111111" customWidth="1"/>
    <col min="9" max="9" width="11.4444444444444" customWidth="1"/>
    <col min="10" max="10" width="8.86111111111111" customWidth="1"/>
    <col min="11" max="11" width="12" customWidth="1"/>
    <col min="12" max="12" width="12.4259259259259" customWidth="1"/>
    <col min="13" max="13" width="10.7592592592593" customWidth="1"/>
    <col min="14" max="15" width="8.88888888888889" hidden="1" customWidth="1"/>
    <col min="16" max="16" width="12.7685185185185" hidden="1" customWidth="1"/>
    <col min="17" max="16384" width="8.88888888888889"/>
  </cols>
  <sheetData>
    <row r="1" s="185" customFormat="1" ht="27" customHeight="1" spans="1:16">
      <c r="A1" s="186" t="s">
        <v>8</v>
      </c>
      <c r="B1" s="187"/>
      <c r="C1" s="188"/>
      <c r="D1" s="188"/>
      <c r="E1" s="189"/>
      <c r="F1" s="189"/>
      <c r="G1" s="189"/>
      <c r="H1" s="189"/>
      <c r="I1" s="189"/>
      <c r="J1" s="189"/>
      <c r="K1" s="189"/>
      <c r="L1" s="200"/>
      <c r="M1" s="189"/>
      <c r="N1" s="201"/>
      <c r="O1" s="201"/>
      <c r="P1" s="201"/>
    </row>
    <row r="2" s="185" customFormat="1" ht="24" customHeight="1" spans="1:16">
      <c r="A2" s="190" t="s">
        <v>9</v>
      </c>
      <c r="B2" s="190" t="s">
        <v>10</v>
      </c>
      <c r="C2" s="191" t="s">
        <v>11</v>
      </c>
      <c r="D2" s="191" t="s">
        <v>12</v>
      </c>
      <c r="E2" s="192" t="s">
        <v>13</v>
      </c>
      <c r="F2" s="191" t="s">
        <v>14</v>
      </c>
      <c r="G2" s="191"/>
      <c r="H2" s="191"/>
      <c r="I2" s="191" t="s">
        <v>15</v>
      </c>
      <c r="J2" s="191"/>
      <c r="K2" s="191"/>
      <c r="L2" s="202" t="s">
        <v>16</v>
      </c>
      <c r="M2" s="191"/>
      <c r="N2" s="190" t="s">
        <v>17</v>
      </c>
      <c r="O2" s="190" t="s">
        <v>18</v>
      </c>
      <c r="P2" s="190" t="s">
        <v>19</v>
      </c>
    </row>
    <row r="3" s="185" customFormat="1" ht="32" customHeight="1" spans="1:16">
      <c r="A3" s="190"/>
      <c r="B3" s="190"/>
      <c r="C3" s="191"/>
      <c r="D3" s="191"/>
      <c r="E3" s="192"/>
      <c r="F3" s="191" t="s">
        <v>20</v>
      </c>
      <c r="G3" s="191" t="s">
        <v>20</v>
      </c>
      <c r="H3" s="191" t="s">
        <v>21</v>
      </c>
      <c r="I3" s="191" t="s">
        <v>22</v>
      </c>
      <c r="J3" s="191" t="s">
        <v>23</v>
      </c>
      <c r="K3" s="191" t="s">
        <v>24</v>
      </c>
      <c r="L3" s="202" t="s">
        <v>25</v>
      </c>
      <c r="M3" s="191" t="s">
        <v>26</v>
      </c>
      <c r="N3" s="190"/>
      <c r="O3" s="190"/>
      <c r="P3" s="190"/>
    </row>
    <row r="4" s="185" customFormat="1" ht="32" customHeight="1" spans="1:16">
      <c r="A4" s="193">
        <v>1</v>
      </c>
      <c r="B4" s="194" t="s">
        <v>27</v>
      </c>
      <c r="C4" s="195">
        <f>汇总表!E4+汇总表!E5+汇总表!E6+汇总表!E9+汇总表!E10+汇总表!E11</f>
        <v>4379892.67941706</v>
      </c>
      <c r="D4" s="195">
        <v>1</v>
      </c>
      <c r="E4" s="195">
        <f>C4</f>
        <v>4379892.67941706</v>
      </c>
      <c r="F4" s="195">
        <v>1</v>
      </c>
      <c r="G4" s="195">
        <v>0</v>
      </c>
      <c r="H4" s="195">
        <f>汇总表!F4+汇总表!F5+汇总表!F6+汇总表!F9+汇总表!F10+汇总表!F11</f>
        <v>2129423.56185477</v>
      </c>
      <c r="I4" s="195">
        <v>1</v>
      </c>
      <c r="J4" s="203">
        <v>0.8</v>
      </c>
      <c r="K4" s="204">
        <f>汇总表!I4+汇总表!I5+汇总表!I6+汇总表!I9+汇总表!I10+汇总表!I11</f>
        <v>1151265.01109748</v>
      </c>
      <c r="L4" s="195">
        <f>K4+H4</f>
        <v>3280688.57295225</v>
      </c>
      <c r="M4" s="203">
        <v>0.486181675606303</v>
      </c>
      <c r="N4" s="193"/>
      <c r="O4" s="193"/>
      <c r="P4" s="193"/>
    </row>
    <row r="5" s="185" customFormat="1" ht="29" customHeight="1" spans="1:16">
      <c r="A5" s="193">
        <v>2</v>
      </c>
      <c r="B5" s="194" t="s">
        <v>28</v>
      </c>
      <c r="C5" s="195">
        <f>汇总表!E7+汇总表!E12+汇总表!E13</f>
        <v>1360762.14579536</v>
      </c>
      <c r="D5" s="195">
        <v>1</v>
      </c>
      <c r="E5" s="195">
        <f>C5</f>
        <v>1360762.14579536</v>
      </c>
      <c r="F5" s="195">
        <v>1</v>
      </c>
      <c r="G5" s="195">
        <v>0</v>
      </c>
      <c r="H5" s="195">
        <f>汇总表!F7+汇总表!F12+汇总表!F13</f>
        <v>602070.929478176</v>
      </c>
      <c r="I5" s="195">
        <v>1</v>
      </c>
      <c r="J5" s="203">
        <v>0.8</v>
      </c>
      <c r="K5" s="204">
        <f>汇总表!I7+汇总表!I12+汇总表!I13</f>
        <v>467583.916342113</v>
      </c>
      <c r="L5" s="195">
        <f>K5+H5</f>
        <v>1069654.84582029</v>
      </c>
      <c r="M5" s="203">
        <v>0.42032256008135</v>
      </c>
      <c r="N5" s="193"/>
      <c r="O5" s="193"/>
      <c r="P5" s="193"/>
    </row>
    <row r="6" s="185" customFormat="1" ht="26" customHeight="1" spans="1:18">
      <c r="A6" s="193"/>
      <c r="B6" s="196" t="s">
        <v>29</v>
      </c>
      <c r="C6" s="197"/>
      <c r="D6" s="197"/>
      <c r="E6" s="198"/>
      <c r="F6" s="195">
        <v>0</v>
      </c>
      <c r="G6" s="199"/>
      <c r="H6" s="195">
        <f>H4+H5</f>
        <v>2731494.49133294</v>
      </c>
      <c r="I6" s="199"/>
      <c r="J6" s="199"/>
      <c r="K6" s="195">
        <f>K4+K5</f>
        <v>1618848.92743959</v>
      </c>
      <c r="L6" s="195">
        <f>L4+L5</f>
        <v>4350343.41877254</v>
      </c>
      <c r="M6" s="195"/>
      <c r="N6" s="195"/>
      <c r="O6" s="195"/>
      <c r="P6" s="195"/>
      <c r="Q6" s="205"/>
      <c r="R6" s="205"/>
    </row>
    <row r="7" customFormat="1" ht="15" customHeight="1" spans="12:18">
      <c r="L7" s="205"/>
      <c r="M7" s="205"/>
      <c r="N7" s="205"/>
      <c r="O7" s="205"/>
      <c r="P7" s="205"/>
      <c r="Q7" s="205"/>
      <c r="R7" s="205"/>
    </row>
  </sheetData>
  <mergeCells count="13">
    <mergeCell ref="A1:P1"/>
    <mergeCell ref="F2:H2"/>
    <mergeCell ref="I2:K2"/>
    <mergeCell ref="L2:M2"/>
    <mergeCell ref="B6:E6"/>
    <mergeCell ref="A2:A3"/>
    <mergeCell ref="B2:B3"/>
    <mergeCell ref="C2:C3"/>
    <mergeCell ref="D2:D3"/>
    <mergeCell ref="E2:E3"/>
    <mergeCell ref="N2:N3"/>
    <mergeCell ref="O2:O3"/>
    <mergeCell ref="P2:P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view="pageBreakPreview" zoomScaleNormal="100" topLeftCell="A9" workbookViewId="0">
      <selection activeCell="J20" sqref="J20"/>
    </sheetView>
  </sheetViews>
  <sheetFormatPr defaultColWidth="8.86111111111111" defaultRowHeight="13.2"/>
  <cols>
    <col min="1" max="1" width="8.86111111111111" style="4"/>
    <col min="2" max="2" width="16.5740740740741" style="4" customWidth="1"/>
    <col min="3" max="3" width="8.13888888888889" style="167" customWidth="1"/>
    <col min="4" max="4" width="17.4259259259259" style="4" customWidth="1"/>
    <col min="5" max="6" width="17.1388888888889" style="4" customWidth="1"/>
    <col min="7" max="9" width="17.1388888888889" style="168" customWidth="1"/>
    <col min="10" max="10" width="10.287037037037" style="4" customWidth="1"/>
    <col min="11" max="11" width="8.86111111111111" style="4"/>
    <col min="12" max="12" width="14.5740740740741" style="4"/>
    <col min="13" max="15" width="8.86111111111111" style="4"/>
    <col min="16" max="16" width="14.5740740740741" style="4"/>
    <col min="17" max="16384" width="8.86111111111111" style="4"/>
  </cols>
  <sheetData>
    <row r="1" s="166" customFormat="1" ht="48" customHeight="1" spans="1:10">
      <c r="A1" s="169" t="s">
        <v>30</v>
      </c>
      <c r="B1" s="169"/>
      <c r="C1" s="169"/>
      <c r="D1" s="169"/>
      <c r="E1" s="169"/>
      <c r="F1" s="169"/>
      <c r="G1" s="170"/>
      <c r="H1" s="170"/>
      <c r="I1" s="170"/>
      <c r="J1" s="169"/>
    </row>
    <row r="2" s="166" customFormat="1" ht="30" customHeight="1" spans="1:10">
      <c r="A2" s="171" t="s">
        <v>1</v>
      </c>
      <c r="B2" s="171" t="s">
        <v>2</v>
      </c>
      <c r="C2" s="171" t="s">
        <v>31</v>
      </c>
      <c r="D2" s="172" t="s">
        <v>3</v>
      </c>
      <c r="E2" s="172" t="s">
        <v>32</v>
      </c>
      <c r="F2" s="172" t="s">
        <v>33</v>
      </c>
      <c r="G2" s="173" t="s">
        <v>34</v>
      </c>
      <c r="H2" s="173" t="s">
        <v>35</v>
      </c>
      <c r="I2" s="181" t="s">
        <v>36</v>
      </c>
      <c r="J2" s="182" t="s">
        <v>4</v>
      </c>
    </row>
    <row r="3" s="166" customFormat="1" ht="30" customHeight="1" spans="1:12">
      <c r="A3" s="171" t="s">
        <v>37</v>
      </c>
      <c r="B3" s="171" t="s">
        <v>38</v>
      </c>
      <c r="C3" s="171"/>
      <c r="D3" s="172"/>
      <c r="E3" s="172">
        <f>SUM(E4:E7)</f>
        <v>1784260.40609406</v>
      </c>
      <c r="F3" s="172">
        <f>SUM(F4:F7)</f>
        <v>695014.641700891</v>
      </c>
      <c r="G3" s="173">
        <f>SUM(G4:G7)</f>
        <v>1731768.30934731</v>
      </c>
      <c r="H3" s="173">
        <f>SUM(H4:H7)</f>
        <v>1588778.26545625</v>
      </c>
      <c r="I3" s="173">
        <f>SUM(I4:I7)</f>
        <v>690400.005776957</v>
      </c>
      <c r="J3" s="183"/>
      <c r="L3" s="166">
        <f>E4+E5+E6+E9+E10+E11</f>
        <v>4379892.67941706</v>
      </c>
    </row>
    <row r="4" s="166" customFormat="1" ht="30" customHeight="1" spans="1:10">
      <c r="A4" s="174">
        <v>1.1</v>
      </c>
      <c r="B4" s="175" t="s">
        <v>39</v>
      </c>
      <c r="C4" s="174" t="s">
        <v>40</v>
      </c>
      <c r="D4" s="174">
        <f>装饰工程!N6</f>
        <v>167422.30437225</v>
      </c>
      <c r="E4" s="176">
        <f t="shared" ref="E4:E7" si="0">D4</f>
        <v>167422.30437225</v>
      </c>
      <c r="F4" s="176">
        <v>133937.8434978</v>
      </c>
      <c r="G4" s="177">
        <f>装饰工程!Q6</f>
        <v>167422.30437225</v>
      </c>
      <c r="H4" s="173">
        <f t="shared" ref="H3:H7" si="1">G4/1.09</f>
        <v>153598.444378211</v>
      </c>
      <c r="I4" s="173">
        <f>G4*0.8-F4</f>
        <v>0</v>
      </c>
      <c r="J4" s="9"/>
    </row>
    <row r="5" s="166" customFormat="1" ht="30" customHeight="1" spans="1:10">
      <c r="A5" s="174">
        <v>1.2</v>
      </c>
      <c r="B5" s="175" t="s">
        <v>41</v>
      </c>
      <c r="C5" s="174" t="s">
        <v>40</v>
      </c>
      <c r="D5" s="174">
        <f>装饰工程!N12</f>
        <v>268741.7305965</v>
      </c>
      <c r="E5" s="176">
        <f t="shared" si="0"/>
        <v>268741.7305965</v>
      </c>
      <c r="F5" s="176">
        <v>174682.124887725</v>
      </c>
      <c r="G5" s="177">
        <f>装饰工程!Q12</f>
        <v>268741.7305965</v>
      </c>
      <c r="H5" s="173">
        <f t="shared" si="1"/>
        <v>246552.046418807</v>
      </c>
      <c r="I5" s="173">
        <f>G5*0.8-F5</f>
        <v>40311.2595894751</v>
      </c>
      <c r="J5" s="9"/>
    </row>
    <row r="6" s="166" customFormat="1" ht="30" customHeight="1" spans="1:10">
      <c r="A6" s="174">
        <v>1.3</v>
      </c>
      <c r="B6" s="175" t="s">
        <v>42</v>
      </c>
      <c r="C6" s="174" t="s">
        <v>40</v>
      </c>
      <c r="D6" s="174">
        <f>装饰工程!N16</f>
        <v>584895.199753389</v>
      </c>
      <c r="E6" s="176">
        <f t="shared" si="0"/>
        <v>584895.199753389</v>
      </c>
      <c r="F6" s="176">
        <v>142477.228501875</v>
      </c>
      <c r="G6" s="177">
        <f>装饰工程!Q16</f>
        <v>556096.691526639</v>
      </c>
      <c r="H6" s="173">
        <f t="shared" si="1"/>
        <v>510180.450941871</v>
      </c>
      <c r="I6" s="173">
        <f>G6*0.8-F6</f>
        <v>302400.124719436</v>
      </c>
      <c r="J6" s="9"/>
    </row>
    <row r="7" s="166" customFormat="1" ht="30" customHeight="1" spans="1:12">
      <c r="A7" s="174">
        <v>1.4</v>
      </c>
      <c r="B7" s="175" t="s">
        <v>43</v>
      </c>
      <c r="C7" s="174"/>
      <c r="D7" s="174">
        <f>安装工程!N6</f>
        <v>763201.171371921</v>
      </c>
      <c r="E7" s="176">
        <f t="shared" si="0"/>
        <v>763201.171371921</v>
      </c>
      <c r="F7" s="176">
        <v>243917.444813491</v>
      </c>
      <c r="G7" s="177">
        <f>安装工程!Q6</f>
        <v>739507.582851921</v>
      </c>
      <c r="H7" s="173">
        <f t="shared" si="1"/>
        <v>678447.323717359</v>
      </c>
      <c r="I7" s="173">
        <f>G7*0.8-F7</f>
        <v>347688.621468046</v>
      </c>
      <c r="J7" s="9"/>
      <c r="L7" s="166">
        <f>F7+F12</f>
        <v>602070.929478176</v>
      </c>
    </row>
    <row r="8" s="166" customFormat="1" ht="30" customHeight="1" spans="1:10">
      <c r="A8" s="174" t="s">
        <v>44</v>
      </c>
      <c r="B8" s="175" t="s">
        <v>45</v>
      </c>
      <c r="C8" s="174" t="s">
        <v>40</v>
      </c>
      <c r="D8" s="174"/>
      <c r="E8" s="172">
        <f>SUM(E9:E12)</f>
        <v>3829391.18322585</v>
      </c>
      <c r="F8" s="172">
        <f>SUM(F9:F12)</f>
        <v>2036479.84963205</v>
      </c>
      <c r="G8" s="173">
        <f>SUM(G9:G12)</f>
        <v>3579157.72822585</v>
      </c>
      <c r="H8" s="173">
        <f>SUM(H9:H12)</f>
        <v>3283630.94332647</v>
      </c>
      <c r="I8" s="173">
        <f>SUM(I9:I12)</f>
        <v>826846.332948629</v>
      </c>
      <c r="J8" s="184"/>
    </row>
    <row r="9" s="166" customFormat="1" ht="30" customHeight="1" spans="1:10">
      <c r="A9" s="174">
        <v>2.1</v>
      </c>
      <c r="B9" s="175" t="s">
        <v>46</v>
      </c>
      <c r="C9" s="174" t="s">
        <v>40</v>
      </c>
      <c r="D9" s="174">
        <f>装饰工程!N61</f>
        <v>603813.08300025</v>
      </c>
      <c r="E9" s="176">
        <f>D9</f>
        <v>603813.08300025</v>
      </c>
      <c r="F9" s="176">
        <v>483050.4664002</v>
      </c>
      <c r="G9" s="177">
        <f>装饰工程!Q61</f>
        <v>603813.08300025</v>
      </c>
      <c r="H9" s="173">
        <f t="shared" ref="H8:H13" si="2">G9/1.09</f>
        <v>553956.956880963</v>
      </c>
      <c r="I9" s="173">
        <f>G9*0.8-F9</f>
        <v>0</v>
      </c>
      <c r="J9" s="184"/>
    </row>
    <row r="10" s="166" customFormat="1" ht="30" customHeight="1" spans="1:10">
      <c r="A10" s="174">
        <v>2.2</v>
      </c>
      <c r="B10" s="175" t="s">
        <v>47</v>
      </c>
      <c r="C10" s="174" t="s">
        <v>40</v>
      </c>
      <c r="D10" s="174">
        <f>装饰工程!N75</f>
        <v>616224.57931182</v>
      </c>
      <c r="E10" s="176">
        <f>D10</f>
        <v>616224.57931182</v>
      </c>
      <c r="F10" s="176">
        <v>400545.976552683</v>
      </c>
      <c r="G10" s="177">
        <f>装饰工程!Q75</f>
        <v>616224.57931182</v>
      </c>
      <c r="H10" s="173">
        <f t="shared" si="2"/>
        <v>565343.650744789</v>
      </c>
      <c r="I10" s="173">
        <f>G10*0.8-F10</f>
        <v>92433.6868967731</v>
      </c>
      <c r="J10" s="184"/>
    </row>
    <row r="11" s="166" customFormat="1" ht="30" customHeight="1" spans="1:10">
      <c r="A11" s="174">
        <v>2.3</v>
      </c>
      <c r="B11" s="175" t="s">
        <v>48</v>
      </c>
      <c r="C11" s="174" t="s">
        <v>40</v>
      </c>
      <c r="D11" s="174">
        <f>装饰工程!N86</f>
        <v>2138795.78238285</v>
      </c>
      <c r="E11" s="176">
        <f>D11</f>
        <v>2138795.78238285</v>
      </c>
      <c r="F11" s="176">
        <v>794729.922014482</v>
      </c>
      <c r="G11" s="177">
        <f>装饰工程!Q86</f>
        <v>1888562.32738285</v>
      </c>
      <c r="H11" s="173">
        <f t="shared" si="2"/>
        <v>1732625.98842463</v>
      </c>
      <c r="I11" s="173">
        <f>G11*0.8-F11</f>
        <v>716119.939891797</v>
      </c>
      <c r="J11" s="184"/>
    </row>
    <row r="12" s="166" customFormat="1" ht="30" customHeight="1" spans="1:10">
      <c r="A12" s="174">
        <v>2.3</v>
      </c>
      <c r="B12" s="175" t="s">
        <v>49</v>
      </c>
      <c r="C12" s="174" t="s">
        <v>40</v>
      </c>
      <c r="D12" s="174">
        <f>安装工程!N145</f>
        <v>470557.73853093</v>
      </c>
      <c r="E12" s="176">
        <f>D12</f>
        <v>470557.73853093</v>
      </c>
      <c r="F12" s="176">
        <v>358153.484664685</v>
      </c>
      <c r="G12" s="177">
        <f>安装工程!Q145</f>
        <v>470557.73853093</v>
      </c>
      <c r="H12" s="173">
        <f t="shared" si="2"/>
        <v>431704.347276083</v>
      </c>
      <c r="I12" s="173">
        <f>G12*0.8-F12</f>
        <v>18292.7061600591</v>
      </c>
      <c r="J12" s="184"/>
    </row>
    <row r="13" s="166" customFormat="1" ht="30" customHeight="1" spans="1:10">
      <c r="A13" s="174" t="s">
        <v>50</v>
      </c>
      <c r="B13" s="175" t="s">
        <v>51</v>
      </c>
      <c r="C13" s="174" t="s">
        <v>40</v>
      </c>
      <c r="D13" s="176">
        <f>增加示范区弱电工程!P25</f>
        <v>127003.23589251</v>
      </c>
      <c r="E13" s="176">
        <f>D13</f>
        <v>127003.23589251</v>
      </c>
      <c r="F13" s="176">
        <v>0</v>
      </c>
      <c r="G13" s="177">
        <f>增加示范区弱电工程!Q25</f>
        <v>127003.23589251</v>
      </c>
      <c r="H13" s="173">
        <f t="shared" si="2"/>
        <v>116516.730176615</v>
      </c>
      <c r="I13" s="173">
        <f>G13*0.8-F13</f>
        <v>101602.588714008</v>
      </c>
      <c r="J13" s="184"/>
    </row>
    <row r="14" s="166" customFormat="1" ht="30" customHeight="1" spans="1:12">
      <c r="A14" s="178" t="s">
        <v>32</v>
      </c>
      <c r="B14" s="178"/>
      <c r="C14" s="178"/>
      <c r="D14" s="178"/>
      <c r="E14" s="179">
        <f>E3+E8+E13</f>
        <v>5740654.82521242</v>
      </c>
      <c r="F14" s="179">
        <f>F3+F8+F13</f>
        <v>2731494.49133294</v>
      </c>
      <c r="G14" s="180">
        <f>G3+G8+G13</f>
        <v>5437929.27346567</v>
      </c>
      <c r="H14" s="180">
        <f>H3+H8+H13</f>
        <v>4988925.93895933</v>
      </c>
      <c r="I14" s="180">
        <f>I3+I8+I13</f>
        <v>1618848.92743959</v>
      </c>
      <c r="J14" s="9"/>
      <c r="L14" s="166">
        <f>I14+F14</f>
        <v>4350343.41877254</v>
      </c>
    </row>
  </sheetData>
  <mergeCells count="2">
    <mergeCell ref="A1:J1"/>
    <mergeCell ref="A14:B14"/>
  </mergeCells>
  <pageMargins left="0.751388888888889" right="0.751388888888889" top="1" bottom="1" header="0.5" footer="0.5"/>
  <pageSetup paperSize="9" orientation="portrait"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U50" sqref="U50"/>
    </sheetView>
  </sheetViews>
  <sheetFormatPr defaultColWidth="9.13888888888889" defaultRowHeight="13.2"/>
  <sheetData/>
  <pageMargins left="0.75" right="0.75" top="1" bottom="1" header="0.5" footer="0.5"/>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282"/>
  <sheetViews>
    <sheetView view="pageBreakPreview" zoomScale="90" zoomScaleNormal="115" workbookViewId="0">
      <pane ySplit="5" topLeftCell="A84" activePane="bottomLeft" state="frozen"/>
      <selection/>
      <selection pane="bottomLeft" activeCell="N86" sqref="N86:O86"/>
    </sheetView>
  </sheetViews>
  <sheetFormatPr defaultColWidth="9" defaultRowHeight="10.8"/>
  <cols>
    <col min="1" max="1" width="5.28703703703704" style="21" customWidth="1"/>
    <col min="2" max="2" width="9.43518518518519" style="21" customWidth="1"/>
    <col min="3" max="3" width="28.4166666666667" style="21" customWidth="1"/>
    <col min="4" max="4" width="6.42592592592593" style="20" customWidth="1"/>
    <col min="5" max="5" width="6" style="21" customWidth="1"/>
    <col min="6" max="6" width="9" style="60" customWidth="1"/>
    <col min="7" max="7" width="7.28703703703704" style="21" customWidth="1" outlineLevel="1"/>
    <col min="8" max="8" width="11.0833333333333" style="21" customWidth="1" outlineLevel="1"/>
    <col min="9" max="9" width="7.37037037037037" style="21" customWidth="1" outlineLevel="1"/>
    <col min="10" max="10" width="5.86111111111111" style="21" customWidth="1" outlineLevel="1"/>
    <col min="11" max="11" width="8.69444444444444" style="21" customWidth="1" outlineLevel="1"/>
    <col min="12" max="12" width="8.57407407407407" style="21" customWidth="1" outlineLevel="1"/>
    <col min="13" max="13" width="8.13888888888889" style="21" customWidth="1" outlineLevel="1"/>
    <col min="14" max="14" width="4.13888888888889" style="21" customWidth="1" outlineLevel="1"/>
    <col min="15" max="15" width="11.6851851851852" style="21" customWidth="1"/>
    <col min="16" max="16" width="11.1759259259259" style="21" customWidth="1"/>
    <col min="17" max="17" width="11.1759259259259" style="60" customWidth="1"/>
    <col min="18" max="18" width="8.57407407407407" style="21" customWidth="1"/>
    <col min="19" max="19" width="12.287037037037" style="102" customWidth="1"/>
    <col min="20" max="21" width="11" style="21"/>
    <col min="22" max="16383" width="9" style="21"/>
  </cols>
  <sheetData>
    <row r="1" s="100" customFormat="1" ht="25.8" spans="1:19">
      <c r="A1" s="61" t="s">
        <v>52</v>
      </c>
      <c r="B1" s="61"/>
      <c r="C1" s="61"/>
      <c r="D1" s="61"/>
      <c r="E1" s="61"/>
      <c r="F1" s="62"/>
      <c r="G1" s="61"/>
      <c r="H1" s="61"/>
      <c r="I1" s="61"/>
      <c r="J1" s="61"/>
      <c r="K1" s="61"/>
      <c r="L1" s="61"/>
      <c r="M1" s="61"/>
      <c r="N1" s="61"/>
      <c r="O1" s="61"/>
      <c r="P1" s="61"/>
      <c r="Q1" s="62"/>
      <c r="R1" s="61"/>
      <c r="S1" s="115"/>
    </row>
    <row r="2" s="100" customFormat="1" spans="1:19">
      <c r="A2" s="63" t="s">
        <v>53</v>
      </c>
      <c r="B2" s="63"/>
      <c r="C2" s="63"/>
      <c r="D2" s="73"/>
      <c r="E2" s="63"/>
      <c r="F2" s="64"/>
      <c r="G2" s="63"/>
      <c r="H2" s="63"/>
      <c r="I2" s="63"/>
      <c r="J2" s="63"/>
      <c r="K2" s="63"/>
      <c r="L2" s="63"/>
      <c r="M2" s="63"/>
      <c r="N2" s="63"/>
      <c r="O2" s="63"/>
      <c r="P2" s="63"/>
      <c r="Q2" s="64"/>
      <c r="R2" s="63"/>
      <c r="S2" s="115"/>
    </row>
    <row r="3" s="100" customFormat="1" spans="1:19">
      <c r="A3" s="65" t="s">
        <v>9</v>
      </c>
      <c r="B3" s="65" t="s">
        <v>54</v>
      </c>
      <c r="C3" s="65" t="s">
        <v>55</v>
      </c>
      <c r="D3" s="58" t="s">
        <v>31</v>
      </c>
      <c r="E3" s="65" t="s">
        <v>56</v>
      </c>
      <c r="F3" s="57" t="s">
        <v>57</v>
      </c>
      <c r="G3" s="65" t="s">
        <v>58</v>
      </c>
      <c r="H3" s="65"/>
      <c r="I3" s="65"/>
      <c r="J3" s="65"/>
      <c r="K3" s="65"/>
      <c r="L3" s="65"/>
      <c r="M3" s="65"/>
      <c r="N3" s="65" t="s">
        <v>59</v>
      </c>
      <c r="O3" s="65"/>
      <c r="P3" s="65" t="s">
        <v>60</v>
      </c>
      <c r="Q3" s="57" t="s">
        <v>61</v>
      </c>
      <c r="R3" s="65" t="s">
        <v>62</v>
      </c>
      <c r="S3" s="115"/>
    </row>
    <row r="4" s="100" customFormat="1" ht="43.2" spans="1:19">
      <c r="A4" s="65"/>
      <c r="B4" s="65"/>
      <c r="C4" s="65"/>
      <c r="D4" s="58"/>
      <c r="E4" s="65"/>
      <c r="F4" s="57"/>
      <c r="G4" s="65" t="s">
        <v>63</v>
      </c>
      <c r="H4" s="65" t="s">
        <v>64</v>
      </c>
      <c r="I4" s="65" t="s">
        <v>65</v>
      </c>
      <c r="J4" s="65" t="s">
        <v>66</v>
      </c>
      <c r="K4" s="65" t="s">
        <v>67</v>
      </c>
      <c r="L4" s="65" t="s">
        <v>68</v>
      </c>
      <c r="M4" s="65" t="s">
        <v>69</v>
      </c>
      <c r="N4" s="65"/>
      <c r="O4" s="65"/>
      <c r="P4" s="65"/>
      <c r="Q4" s="57"/>
      <c r="R4" s="65"/>
      <c r="S4" s="115"/>
    </row>
    <row r="5" s="100" customFormat="1" spans="1:19">
      <c r="A5" s="65"/>
      <c r="B5" s="65"/>
      <c r="C5" s="65"/>
      <c r="D5" s="58"/>
      <c r="E5" s="65"/>
      <c r="F5" s="57"/>
      <c r="G5" s="65"/>
      <c r="H5" s="65" t="s">
        <v>70</v>
      </c>
      <c r="I5" s="65" t="s">
        <v>71</v>
      </c>
      <c r="J5" s="65" t="s">
        <v>72</v>
      </c>
      <c r="K5" s="65"/>
      <c r="L5" s="110">
        <v>0.06</v>
      </c>
      <c r="M5" s="110">
        <v>0.03</v>
      </c>
      <c r="N5" s="65"/>
      <c r="O5" s="65"/>
      <c r="P5" s="65"/>
      <c r="Q5" s="57"/>
      <c r="R5" s="65"/>
      <c r="S5" s="115"/>
    </row>
    <row r="6" s="100" customFormat="1" spans="1:19">
      <c r="A6" s="65"/>
      <c r="B6" s="65" t="s">
        <v>73</v>
      </c>
      <c r="C6" s="65"/>
      <c r="D6" s="58"/>
      <c r="E6" s="65"/>
      <c r="F6" s="57"/>
      <c r="G6" s="103"/>
      <c r="H6" s="67"/>
      <c r="I6" s="103"/>
      <c r="J6" s="74"/>
      <c r="K6" s="67"/>
      <c r="L6" s="67"/>
      <c r="M6" s="67"/>
      <c r="N6" s="67">
        <f>SUM(P7:P11)</f>
        <v>167422.30437225</v>
      </c>
      <c r="O6" s="67"/>
      <c r="P6" s="67"/>
      <c r="Q6" s="82">
        <f>SUM(Q7:Q11)</f>
        <v>167422.30437225</v>
      </c>
      <c r="R6" s="116"/>
      <c r="S6" s="115"/>
    </row>
    <row r="7" s="100" customFormat="1" ht="54" outlineLevel="1" spans="1:19">
      <c r="A7" s="65">
        <v>1</v>
      </c>
      <c r="B7" s="65" t="s">
        <v>74</v>
      </c>
      <c r="C7" s="104" t="s">
        <v>75</v>
      </c>
      <c r="D7" s="58" t="s">
        <v>76</v>
      </c>
      <c r="E7" s="65">
        <v>10.11</v>
      </c>
      <c r="F7" s="57">
        <v>10.11</v>
      </c>
      <c r="G7" s="105">
        <v>25</v>
      </c>
      <c r="H7" s="67">
        <f t="shared" ref="H7:H11" si="0">I7*(1+J7)</f>
        <v>15.75</v>
      </c>
      <c r="I7" s="105">
        <v>15</v>
      </c>
      <c r="J7" s="88">
        <v>0.05</v>
      </c>
      <c r="K7" s="72">
        <v>5</v>
      </c>
      <c r="L7" s="67">
        <f>(G7+H7+K7)*$L$5</f>
        <v>2.745</v>
      </c>
      <c r="M7" s="67">
        <f>(G7+H7+K7+L7)*$M$5</f>
        <v>1.45485</v>
      </c>
      <c r="N7" s="67">
        <f>(G7+H7+K7+L7+M7)*1.5</f>
        <v>74.924775</v>
      </c>
      <c r="O7" s="67"/>
      <c r="P7" s="67">
        <f t="shared" ref="P7:P11" si="1">N7*E7</f>
        <v>757.48947525</v>
      </c>
      <c r="Q7" s="82">
        <f>F7*N7</f>
        <v>757.48947525</v>
      </c>
      <c r="R7" s="116"/>
      <c r="S7" s="117" t="s">
        <v>77</v>
      </c>
    </row>
    <row r="8" s="100" customFormat="1" ht="159" customHeight="1" outlineLevel="1" spans="1:19">
      <c r="A8" s="65">
        <v>2</v>
      </c>
      <c r="B8" s="65" t="s">
        <v>78</v>
      </c>
      <c r="C8" s="65" t="s">
        <v>79</v>
      </c>
      <c r="D8" s="58" t="s">
        <v>76</v>
      </c>
      <c r="E8" s="65">
        <v>228.14</v>
      </c>
      <c r="F8" s="57">
        <v>228.14</v>
      </c>
      <c r="G8" s="105">
        <v>85</v>
      </c>
      <c r="H8" s="67">
        <f t="shared" si="0"/>
        <v>267.75</v>
      </c>
      <c r="I8" s="105">
        <v>255</v>
      </c>
      <c r="J8" s="88">
        <f t="shared" ref="J8:J11" si="2">J7</f>
        <v>0.05</v>
      </c>
      <c r="K8" s="72">
        <v>35</v>
      </c>
      <c r="L8" s="67">
        <f>(G8+H8+K8)*$L$5</f>
        <v>23.265</v>
      </c>
      <c r="M8" s="67">
        <f>(G8+H8+K8+L8)*$M$5</f>
        <v>12.33045</v>
      </c>
      <c r="N8" s="67">
        <f>(G8+H8+K8+L8+M8)*1.5</f>
        <v>635.018175</v>
      </c>
      <c r="O8" s="67"/>
      <c r="P8" s="67">
        <f t="shared" si="1"/>
        <v>144873.0464445</v>
      </c>
      <c r="Q8" s="82">
        <f>F8*N8</f>
        <v>144873.0464445</v>
      </c>
      <c r="R8" s="116"/>
      <c r="S8" s="115"/>
    </row>
    <row r="9" s="100" customFormat="1" ht="148" customHeight="1" outlineLevel="1" spans="1:19">
      <c r="A9" s="65">
        <v>3</v>
      </c>
      <c r="B9" s="65" t="s">
        <v>78</v>
      </c>
      <c r="C9" s="65" t="s">
        <v>80</v>
      </c>
      <c r="D9" s="58" t="s">
        <v>76</v>
      </c>
      <c r="E9" s="65">
        <v>10.86</v>
      </c>
      <c r="F9" s="57">
        <v>10.86</v>
      </c>
      <c r="G9" s="103">
        <f t="shared" ref="G9:K9" si="3">G8</f>
        <v>85</v>
      </c>
      <c r="H9" s="67">
        <f t="shared" si="0"/>
        <v>267.75</v>
      </c>
      <c r="I9" s="107">
        <f t="shared" si="3"/>
        <v>255</v>
      </c>
      <c r="J9" s="74">
        <f t="shared" si="3"/>
        <v>0.05</v>
      </c>
      <c r="K9" s="67">
        <f t="shared" si="3"/>
        <v>35</v>
      </c>
      <c r="L9" s="67">
        <f>(G9+H9+K9)*$L$5</f>
        <v>23.265</v>
      </c>
      <c r="M9" s="67">
        <f>(G9+H9+K9+L9)*$M$5</f>
        <v>12.33045</v>
      </c>
      <c r="N9" s="67">
        <f>(G9+H9+K9+L9+M9)*1.5</f>
        <v>635.018175</v>
      </c>
      <c r="O9" s="67"/>
      <c r="P9" s="67">
        <f t="shared" si="1"/>
        <v>6896.2973805</v>
      </c>
      <c r="Q9" s="82">
        <f>F9*N9</f>
        <v>6896.2973805</v>
      </c>
      <c r="R9" s="116"/>
      <c r="S9" s="115"/>
    </row>
    <row r="10" s="100" customFormat="1" ht="148" customHeight="1" outlineLevel="1" spans="1:19">
      <c r="A10" s="65">
        <v>4</v>
      </c>
      <c r="B10" s="65" t="s">
        <v>81</v>
      </c>
      <c r="C10" s="65" t="s">
        <v>82</v>
      </c>
      <c r="D10" s="58" t="s">
        <v>76</v>
      </c>
      <c r="E10" s="65">
        <v>29.18</v>
      </c>
      <c r="F10" s="57">
        <v>29.18</v>
      </c>
      <c r="G10" s="105">
        <v>65</v>
      </c>
      <c r="H10" s="67">
        <f t="shared" si="0"/>
        <v>68.25</v>
      </c>
      <c r="I10" s="105">
        <v>65</v>
      </c>
      <c r="J10" s="88">
        <f t="shared" si="2"/>
        <v>0.05</v>
      </c>
      <c r="K10" s="72">
        <f>K8</f>
        <v>35</v>
      </c>
      <c r="L10" s="67">
        <f>(G10+H10+K10)*$L$5</f>
        <v>10.095</v>
      </c>
      <c r="M10" s="67">
        <f>(G10+H10+K10+L10)*$M$5</f>
        <v>5.35035</v>
      </c>
      <c r="N10" s="67">
        <f>(G10+H10+K10+L10+M10)*1.5</f>
        <v>275.543025</v>
      </c>
      <c r="O10" s="67"/>
      <c r="P10" s="67">
        <f t="shared" si="1"/>
        <v>8040.3454695</v>
      </c>
      <c r="Q10" s="82">
        <f>F10*N10</f>
        <v>8040.3454695</v>
      </c>
      <c r="R10" s="116" t="s">
        <v>83</v>
      </c>
      <c r="S10" s="115"/>
    </row>
    <row r="11" s="100" customFormat="1" ht="28" customHeight="1" outlineLevel="1" spans="1:19">
      <c r="A11" s="65">
        <v>5</v>
      </c>
      <c r="B11" s="65" t="s">
        <v>78</v>
      </c>
      <c r="C11" s="65" t="s">
        <v>84</v>
      </c>
      <c r="D11" s="58" t="s">
        <v>76</v>
      </c>
      <c r="E11" s="65">
        <v>4.69</v>
      </c>
      <c r="F11" s="57">
        <v>4.69</v>
      </c>
      <c r="G11" s="105">
        <v>150</v>
      </c>
      <c r="H11" s="106">
        <f t="shared" si="0"/>
        <v>577.5</v>
      </c>
      <c r="I11" s="105">
        <v>550</v>
      </c>
      <c r="J11" s="88">
        <f t="shared" si="2"/>
        <v>0.05</v>
      </c>
      <c r="K11" s="72">
        <v>165</v>
      </c>
      <c r="L11" s="106">
        <f>(G11+H11+K11)*$L$5</f>
        <v>53.55</v>
      </c>
      <c r="M11" s="106">
        <f>(G11+H11+K11+L11)*$M$5</f>
        <v>28.3815</v>
      </c>
      <c r="N11" s="67">
        <f>(G11+H11+K11+L11+M11)*1.5</f>
        <v>1461.64725</v>
      </c>
      <c r="O11" s="67"/>
      <c r="P11" s="106">
        <f t="shared" si="1"/>
        <v>6855.1256025</v>
      </c>
      <c r="Q11" s="118">
        <f>F11*N11</f>
        <v>6855.1256025</v>
      </c>
      <c r="R11" s="116"/>
      <c r="S11" s="115"/>
    </row>
    <row r="12" s="100" customFormat="1" spans="1:19">
      <c r="A12" s="65"/>
      <c r="B12" s="65" t="s">
        <v>85</v>
      </c>
      <c r="C12" s="65"/>
      <c r="D12" s="58"/>
      <c r="E12" s="65"/>
      <c r="F12" s="57"/>
      <c r="G12" s="103"/>
      <c r="H12" s="67"/>
      <c r="I12" s="103"/>
      <c r="J12" s="74"/>
      <c r="K12" s="67"/>
      <c r="L12" s="67"/>
      <c r="M12" s="67"/>
      <c r="N12" s="67">
        <f>SUM(P13:P15)</f>
        <v>268741.7305965</v>
      </c>
      <c r="O12" s="67"/>
      <c r="P12" s="67"/>
      <c r="Q12" s="82">
        <f>SUM(Q13:Q15)</f>
        <v>268741.7305965</v>
      </c>
      <c r="R12" s="116"/>
      <c r="S12" s="115"/>
    </row>
    <row r="13" s="100" customFormat="1" ht="162" outlineLevel="1" spans="1:19">
      <c r="A13" s="65">
        <v>6</v>
      </c>
      <c r="B13" s="65" t="s">
        <v>86</v>
      </c>
      <c r="C13" s="36" t="s">
        <v>87</v>
      </c>
      <c r="D13" s="58" t="s">
        <v>76</v>
      </c>
      <c r="E13" s="65">
        <v>80.39</v>
      </c>
      <c r="F13" s="57">
        <v>80.39</v>
      </c>
      <c r="G13" s="105">
        <v>125</v>
      </c>
      <c r="H13" s="67">
        <f t="shared" ref="H13:H15" si="4">I13*(1+J13)</f>
        <v>315</v>
      </c>
      <c r="I13" s="105">
        <v>300</v>
      </c>
      <c r="J13" s="88">
        <v>0.05</v>
      </c>
      <c r="K13" s="72">
        <v>105</v>
      </c>
      <c r="L13" s="67">
        <f>(G13+H13+K13)*$L$5</f>
        <v>32.7</v>
      </c>
      <c r="M13" s="67">
        <f>(G13+H13+K13+L13)*$M$5</f>
        <v>17.331</v>
      </c>
      <c r="N13" s="67">
        <f t="shared" ref="N12:N69" si="5">(G13+H13+K13+L13+M13)*1.5</f>
        <v>892.5465</v>
      </c>
      <c r="O13" s="67"/>
      <c r="P13" s="67">
        <f t="shared" ref="P13:P15" si="6">N13*E13</f>
        <v>71751.813135</v>
      </c>
      <c r="Q13" s="82">
        <f t="shared" ref="Q13:Q15" si="7">F13*N13</f>
        <v>71751.813135</v>
      </c>
      <c r="R13" s="116" t="s">
        <v>88</v>
      </c>
      <c r="S13" s="115"/>
    </row>
    <row r="14" s="100" customFormat="1" ht="162" outlineLevel="1" spans="1:19">
      <c r="A14" s="65">
        <v>7</v>
      </c>
      <c r="B14" s="65" t="s">
        <v>89</v>
      </c>
      <c r="C14" s="65" t="s">
        <v>90</v>
      </c>
      <c r="D14" s="58" t="s">
        <v>76</v>
      </c>
      <c r="E14" s="65">
        <v>170.33</v>
      </c>
      <c r="F14" s="57">
        <v>170.33</v>
      </c>
      <c r="G14" s="105">
        <v>155</v>
      </c>
      <c r="H14" s="67">
        <f t="shared" si="4"/>
        <v>324</v>
      </c>
      <c r="I14" s="105">
        <f>I13</f>
        <v>300</v>
      </c>
      <c r="J14" s="88">
        <v>0.08</v>
      </c>
      <c r="K14" s="72">
        <v>125</v>
      </c>
      <c r="L14" s="67">
        <f>(G14+H14+K14)*$L$5</f>
        <v>36.24</v>
      </c>
      <c r="M14" s="67">
        <f>(G14+H14+K14+L14)*$M$5</f>
        <v>19.2072</v>
      </c>
      <c r="N14" s="67">
        <f t="shared" si="5"/>
        <v>989.1708</v>
      </c>
      <c r="O14" s="67"/>
      <c r="P14" s="67">
        <f t="shared" si="6"/>
        <v>168485.462364</v>
      </c>
      <c r="Q14" s="82">
        <f t="shared" si="7"/>
        <v>168485.462364</v>
      </c>
      <c r="R14" s="116" t="str">
        <f>R13</f>
        <v>龙骨驰龙、石膏板泰山</v>
      </c>
      <c r="S14" s="115"/>
    </row>
    <row r="15" s="100" customFormat="1" ht="54" outlineLevel="1" spans="1:19">
      <c r="A15" s="65">
        <v>8</v>
      </c>
      <c r="B15" s="65" t="s">
        <v>91</v>
      </c>
      <c r="C15" s="65" t="s">
        <v>92</v>
      </c>
      <c r="D15" s="58" t="s">
        <v>76</v>
      </c>
      <c r="E15" s="65">
        <v>48.55</v>
      </c>
      <c r="F15" s="57">
        <v>48.55</v>
      </c>
      <c r="G15" s="105">
        <v>35</v>
      </c>
      <c r="H15" s="67">
        <f t="shared" si="4"/>
        <v>283.5</v>
      </c>
      <c r="I15" s="105">
        <v>270</v>
      </c>
      <c r="J15" s="88">
        <v>0.05</v>
      </c>
      <c r="K15" s="72">
        <v>40</v>
      </c>
      <c r="L15" s="67">
        <f>(G15+H15+K15)*$L$5</f>
        <v>21.51</v>
      </c>
      <c r="M15" s="67">
        <f>(G15+H15+K15+L15)*$M$5</f>
        <v>11.4003</v>
      </c>
      <c r="N15" s="67">
        <f t="shared" si="5"/>
        <v>587.11545</v>
      </c>
      <c r="O15" s="67"/>
      <c r="P15" s="67">
        <f t="shared" si="6"/>
        <v>28504.4550975</v>
      </c>
      <c r="Q15" s="82">
        <f t="shared" si="7"/>
        <v>28504.4550975</v>
      </c>
      <c r="R15" s="116"/>
      <c r="S15" s="115"/>
    </row>
    <row r="16" s="100" customFormat="1" spans="1:19">
      <c r="A16" s="65"/>
      <c r="B16" s="65" t="s">
        <v>93</v>
      </c>
      <c r="C16" s="65"/>
      <c r="D16" s="58"/>
      <c r="E16" s="65"/>
      <c r="F16" s="57"/>
      <c r="G16" s="103"/>
      <c r="H16" s="67"/>
      <c r="I16" s="103"/>
      <c r="J16" s="74"/>
      <c r="K16" s="67"/>
      <c r="L16" s="67"/>
      <c r="M16" s="67"/>
      <c r="N16" s="67">
        <f>SUM(P17:P60)</f>
        <v>584895.199753389</v>
      </c>
      <c r="O16" s="67"/>
      <c r="P16" s="67"/>
      <c r="Q16" s="82">
        <f>SUM(Q17:Q60)</f>
        <v>556096.691526639</v>
      </c>
      <c r="R16" s="116"/>
      <c r="S16" s="115"/>
    </row>
    <row r="17" s="100" customFormat="1" spans="1:19">
      <c r="A17" s="65"/>
      <c r="B17" s="65" t="s">
        <v>94</v>
      </c>
      <c r="C17" s="65"/>
      <c r="D17" s="58"/>
      <c r="E17" s="65"/>
      <c r="F17" s="57"/>
      <c r="G17" s="103"/>
      <c r="H17" s="67"/>
      <c r="I17" s="103"/>
      <c r="J17" s="74"/>
      <c r="K17" s="67"/>
      <c r="L17" s="67"/>
      <c r="M17" s="67"/>
      <c r="N17" s="67">
        <f t="shared" si="5"/>
        <v>0</v>
      </c>
      <c r="O17" s="67"/>
      <c r="P17" s="67"/>
      <c r="Q17" s="82"/>
      <c r="R17" s="116"/>
      <c r="S17" s="115"/>
    </row>
    <row r="18" s="100" customFormat="1" ht="75.6" outlineLevel="1" spans="1:19">
      <c r="A18" s="65">
        <v>9</v>
      </c>
      <c r="B18" s="65" t="s">
        <v>95</v>
      </c>
      <c r="C18" s="65" t="s">
        <v>96</v>
      </c>
      <c r="D18" s="58" t="s">
        <v>76</v>
      </c>
      <c r="E18" s="65">
        <v>13.36</v>
      </c>
      <c r="F18" s="57">
        <v>13.36</v>
      </c>
      <c r="G18" s="105">
        <v>190</v>
      </c>
      <c r="H18" s="67">
        <f t="shared" ref="H18:H25" si="8">I18*(1+J18)</f>
        <v>315</v>
      </c>
      <c r="I18" s="105">
        <v>300</v>
      </c>
      <c r="J18" s="88">
        <v>0.05</v>
      </c>
      <c r="K18" s="72">
        <v>150</v>
      </c>
      <c r="L18" s="67">
        <f>(G18+H18+K18)*$L$5</f>
        <v>39.3</v>
      </c>
      <c r="M18" s="67">
        <f>(G18+H18+K18+L18)*$M$5</f>
        <v>20.829</v>
      </c>
      <c r="N18" s="67">
        <f t="shared" si="5"/>
        <v>1072.6935</v>
      </c>
      <c r="O18" s="67"/>
      <c r="P18" s="67">
        <f t="shared" ref="P18:P25" si="9">N18*E18</f>
        <v>14331.18516</v>
      </c>
      <c r="Q18" s="82">
        <f t="shared" ref="Q18:Q25" si="10">F18*N18</f>
        <v>14331.18516</v>
      </c>
      <c r="R18" s="116" t="s">
        <v>97</v>
      </c>
      <c r="S18" s="115"/>
    </row>
    <row r="19" s="100" customFormat="1" ht="75.6" outlineLevel="1" spans="1:19">
      <c r="A19" s="65">
        <v>10</v>
      </c>
      <c r="B19" s="65" t="s">
        <v>95</v>
      </c>
      <c r="C19" s="65" t="s">
        <v>98</v>
      </c>
      <c r="D19" s="58" t="s">
        <v>76</v>
      </c>
      <c r="E19" s="65">
        <v>14.5</v>
      </c>
      <c r="F19" s="57">
        <v>14.5</v>
      </c>
      <c r="G19" s="107">
        <f>G18</f>
        <v>190</v>
      </c>
      <c r="H19" s="71">
        <f t="shared" si="8"/>
        <v>315</v>
      </c>
      <c r="I19" s="107">
        <f>I18</f>
        <v>300</v>
      </c>
      <c r="J19" s="111">
        <f>J18</f>
        <v>0.05</v>
      </c>
      <c r="K19" s="71">
        <f>K18</f>
        <v>150</v>
      </c>
      <c r="L19" s="67">
        <f>(G19+H19+K19)*$L$5</f>
        <v>39.3</v>
      </c>
      <c r="M19" s="67">
        <f>(G19+H19+K19+L19)*$M$5</f>
        <v>20.829</v>
      </c>
      <c r="N19" s="67">
        <f t="shared" si="5"/>
        <v>1072.6935</v>
      </c>
      <c r="O19" s="67"/>
      <c r="P19" s="67">
        <f t="shared" si="9"/>
        <v>15554.05575</v>
      </c>
      <c r="Q19" s="82">
        <f t="shared" si="10"/>
        <v>15554.05575</v>
      </c>
      <c r="R19" s="116" t="str">
        <f>R18</f>
        <v>厂家定制</v>
      </c>
      <c r="S19" s="115"/>
    </row>
    <row r="20" s="100" customFormat="1" ht="54" outlineLevel="1" spans="1:19">
      <c r="A20" s="65">
        <v>11</v>
      </c>
      <c r="B20" s="65" t="s">
        <v>95</v>
      </c>
      <c r="C20" s="65" t="s">
        <v>99</v>
      </c>
      <c r="D20" s="58" t="s">
        <v>76</v>
      </c>
      <c r="E20" s="65">
        <v>10.72</v>
      </c>
      <c r="F20" s="57">
        <v>10.72</v>
      </c>
      <c r="G20" s="105">
        <f>G19</f>
        <v>190</v>
      </c>
      <c r="H20" s="67">
        <f t="shared" si="8"/>
        <v>336</v>
      </c>
      <c r="I20" s="105">
        <v>320</v>
      </c>
      <c r="J20" s="88">
        <v>0.05</v>
      </c>
      <c r="K20" s="72">
        <v>135</v>
      </c>
      <c r="L20" s="67">
        <f>(G20+H20+K20)*$L$5</f>
        <v>39.66</v>
      </c>
      <c r="M20" s="67">
        <f>(G20+H20+K20+L20)*$M$5</f>
        <v>21.0198</v>
      </c>
      <c r="N20" s="67">
        <f t="shared" si="5"/>
        <v>1082.5197</v>
      </c>
      <c r="O20" s="67"/>
      <c r="P20" s="67">
        <f t="shared" si="9"/>
        <v>11604.611184</v>
      </c>
      <c r="Q20" s="82">
        <f t="shared" si="10"/>
        <v>11604.611184</v>
      </c>
      <c r="R20" s="116"/>
      <c r="S20" s="115"/>
    </row>
    <row r="21" s="100" customFormat="1" ht="64.8" outlineLevel="1" spans="1:19">
      <c r="A21" s="65">
        <v>12</v>
      </c>
      <c r="B21" s="65" t="s">
        <v>95</v>
      </c>
      <c r="C21" s="65" t="s">
        <v>100</v>
      </c>
      <c r="D21" s="58" t="s">
        <v>76</v>
      </c>
      <c r="E21" s="65">
        <v>13.07</v>
      </c>
      <c r="F21" s="57">
        <v>13.07</v>
      </c>
      <c r="G21" s="108">
        <v>165</v>
      </c>
      <c r="H21" s="80">
        <f t="shared" si="8"/>
        <v>315</v>
      </c>
      <c r="I21" s="109">
        <f t="shared" ref="G21:K21" si="11">I19</f>
        <v>300</v>
      </c>
      <c r="J21" s="78">
        <f t="shared" si="11"/>
        <v>0.05</v>
      </c>
      <c r="K21" s="75">
        <v>120</v>
      </c>
      <c r="L21" s="67">
        <f>(G21+H21+K21)*$L$5</f>
        <v>36</v>
      </c>
      <c r="M21" s="67">
        <f>(G21+H21+K21+L21)*$M$5</f>
        <v>19.08</v>
      </c>
      <c r="N21" s="67">
        <f t="shared" si="5"/>
        <v>982.62</v>
      </c>
      <c r="O21" s="67"/>
      <c r="P21" s="67">
        <f t="shared" si="9"/>
        <v>12842.8434</v>
      </c>
      <c r="Q21" s="82">
        <f t="shared" si="10"/>
        <v>12842.8434</v>
      </c>
      <c r="R21" s="116" t="str">
        <f>R18</f>
        <v>厂家定制</v>
      </c>
      <c r="S21" s="115"/>
    </row>
    <row r="22" s="100" customFormat="1" ht="54" outlineLevel="1" spans="1:19">
      <c r="A22" s="65">
        <v>13</v>
      </c>
      <c r="B22" s="65" t="s">
        <v>101</v>
      </c>
      <c r="C22" s="65" t="s">
        <v>102</v>
      </c>
      <c r="D22" s="58" t="s">
        <v>76</v>
      </c>
      <c r="E22" s="65">
        <v>0.8</v>
      </c>
      <c r="F22" s="57">
        <v>0.8</v>
      </c>
      <c r="G22" s="105">
        <v>150</v>
      </c>
      <c r="H22" s="67">
        <f t="shared" si="8"/>
        <v>462</v>
      </c>
      <c r="I22" s="105">
        <v>420</v>
      </c>
      <c r="J22" s="88">
        <v>0.1</v>
      </c>
      <c r="K22" s="72">
        <v>155</v>
      </c>
      <c r="L22" s="67">
        <f>(G22+H22+K22)*$L$5</f>
        <v>46.02</v>
      </c>
      <c r="M22" s="67">
        <f>(G22+H22+K22+L22)*$M$5</f>
        <v>24.3906</v>
      </c>
      <c r="N22" s="67">
        <f t="shared" si="5"/>
        <v>1256.1159</v>
      </c>
      <c r="O22" s="67"/>
      <c r="P22" s="67">
        <f t="shared" si="9"/>
        <v>1004.89272</v>
      </c>
      <c r="Q22" s="82">
        <f t="shared" si="10"/>
        <v>1004.89272</v>
      </c>
      <c r="R22" s="116"/>
      <c r="S22" s="115"/>
    </row>
    <row r="23" s="100" customFormat="1" ht="32.4" outlineLevel="1" spans="1:19">
      <c r="A23" s="65">
        <v>14</v>
      </c>
      <c r="B23" s="65" t="s">
        <v>103</v>
      </c>
      <c r="C23" s="65" t="s">
        <v>104</v>
      </c>
      <c r="D23" s="58" t="s">
        <v>105</v>
      </c>
      <c r="E23" s="65">
        <v>12</v>
      </c>
      <c r="F23" s="57">
        <v>12</v>
      </c>
      <c r="G23" s="105">
        <v>10</v>
      </c>
      <c r="H23" s="67">
        <f t="shared" si="8"/>
        <v>30.3</v>
      </c>
      <c r="I23" s="105">
        <v>30</v>
      </c>
      <c r="J23" s="88">
        <v>0.01</v>
      </c>
      <c r="K23" s="72">
        <v>1</v>
      </c>
      <c r="L23" s="67">
        <f>(G23+H23+K23)*$L$5</f>
        <v>2.478</v>
      </c>
      <c r="M23" s="67">
        <f>(G23+H23+K23+L23)*$M$5</f>
        <v>1.31334</v>
      </c>
      <c r="N23" s="67">
        <f t="shared" si="5"/>
        <v>67.63701</v>
      </c>
      <c r="O23" s="67"/>
      <c r="P23" s="67">
        <f t="shared" si="9"/>
        <v>811.64412</v>
      </c>
      <c r="Q23" s="82">
        <f t="shared" si="10"/>
        <v>811.64412</v>
      </c>
      <c r="R23" s="116"/>
      <c r="S23" s="115"/>
    </row>
    <row r="24" s="100" customFormat="1" ht="54" outlineLevel="1" spans="1:19">
      <c r="A24" s="65">
        <v>15</v>
      </c>
      <c r="B24" s="65" t="s">
        <v>106</v>
      </c>
      <c r="C24" s="65" t="s">
        <v>107</v>
      </c>
      <c r="D24" s="58" t="s">
        <v>108</v>
      </c>
      <c r="E24" s="65">
        <v>2</v>
      </c>
      <c r="F24" s="57">
        <v>0</v>
      </c>
      <c r="G24" s="105">
        <f>+(0.95+1.35)*2.5*150/2</f>
        <v>431.25</v>
      </c>
      <c r="H24" s="67">
        <f t="shared" si="8"/>
        <v>1597.0625</v>
      </c>
      <c r="I24" s="105">
        <f>+(0.95+1.35)*2.5*550/2</f>
        <v>1581.25</v>
      </c>
      <c r="J24" s="88">
        <v>0.01</v>
      </c>
      <c r="K24" s="72">
        <v>550</v>
      </c>
      <c r="L24" s="67">
        <f>(G24+H24+K24)*$L$5</f>
        <v>154.69875</v>
      </c>
      <c r="M24" s="67">
        <f>(G24+H24+K24+L24)*$M$5</f>
        <v>81.9903375</v>
      </c>
      <c r="N24" s="67">
        <f t="shared" si="5"/>
        <v>4222.50238125</v>
      </c>
      <c r="O24" s="67"/>
      <c r="P24" s="67">
        <f t="shared" si="9"/>
        <v>8445.0047625</v>
      </c>
      <c r="Q24" s="82">
        <f t="shared" si="10"/>
        <v>0</v>
      </c>
      <c r="R24" s="116"/>
      <c r="S24" s="115"/>
    </row>
    <row r="25" s="100" customFormat="1" ht="43.2" outlineLevel="1" spans="1:19">
      <c r="A25" s="65">
        <v>16</v>
      </c>
      <c r="B25" s="65" t="s">
        <v>109</v>
      </c>
      <c r="C25" s="65" t="s">
        <v>110</v>
      </c>
      <c r="D25" s="58" t="s">
        <v>111</v>
      </c>
      <c r="E25" s="65">
        <v>23.15</v>
      </c>
      <c r="F25" s="57">
        <v>23.15</v>
      </c>
      <c r="G25" s="105">
        <v>115</v>
      </c>
      <c r="H25" s="67">
        <f t="shared" si="8"/>
        <v>237.35</v>
      </c>
      <c r="I25" s="105">
        <v>235</v>
      </c>
      <c r="J25" s="88">
        <v>0.01</v>
      </c>
      <c r="K25" s="72">
        <v>150</v>
      </c>
      <c r="L25" s="67">
        <f>(G25+H25+K25)*$L$5</f>
        <v>30.141</v>
      </c>
      <c r="M25" s="67">
        <f>(G25+H25+K25+L25)*$M$5</f>
        <v>15.97473</v>
      </c>
      <c r="N25" s="67">
        <f t="shared" si="5"/>
        <v>822.698595</v>
      </c>
      <c r="O25" s="67"/>
      <c r="P25" s="67">
        <f t="shared" si="9"/>
        <v>19045.47247425</v>
      </c>
      <c r="Q25" s="82">
        <f t="shared" si="10"/>
        <v>19045.47247425</v>
      </c>
      <c r="R25" s="116"/>
      <c r="S25" s="115"/>
    </row>
    <row r="26" s="100" customFormat="1" spans="1:19">
      <c r="A26" s="65"/>
      <c r="B26" s="65" t="s">
        <v>112</v>
      </c>
      <c r="C26" s="65"/>
      <c r="D26" s="58"/>
      <c r="E26" s="65"/>
      <c r="F26" s="57"/>
      <c r="G26" s="103"/>
      <c r="H26" s="67"/>
      <c r="I26" s="103"/>
      <c r="J26" s="74"/>
      <c r="K26" s="67"/>
      <c r="L26" s="67"/>
      <c r="M26" s="67"/>
      <c r="N26" s="67">
        <f t="shared" si="5"/>
        <v>0</v>
      </c>
      <c r="O26" s="67"/>
      <c r="P26" s="67"/>
      <c r="Q26" s="82"/>
      <c r="R26" s="116"/>
      <c r="S26" s="115"/>
    </row>
    <row r="27" s="100" customFormat="1" ht="54" outlineLevel="1" spans="1:19">
      <c r="A27" s="65">
        <v>17</v>
      </c>
      <c r="B27" s="65" t="s">
        <v>106</v>
      </c>
      <c r="C27" s="65" t="s">
        <v>107</v>
      </c>
      <c r="D27" s="58" t="s">
        <v>108</v>
      </c>
      <c r="E27" s="65">
        <v>2</v>
      </c>
      <c r="F27" s="57">
        <v>0</v>
      </c>
      <c r="G27" s="105">
        <f>+(0.97+1.8)*2.5*150/2</f>
        <v>519.375</v>
      </c>
      <c r="H27" s="67">
        <f t="shared" ref="H27:H33" si="12">I27*(1+J27)</f>
        <v>1853.47625</v>
      </c>
      <c r="I27" s="105">
        <f>+(0.97+1.8)*2.5*530/2</f>
        <v>1835.125</v>
      </c>
      <c r="J27" s="88">
        <v>0.01</v>
      </c>
      <c r="K27" s="71">
        <f>K24</f>
        <v>550</v>
      </c>
      <c r="L27" s="67">
        <f>(G27+H27+K27)*$L$5</f>
        <v>175.371075</v>
      </c>
      <c r="M27" s="67">
        <f>(G27+H27+K27+L27)*$M$5</f>
        <v>92.94666975</v>
      </c>
      <c r="N27" s="67">
        <f t="shared" si="5"/>
        <v>4786.753492125</v>
      </c>
      <c r="O27" s="67"/>
      <c r="P27" s="67">
        <f t="shared" ref="P27:P33" si="13">N27*E27</f>
        <v>9573.50698425</v>
      </c>
      <c r="Q27" s="82">
        <f t="shared" ref="Q27:Q33" si="14">F27*N27</f>
        <v>0</v>
      </c>
      <c r="R27" s="116"/>
      <c r="S27" s="115"/>
    </row>
    <row r="28" s="100" customFormat="1" ht="54" outlineLevel="1" spans="1:19">
      <c r="A28" s="65">
        <v>18</v>
      </c>
      <c r="B28" s="65" t="s">
        <v>113</v>
      </c>
      <c r="C28" s="65" t="s">
        <v>114</v>
      </c>
      <c r="D28" s="58" t="s">
        <v>76</v>
      </c>
      <c r="E28" s="65">
        <v>9.21</v>
      </c>
      <c r="F28" s="57">
        <v>9.21</v>
      </c>
      <c r="G28" s="105">
        <v>150</v>
      </c>
      <c r="H28" s="67">
        <f t="shared" si="12"/>
        <v>441</v>
      </c>
      <c r="I28" s="105">
        <v>420</v>
      </c>
      <c r="J28" s="88">
        <v>0.05</v>
      </c>
      <c r="K28" s="72">
        <v>75</v>
      </c>
      <c r="L28" s="67">
        <f>(G28+H28+K28)*$L$5</f>
        <v>39.96</v>
      </c>
      <c r="M28" s="67">
        <f>(G28+H28+K28+L28)*$M$5</f>
        <v>21.1788</v>
      </c>
      <c r="N28" s="67">
        <f t="shared" si="5"/>
        <v>1090.7082</v>
      </c>
      <c r="O28" s="67"/>
      <c r="P28" s="67">
        <f t="shared" si="13"/>
        <v>10045.422522</v>
      </c>
      <c r="Q28" s="82">
        <f t="shared" si="14"/>
        <v>10045.422522</v>
      </c>
      <c r="R28" s="116"/>
      <c r="S28" s="115"/>
    </row>
    <row r="29" s="100" customFormat="1" ht="64.8" outlineLevel="1" spans="1:19">
      <c r="A29" s="65">
        <v>19</v>
      </c>
      <c r="B29" s="65" t="s">
        <v>95</v>
      </c>
      <c r="C29" s="65" t="s">
        <v>115</v>
      </c>
      <c r="D29" s="58" t="s">
        <v>76</v>
      </c>
      <c r="E29" s="65">
        <v>23.25</v>
      </c>
      <c r="F29" s="57">
        <v>23.25</v>
      </c>
      <c r="G29" s="103">
        <f>G18</f>
        <v>190</v>
      </c>
      <c r="H29" s="67">
        <f t="shared" si="12"/>
        <v>315</v>
      </c>
      <c r="I29" s="103">
        <f t="shared" ref="G29:K29" si="15">I18</f>
        <v>300</v>
      </c>
      <c r="J29" s="74">
        <f t="shared" si="15"/>
        <v>0.05</v>
      </c>
      <c r="K29" s="67">
        <f t="shared" si="15"/>
        <v>150</v>
      </c>
      <c r="L29" s="67">
        <f>(G29+H29+K29)*$L$5</f>
        <v>39.3</v>
      </c>
      <c r="M29" s="67">
        <f>(G29+H29+K29+L29)*$M$5</f>
        <v>20.829</v>
      </c>
      <c r="N29" s="67">
        <f t="shared" si="5"/>
        <v>1072.6935</v>
      </c>
      <c r="O29" s="67"/>
      <c r="P29" s="67">
        <f t="shared" si="13"/>
        <v>24940.123875</v>
      </c>
      <c r="Q29" s="82">
        <f t="shared" si="14"/>
        <v>24940.123875</v>
      </c>
      <c r="R29" s="116" t="str">
        <f>R21</f>
        <v>厂家定制</v>
      </c>
      <c r="S29" s="115"/>
    </row>
    <row r="30" s="100" customFormat="1" ht="75.6" outlineLevel="1" spans="1:19">
      <c r="A30" s="65">
        <v>20</v>
      </c>
      <c r="B30" s="65" t="s">
        <v>95</v>
      </c>
      <c r="C30" s="65" t="s">
        <v>116</v>
      </c>
      <c r="D30" s="58" t="s">
        <v>76</v>
      </c>
      <c r="E30" s="65">
        <v>14.5</v>
      </c>
      <c r="F30" s="57">
        <v>14.5</v>
      </c>
      <c r="G30" s="103">
        <f t="shared" ref="G30:K30" si="16">G19</f>
        <v>190</v>
      </c>
      <c r="H30" s="67">
        <f t="shared" si="12"/>
        <v>315</v>
      </c>
      <c r="I30" s="103">
        <f t="shared" si="16"/>
        <v>300</v>
      </c>
      <c r="J30" s="74">
        <f t="shared" si="16"/>
        <v>0.05</v>
      </c>
      <c r="K30" s="67">
        <f t="shared" si="16"/>
        <v>150</v>
      </c>
      <c r="L30" s="67">
        <f>(G30+H30+K30)*$L$5</f>
        <v>39.3</v>
      </c>
      <c r="M30" s="67">
        <f>(G30+H30+K30+L30)*$M$5</f>
        <v>20.829</v>
      </c>
      <c r="N30" s="67">
        <f t="shared" si="5"/>
        <v>1072.6935</v>
      </c>
      <c r="O30" s="67"/>
      <c r="P30" s="67">
        <f t="shared" si="13"/>
        <v>15554.05575</v>
      </c>
      <c r="Q30" s="82">
        <f t="shared" si="14"/>
        <v>15554.05575</v>
      </c>
      <c r="R30" s="116" t="str">
        <f>R29</f>
        <v>厂家定制</v>
      </c>
      <c r="S30" s="115"/>
    </row>
    <row r="31" s="100" customFormat="1" ht="75.6" outlineLevel="1" spans="1:19">
      <c r="A31" s="65">
        <v>21</v>
      </c>
      <c r="B31" s="65" t="s">
        <v>95</v>
      </c>
      <c r="C31" s="65" t="s">
        <v>117</v>
      </c>
      <c r="D31" s="58" t="s">
        <v>76</v>
      </c>
      <c r="E31" s="65">
        <v>11.63</v>
      </c>
      <c r="F31" s="57">
        <v>11.63</v>
      </c>
      <c r="G31" s="103">
        <f t="shared" ref="G31:K31" si="17">G29</f>
        <v>190</v>
      </c>
      <c r="H31" s="67">
        <f t="shared" si="12"/>
        <v>315</v>
      </c>
      <c r="I31" s="103">
        <f t="shared" si="17"/>
        <v>300</v>
      </c>
      <c r="J31" s="74">
        <f t="shared" si="17"/>
        <v>0.05</v>
      </c>
      <c r="K31" s="67">
        <f t="shared" si="17"/>
        <v>150</v>
      </c>
      <c r="L31" s="67">
        <f>(G31+H31+K31)*$L$5</f>
        <v>39.3</v>
      </c>
      <c r="M31" s="67">
        <f>(G31+H31+K31+L31)*$M$5</f>
        <v>20.829</v>
      </c>
      <c r="N31" s="67">
        <f t="shared" si="5"/>
        <v>1072.6935</v>
      </c>
      <c r="O31" s="67"/>
      <c r="P31" s="67">
        <f t="shared" si="13"/>
        <v>12475.425405</v>
      </c>
      <c r="Q31" s="82">
        <f t="shared" si="14"/>
        <v>12475.425405</v>
      </c>
      <c r="R31" s="116" t="str">
        <f>R29</f>
        <v>厂家定制</v>
      </c>
      <c r="S31" s="115"/>
    </row>
    <row r="32" s="100" customFormat="1" ht="54" outlineLevel="1" spans="1:19">
      <c r="A32" s="65">
        <v>22</v>
      </c>
      <c r="B32" s="65" t="s">
        <v>101</v>
      </c>
      <c r="C32" s="65" t="s">
        <v>102</v>
      </c>
      <c r="D32" s="58" t="s">
        <v>76</v>
      </c>
      <c r="E32" s="65">
        <v>2.26</v>
      </c>
      <c r="F32" s="57">
        <v>2.26</v>
      </c>
      <c r="G32" s="103">
        <f t="shared" ref="G32:K32" si="18">G22</f>
        <v>150</v>
      </c>
      <c r="H32" s="67">
        <f t="shared" si="12"/>
        <v>462</v>
      </c>
      <c r="I32" s="103">
        <f t="shared" si="18"/>
        <v>420</v>
      </c>
      <c r="J32" s="74">
        <f t="shared" si="18"/>
        <v>0.1</v>
      </c>
      <c r="K32" s="67">
        <f t="shared" si="18"/>
        <v>155</v>
      </c>
      <c r="L32" s="67">
        <f>(G32+H32+K32)*$L$5</f>
        <v>46.02</v>
      </c>
      <c r="M32" s="67">
        <f>(G32+H32+K32+L32)*$M$5</f>
        <v>24.3906</v>
      </c>
      <c r="N32" s="67">
        <f t="shared" si="5"/>
        <v>1256.1159</v>
      </c>
      <c r="O32" s="67"/>
      <c r="P32" s="67">
        <f t="shared" si="13"/>
        <v>2838.821934</v>
      </c>
      <c r="Q32" s="82">
        <f t="shared" si="14"/>
        <v>2838.821934</v>
      </c>
      <c r="R32" s="116"/>
      <c r="S32" s="115"/>
    </row>
    <row r="33" s="100" customFormat="1" ht="64.8" outlineLevel="1" spans="1:19">
      <c r="A33" s="65">
        <v>23</v>
      </c>
      <c r="B33" s="65" t="s">
        <v>95</v>
      </c>
      <c r="C33" s="65" t="s">
        <v>100</v>
      </c>
      <c r="D33" s="58" t="s">
        <v>76</v>
      </c>
      <c r="E33" s="65">
        <v>10.61</v>
      </c>
      <c r="F33" s="57">
        <v>10.61</v>
      </c>
      <c r="G33" s="103">
        <f>G21</f>
        <v>165</v>
      </c>
      <c r="H33" s="67">
        <f t="shared" si="12"/>
        <v>315</v>
      </c>
      <c r="I33" s="103">
        <f t="shared" ref="G33:K33" si="19">I21</f>
        <v>300</v>
      </c>
      <c r="J33" s="74">
        <f t="shared" si="19"/>
        <v>0.05</v>
      </c>
      <c r="K33" s="67">
        <f t="shared" si="19"/>
        <v>120</v>
      </c>
      <c r="L33" s="67">
        <f>(G33+H33+K33)*$L$5</f>
        <v>36</v>
      </c>
      <c r="M33" s="67">
        <f>(G33+H33+K33+L33)*$M$5</f>
        <v>19.08</v>
      </c>
      <c r="N33" s="67">
        <f t="shared" si="5"/>
        <v>982.62</v>
      </c>
      <c r="O33" s="67"/>
      <c r="P33" s="67">
        <f t="shared" si="13"/>
        <v>10425.5982</v>
      </c>
      <c r="Q33" s="82">
        <f t="shared" si="14"/>
        <v>10425.5982</v>
      </c>
      <c r="R33" s="116" t="str">
        <f>R29</f>
        <v>厂家定制</v>
      </c>
      <c r="S33" s="115"/>
    </row>
    <row r="34" s="100" customFormat="1" spans="1:19">
      <c r="A34" s="65"/>
      <c r="B34" s="65" t="s">
        <v>118</v>
      </c>
      <c r="C34" s="65"/>
      <c r="D34" s="58"/>
      <c r="E34" s="65"/>
      <c r="F34" s="57"/>
      <c r="G34" s="103"/>
      <c r="H34" s="67"/>
      <c r="I34" s="103"/>
      <c r="J34" s="74"/>
      <c r="K34" s="67"/>
      <c r="L34" s="67"/>
      <c r="M34" s="67"/>
      <c r="N34" s="67">
        <f t="shared" si="5"/>
        <v>0</v>
      </c>
      <c r="O34" s="67"/>
      <c r="P34" s="67"/>
      <c r="Q34" s="82"/>
      <c r="R34" s="116"/>
      <c r="S34" s="115"/>
    </row>
    <row r="35" s="100" customFormat="1" ht="54" outlineLevel="1" spans="1:19">
      <c r="A35" s="65">
        <v>24</v>
      </c>
      <c r="B35" s="65" t="s">
        <v>113</v>
      </c>
      <c r="C35" s="65" t="s">
        <v>119</v>
      </c>
      <c r="D35" s="58" t="s">
        <v>76</v>
      </c>
      <c r="E35" s="65">
        <v>25.86</v>
      </c>
      <c r="F35" s="57">
        <v>25.86</v>
      </c>
      <c r="G35" s="103">
        <f t="shared" ref="G35:K35" si="20">G28</f>
        <v>150</v>
      </c>
      <c r="H35" s="67">
        <f t="shared" ref="H35:H37" si="21">I35*(1+J35)</f>
        <v>441</v>
      </c>
      <c r="I35" s="103">
        <f t="shared" si="20"/>
        <v>420</v>
      </c>
      <c r="J35" s="74">
        <f t="shared" si="20"/>
        <v>0.05</v>
      </c>
      <c r="K35" s="67">
        <f t="shared" si="20"/>
        <v>75</v>
      </c>
      <c r="L35" s="67">
        <f>(G35+H35+K35)*$L$5</f>
        <v>39.96</v>
      </c>
      <c r="M35" s="67">
        <f>(G35+H35+K35+L35)*$M$5</f>
        <v>21.1788</v>
      </c>
      <c r="N35" s="67">
        <f t="shared" si="5"/>
        <v>1090.7082</v>
      </c>
      <c r="O35" s="67"/>
      <c r="P35" s="67">
        <f t="shared" ref="P35:P37" si="22">N35*E35</f>
        <v>28205.714052</v>
      </c>
      <c r="Q35" s="82">
        <f t="shared" ref="Q35:Q37" si="23">F35*N35</f>
        <v>28205.714052</v>
      </c>
      <c r="R35" s="116"/>
      <c r="S35" s="115"/>
    </row>
    <row r="36" s="100" customFormat="1" ht="75.6" outlineLevel="1" spans="1:19">
      <c r="A36" s="65">
        <v>25</v>
      </c>
      <c r="B36" s="65" t="s">
        <v>95</v>
      </c>
      <c r="C36" s="65" t="s">
        <v>120</v>
      </c>
      <c r="D36" s="58" t="s">
        <v>76</v>
      </c>
      <c r="E36" s="65">
        <v>23.25</v>
      </c>
      <c r="F36" s="57">
        <v>23.25</v>
      </c>
      <c r="G36" s="103">
        <f t="shared" ref="G36:K36" si="24">G29</f>
        <v>190</v>
      </c>
      <c r="H36" s="67">
        <f t="shared" si="21"/>
        <v>315</v>
      </c>
      <c r="I36" s="103">
        <f t="shared" si="24"/>
        <v>300</v>
      </c>
      <c r="J36" s="74">
        <f t="shared" si="24"/>
        <v>0.05</v>
      </c>
      <c r="K36" s="67">
        <f t="shared" si="24"/>
        <v>150</v>
      </c>
      <c r="L36" s="67">
        <f>(G36+H36+K36)*$L$5</f>
        <v>39.3</v>
      </c>
      <c r="M36" s="67">
        <f>(G36+H36+K36+L36)*$M$5</f>
        <v>20.829</v>
      </c>
      <c r="N36" s="67">
        <f t="shared" si="5"/>
        <v>1072.6935</v>
      </c>
      <c r="O36" s="67"/>
      <c r="P36" s="67">
        <f t="shared" si="22"/>
        <v>24940.123875</v>
      </c>
      <c r="Q36" s="82">
        <f t="shared" si="23"/>
        <v>24940.123875</v>
      </c>
      <c r="R36" s="116" t="str">
        <f>R29</f>
        <v>厂家定制</v>
      </c>
      <c r="S36" s="115"/>
    </row>
    <row r="37" s="100" customFormat="1" ht="54" outlineLevel="1" spans="1:19">
      <c r="A37" s="65">
        <v>26</v>
      </c>
      <c r="B37" s="65" t="s">
        <v>101</v>
      </c>
      <c r="C37" s="65" t="s">
        <v>121</v>
      </c>
      <c r="D37" s="58" t="s">
        <v>76</v>
      </c>
      <c r="E37" s="65">
        <v>0.91</v>
      </c>
      <c r="F37" s="57">
        <v>0.91</v>
      </c>
      <c r="G37" s="103">
        <f t="shared" ref="G37:K37" si="25">G32</f>
        <v>150</v>
      </c>
      <c r="H37" s="67">
        <f t="shared" si="21"/>
        <v>462</v>
      </c>
      <c r="I37" s="103">
        <f t="shared" si="25"/>
        <v>420</v>
      </c>
      <c r="J37" s="74">
        <f t="shared" si="25"/>
        <v>0.1</v>
      </c>
      <c r="K37" s="67">
        <f t="shared" si="25"/>
        <v>155</v>
      </c>
      <c r="L37" s="67">
        <f>(G37+H37+K37)*$L$5</f>
        <v>46.02</v>
      </c>
      <c r="M37" s="67">
        <f>(G37+H37+K37+L37)*$M$5</f>
        <v>24.3906</v>
      </c>
      <c r="N37" s="67">
        <f t="shared" si="5"/>
        <v>1256.1159</v>
      </c>
      <c r="O37" s="67"/>
      <c r="P37" s="67">
        <f t="shared" si="22"/>
        <v>1143.065469</v>
      </c>
      <c r="Q37" s="82">
        <f t="shared" si="23"/>
        <v>1143.065469</v>
      </c>
      <c r="R37" s="116"/>
      <c r="S37" s="115"/>
    </row>
    <row r="38" s="100" customFormat="1" spans="1:19">
      <c r="A38" s="65"/>
      <c r="B38" s="65" t="s">
        <v>122</v>
      </c>
      <c r="C38" s="65"/>
      <c r="D38" s="58"/>
      <c r="E38" s="65"/>
      <c r="F38" s="57"/>
      <c r="G38" s="103"/>
      <c r="H38" s="67"/>
      <c r="I38" s="103"/>
      <c r="J38" s="74"/>
      <c r="K38" s="67"/>
      <c r="L38" s="67"/>
      <c r="M38" s="67"/>
      <c r="N38" s="67">
        <f t="shared" si="5"/>
        <v>0</v>
      </c>
      <c r="O38" s="67"/>
      <c r="P38" s="67"/>
      <c r="Q38" s="82"/>
      <c r="R38" s="116"/>
      <c r="S38" s="115"/>
    </row>
    <row r="39" s="100" customFormat="1" ht="75.6" outlineLevel="1" spans="1:19">
      <c r="A39" s="65">
        <v>27</v>
      </c>
      <c r="B39" s="65" t="s">
        <v>95</v>
      </c>
      <c r="C39" s="65" t="s">
        <v>123</v>
      </c>
      <c r="D39" s="58" t="s">
        <v>76</v>
      </c>
      <c r="E39" s="65">
        <v>28.99</v>
      </c>
      <c r="F39" s="57">
        <v>28.99</v>
      </c>
      <c r="G39" s="103">
        <f t="shared" ref="G39:K39" si="26">G30</f>
        <v>190</v>
      </c>
      <c r="H39" s="67">
        <f t="shared" ref="H39:H42" si="27">I39*(1+J39)</f>
        <v>315</v>
      </c>
      <c r="I39" s="103">
        <f t="shared" si="26"/>
        <v>300</v>
      </c>
      <c r="J39" s="74">
        <f t="shared" si="26"/>
        <v>0.05</v>
      </c>
      <c r="K39" s="67">
        <f t="shared" si="26"/>
        <v>150</v>
      </c>
      <c r="L39" s="67">
        <f>(G39+H39+K39)*$L$5</f>
        <v>39.3</v>
      </c>
      <c r="M39" s="67">
        <f>(G39+H39+K39+L39)*$M$5</f>
        <v>20.829</v>
      </c>
      <c r="N39" s="67">
        <f t="shared" si="5"/>
        <v>1072.6935</v>
      </c>
      <c r="O39" s="67"/>
      <c r="P39" s="67">
        <f t="shared" ref="P39:P42" si="28">N39*E39</f>
        <v>31097.384565</v>
      </c>
      <c r="Q39" s="82">
        <f>F39*N39</f>
        <v>31097.384565</v>
      </c>
      <c r="R39" s="116" t="str">
        <f>R36</f>
        <v>厂家定制</v>
      </c>
      <c r="S39" s="115"/>
    </row>
    <row r="40" s="100" customFormat="1" ht="54" outlineLevel="1" spans="1:19">
      <c r="A40" s="65">
        <v>28</v>
      </c>
      <c r="B40" s="65" t="s">
        <v>101</v>
      </c>
      <c r="C40" s="65" t="s">
        <v>102</v>
      </c>
      <c r="D40" s="58" t="s">
        <v>76</v>
      </c>
      <c r="E40" s="65">
        <v>1.13</v>
      </c>
      <c r="F40" s="57">
        <v>1.13</v>
      </c>
      <c r="G40" s="103">
        <f t="shared" ref="G40:K40" si="29">G32</f>
        <v>150</v>
      </c>
      <c r="H40" s="67">
        <f t="shared" si="27"/>
        <v>462</v>
      </c>
      <c r="I40" s="103">
        <f t="shared" si="29"/>
        <v>420</v>
      </c>
      <c r="J40" s="74">
        <f t="shared" si="29"/>
        <v>0.1</v>
      </c>
      <c r="K40" s="67">
        <f t="shared" si="29"/>
        <v>155</v>
      </c>
      <c r="L40" s="67">
        <f>(G40+H40+K40)*$L$5</f>
        <v>46.02</v>
      </c>
      <c r="M40" s="67">
        <f>(G40+H40+K40+L40)*$M$5</f>
        <v>24.3906</v>
      </c>
      <c r="N40" s="67">
        <f t="shared" si="5"/>
        <v>1256.1159</v>
      </c>
      <c r="O40" s="67"/>
      <c r="P40" s="67">
        <f t="shared" si="28"/>
        <v>1419.410967</v>
      </c>
      <c r="Q40" s="82">
        <f>F40*N40</f>
        <v>1419.410967</v>
      </c>
      <c r="R40" s="116"/>
      <c r="S40" s="115"/>
    </row>
    <row r="41" s="100" customFormat="1" ht="54" outlineLevel="1" spans="1:19">
      <c r="A41" s="65">
        <v>29</v>
      </c>
      <c r="B41" s="65" t="s">
        <v>113</v>
      </c>
      <c r="C41" s="65" t="s">
        <v>124</v>
      </c>
      <c r="D41" s="58" t="s">
        <v>76</v>
      </c>
      <c r="E41" s="65">
        <v>14.35</v>
      </c>
      <c r="F41" s="57">
        <v>14.35</v>
      </c>
      <c r="G41" s="103">
        <f t="shared" ref="G41:K41" si="30">G28</f>
        <v>150</v>
      </c>
      <c r="H41" s="67">
        <f t="shared" si="27"/>
        <v>472.5</v>
      </c>
      <c r="I41" s="105">
        <v>450</v>
      </c>
      <c r="J41" s="74">
        <f t="shared" si="30"/>
        <v>0.05</v>
      </c>
      <c r="K41" s="67">
        <f t="shared" si="30"/>
        <v>75</v>
      </c>
      <c r="L41" s="67">
        <f>(G41+H41+K41)*$L$5</f>
        <v>41.85</v>
      </c>
      <c r="M41" s="67">
        <f>(G41+H41+K41+L41)*$M$5</f>
        <v>22.1805</v>
      </c>
      <c r="N41" s="67">
        <f t="shared" si="5"/>
        <v>1142.29575</v>
      </c>
      <c r="O41" s="67"/>
      <c r="P41" s="67">
        <f t="shared" si="28"/>
        <v>16391.9440125</v>
      </c>
      <c r="Q41" s="82">
        <f>F41*N41</f>
        <v>16391.9440125</v>
      </c>
      <c r="R41" s="116"/>
      <c r="S41" s="115"/>
    </row>
    <row r="42" s="100" customFormat="1" ht="43.2" outlineLevel="1" spans="1:19">
      <c r="A42" s="65">
        <v>30</v>
      </c>
      <c r="B42" s="65" t="s">
        <v>125</v>
      </c>
      <c r="C42" s="65" t="s">
        <v>126</v>
      </c>
      <c r="D42" s="58" t="s">
        <v>76</v>
      </c>
      <c r="E42" s="65">
        <v>42.2</v>
      </c>
      <c r="F42" s="57">
        <v>42.2</v>
      </c>
      <c r="G42" s="105">
        <v>35</v>
      </c>
      <c r="H42" s="106">
        <f t="shared" si="27"/>
        <v>126</v>
      </c>
      <c r="I42" s="112">
        <v>120</v>
      </c>
      <c r="J42" s="90">
        <v>0.05</v>
      </c>
      <c r="K42" s="113">
        <v>220</v>
      </c>
      <c r="L42" s="106">
        <f>(G42+H42+K42)*$L$5</f>
        <v>22.86</v>
      </c>
      <c r="M42" s="106">
        <f>(G42+H42+K42+L42)*$M$5</f>
        <v>12.1158</v>
      </c>
      <c r="N42" s="67">
        <f t="shared" si="5"/>
        <v>623.9637</v>
      </c>
      <c r="O42" s="67"/>
      <c r="P42" s="106">
        <f t="shared" si="28"/>
        <v>26331.26814</v>
      </c>
      <c r="Q42" s="82">
        <f>F42*N42</f>
        <v>26331.26814</v>
      </c>
      <c r="R42" s="116"/>
      <c r="S42" s="115"/>
    </row>
    <row r="43" s="100" customFormat="1" spans="1:19">
      <c r="A43" s="65"/>
      <c r="B43" s="65" t="s">
        <v>127</v>
      </c>
      <c r="C43" s="65"/>
      <c r="D43" s="58"/>
      <c r="E43" s="65"/>
      <c r="F43" s="57"/>
      <c r="G43" s="103"/>
      <c r="H43" s="67"/>
      <c r="I43" s="103"/>
      <c r="J43" s="74"/>
      <c r="K43" s="67"/>
      <c r="L43" s="67"/>
      <c r="M43" s="67"/>
      <c r="N43" s="67">
        <f t="shared" si="5"/>
        <v>0</v>
      </c>
      <c r="O43" s="67"/>
      <c r="P43" s="67"/>
      <c r="Q43" s="82"/>
      <c r="R43" s="116"/>
      <c r="S43" s="115"/>
    </row>
    <row r="44" s="100" customFormat="1" ht="54" outlineLevel="1" spans="1:19">
      <c r="A44" s="65">
        <v>31</v>
      </c>
      <c r="B44" s="65" t="s">
        <v>106</v>
      </c>
      <c r="C44" s="65" t="s">
        <v>128</v>
      </c>
      <c r="D44" s="58" t="s">
        <v>108</v>
      </c>
      <c r="E44" s="65">
        <v>1</v>
      </c>
      <c r="F44" s="57">
        <v>0</v>
      </c>
      <c r="G44" s="105">
        <f>+(1.6)*2.5*150</f>
        <v>600</v>
      </c>
      <c r="H44" s="67">
        <f t="shared" ref="H44:H47" si="31">I44*(1+J44)</f>
        <v>2141.2</v>
      </c>
      <c r="I44" s="105">
        <f>1.6*2.5*530</f>
        <v>2120</v>
      </c>
      <c r="J44" s="88">
        <v>0.01</v>
      </c>
      <c r="K44" s="72">
        <v>550</v>
      </c>
      <c r="L44" s="67">
        <f>(G44+H44+K44)*$L$5</f>
        <v>197.472</v>
      </c>
      <c r="M44" s="67">
        <f>(G44+H44+K44+L44)*$M$5</f>
        <v>104.66016</v>
      </c>
      <c r="N44" s="67">
        <f t="shared" si="5"/>
        <v>5389.99824</v>
      </c>
      <c r="O44" s="67"/>
      <c r="P44" s="67">
        <f t="shared" ref="P44:P47" si="32">N44*E44</f>
        <v>5389.99824</v>
      </c>
      <c r="Q44" s="82">
        <f t="shared" ref="Q44:Q47" si="33">F44*N44</f>
        <v>0</v>
      </c>
      <c r="R44" s="116"/>
      <c r="S44" s="115"/>
    </row>
    <row r="45" s="100" customFormat="1" ht="54" outlineLevel="1" spans="1:19">
      <c r="A45" s="65">
        <v>32</v>
      </c>
      <c r="B45" s="65" t="s">
        <v>95</v>
      </c>
      <c r="C45" s="65" t="s">
        <v>129</v>
      </c>
      <c r="D45" s="58" t="s">
        <v>76</v>
      </c>
      <c r="E45" s="65">
        <v>5.2</v>
      </c>
      <c r="F45" s="57">
        <v>5.2</v>
      </c>
      <c r="G45" s="103">
        <f t="shared" ref="G45:K45" si="34">G29</f>
        <v>190</v>
      </c>
      <c r="H45" s="67">
        <f t="shared" si="31"/>
        <v>315</v>
      </c>
      <c r="I45" s="103">
        <f t="shared" si="34"/>
        <v>300</v>
      </c>
      <c r="J45" s="74">
        <f t="shared" si="34"/>
        <v>0.05</v>
      </c>
      <c r="K45" s="67">
        <f t="shared" si="34"/>
        <v>150</v>
      </c>
      <c r="L45" s="67">
        <f>(G45+H45+K45)*$L$5</f>
        <v>39.3</v>
      </c>
      <c r="M45" s="67">
        <f>(G45+H45+K45+L45)*$M$5</f>
        <v>20.829</v>
      </c>
      <c r="N45" s="67">
        <f t="shared" si="5"/>
        <v>1072.6935</v>
      </c>
      <c r="O45" s="67"/>
      <c r="P45" s="67">
        <f t="shared" si="32"/>
        <v>5578.0062</v>
      </c>
      <c r="Q45" s="82">
        <f t="shared" si="33"/>
        <v>5578.0062</v>
      </c>
      <c r="R45" s="116" t="str">
        <f>R36</f>
        <v>厂家定制</v>
      </c>
      <c r="S45" s="115"/>
    </row>
    <row r="46" s="100" customFormat="1" ht="54" outlineLevel="1" spans="1:19">
      <c r="A46" s="65">
        <v>33</v>
      </c>
      <c r="B46" s="65" t="s">
        <v>113</v>
      </c>
      <c r="C46" s="65" t="s">
        <v>130</v>
      </c>
      <c r="D46" s="58" t="s">
        <v>76</v>
      </c>
      <c r="E46" s="65">
        <v>30.93</v>
      </c>
      <c r="F46" s="57">
        <v>30.93</v>
      </c>
      <c r="G46" s="105">
        <v>220</v>
      </c>
      <c r="H46" s="67">
        <f t="shared" si="31"/>
        <v>1417.5</v>
      </c>
      <c r="I46" s="105">
        <v>1350</v>
      </c>
      <c r="J46" s="88">
        <v>0.05</v>
      </c>
      <c r="K46" s="72">
        <v>257.291</v>
      </c>
      <c r="L46" s="67">
        <f>(G46+H46+K46)*$L$5</f>
        <v>113.68746</v>
      </c>
      <c r="M46" s="67">
        <f>(G46+H46+K46+L46)*$M$5</f>
        <v>60.2543538</v>
      </c>
      <c r="N46" s="67">
        <f t="shared" si="5"/>
        <v>3103.0992207</v>
      </c>
      <c r="O46" s="67"/>
      <c r="P46" s="67">
        <f t="shared" si="32"/>
        <v>95978.858896251</v>
      </c>
      <c r="Q46" s="82">
        <f t="shared" si="33"/>
        <v>95978.858896251</v>
      </c>
      <c r="R46" s="116"/>
      <c r="S46" s="115"/>
    </row>
    <row r="47" s="100" customFormat="1" ht="32.4" outlineLevel="1" spans="1:19">
      <c r="A47" s="65">
        <v>34</v>
      </c>
      <c r="B47" s="65" t="s">
        <v>101</v>
      </c>
      <c r="C47" s="65" t="s">
        <v>131</v>
      </c>
      <c r="D47" s="58" t="s">
        <v>76</v>
      </c>
      <c r="E47" s="65">
        <v>0.78</v>
      </c>
      <c r="F47" s="57">
        <v>0.78</v>
      </c>
      <c r="G47" s="103">
        <f t="shared" ref="G47:K47" si="35">G40</f>
        <v>150</v>
      </c>
      <c r="H47" s="67">
        <f t="shared" si="31"/>
        <v>280.5</v>
      </c>
      <c r="I47" s="103">
        <f>I8</f>
        <v>255</v>
      </c>
      <c r="J47" s="74">
        <f t="shared" si="35"/>
        <v>0.1</v>
      </c>
      <c r="K47" s="67">
        <f t="shared" si="35"/>
        <v>155</v>
      </c>
      <c r="L47" s="67">
        <f>(G47+H47+K47)*$L$5</f>
        <v>35.13</v>
      </c>
      <c r="M47" s="67">
        <f>(G47+H47+K47+L47)*$M$5</f>
        <v>18.6189</v>
      </c>
      <c r="N47" s="67">
        <f t="shared" si="5"/>
        <v>958.87335</v>
      </c>
      <c r="O47" s="67"/>
      <c r="P47" s="67">
        <f t="shared" si="32"/>
        <v>747.921213</v>
      </c>
      <c r="Q47" s="82">
        <f t="shared" si="33"/>
        <v>747.921213</v>
      </c>
      <c r="R47" s="116"/>
      <c r="S47" s="115"/>
    </row>
    <row r="48" s="100" customFormat="1" spans="1:19">
      <c r="A48" s="65"/>
      <c r="B48" s="65" t="s">
        <v>132</v>
      </c>
      <c r="C48" s="65"/>
      <c r="D48" s="58"/>
      <c r="E48" s="65"/>
      <c r="F48" s="57"/>
      <c r="G48" s="103"/>
      <c r="H48" s="67"/>
      <c r="I48" s="103"/>
      <c r="J48" s="74"/>
      <c r="K48" s="67"/>
      <c r="L48" s="67"/>
      <c r="M48" s="67"/>
      <c r="N48" s="67">
        <f t="shared" si="5"/>
        <v>0</v>
      </c>
      <c r="O48" s="67"/>
      <c r="P48" s="67"/>
      <c r="Q48" s="82"/>
      <c r="R48" s="116"/>
      <c r="S48" s="115"/>
    </row>
    <row r="49" s="100" customFormat="1" ht="54" outlineLevel="1" spans="1:19">
      <c r="A49" s="65">
        <v>35</v>
      </c>
      <c r="B49" s="65" t="s">
        <v>113</v>
      </c>
      <c r="C49" s="65" t="s">
        <v>133</v>
      </c>
      <c r="D49" s="58" t="s">
        <v>76</v>
      </c>
      <c r="E49" s="65">
        <v>30.84</v>
      </c>
      <c r="F49" s="57">
        <v>30.84</v>
      </c>
      <c r="G49" s="103">
        <f t="shared" ref="G49:K49" si="36">G46</f>
        <v>220</v>
      </c>
      <c r="H49" s="67">
        <f t="shared" ref="H49:H58" si="37">I49*(1+J49)</f>
        <v>1417.5</v>
      </c>
      <c r="I49" s="103">
        <f t="shared" si="36"/>
        <v>1350</v>
      </c>
      <c r="J49" s="74">
        <f t="shared" si="36"/>
        <v>0.05</v>
      </c>
      <c r="K49" s="67">
        <f t="shared" si="36"/>
        <v>257.291</v>
      </c>
      <c r="L49" s="67">
        <f>(G49+H49+K49)*$L$5</f>
        <v>113.68746</v>
      </c>
      <c r="M49" s="67">
        <f>(G49+H49+K49+L49)*$M$5</f>
        <v>60.2543538</v>
      </c>
      <c r="N49" s="67">
        <f t="shared" si="5"/>
        <v>3103.0992207</v>
      </c>
      <c r="O49" s="67"/>
      <c r="P49" s="67">
        <f t="shared" ref="P49:P58" si="38">N49*E49</f>
        <v>95699.579966388</v>
      </c>
      <c r="Q49" s="82">
        <f t="shared" ref="Q49:Q58" si="39">F49*N49</f>
        <v>95699.579966388</v>
      </c>
      <c r="R49" s="116"/>
      <c r="S49" s="115"/>
    </row>
    <row r="50" s="100" customFormat="1" ht="54" outlineLevel="1" spans="1:19">
      <c r="A50" s="65">
        <v>36</v>
      </c>
      <c r="B50" s="65" t="s">
        <v>106</v>
      </c>
      <c r="C50" s="65" t="s">
        <v>134</v>
      </c>
      <c r="D50" s="58" t="s">
        <v>108</v>
      </c>
      <c r="E50" s="65">
        <v>1</v>
      </c>
      <c r="F50" s="57">
        <v>0</v>
      </c>
      <c r="G50" s="103">
        <f t="shared" ref="G50:K50" si="40">G44</f>
        <v>600</v>
      </c>
      <c r="H50" s="67">
        <f t="shared" si="37"/>
        <v>2141.2</v>
      </c>
      <c r="I50" s="103">
        <f t="shared" si="40"/>
        <v>2120</v>
      </c>
      <c r="J50" s="74">
        <f t="shared" si="40"/>
        <v>0.01</v>
      </c>
      <c r="K50" s="67">
        <f t="shared" si="40"/>
        <v>550</v>
      </c>
      <c r="L50" s="67">
        <f>(G50+H50+K50)*$L$5</f>
        <v>197.472</v>
      </c>
      <c r="M50" s="67">
        <f>(G50+H50+K50+L50)*$M$5</f>
        <v>104.66016</v>
      </c>
      <c r="N50" s="67">
        <f t="shared" si="5"/>
        <v>5389.99824</v>
      </c>
      <c r="O50" s="67"/>
      <c r="P50" s="67">
        <f t="shared" si="38"/>
        <v>5389.99824</v>
      </c>
      <c r="Q50" s="82">
        <f t="shared" si="39"/>
        <v>0</v>
      </c>
      <c r="R50" s="116"/>
      <c r="S50" s="115"/>
    </row>
    <row r="51" s="100" customFormat="1" ht="64.8" outlineLevel="1" spans="1:19">
      <c r="A51" s="65">
        <v>37</v>
      </c>
      <c r="B51" s="65" t="s">
        <v>95</v>
      </c>
      <c r="C51" s="65" t="s">
        <v>135</v>
      </c>
      <c r="D51" s="58" t="s">
        <v>76</v>
      </c>
      <c r="E51" s="65">
        <v>22.83</v>
      </c>
      <c r="F51" s="57">
        <v>22.83</v>
      </c>
      <c r="G51" s="103">
        <f t="shared" ref="G51:K51" si="41">G45</f>
        <v>190</v>
      </c>
      <c r="H51" s="67">
        <f t="shared" si="37"/>
        <v>315</v>
      </c>
      <c r="I51" s="103">
        <f t="shared" si="41"/>
        <v>300</v>
      </c>
      <c r="J51" s="74">
        <f t="shared" si="41"/>
        <v>0.05</v>
      </c>
      <c r="K51" s="67">
        <f t="shared" si="41"/>
        <v>150</v>
      </c>
      <c r="L51" s="67">
        <f>(G51+H51+K51)*$L$5</f>
        <v>39.3</v>
      </c>
      <c r="M51" s="67">
        <f>(G51+H51+K51+L51)*$M$5</f>
        <v>20.829</v>
      </c>
      <c r="N51" s="67">
        <f t="shared" si="5"/>
        <v>1072.6935</v>
      </c>
      <c r="O51" s="67"/>
      <c r="P51" s="67">
        <f t="shared" si="38"/>
        <v>24489.592605</v>
      </c>
      <c r="Q51" s="82">
        <f t="shared" si="39"/>
        <v>24489.592605</v>
      </c>
      <c r="R51" s="116" t="str">
        <f>R45</f>
        <v>厂家定制</v>
      </c>
      <c r="S51" s="115"/>
    </row>
    <row r="52" s="100" customFormat="1" ht="64.8" outlineLevel="1" spans="1:19">
      <c r="A52" s="65">
        <v>38</v>
      </c>
      <c r="B52" s="65" t="s">
        <v>136</v>
      </c>
      <c r="C52" s="65" t="s">
        <v>137</v>
      </c>
      <c r="D52" s="58" t="s">
        <v>76</v>
      </c>
      <c r="E52" s="65">
        <v>3.7</v>
      </c>
      <c r="F52" s="57">
        <v>3.7</v>
      </c>
      <c r="G52" s="105">
        <v>185</v>
      </c>
      <c r="H52" s="67">
        <f t="shared" si="37"/>
        <v>383.25</v>
      </c>
      <c r="I52" s="105">
        <v>365</v>
      </c>
      <c r="J52" s="88">
        <v>0.05</v>
      </c>
      <c r="K52" s="72">
        <v>150</v>
      </c>
      <c r="L52" s="67">
        <f>(G52+H52+K52)*$L$5</f>
        <v>43.095</v>
      </c>
      <c r="M52" s="67">
        <f>(G52+H52+K52+L52)*$M$5</f>
        <v>22.84035</v>
      </c>
      <c r="N52" s="67">
        <f t="shared" si="5"/>
        <v>1176.278025</v>
      </c>
      <c r="O52" s="67"/>
      <c r="P52" s="67">
        <f t="shared" si="38"/>
        <v>4352.2286925</v>
      </c>
      <c r="Q52" s="82">
        <f t="shared" si="39"/>
        <v>4352.2286925</v>
      </c>
      <c r="R52" s="116"/>
      <c r="S52" s="115"/>
    </row>
    <row r="53" s="100" customFormat="1" ht="43.2" outlineLevel="1" spans="1:19">
      <c r="A53" s="65">
        <v>39</v>
      </c>
      <c r="B53" s="65" t="s">
        <v>138</v>
      </c>
      <c r="C53" s="65" t="s">
        <v>139</v>
      </c>
      <c r="D53" s="58" t="s">
        <v>111</v>
      </c>
      <c r="E53" s="65">
        <v>3.36</v>
      </c>
      <c r="F53" s="57">
        <v>3.36</v>
      </c>
      <c r="G53" s="105">
        <v>135</v>
      </c>
      <c r="H53" s="67">
        <f t="shared" si="37"/>
        <v>378</v>
      </c>
      <c r="I53" s="105">
        <v>360</v>
      </c>
      <c r="J53" s="88">
        <v>0.05</v>
      </c>
      <c r="K53" s="72">
        <v>95</v>
      </c>
      <c r="L53" s="67">
        <f>(G53+H53+K53)*$L$5</f>
        <v>36.48</v>
      </c>
      <c r="M53" s="67">
        <f>(G53+H53+K53+L53)*$M$5</f>
        <v>19.3344</v>
      </c>
      <c r="N53" s="67">
        <f t="shared" si="5"/>
        <v>995.7216</v>
      </c>
      <c r="O53" s="67"/>
      <c r="P53" s="67">
        <f t="shared" si="38"/>
        <v>3345.624576</v>
      </c>
      <c r="Q53" s="82">
        <f t="shared" si="39"/>
        <v>3345.624576</v>
      </c>
      <c r="R53" s="116"/>
      <c r="S53" s="115"/>
    </row>
    <row r="54" s="100" customFormat="1" ht="54" outlineLevel="1" spans="1:19">
      <c r="A54" s="65">
        <v>40</v>
      </c>
      <c r="B54" s="65" t="s">
        <v>101</v>
      </c>
      <c r="C54" s="65" t="s">
        <v>102</v>
      </c>
      <c r="D54" s="58" t="s">
        <v>76</v>
      </c>
      <c r="E54" s="65">
        <v>0.68</v>
      </c>
      <c r="F54" s="57">
        <v>0.68</v>
      </c>
      <c r="G54" s="103">
        <f t="shared" ref="G54:K54" si="42">G47</f>
        <v>150</v>
      </c>
      <c r="H54" s="67">
        <f t="shared" si="37"/>
        <v>280.5</v>
      </c>
      <c r="I54" s="103">
        <f t="shared" si="42"/>
        <v>255</v>
      </c>
      <c r="J54" s="74">
        <f t="shared" si="42"/>
        <v>0.1</v>
      </c>
      <c r="K54" s="67">
        <f t="shared" si="42"/>
        <v>155</v>
      </c>
      <c r="L54" s="67">
        <f>(G54+H54+K54)*$L$5</f>
        <v>35.13</v>
      </c>
      <c r="M54" s="67">
        <f>(G54+H54+K54+L54)*$M$5</f>
        <v>18.6189</v>
      </c>
      <c r="N54" s="67">
        <f t="shared" si="5"/>
        <v>958.87335</v>
      </c>
      <c r="O54" s="67"/>
      <c r="P54" s="67">
        <f t="shared" si="38"/>
        <v>652.033878</v>
      </c>
      <c r="Q54" s="82">
        <f t="shared" si="39"/>
        <v>652.033878</v>
      </c>
      <c r="R54" s="116"/>
      <c r="S54" s="115"/>
    </row>
    <row r="55" s="100" customFormat="1" ht="43.2" outlineLevel="1" spans="1:19">
      <c r="A55" s="65">
        <v>41</v>
      </c>
      <c r="B55" s="65" t="s">
        <v>101</v>
      </c>
      <c r="C55" s="65" t="s">
        <v>140</v>
      </c>
      <c r="D55" s="58" t="s">
        <v>76</v>
      </c>
      <c r="E55" s="65">
        <v>0.54</v>
      </c>
      <c r="F55" s="57">
        <v>0.54</v>
      </c>
      <c r="G55" s="103">
        <f t="shared" ref="G55:K55" si="43">G54</f>
        <v>150</v>
      </c>
      <c r="H55" s="67">
        <f t="shared" si="37"/>
        <v>280.5</v>
      </c>
      <c r="I55" s="103">
        <f>I8</f>
        <v>255</v>
      </c>
      <c r="J55" s="74">
        <f t="shared" si="43"/>
        <v>0.1</v>
      </c>
      <c r="K55" s="67">
        <f t="shared" si="43"/>
        <v>155</v>
      </c>
      <c r="L55" s="67">
        <f>(G55+H55+K55)*$L$5</f>
        <v>35.13</v>
      </c>
      <c r="M55" s="67">
        <f>(G55+H55+K55+L55)*$M$5</f>
        <v>18.6189</v>
      </c>
      <c r="N55" s="67">
        <f t="shared" si="5"/>
        <v>958.87335</v>
      </c>
      <c r="O55" s="67"/>
      <c r="P55" s="67">
        <f t="shared" si="38"/>
        <v>517.791609</v>
      </c>
      <c r="Q55" s="82">
        <f t="shared" si="39"/>
        <v>517.791609</v>
      </c>
      <c r="R55" s="116"/>
      <c r="S55" s="115"/>
    </row>
    <row r="56" s="100" customFormat="1" ht="64.8" outlineLevel="1" spans="1:19">
      <c r="A56" s="65">
        <v>42</v>
      </c>
      <c r="B56" s="65" t="s">
        <v>109</v>
      </c>
      <c r="C56" s="65" t="s">
        <v>141</v>
      </c>
      <c r="D56" s="58" t="s">
        <v>111</v>
      </c>
      <c r="E56" s="65">
        <v>4.8</v>
      </c>
      <c r="F56" s="57">
        <v>4.8</v>
      </c>
      <c r="G56" s="103">
        <f t="shared" ref="G56:J56" si="44">G25</f>
        <v>115</v>
      </c>
      <c r="H56" s="67">
        <f t="shared" si="37"/>
        <v>237.35</v>
      </c>
      <c r="I56" s="103">
        <f t="shared" si="44"/>
        <v>235</v>
      </c>
      <c r="J56" s="74">
        <f t="shared" si="44"/>
        <v>0.01</v>
      </c>
      <c r="K56" s="67">
        <f>K25+265</f>
        <v>415</v>
      </c>
      <c r="L56" s="67">
        <f>(G56+H56+K56)*$L$5</f>
        <v>46.041</v>
      </c>
      <c r="M56" s="67">
        <f>(G56+H56+K56+L56)*$M$5</f>
        <v>24.40173</v>
      </c>
      <c r="N56" s="67">
        <f t="shared" si="5"/>
        <v>1256.689095</v>
      </c>
      <c r="O56" s="67"/>
      <c r="P56" s="67">
        <f t="shared" si="38"/>
        <v>6032.107656</v>
      </c>
      <c r="Q56" s="82">
        <f t="shared" si="39"/>
        <v>6032.107656</v>
      </c>
      <c r="R56" s="116"/>
      <c r="S56" s="115"/>
    </row>
    <row r="57" s="100" customFormat="1" ht="21.6" outlineLevel="1" spans="1:19">
      <c r="A57" s="65">
        <v>43</v>
      </c>
      <c r="B57" s="65" t="s">
        <v>142</v>
      </c>
      <c r="C57" s="65" t="s">
        <v>143</v>
      </c>
      <c r="D57" s="58" t="s">
        <v>111</v>
      </c>
      <c r="E57" s="65">
        <v>5.25</v>
      </c>
      <c r="F57" s="57">
        <v>5.25</v>
      </c>
      <c r="G57" s="105">
        <v>15</v>
      </c>
      <c r="H57" s="67">
        <f t="shared" si="37"/>
        <v>36.75</v>
      </c>
      <c r="I57" s="105">
        <v>35</v>
      </c>
      <c r="J57" s="88">
        <v>0.05</v>
      </c>
      <c r="K57" s="72">
        <v>5</v>
      </c>
      <c r="L57" s="67">
        <f>(G57+H57+K57)*$L$5</f>
        <v>3.405</v>
      </c>
      <c r="M57" s="67">
        <f>(G57+H57+K57+L57)*$M$5</f>
        <v>1.80465</v>
      </c>
      <c r="N57" s="67">
        <f t="shared" si="5"/>
        <v>92.939475</v>
      </c>
      <c r="O57" s="67"/>
      <c r="P57" s="67">
        <f t="shared" si="38"/>
        <v>487.93224375</v>
      </c>
      <c r="Q57" s="82">
        <f t="shared" si="39"/>
        <v>487.93224375</v>
      </c>
      <c r="R57" s="116"/>
      <c r="S57" s="115"/>
    </row>
    <row r="58" s="100" customFormat="1" ht="32.4" outlineLevel="1" spans="1:19">
      <c r="A58" s="65">
        <v>44</v>
      </c>
      <c r="B58" s="65" t="s">
        <v>95</v>
      </c>
      <c r="C58" s="65" t="s">
        <v>144</v>
      </c>
      <c r="D58" s="58" t="s">
        <v>76</v>
      </c>
      <c r="E58" s="65">
        <v>1.76</v>
      </c>
      <c r="F58" s="57">
        <v>1.76</v>
      </c>
      <c r="G58" s="103">
        <f t="shared" ref="G58:K58" si="45">G47</f>
        <v>150</v>
      </c>
      <c r="H58" s="67">
        <f t="shared" si="37"/>
        <v>280.5</v>
      </c>
      <c r="I58" s="103">
        <f>I47</f>
        <v>255</v>
      </c>
      <c r="J58" s="74">
        <f t="shared" si="45"/>
        <v>0.1</v>
      </c>
      <c r="K58" s="67">
        <f t="shared" si="45"/>
        <v>155</v>
      </c>
      <c r="L58" s="67">
        <f>(G58+H58+K58)*$L$5</f>
        <v>35.13</v>
      </c>
      <c r="M58" s="67">
        <f>(G58+H58+K58+L58)*$M$5</f>
        <v>18.6189</v>
      </c>
      <c r="N58" s="67">
        <f t="shared" si="5"/>
        <v>958.87335</v>
      </c>
      <c r="O58" s="67"/>
      <c r="P58" s="67">
        <f t="shared" si="38"/>
        <v>1687.617096</v>
      </c>
      <c r="Q58" s="82">
        <f t="shared" si="39"/>
        <v>1687.617096</v>
      </c>
      <c r="R58" s="116"/>
      <c r="S58" s="115"/>
    </row>
    <row r="59" s="100" customFormat="1" spans="1:19">
      <c r="A59" s="65"/>
      <c r="B59" s="65" t="s">
        <v>145</v>
      </c>
      <c r="C59" s="65"/>
      <c r="D59" s="58"/>
      <c r="E59" s="65"/>
      <c r="F59" s="57"/>
      <c r="G59" s="103"/>
      <c r="H59" s="106"/>
      <c r="I59" s="114"/>
      <c r="J59" s="93"/>
      <c r="K59" s="106"/>
      <c r="L59" s="106"/>
      <c r="M59" s="106"/>
      <c r="N59" s="67">
        <f t="shared" si="5"/>
        <v>0</v>
      </c>
      <c r="O59" s="67"/>
      <c r="P59" s="106"/>
      <c r="Q59" s="119"/>
      <c r="R59" s="116"/>
      <c r="S59" s="115"/>
    </row>
    <row r="60" s="100" customFormat="1" ht="54" outlineLevel="1" spans="1:19">
      <c r="A60" s="65">
        <v>45</v>
      </c>
      <c r="B60" s="65" t="s">
        <v>146</v>
      </c>
      <c r="C60" s="65" t="s">
        <v>147</v>
      </c>
      <c r="D60" s="58" t="s">
        <v>111</v>
      </c>
      <c r="E60" s="65">
        <v>7</v>
      </c>
      <c r="F60" s="57">
        <v>7</v>
      </c>
      <c r="G60" s="105">
        <v>550</v>
      </c>
      <c r="H60" s="106">
        <f>I60*(1+J60)</f>
        <v>1898.8</v>
      </c>
      <c r="I60" s="112">
        <v>1880</v>
      </c>
      <c r="J60" s="90">
        <v>0.01</v>
      </c>
      <c r="K60" s="113">
        <v>650</v>
      </c>
      <c r="L60" s="106">
        <f>(G60+H60+K60)*$L$5</f>
        <v>185.928</v>
      </c>
      <c r="M60" s="106">
        <f>(G60+H60+K60+L60)*$M$5</f>
        <v>98.54184</v>
      </c>
      <c r="N60" s="67">
        <f t="shared" si="5"/>
        <v>5074.90476</v>
      </c>
      <c r="O60" s="67"/>
      <c r="P60" s="106">
        <f>N60*E60</f>
        <v>35524.33332</v>
      </c>
      <c r="Q60" s="82">
        <f>F60*N60</f>
        <v>35524.33332</v>
      </c>
      <c r="R60" s="116"/>
      <c r="S60" s="115"/>
    </row>
    <row r="61" s="100" customFormat="1" spans="1:19">
      <c r="A61" s="65"/>
      <c r="B61" s="65" t="s">
        <v>148</v>
      </c>
      <c r="C61" s="65"/>
      <c r="D61" s="58"/>
      <c r="E61" s="65"/>
      <c r="F61" s="57"/>
      <c r="G61" s="103"/>
      <c r="H61" s="67"/>
      <c r="I61" s="103"/>
      <c r="J61" s="74"/>
      <c r="K61" s="67"/>
      <c r="L61" s="67"/>
      <c r="M61" s="67"/>
      <c r="N61" s="67">
        <f>SUM(P62:P74)</f>
        <v>603813.08300025</v>
      </c>
      <c r="O61" s="67"/>
      <c r="P61" s="67"/>
      <c r="Q61" s="82">
        <f>SUM(Q62:Q74)</f>
        <v>603813.08300025</v>
      </c>
      <c r="R61" s="116"/>
      <c r="S61" s="115"/>
    </row>
    <row r="62" s="100" customFormat="1" ht="151.2" outlineLevel="1" spans="1:19">
      <c r="A62" s="65">
        <v>46</v>
      </c>
      <c r="B62" s="65" t="s">
        <v>78</v>
      </c>
      <c r="C62" s="65" t="s">
        <v>149</v>
      </c>
      <c r="D62" s="58" t="s">
        <v>76</v>
      </c>
      <c r="E62" s="65">
        <v>651.19</v>
      </c>
      <c r="F62" s="57">
        <v>651.19</v>
      </c>
      <c r="G62" s="103">
        <f t="shared" ref="G62:K62" si="46">G8</f>
        <v>85</v>
      </c>
      <c r="H62" s="67">
        <f t="shared" ref="H61:H74" si="47">I62*(1+J62)</f>
        <v>267.75</v>
      </c>
      <c r="I62" s="103">
        <f t="shared" si="46"/>
        <v>255</v>
      </c>
      <c r="J62" s="74">
        <f t="shared" si="46"/>
        <v>0.05</v>
      </c>
      <c r="K62" s="67">
        <f t="shared" si="46"/>
        <v>35</v>
      </c>
      <c r="L62" s="67">
        <f>(G62+H62+K62)*$L$5</f>
        <v>23.265</v>
      </c>
      <c r="M62" s="67">
        <f>(G62+H62+K62+L62)*$M$5</f>
        <v>12.33045</v>
      </c>
      <c r="N62" s="67">
        <f t="shared" ref="N62:N68" si="48">(G62+H62+K62+L62+M62)*1.5</f>
        <v>635.018175</v>
      </c>
      <c r="O62" s="67"/>
      <c r="P62" s="67">
        <f t="shared" ref="P61:P74" si="49">N62*E62</f>
        <v>413517.48537825</v>
      </c>
      <c r="Q62" s="82">
        <f t="shared" ref="Q62:Q74" si="50">F62*N62</f>
        <v>413517.48537825</v>
      </c>
      <c r="R62" s="116"/>
      <c r="S62" s="115"/>
    </row>
    <row r="63" s="100" customFormat="1" ht="53" customHeight="1" outlineLevel="1" spans="1:19">
      <c r="A63" s="65">
        <v>47</v>
      </c>
      <c r="B63" s="65" t="s">
        <v>150</v>
      </c>
      <c r="C63" s="65" t="s">
        <v>151</v>
      </c>
      <c r="D63" s="58" t="s">
        <v>76</v>
      </c>
      <c r="E63" s="65">
        <v>2.18</v>
      </c>
      <c r="F63" s="57">
        <v>2.18</v>
      </c>
      <c r="G63" s="105">
        <v>150</v>
      </c>
      <c r="H63" s="67">
        <f t="shared" si="47"/>
        <v>280.5</v>
      </c>
      <c r="I63" s="103">
        <f t="shared" ref="I63:I67" si="51">I62</f>
        <v>255</v>
      </c>
      <c r="J63" s="74">
        <v>0.1</v>
      </c>
      <c r="K63" s="67">
        <f>K62</f>
        <v>35</v>
      </c>
      <c r="L63" s="67">
        <f>(G63+H63+K63)*$L$5</f>
        <v>27.93</v>
      </c>
      <c r="M63" s="67">
        <f>(G63+H63+K63+L63)*$M$5</f>
        <v>14.8029</v>
      </c>
      <c r="N63" s="67">
        <f t="shared" si="48"/>
        <v>762.34935</v>
      </c>
      <c r="O63" s="67"/>
      <c r="P63" s="67">
        <f t="shared" si="49"/>
        <v>1661.921583</v>
      </c>
      <c r="Q63" s="82">
        <f t="shared" si="50"/>
        <v>1661.921583</v>
      </c>
      <c r="R63" s="116"/>
      <c r="S63" s="115"/>
    </row>
    <row r="64" s="100" customFormat="1" ht="50" customHeight="1" outlineLevel="1" spans="1:19">
      <c r="A64" s="65">
        <v>48</v>
      </c>
      <c r="B64" s="65" t="s">
        <v>78</v>
      </c>
      <c r="C64" s="65" t="s">
        <v>152</v>
      </c>
      <c r="D64" s="58" t="s">
        <v>76</v>
      </c>
      <c r="E64" s="65">
        <v>15.04</v>
      </c>
      <c r="F64" s="57">
        <v>15.04</v>
      </c>
      <c r="G64" s="109">
        <f t="shared" ref="G64:K64" si="52">G8*1.5</f>
        <v>127.5</v>
      </c>
      <c r="H64" s="67">
        <f t="shared" si="47"/>
        <v>401.625</v>
      </c>
      <c r="I64" s="103">
        <f t="shared" si="52"/>
        <v>382.5</v>
      </c>
      <c r="J64" s="74">
        <f>J8</f>
        <v>0.05</v>
      </c>
      <c r="K64" s="67">
        <f t="shared" si="52"/>
        <v>52.5</v>
      </c>
      <c r="L64" s="67">
        <f>(G64+H64+K64)*$L$5</f>
        <v>34.8975</v>
      </c>
      <c r="M64" s="67">
        <f>(G64+H64+K64+L64)*$M$5</f>
        <v>18.495675</v>
      </c>
      <c r="N64" s="67">
        <f t="shared" si="48"/>
        <v>952.5272625</v>
      </c>
      <c r="O64" s="67"/>
      <c r="P64" s="67">
        <f t="shared" si="49"/>
        <v>14326.010028</v>
      </c>
      <c r="Q64" s="82">
        <f t="shared" si="50"/>
        <v>14326.010028</v>
      </c>
      <c r="R64" s="116"/>
      <c r="S64" s="115"/>
    </row>
    <row r="65" s="100" customFormat="1" ht="162" outlineLevel="1" spans="1:19">
      <c r="A65" s="65">
        <v>49</v>
      </c>
      <c r="B65" s="65" t="s">
        <v>81</v>
      </c>
      <c r="C65" s="65" t="s">
        <v>153</v>
      </c>
      <c r="D65" s="58" t="s">
        <v>76</v>
      </c>
      <c r="E65" s="65">
        <v>116.14</v>
      </c>
      <c r="F65" s="57">
        <v>116.14</v>
      </c>
      <c r="G65" s="107">
        <f>G10</f>
        <v>65</v>
      </c>
      <c r="H65" s="71">
        <f t="shared" si="47"/>
        <v>68.25</v>
      </c>
      <c r="I65" s="107">
        <f>I10</f>
        <v>65</v>
      </c>
      <c r="J65" s="74">
        <f t="shared" ref="J65:J67" si="53">J64</f>
        <v>0.05</v>
      </c>
      <c r="K65" s="67">
        <f>K10</f>
        <v>35</v>
      </c>
      <c r="L65" s="67">
        <f>(G65+H65+K65)*$L$5</f>
        <v>10.095</v>
      </c>
      <c r="M65" s="67">
        <f>(G65+H65+K65+L65)*$M$5</f>
        <v>5.35035</v>
      </c>
      <c r="N65" s="67">
        <f t="shared" si="48"/>
        <v>275.543025</v>
      </c>
      <c r="O65" s="67"/>
      <c r="P65" s="67">
        <f t="shared" si="49"/>
        <v>32001.5669235</v>
      </c>
      <c r="Q65" s="82">
        <f t="shared" si="50"/>
        <v>32001.5669235</v>
      </c>
      <c r="R65" s="116" t="str">
        <f>R10</f>
        <v>广东产</v>
      </c>
      <c r="S65" s="115"/>
    </row>
    <row r="66" s="100" customFormat="1" ht="183.6" outlineLevel="1" spans="1:19">
      <c r="A66" s="65">
        <v>50</v>
      </c>
      <c r="B66" s="65" t="s">
        <v>154</v>
      </c>
      <c r="C66" s="65" t="s">
        <v>155</v>
      </c>
      <c r="D66" s="58" t="s">
        <v>76</v>
      </c>
      <c r="E66" s="65">
        <v>30.94</v>
      </c>
      <c r="F66" s="57">
        <v>30.94</v>
      </c>
      <c r="G66" s="103">
        <f>G65+20</f>
        <v>85</v>
      </c>
      <c r="H66" s="67">
        <f t="shared" si="47"/>
        <v>68.25</v>
      </c>
      <c r="I66" s="103">
        <f t="shared" si="51"/>
        <v>65</v>
      </c>
      <c r="J66" s="74">
        <f t="shared" si="53"/>
        <v>0.05</v>
      </c>
      <c r="K66" s="67">
        <f>K65+35</f>
        <v>70</v>
      </c>
      <c r="L66" s="67">
        <f>(G66+H66+K66)*$L$5</f>
        <v>13.395</v>
      </c>
      <c r="M66" s="67">
        <f>(G66+H66+K66+L66)*$M$5</f>
        <v>7.09935</v>
      </c>
      <c r="N66" s="67">
        <f t="shared" si="48"/>
        <v>365.616525</v>
      </c>
      <c r="O66" s="67"/>
      <c r="P66" s="67">
        <f t="shared" si="49"/>
        <v>11312.1752835</v>
      </c>
      <c r="Q66" s="82">
        <f t="shared" si="50"/>
        <v>11312.1752835</v>
      </c>
      <c r="R66" s="116" t="str">
        <f>R10</f>
        <v>广东产</v>
      </c>
      <c r="S66" s="115"/>
    </row>
    <row r="67" s="100" customFormat="1" ht="183.6" outlineLevel="1" spans="1:19">
      <c r="A67" s="65">
        <v>51</v>
      </c>
      <c r="B67" s="65" t="s">
        <v>154</v>
      </c>
      <c r="C67" s="65" t="s">
        <v>156</v>
      </c>
      <c r="D67" s="58" t="s">
        <v>76</v>
      </c>
      <c r="E67" s="65">
        <v>29.04</v>
      </c>
      <c r="F67" s="57">
        <v>29.04</v>
      </c>
      <c r="G67" s="103">
        <f>G66</f>
        <v>85</v>
      </c>
      <c r="H67" s="67">
        <f t="shared" si="47"/>
        <v>68.25</v>
      </c>
      <c r="I67" s="103">
        <f t="shared" si="51"/>
        <v>65</v>
      </c>
      <c r="J67" s="74">
        <f t="shared" si="53"/>
        <v>0.05</v>
      </c>
      <c r="K67" s="67">
        <f>K66</f>
        <v>70</v>
      </c>
      <c r="L67" s="67">
        <f>(G67+H67+K67)*$L$5</f>
        <v>13.395</v>
      </c>
      <c r="M67" s="67">
        <f>(G67+H67+K67+L67)*$M$5</f>
        <v>7.09935</v>
      </c>
      <c r="N67" s="67">
        <f t="shared" si="48"/>
        <v>365.616525</v>
      </c>
      <c r="O67" s="67"/>
      <c r="P67" s="67">
        <f t="shared" si="49"/>
        <v>10617.503886</v>
      </c>
      <c r="Q67" s="82">
        <f t="shared" si="50"/>
        <v>10617.503886</v>
      </c>
      <c r="R67" s="116" t="str">
        <f>R65</f>
        <v>广东产</v>
      </c>
      <c r="S67" s="115"/>
    </row>
    <row r="68" s="100" customFormat="1" ht="140.4" outlineLevel="1" spans="1:19">
      <c r="A68" s="65">
        <v>52</v>
      </c>
      <c r="B68" s="65" t="s">
        <v>157</v>
      </c>
      <c r="C68" s="65" t="s">
        <v>158</v>
      </c>
      <c r="D68" s="58" t="s">
        <v>76</v>
      </c>
      <c r="E68" s="65">
        <v>3.72</v>
      </c>
      <c r="F68" s="57">
        <v>3.72</v>
      </c>
      <c r="G68" s="105">
        <v>30</v>
      </c>
      <c r="H68" s="67">
        <f t="shared" si="47"/>
        <v>47.25</v>
      </c>
      <c r="I68" s="105">
        <v>45</v>
      </c>
      <c r="J68" s="88">
        <v>0.05</v>
      </c>
      <c r="K68" s="72">
        <v>15</v>
      </c>
      <c r="L68" s="67">
        <f>(G68+H68+K68)*$L$5</f>
        <v>5.535</v>
      </c>
      <c r="M68" s="67">
        <f>(G68+H68+K68+L68)*$M$5</f>
        <v>2.93355</v>
      </c>
      <c r="N68" s="67">
        <f t="shared" si="48"/>
        <v>151.077825</v>
      </c>
      <c r="O68" s="67"/>
      <c r="P68" s="67">
        <f t="shared" si="49"/>
        <v>562.009509</v>
      </c>
      <c r="Q68" s="82">
        <f t="shared" si="50"/>
        <v>562.009509</v>
      </c>
      <c r="R68" s="116"/>
      <c r="S68" s="115"/>
    </row>
    <row r="69" s="100" customFormat="1" ht="97.2" outlineLevel="1" spans="1:19">
      <c r="A69" s="65">
        <v>53</v>
      </c>
      <c r="B69" s="65" t="s">
        <v>159</v>
      </c>
      <c r="C69" s="65" t="s">
        <v>160</v>
      </c>
      <c r="D69" s="58" t="s">
        <v>76</v>
      </c>
      <c r="E69" s="65">
        <v>8.36</v>
      </c>
      <c r="F69" s="57">
        <v>8.36</v>
      </c>
      <c r="G69" s="105">
        <v>35</v>
      </c>
      <c r="H69" s="67">
        <f t="shared" si="47"/>
        <v>157.5</v>
      </c>
      <c r="I69" s="105">
        <v>150</v>
      </c>
      <c r="J69" s="88">
        <v>0.05</v>
      </c>
      <c r="K69" s="72">
        <v>15</v>
      </c>
      <c r="L69" s="67">
        <f>(G69+H69+K69)*$L$5</f>
        <v>12.45</v>
      </c>
      <c r="M69" s="67">
        <f>(G69+H69+K69+L69)*$M$5</f>
        <v>6.5985</v>
      </c>
      <c r="N69" s="67">
        <f t="shared" ref="N69:N132" si="54">(G69+H69+K69+L69+M69)*1.5</f>
        <v>339.82275</v>
      </c>
      <c r="O69" s="67"/>
      <c r="P69" s="67">
        <f t="shared" si="49"/>
        <v>2840.91819</v>
      </c>
      <c r="Q69" s="82">
        <f t="shared" si="50"/>
        <v>2840.91819</v>
      </c>
      <c r="R69" s="116"/>
      <c r="S69" s="115"/>
    </row>
    <row r="70" s="100" customFormat="1" ht="108" outlineLevel="1" spans="1:19">
      <c r="A70" s="65">
        <v>54</v>
      </c>
      <c r="B70" s="65" t="s">
        <v>161</v>
      </c>
      <c r="C70" s="65" t="s">
        <v>162</v>
      </c>
      <c r="D70" s="58" t="s">
        <v>76</v>
      </c>
      <c r="E70" s="65">
        <v>110.49</v>
      </c>
      <c r="F70" s="57">
        <v>110.49</v>
      </c>
      <c r="G70" s="105">
        <v>165</v>
      </c>
      <c r="H70" s="67">
        <f t="shared" si="47"/>
        <v>173.25</v>
      </c>
      <c r="I70" s="105">
        <v>165</v>
      </c>
      <c r="J70" s="88">
        <v>0.05</v>
      </c>
      <c r="K70" s="72">
        <v>95</v>
      </c>
      <c r="L70" s="67">
        <f>(G70+H70+K70)*$L$5</f>
        <v>25.995</v>
      </c>
      <c r="M70" s="67">
        <f>(G70+H70+K70+L70)*$M$5</f>
        <v>13.77735</v>
      </c>
      <c r="N70" s="67">
        <f t="shared" si="54"/>
        <v>709.533525</v>
      </c>
      <c r="O70" s="67"/>
      <c r="P70" s="67">
        <f t="shared" si="49"/>
        <v>78396.35917725</v>
      </c>
      <c r="Q70" s="82">
        <f t="shared" si="50"/>
        <v>78396.35917725</v>
      </c>
      <c r="R70" s="116"/>
      <c r="S70" s="115"/>
    </row>
    <row r="71" s="100" customFormat="1" ht="86.4" outlineLevel="1" spans="1:19">
      <c r="A71" s="65">
        <v>55</v>
      </c>
      <c r="B71" s="65" t="s">
        <v>163</v>
      </c>
      <c r="C71" s="65" t="s">
        <v>164</v>
      </c>
      <c r="D71" s="58" t="s">
        <v>76</v>
      </c>
      <c r="E71" s="65">
        <v>12.67</v>
      </c>
      <c r="F71" s="57">
        <v>12.67</v>
      </c>
      <c r="G71" s="103">
        <f>G70</f>
        <v>165</v>
      </c>
      <c r="H71" s="67">
        <f t="shared" si="47"/>
        <v>299.25</v>
      </c>
      <c r="I71" s="105">
        <v>285</v>
      </c>
      <c r="J71" s="88">
        <v>0.05</v>
      </c>
      <c r="K71" s="72">
        <v>235</v>
      </c>
      <c r="L71" s="67">
        <f>(G71+H71+K71)*$L$5</f>
        <v>41.955</v>
      </c>
      <c r="M71" s="67">
        <f>(G71+H71+K71+L71)*$M$5</f>
        <v>22.23615</v>
      </c>
      <c r="N71" s="67">
        <f t="shared" si="54"/>
        <v>1145.161725</v>
      </c>
      <c r="O71" s="67"/>
      <c r="P71" s="67">
        <f t="shared" si="49"/>
        <v>14509.19905575</v>
      </c>
      <c r="Q71" s="82">
        <f t="shared" si="50"/>
        <v>14509.19905575</v>
      </c>
      <c r="R71" s="116" t="str">
        <f>R45</f>
        <v>厂家定制</v>
      </c>
      <c r="S71" s="115"/>
    </row>
    <row r="72" s="100" customFormat="1" ht="108" outlineLevel="1" spans="1:19">
      <c r="A72" s="65">
        <v>56</v>
      </c>
      <c r="B72" s="65" t="s">
        <v>161</v>
      </c>
      <c r="C72" s="65" t="s">
        <v>165</v>
      </c>
      <c r="D72" s="58" t="s">
        <v>76</v>
      </c>
      <c r="E72" s="65">
        <v>31.43</v>
      </c>
      <c r="F72" s="57">
        <v>31.43</v>
      </c>
      <c r="G72" s="105">
        <v>35</v>
      </c>
      <c r="H72" s="67">
        <f t="shared" si="47"/>
        <v>173.25</v>
      </c>
      <c r="I72" s="103">
        <f>I70</f>
        <v>165</v>
      </c>
      <c r="J72" s="88">
        <v>0.05</v>
      </c>
      <c r="K72" s="72">
        <v>55</v>
      </c>
      <c r="L72" s="67">
        <f>(G72+H72+K72)*$L$5</f>
        <v>15.795</v>
      </c>
      <c r="M72" s="67">
        <f>(G72+H72+K72+L72)*$M$5</f>
        <v>8.37135</v>
      </c>
      <c r="N72" s="67">
        <f t="shared" si="54"/>
        <v>431.124525</v>
      </c>
      <c r="O72" s="67"/>
      <c r="P72" s="67">
        <f t="shared" si="49"/>
        <v>13550.24382075</v>
      </c>
      <c r="Q72" s="82">
        <f t="shared" si="50"/>
        <v>13550.24382075</v>
      </c>
      <c r="R72" s="116"/>
      <c r="S72" s="115"/>
    </row>
    <row r="73" s="100" customFormat="1" ht="86.4" outlineLevel="1" spans="1:19">
      <c r="A73" s="65">
        <v>57</v>
      </c>
      <c r="B73" s="65" t="s">
        <v>166</v>
      </c>
      <c r="C73" s="65" t="s">
        <v>167</v>
      </c>
      <c r="D73" s="58" t="s">
        <v>76</v>
      </c>
      <c r="E73" s="65">
        <v>9.14</v>
      </c>
      <c r="F73" s="57">
        <v>9.14</v>
      </c>
      <c r="G73" s="105">
        <v>25</v>
      </c>
      <c r="H73" s="67">
        <f t="shared" si="47"/>
        <v>148.5</v>
      </c>
      <c r="I73" s="105">
        <v>135</v>
      </c>
      <c r="J73" s="88">
        <v>0.1</v>
      </c>
      <c r="K73" s="72">
        <v>15</v>
      </c>
      <c r="L73" s="67">
        <f>(G73+H73+K73)*$L$5</f>
        <v>11.31</v>
      </c>
      <c r="M73" s="67">
        <f>(G73+H73+K73+L73)*$M$5</f>
        <v>5.9943</v>
      </c>
      <c r="N73" s="67">
        <f t="shared" si="54"/>
        <v>308.70645</v>
      </c>
      <c r="O73" s="67"/>
      <c r="P73" s="67">
        <f t="shared" si="49"/>
        <v>2821.576953</v>
      </c>
      <c r="Q73" s="82">
        <f t="shared" si="50"/>
        <v>2821.576953</v>
      </c>
      <c r="R73" s="116"/>
      <c r="S73" s="115"/>
    </row>
    <row r="74" s="100" customFormat="1" ht="97.2" outlineLevel="1" spans="1:19">
      <c r="A74" s="65">
        <v>58</v>
      </c>
      <c r="B74" s="65" t="s">
        <v>168</v>
      </c>
      <c r="C74" s="65" t="s">
        <v>169</v>
      </c>
      <c r="D74" s="58" t="s">
        <v>76</v>
      </c>
      <c r="E74" s="65">
        <v>12.31</v>
      </c>
      <c r="F74" s="57">
        <v>12.31</v>
      </c>
      <c r="G74" s="105">
        <f>G70-20</f>
        <v>145</v>
      </c>
      <c r="H74" s="67">
        <f t="shared" si="47"/>
        <v>141.75</v>
      </c>
      <c r="I74" s="105">
        <v>135</v>
      </c>
      <c r="J74" s="78">
        <f>J70</f>
        <v>0.05</v>
      </c>
      <c r="K74" s="80">
        <f>K70</f>
        <v>95</v>
      </c>
      <c r="L74" s="67">
        <f>(G74+H74+K74)*$L$5</f>
        <v>22.905</v>
      </c>
      <c r="M74" s="67">
        <f>(G74+H74+K74+L74)*$M$5</f>
        <v>12.13965</v>
      </c>
      <c r="N74" s="67">
        <f t="shared" si="54"/>
        <v>625.191975</v>
      </c>
      <c r="O74" s="67"/>
      <c r="P74" s="67">
        <f t="shared" si="49"/>
        <v>7696.11321225</v>
      </c>
      <c r="Q74" s="82">
        <f t="shared" si="50"/>
        <v>7696.11321225</v>
      </c>
      <c r="R74" s="116"/>
      <c r="S74" s="115"/>
    </row>
    <row r="75" s="100" customFormat="1" spans="1:19">
      <c r="A75" s="65"/>
      <c r="B75" s="65" t="s">
        <v>170</v>
      </c>
      <c r="C75" s="65"/>
      <c r="D75" s="58"/>
      <c r="E75" s="65"/>
      <c r="F75" s="57"/>
      <c r="G75" s="103"/>
      <c r="H75" s="67"/>
      <c r="I75" s="103"/>
      <c r="J75" s="74"/>
      <c r="K75" s="67"/>
      <c r="L75" s="67"/>
      <c r="M75" s="67"/>
      <c r="N75" s="67">
        <f>SUM(P76:P85)</f>
        <v>616224.57931182</v>
      </c>
      <c r="O75" s="67"/>
      <c r="P75" s="67"/>
      <c r="Q75" s="82">
        <f>SUM(Q76:Q85)</f>
        <v>616224.57931182</v>
      </c>
      <c r="R75" s="116"/>
      <c r="S75" s="115"/>
    </row>
    <row r="76" s="100" customFormat="1" ht="120" customHeight="1" outlineLevel="1" spans="1:19">
      <c r="A76" s="84">
        <v>59</v>
      </c>
      <c r="B76" s="84" t="s">
        <v>86</v>
      </c>
      <c r="C76" s="120" t="s">
        <v>171</v>
      </c>
      <c r="D76" s="92" t="s">
        <v>76</v>
      </c>
      <c r="E76" s="121">
        <f>32.41-2.22</f>
        <v>30.19</v>
      </c>
      <c r="F76" s="122">
        <f>32.41-2.22</f>
        <v>30.19</v>
      </c>
      <c r="G76" s="123">
        <f>30+20*2+25+10</f>
        <v>105</v>
      </c>
      <c r="H76" s="124">
        <f t="shared" ref="H76:H85" si="55">I76*(1+J76)</f>
        <v>57.24</v>
      </c>
      <c r="I76" s="123">
        <f>15+38</f>
        <v>53</v>
      </c>
      <c r="J76" s="93">
        <v>0.08</v>
      </c>
      <c r="K76" s="124">
        <f>45+10+15+5</f>
        <v>75</v>
      </c>
      <c r="L76" s="124">
        <f>(G76+H76+K76)*$L$5</f>
        <v>14.2344</v>
      </c>
      <c r="M76" s="124">
        <f>(G76+H76+K76+L76)*$M$5</f>
        <v>7.544232</v>
      </c>
      <c r="N76" s="67">
        <f t="shared" si="54"/>
        <v>388.527948</v>
      </c>
      <c r="O76" s="67"/>
      <c r="P76" s="124">
        <f t="shared" ref="P76:P85" si="56">N76*E76</f>
        <v>11729.65875012</v>
      </c>
      <c r="Q76" s="82">
        <f>F76*N76</f>
        <v>11729.65875012</v>
      </c>
      <c r="R76" s="92" t="str">
        <f>R13</f>
        <v>龙骨驰龙、石膏板泰山</v>
      </c>
      <c r="S76" s="146" t="s">
        <v>172</v>
      </c>
    </row>
    <row r="77" s="100" customFormat="1" ht="151.2" outlineLevel="1" spans="1:19">
      <c r="A77" s="65">
        <v>60</v>
      </c>
      <c r="B77" s="65" t="s">
        <v>86</v>
      </c>
      <c r="C77" s="125" t="s">
        <v>173</v>
      </c>
      <c r="D77" s="58" t="s">
        <v>76</v>
      </c>
      <c r="E77" s="65">
        <v>70.53</v>
      </c>
      <c r="F77" s="57">
        <v>70.53</v>
      </c>
      <c r="G77" s="126">
        <f>G13</f>
        <v>125</v>
      </c>
      <c r="H77" s="127">
        <f t="shared" si="55"/>
        <v>324</v>
      </c>
      <c r="I77" s="126">
        <f>I13</f>
        <v>300</v>
      </c>
      <c r="J77" s="139">
        <v>0.08</v>
      </c>
      <c r="K77" s="127">
        <f>38*2+55+10</f>
        <v>141</v>
      </c>
      <c r="L77" s="67">
        <f>(G77+H77+K77)*$L$5</f>
        <v>35.4</v>
      </c>
      <c r="M77" s="67">
        <f>(G77+H77+K77+L77)*$M$5</f>
        <v>18.762</v>
      </c>
      <c r="N77" s="67">
        <f t="shared" si="54"/>
        <v>966.243</v>
      </c>
      <c r="O77" s="67"/>
      <c r="P77" s="67">
        <f t="shared" si="56"/>
        <v>68149.11879</v>
      </c>
      <c r="Q77" s="82">
        <f>F77*N77</f>
        <v>68149.11879</v>
      </c>
      <c r="R77" s="116" t="str">
        <f t="shared" ref="R77:R82" si="57">R76</f>
        <v>龙骨驰龙、石膏板泰山</v>
      </c>
      <c r="S77" s="117" t="s">
        <v>174</v>
      </c>
    </row>
    <row r="78" s="100" customFormat="1" ht="140.4" outlineLevel="1" spans="1:19">
      <c r="A78" s="65">
        <v>61</v>
      </c>
      <c r="B78" s="65" t="s">
        <v>89</v>
      </c>
      <c r="C78" s="125" t="s">
        <v>175</v>
      </c>
      <c r="D78" s="58" t="s">
        <v>76</v>
      </c>
      <c r="E78" s="65">
        <v>151.02</v>
      </c>
      <c r="F78" s="57">
        <v>151.02</v>
      </c>
      <c r="G78" s="126">
        <f t="shared" ref="G78:K78" si="58">G14</f>
        <v>155</v>
      </c>
      <c r="H78" s="67">
        <f t="shared" si="55"/>
        <v>324</v>
      </c>
      <c r="I78" s="126">
        <f t="shared" si="58"/>
        <v>300</v>
      </c>
      <c r="J78" s="127">
        <f t="shared" si="58"/>
        <v>0.08</v>
      </c>
      <c r="K78" s="127">
        <f t="shared" si="58"/>
        <v>125</v>
      </c>
      <c r="L78" s="67">
        <f>(G78+H78+K78)*$L$5</f>
        <v>36.24</v>
      </c>
      <c r="M78" s="67">
        <f>(G78+H78+K78+L78)*$M$5</f>
        <v>19.2072</v>
      </c>
      <c r="N78" s="67">
        <f t="shared" si="54"/>
        <v>989.1708</v>
      </c>
      <c r="O78" s="67"/>
      <c r="P78" s="67">
        <f t="shared" si="56"/>
        <v>149384.574216</v>
      </c>
      <c r="Q78" s="82">
        <f>F78*N78</f>
        <v>149384.574216</v>
      </c>
      <c r="R78" s="116" t="str">
        <f t="shared" si="57"/>
        <v>龙骨驰龙、石膏板泰山</v>
      </c>
      <c r="S78" s="117" t="s">
        <v>174</v>
      </c>
    </row>
    <row r="79" s="100" customFormat="1" ht="48" customHeight="1" outlineLevel="1" spans="1:19">
      <c r="A79" s="84">
        <v>62</v>
      </c>
      <c r="B79" s="84" t="s">
        <v>86</v>
      </c>
      <c r="C79" s="120" t="s">
        <v>176</v>
      </c>
      <c r="D79" s="92" t="s">
        <v>76</v>
      </c>
      <c r="E79" s="84">
        <v>60.33</v>
      </c>
      <c r="F79" s="85">
        <v>60.33</v>
      </c>
      <c r="G79" s="112">
        <v>185</v>
      </c>
      <c r="H79" s="106">
        <f t="shared" si="55"/>
        <v>291.5</v>
      </c>
      <c r="I79" s="112">
        <v>265</v>
      </c>
      <c r="J79" s="90">
        <v>0.1</v>
      </c>
      <c r="K79" s="113">
        <v>155</v>
      </c>
      <c r="L79" s="106">
        <f>(G79+H79+K79)*$L$5</f>
        <v>37.89</v>
      </c>
      <c r="M79" s="106">
        <f>(G79+H79+K79+L79)*$M$5</f>
        <v>20.0817</v>
      </c>
      <c r="N79" s="67">
        <f t="shared" si="54"/>
        <v>1034.20755</v>
      </c>
      <c r="O79" s="67"/>
      <c r="P79" s="106">
        <f t="shared" si="56"/>
        <v>62393.7414915</v>
      </c>
      <c r="Q79" s="82">
        <f>F79*N79</f>
        <v>62393.7414915</v>
      </c>
      <c r="R79" s="147" t="str">
        <f t="shared" si="57"/>
        <v>龙骨驰龙、石膏板泰山</v>
      </c>
      <c r="S79" s="117" t="s">
        <v>177</v>
      </c>
    </row>
    <row r="80" s="100" customFormat="1" ht="194.4" outlineLevel="1" spans="1:19">
      <c r="A80" s="84">
        <v>63</v>
      </c>
      <c r="B80" s="84" t="s">
        <v>86</v>
      </c>
      <c r="C80" s="120" t="s">
        <v>178</v>
      </c>
      <c r="D80" s="92" t="s">
        <v>76</v>
      </c>
      <c r="E80" s="84">
        <v>12.56</v>
      </c>
      <c r="F80" s="85">
        <v>12.56</v>
      </c>
      <c r="G80" s="112">
        <f>35+20*2+35+15</f>
        <v>125</v>
      </c>
      <c r="H80" s="106">
        <f t="shared" si="55"/>
        <v>128.1</v>
      </c>
      <c r="I80" s="112">
        <f>15+42+65</f>
        <v>122</v>
      </c>
      <c r="J80" s="90">
        <v>0.05</v>
      </c>
      <c r="K80" s="113">
        <f>45+5+15</f>
        <v>65</v>
      </c>
      <c r="L80" s="106">
        <f>(G80+H80+K80)*$L$5</f>
        <v>19.086</v>
      </c>
      <c r="M80" s="106">
        <f>(G80+H80+K80+L80)*$M$5</f>
        <v>10.11558</v>
      </c>
      <c r="N80" s="67">
        <f t="shared" si="54"/>
        <v>520.95237</v>
      </c>
      <c r="O80" s="67"/>
      <c r="P80" s="106">
        <f t="shared" si="56"/>
        <v>6543.1617672</v>
      </c>
      <c r="Q80" s="82">
        <f t="shared" ref="Q80:Q89" si="59">F80*N80</f>
        <v>6543.1617672</v>
      </c>
      <c r="R80" s="106" t="str">
        <f t="shared" si="57"/>
        <v>龙骨驰龙、石膏板泰山</v>
      </c>
      <c r="S80" s="117"/>
    </row>
    <row r="81" s="100" customFormat="1" ht="183.6" outlineLevel="1" spans="1:19">
      <c r="A81" s="65">
        <v>64</v>
      </c>
      <c r="B81" s="65" t="s">
        <v>86</v>
      </c>
      <c r="C81" s="125" t="s">
        <v>179</v>
      </c>
      <c r="D81" s="58" t="s">
        <v>76</v>
      </c>
      <c r="E81" s="65">
        <v>29.65</v>
      </c>
      <c r="F81" s="57">
        <v>29.65</v>
      </c>
      <c r="G81" s="103">
        <f t="shared" ref="G81:K81" si="60">G80</f>
        <v>125</v>
      </c>
      <c r="H81" s="67">
        <f t="shared" si="55"/>
        <v>88.2</v>
      </c>
      <c r="I81" s="105">
        <f>I80-38</f>
        <v>84</v>
      </c>
      <c r="J81" s="74">
        <f t="shared" si="60"/>
        <v>0.05</v>
      </c>
      <c r="K81" s="67">
        <f t="shared" si="60"/>
        <v>65</v>
      </c>
      <c r="L81" s="67">
        <f>(G81+H81+K81)*$L$5</f>
        <v>16.692</v>
      </c>
      <c r="M81" s="67">
        <f>(G81+H81+K81+L81)*$M$5</f>
        <v>8.84676</v>
      </c>
      <c r="N81" s="67">
        <f t="shared" si="54"/>
        <v>455.60814</v>
      </c>
      <c r="O81" s="67"/>
      <c r="P81" s="67">
        <f t="shared" si="56"/>
        <v>13508.781351</v>
      </c>
      <c r="Q81" s="82">
        <f t="shared" si="59"/>
        <v>13508.781351</v>
      </c>
      <c r="R81" s="116" t="str">
        <f t="shared" si="57"/>
        <v>龙骨驰龙、石膏板泰山</v>
      </c>
      <c r="S81" s="117" t="s">
        <v>174</v>
      </c>
    </row>
    <row r="82" s="100" customFormat="1" ht="205.2" outlineLevel="1" spans="1:19">
      <c r="A82" s="84">
        <v>65</v>
      </c>
      <c r="B82" s="84" t="s">
        <v>86</v>
      </c>
      <c r="C82" s="120" t="s">
        <v>180</v>
      </c>
      <c r="D82" s="92" t="s">
        <v>76</v>
      </c>
      <c r="E82" s="84">
        <v>29.2</v>
      </c>
      <c r="F82" s="85">
        <v>29.2</v>
      </c>
      <c r="G82" s="112">
        <f>G81*1.8</f>
        <v>225</v>
      </c>
      <c r="H82" s="128">
        <f t="shared" si="55"/>
        <v>214.11</v>
      </c>
      <c r="I82" s="112">
        <f>I80*1.3</f>
        <v>158.6</v>
      </c>
      <c r="J82" s="90">
        <v>0.35</v>
      </c>
      <c r="K82" s="113">
        <f>K80*2</f>
        <v>130</v>
      </c>
      <c r="L82" s="128">
        <f>(G82+H82+K82)*$L$5</f>
        <v>34.1466</v>
      </c>
      <c r="M82" s="128">
        <f>(G82+H82+K82+L82)*$M$5</f>
        <v>18.097698</v>
      </c>
      <c r="N82" s="67">
        <f t="shared" si="54"/>
        <v>932.031447</v>
      </c>
      <c r="O82" s="67"/>
      <c r="P82" s="124">
        <f t="shared" si="56"/>
        <v>27215.3182524</v>
      </c>
      <c r="Q82" s="82">
        <f t="shared" si="59"/>
        <v>27215.3182524</v>
      </c>
      <c r="R82" s="124" t="str">
        <f t="shared" si="57"/>
        <v>龙骨驰龙、石膏板泰山</v>
      </c>
      <c r="S82" s="117"/>
    </row>
    <row r="83" s="100" customFormat="1" ht="226.8" outlineLevel="1" spans="1:19">
      <c r="A83" s="84">
        <v>66</v>
      </c>
      <c r="B83" s="84" t="s">
        <v>86</v>
      </c>
      <c r="C83" s="120" t="s">
        <v>181</v>
      </c>
      <c r="D83" s="92" t="s">
        <v>76</v>
      </c>
      <c r="E83" s="129">
        <v>494.88</v>
      </c>
      <c r="F83" s="122">
        <v>494.88</v>
      </c>
      <c r="G83" s="130">
        <f t="shared" ref="G83:K83" si="61">G80</f>
        <v>125</v>
      </c>
      <c r="H83" s="128">
        <f t="shared" si="55"/>
        <v>128.1</v>
      </c>
      <c r="I83" s="130">
        <f t="shared" si="61"/>
        <v>122</v>
      </c>
      <c r="J83" s="140">
        <f t="shared" si="61"/>
        <v>0.05</v>
      </c>
      <c r="K83" s="128">
        <f t="shared" si="61"/>
        <v>65</v>
      </c>
      <c r="L83" s="128">
        <f>(G83+H83+K83)*$L$5</f>
        <v>19.086</v>
      </c>
      <c r="M83" s="128">
        <f>(G83+H83+K83+L83)*$M$5</f>
        <v>10.11558</v>
      </c>
      <c r="N83" s="67">
        <f t="shared" si="54"/>
        <v>520.95237</v>
      </c>
      <c r="O83" s="67"/>
      <c r="P83" s="124">
        <f t="shared" si="56"/>
        <v>257808.9088656</v>
      </c>
      <c r="Q83" s="82">
        <f t="shared" si="59"/>
        <v>257808.9088656</v>
      </c>
      <c r="R83" s="124"/>
      <c r="S83" s="117"/>
    </row>
    <row r="84" s="100" customFormat="1" ht="54" outlineLevel="1" spans="1:19">
      <c r="A84" s="84">
        <v>67</v>
      </c>
      <c r="B84" s="84" t="s">
        <v>182</v>
      </c>
      <c r="C84" s="84" t="s">
        <v>183</v>
      </c>
      <c r="D84" s="92" t="s">
        <v>76</v>
      </c>
      <c r="E84" s="84">
        <v>14.3</v>
      </c>
      <c r="F84" s="85">
        <v>14.3</v>
      </c>
      <c r="G84" s="112">
        <f>20+135+50</f>
        <v>205</v>
      </c>
      <c r="H84" s="106">
        <f t="shared" si="55"/>
        <v>368</v>
      </c>
      <c r="I84" s="112">
        <v>320</v>
      </c>
      <c r="J84" s="90">
        <v>0.15</v>
      </c>
      <c r="K84" s="113">
        <v>155</v>
      </c>
      <c r="L84" s="106">
        <f>(G84+H84+K84)*$L$5</f>
        <v>43.68</v>
      </c>
      <c r="M84" s="106">
        <f>(G84+H84+K84+L84)*$M$5</f>
        <v>23.1504</v>
      </c>
      <c r="N84" s="67">
        <f t="shared" si="54"/>
        <v>1192.2456</v>
      </c>
      <c r="O84" s="67"/>
      <c r="P84" s="106">
        <f t="shared" si="56"/>
        <v>17049.11208</v>
      </c>
      <c r="Q84" s="82">
        <f t="shared" si="59"/>
        <v>17049.11208</v>
      </c>
      <c r="R84" s="147"/>
      <c r="S84" s="115"/>
    </row>
    <row r="85" s="100" customFormat="1" ht="64.8" outlineLevel="1" spans="1:19">
      <c r="A85" s="65">
        <v>68</v>
      </c>
      <c r="B85" s="65" t="s">
        <v>86</v>
      </c>
      <c r="C85" s="65" t="s">
        <v>184</v>
      </c>
      <c r="D85" s="58" t="s">
        <v>76</v>
      </c>
      <c r="E85" s="65">
        <v>2.72</v>
      </c>
      <c r="F85" s="57">
        <v>2.72</v>
      </c>
      <c r="G85" s="105">
        <v>185</v>
      </c>
      <c r="H85" s="67">
        <f t="shared" si="55"/>
        <v>278.25</v>
      </c>
      <c r="I85" s="105">
        <v>265</v>
      </c>
      <c r="J85" s="88">
        <v>0.05</v>
      </c>
      <c r="K85" s="72">
        <v>85</v>
      </c>
      <c r="L85" s="67">
        <f>(G85+H85+K85)*$L$5</f>
        <v>32.895</v>
      </c>
      <c r="M85" s="67">
        <f>(G85+H85+K85+L85)*$M$5</f>
        <v>17.43435</v>
      </c>
      <c r="N85" s="67">
        <f t="shared" si="54"/>
        <v>897.869025</v>
      </c>
      <c r="O85" s="67"/>
      <c r="P85" s="67">
        <f t="shared" si="56"/>
        <v>2442.203748</v>
      </c>
      <c r="Q85" s="82">
        <f t="shared" si="59"/>
        <v>2442.203748</v>
      </c>
      <c r="R85" s="116"/>
      <c r="S85" s="115"/>
    </row>
    <row r="86" s="100" customFormat="1" spans="1:19">
      <c r="A86" s="65"/>
      <c r="B86" s="65" t="s">
        <v>185</v>
      </c>
      <c r="C86" s="65"/>
      <c r="D86" s="58"/>
      <c r="E86" s="65"/>
      <c r="F86" s="57"/>
      <c r="G86" s="103"/>
      <c r="H86" s="67"/>
      <c r="I86" s="103"/>
      <c r="J86" s="74"/>
      <c r="K86" s="67"/>
      <c r="L86" s="67"/>
      <c r="M86" s="67"/>
      <c r="N86" s="67">
        <f>SUM(P87:P280)</f>
        <v>2138795.78238285</v>
      </c>
      <c r="O86" s="67"/>
      <c r="P86" s="67"/>
      <c r="Q86" s="82">
        <f>SUM(Q87:Q280)</f>
        <v>1888562.32738285</v>
      </c>
      <c r="R86" s="116"/>
      <c r="S86" s="115"/>
    </row>
    <row r="87" s="100" customFormat="1" spans="1:19">
      <c r="A87" s="65"/>
      <c r="B87" s="65" t="s">
        <v>186</v>
      </c>
      <c r="C87" s="65"/>
      <c r="D87" s="58"/>
      <c r="E87" s="65"/>
      <c r="F87" s="57"/>
      <c r="G87" s="103"/>
      <c r="H87" s="67"/>
      <c r="I87" s="103"/>
      <c r="J87" s="74"/>
      <c r="K87" s="67"/>
      <c r="L87" s="67"/>
      <c r="M87" s="67"/>
      <c r="N87" s="67">
        <f t="shared" si="54"/>
        <v>0</v>
      </c>
      <c r="O87" s="67"/>
      <c r="P87" s="67"/>
      <c r="Q87" s="82"/>
      <c r="R87" s="116"/>
      <c r="S87" s="115"/>
    </row>
    <row r="88" s="100" customFormat="1" ht="43.2" outlineLevel="1" spans="1:19">
      <c r="A88" s="65">
        <v>69</v>
      </c>
      <c r="B88" s="65" t="s">
        <v>187</v>
      </c>
      <c r="C88" s="65" t="s">
        <v>188</v>
      </c>
      <c r="D88" s="58" t="s">
        <v>76</v>
      </c>
      <c r="E88" s="65">
        <v>3.82</v>
      </c>
      <c r="F88" s="57">
        <v>3.82</v>
      </c>
      <c r="G88" s="103">
        <f t="shared" ref="G88:K88" si="62">G19</f>
        <v>190</v>
      </c>
      <c r="H88" s="67">
        <f t="shared" ref="H88:H93" si="63">I88*(1+J88)</f>
        <v>315</v>
      </c>
      <c r="I88" s="103">
        <f t="shared" si="62"/>
        <v>300</v>
      </c>
      <c r="J88" s="74">
        <f t="shared" si="62"/>
        <v>0.05</v>
      </c>
      <c r="K88" s="67">
        <f t="shared" si="62"/>
        <v>150</v>
      </c>
      <c r="L88" s="67">
        <f>(G88+H88+K88)*$L$5</f>
        <v>39.3</v>
      </c>
      <c r="M88" s="67">
        <f>(G88+H88+K88+L88)*$M$5</f>
        <v>20.829</v>
      </c>
      <c r="N88" s="67">
        <f t="shared" si="54"/>
        <v>1072.6935</v>
      </c>
      <c r="O88" s="67"/>
      <c r="P88" s="67">
        <f t="shared" ref="P88:P93" si="64">N88*E88</f>
        <v>4097.68917</v>
      </c>
      <c r="Q88" s="82">
        <f t="shared" ref="Q88:Q93" si="65">F88*N88</f>
        <v>4097.68917</v>
      </c>
      <c r="R88" s="116" t="str">
        <f>R71</f>
        <v>厂家定制</v>
      </c>
      <c r="S88" s="115"/>
    </row>
    <row r="89" s="100" customFormat="1" ht="43.2" outlineLevel="1" spans="1:19">
      <c r="A89" s="65">
        <v>70</v>
      </c>
      <c r="B89" s="65" t="s">
        <v>189</v>
      </c>
      <c r="C89" s="65" t="s">
        <v>190</v>
      </c>
      <c r="D89" s="58" t="s">
        <v>76</v>
      </c>
      <c r="E89" s="65">
        <v>9.83</v>
      </c>
      <c r="F89" s="57">
        <v>9.83</v>
      </c>
      <c r="G89" s="105">
        <v>185</v>
      </c>
      <c r="H89" s="67">
        <f t="shared" si="63"/>
        <v>336</v>
      </c>
      <c r="I89" s="105">
        <v>320</v>
      </c>
      <c r="J89" s="88">
        <v>0.05</v>
      </c>
      <c r="K89" s="72">
        <v>35</v>
      </c>
      <c r="L89" s="67">
        <f>(G89+H89+K89)*$L$5</f>
        <v>33.36</v>
      </c>
      <c r="M89" s="67">
        <f>(G89+H89+K89+L89)*$M$5</f>
        <v>17.6808</v>
      </c>
      <c r="N89" s="67">
        <f t="shared" si="54"/>
        <v>910.5612</v>
      </c>
      <c r="O89" s="67"/>
      <c r="P89" s="67">
        <f t="shared" si="64"/>
        <v>8950.816596</v>
      </c>
      <c r="Q89" s="82">
        <f t="shared" si="65"/>
        <v>8950.816596</v>
      </c>
      <c r="R89" s="116"/>
      <c r="S89" s="115"/>
    </row>
    <row r="90" s="100" customFormat="1" ht="36" customHeight="1" outlineLevel="1" spans="1:20">
      <c r="A90" s="84">
        <v>71</v>
      </c>
      <c r="B90" s="84" t="s">
        <v>191</v>
      </c>
      <c r="C90" s="84" t="s">
        <v>192</v>
      </c>
      <c r="D90" s="92" t="s">
        <v>76</v>
      </c>
      <c r="E90" s="84">
        <v>27.79</v>
      </c>
      <c r="F90" s="85">
        <v>27.79</v>
      </c>
      <c r="G90" s="112">
        <v>260</v>
      </c>
      <c r="H90" s="106">
        <f t="shared" si="63"/>
        <v>441</v>
      </c>
      <c r="I90" s="112">
        <v>420</v>
      </c>
      <c r="J90" s="90">
        <v>0.05</v>
      </c>
      <c r="K90" s="113">
        <v>164</v>
      </c>
      <c r="L90" s="106">
        <f>(G90+H90+K90)*$L$5</f>
        <v>51.9</v>
      </c>
      <c r="M90" s="106">
        <f>(G90+H90+K90+L90)*$M$5</f>
        <v>27.507</v>
      </c>
      <c r="N90" s="67">
        <f t="shared" si="54"/>
        <v>1416.6105</v>
      </c>
      <c r="O90" s="67"/>
      <c r="P90" s="106">
        <f t="shared" si="64"/>
        <v>39367.605795</v>
      </c>
      <c r="Q90" s="82">
        <f t="shared" si="65"/>
        <v>39367.605795</v>
      </c>
      <c r="R90" s="147" t="str">
        <f>R88</f>
        <v>厂家定制</v>
      </c>
      <c r="S90" s="115"/>
      <c r="T90" s="148"/>
    </row>
    <row r="91" s="100" customFormat="1" ht="29" customHeight="1" outlineLevel="1" spans="1:20">
      <c r="A91" s="84">
        <v>72</v>
      </c>
      <c r="B91" s="84" t="s">
        <v>193</v>
      </c>
      <c r="C91" s="84" t="s">
        <v>194</v>
      </c>
      <c r="D91" s="92" t="s">
        <v>76</v>
      </c>
      <c r="E91" s="84">
        <v>10.83</v>
      </c>
      <c r="F91" s="85">
        <v>10.83</v>
      </c>
      <c r="G91" s="112">
        <v>220</v>
      </c>
      <c r="H91" s="106">
        <f t="shared" si="63"/>
        <v>273</v>
      </c>
      <c r="I91" s="112">
        <v>260</v>
      </c>
      <c r="J91" s="90">
        <v>0.05</v>
      </c>
      <c r="K91" s="113">
        <v>160</v>
      </c>
      <c r="L91" s="106">
        <f>(G91+H91+K91)*$L$5</f>
        <v>39.18</v>
      </c>
      <c r="M91" s="106">
        <f>(G91+H91+K91+L91)*$M$5</f>
        <v>20.7654</v>
      </c>
      <c r="N91" s="67">
        <f t="shared" si="54"/>
        <v>1069.4181</v>
      </c>
      <c r="O91" s="67"/>
      <c r="P91" s="106">
        <f t="shared" si="64"/>
        <v>11581.798023</v>
      </c>
      <c r="Q91" s="82">
        <f t="shared" si="65"/>
        <v>11581.798023</v>
      </c>
      <c r="R91" s="147" t="str">
        <f>R88</f>
        <v>厂家定制</v>
      </c>
      <c r="S91" s="115"/>
      <c r="T91" s="148"/>
    </row>
    <row r="92" s="100" customFormat="1" ht="43.2" outlineLevel="1" spans="1:19">
      <c r="A92" s="65">
        <v>73</v>
      </c>
      <c r="B92" s="65" t="s">
        <v>195</v>
      </c>
      <c r="C92" s="65" t="s">
        <v>196</v>
      </c>
      <c r="D92" s="58" t="s">
        <v>111</v>
      </c>
      <c r="E92" s="65">
        <v>21.92</v>
      </c>
      <c r="F92" s="57">
        <v>21.92</v>
      </c>
      <c r="G92" s="105">
        <v>25</v>
      </c>
      <c r="H92" s="67">
        <f t="shared" si="63"/>
        <v>36.75</v>
      </c>
      <c r="I92" s="105">
        <v>35</v>
      </c>
      <c r="J92" s="88">
        <v>0.05</v>
      </c>
      <c r="K92" s="72">
        <v>5</v>
      </c>
      <c r="L92" s="67">
        <f>(G92+H92+K92)*$L$5</f>
        <v>4.005</v>
      </c>
      <c r="M92" s="67">
        <f>(G92+H92+K92+L92)*$M$5</f>
        <v>2.12265</v>
      </c>
      <c r="N92" s="67">
        <f t="shared" si="54"/>
        <v>109.316475</v>
      </c>
      <c r="O92" s="67"/>
      <c r="P92" s="67">
        <f t="shared" si="64"/>
        <v>2396.217132</v>
      </c>
      <c r="Q92" s="82">
        <f t="shared" si="65"/>
        <v>2396.217132</v>
      </c>
      <c r="R92" s="116"/>
      <c r="S92" s="115"/>
    </row>
    <row r="93" s="100" customFormat="1" ht="43.2" outlineLevel="1" spans="1:19">
      <c r="A93" s="65">
        <v>74</v>
      </c>
      <c r="B93" s="65" t="s">
        <v>195</v>
      </c>
      <c r="C93" s="65" t="s">
        <v>197</v>
      </c>
      <c r="D93" s="58" t="s">
        <v>111</v>
      </c>
      <c r="E93" s="65">
        <v>247.28</v>
      </c>
      <c r="F93" s="57">
        <v>247.28</v>
      </c>
      <c r="G93" s="105">
        <f>G92</f>
        <v>25</v>
      </c>
      <c r="H93" s="67">
        <f t="shared" si="63"/>
        <v>33.6</v>
      </c>
      <c r="I93" s="105">
        <v>32</v>
      </c>
      <c r="J93" s="88">
        <v>0.05</v>
      </c>
      <c r="K93" s="72">
        <v>5</v>
      </c>
      <c r="L93" s="67">
        <f>(G93+H93+K93)*$L$5</f>
        <v>3.816</v>
      </c>
      <c r="M93" s="67">
        <f>(G93+H93+K93+L93)*$M$5</f>
        <v>2.02248</v>
      </c>
      <c r="N93" s="67">
        <f t="shared" si="54"/>
        <v>104.15772</v>
      </c>
      <c r="O93" s="67"/>
      <c r="P93" s="67">
        <f t="shared" si="64"/>
        <v>25756.1210016</v>
      </c>
      <c r="Q93" s="82">
        <f t="shared" si="65"/>
        <v>25756.1210016</v>
      </c>
      <c r="R93" s="116"/>
      <c r="S93" s="115"/>
    </row>
    <row r="94" s="100" customFormat="1" spans="1:19">
      <c r="A94" s="65"/>
      <c r="B94" s="65" t="s">
        <v>198</v>
      </c>
      <c r="C94" s="65"/>
      <c r="D94" s="58"/>
      <c r="E94" s="65"/>
      <c r="F94" s="57"/>
      <c r="G94" s="103"/>
      <c r="H94" s="67"/>
      <c r="I94" s="103"/>
      <c r="J94" s="74"/>
      <c r="K94" s="67"/>
      <c r="L94" s="67"/>
      <c r="M94" s="67"/>
      <c r="N94" s="67">
        <f t="shared" si="54"/>
        <v>0</v>
      </c>
      <c r="O94" s="67"/>
      <c r="P94" s="67"/>
      <c r="Q94" s="82"/>
      <c r="R94" s="116"/>
      <c r="S94" s="115"/>
    </row>
    <row r="95" s="100" customFormat="1" ht="21.6" outlineLevel="1" spans="1:19">
      <c r="A95" s="65"/>
      <c r="B95" s="65" t="s">
        <v>199</v>
      </c>
      <c r="C95" s="65"/>
      <c r="D95" s="58"/>
      <c r="E95" s="65"/>
      <c r="F95" s="57"/>
      <c r="G95" s="103"/>
      <c r="H95" s="67"/>
      <c r="I95" s="103"/>
      <c r="J95" s="74"/>
      <c r="K95" s="67"/>
      <c r="L95" s="67"/>
      <c r="M95" s="67"/>
      <c r="N95" s="67">
        <f t="shared" si="54"/>
        <v>0</v>
      </c>
      <c r="O95" s="67"/>
      <c r="P95" s="67"/>
      <c r="Q95" s="82"/>
      <c r="R95" s="116"/>
      <c r="S95" s="115"/>
    </row>
    <row r="96" s="100" customFormat="1" ht="63" customHeight="1" outlineLevel="1" spans="1:20">
      <c r="A96" s="36">
        <v>75</v>
      </c>
      <c r="B96" s="36" t="s">
        <v>200</v>
      </c>
      <c r="C96" s="131" t="s">
        <v>201</v>
      </c>
      <c r="D96" s="33" t="s">
        <v>76</v>
      </c>
      <c r="E96" s="36">
        <v>38.76</v>
      </c>
      <c r="F96" s="35">
        <v>38.76</v>
      </c>
      <c r="G96" s="105">
        <v>150</v>
      </c>
      <c r="H96" s="106">
        <f>I96*(1+J96)</f>
        <v>237.6</v>
      </c>
      <c r="I96" s="112">
        <v>220</v>
      </c>
      <c r="J96" s="90">
        <v>0.08</v>
      </c>
      <c r="K96" s="113">
        <v>75</v>
      </c>
      <c r="L96" s="106">
        <f>(G96+H96+K96)*$L$5</f>
        <v>27.756</v>
      </c>
      <c r="M96" s="106">
        <f>(G96+H96+K96+L96)*$M$5</f>
        <v>14.71068</v>
      </c>
      <c r="N96" s="67">
        <f t="shared" si="54"/>
        <v>757.60002</v>
      </c>
      <c r="O96" s="67"/>
      <c r="P96" s="106">
        <f>N96*E96</f>
        <v>29364.5767752</v>
      </c>
      <c r="Q96" s="82">
        <f>F96*N96</f>
        <v>29364.5767752</v>
      </c>
      <c r="R96" s="116" t="str">
        <f>R88</f>
        <v>厂家定制</v>
      </c>
      <c r="S96" s="117" t="s">
        <v>174</v>
      </c>
      <c r="T96" s="148"/>
    </row>
    <row r="97" s="100" customFormat="1" ht="21.6" outlineLevel="1" spans="1:19">
      <c r="A97" s="65"/>
      <c r="B97" s="65" t="s">
        <v>202</v>
      </c>
      <c r="C97" s="65"/>
      <c r="D97" s="58"/>
      <c r="E97" s="65"/>
      <c r="F97" s="57"/>
      <c r="G97" s="103"/>
      <c r="H97" s="67"/>
      <c r="I97" s="103"/>
      <c r="J97" s="74"/>
      <c r="K97" s="67"/>
      <c r="L97" s="67"/>
      <c r="M97" s="67"/>
      <c r="N97" s="67">
        <f t="shared" si="54"/>
        <v>0</v>
      </c>
      <c r="O97" s="67"/>
      <c r="P97" s="67"/>
      <c r="Q97" s="82"/>
      <c r="R97" s="116"/>
      <c r="S97" s="115"/>
    </row>
    <row r="98" s="100" customFormat="1" ht="62" customHeight="1" outlineLevel="1" spans="1:20">
      <c r="A98" s="132">
        <v>76</v>
      </c>
      <c r="B98" s="132" t="s">
        <v>200</v>
      </c>
      <c r="C98" s="133" t="s">
        <v>201</v>
      </c>
      <c r="D98" s="134" t="s">
        <v>76</v>
      </c>
      <c r="E98" s="132">
        <v>38.76</v>
      </c>
      <c r="F98" s="135">
        <v>38.76</v>
      </c>
      <c r="G98" s="114">
        <f t="shared" ref="G98:K98" si="66">G96</f>
        <v>150</v>
      </c>
      <c r="H98" s="106">
        <f>I98*(1+J98)</f>
        <v>237.6</v>
      </c>
      <c r="I98" s="114">
        <f t="shared" si="66"/>
        <v>220</v>
      </c>
      <c r="J98" s="93">
        <f t="shared" si="66"/>
        <v>0.08</v>
      </c>
      <c r="K98" s="106">
        <f t="shared" si="66"/>
        <v>75</v>
      </c>
      <c r="L98" s="106">
        <f>(G98+H98+K98)*$L$5</f>
        <v>27.756</v>
      </c>
      <c r="M98" s="106">
        <f>(G98+H98+K98+L98)*$M$5</f>
        <v>14.71068</v>
      </c>
      <c r="N98" s="67">
        <f t="shared" si="54"/>
        <v>757.60002</v>
      </c>
      <c r="O98" s="67"/>
      <c r="P98" s="106">
        <f>N98*E98</f>
        <v>29364.5767752</v>
      </c>
      <c r="Q98" s="82">
        <f>F98*N98</f>
        <v>29364.5767752</v>
      </c>
      <c r="R98" s="124" t="str">
        <f>R88</f>
        <v>厂家定制</v>
      </c>
      <c r="S98" s="117" t="s">
        <v>174</v>
      </c>
      <c r="T98" s="148"/>
    </row>
    <row r="99" s="100" customFormat="1" ht="21.6" outlineLevel="1" spans="1:19">
      <c r="A99" s="65"/>
      <c r="B99" s="65" t="s">
        <v>203</v>
      </c>
      <c r="C99" s="65"/>
      <c r="D99" s="58"/>
      <c r="E99" s="65"/>
      <c r="F99" s="57"/>
      <c r="G99" s="103"/>
      <c r="H99" s="67"/>
      <c r="I99" s="103"/>
      <c r="J99" s="74"/>
      <c r="K99" s="67"/>
      <c r="L99" s="67"/>
      <c r="M99" s="67"/>
      <c r="N99" s="67">
        <f t="shared" si="54"/>
        <v>0</v>
      </c>
      <c r="O99" s="67"/>
      <c r="P99" s="67"/>
      <c r="Q99" s="82"/>
      <c r="R99" s="116"/>
      <c r="S99" s="115"/>
    </row>
    <row r="100" s="100" customFormat="1" ht="75.6" outlineLevel="1" spans="1:19">
      <c r="A100" s="65">
        <v>77</v>
      </c>
      <c r="B100" s="65" t="s">
        <v>204</v>
      </c>
      <c r="C100" s="104" t="s">
        <v>205</v>
      </c>
      <c r="D100" s="58" t="s">
        <v>76</v>
      </c>
      <c r="E100" s="65">
        <v>15.87</v>
      </c>
      <c r="F100" s="57">
        <v>15.87</v>
      </c>
      <c r="G100" s="105">
        <v>35</v>
      </c>
      <c r="H100" s="67">
        <f t="shared" ref="H100:H102" si="67">I100*(1+J100)</f>
        <v>26.25</v>
      </c>
      <c r="I100" s="105">
        <v>25</v>
      </c>
      <c r="J100" s="88">
        <v>0.05</v>
      </c>
      <c r="K100" s="72">
        <v>15</v>
      </c>
      <c r="L100" s="67">
        <f>(G100+H100+K100)*$L$5</f>
        <v>4.575</v>
      </c>
      <c r="M100" s="67">
        <f>(G100+H100+K100+L100)*$M$5</f>
        <v>2.42475</v>
      </c>
      <c r="N100" s="67">
        <f t="shared" si="54"/>
        <v>124.874625</v>
      </c>
      <c r="O100" s="67"/>
      <c r="P100" s="67">
        <f t="shared" ref="P100:P102" si="68">N100*E100</f>
        <v>1981.76029875</v>
      </c>
      <c r="Q100" s="82">
        <f t="shared" ref="Q100:Q102" si="69">F100*N100</f>
        <v>1981.76029875</v>
      </c>
      <c r="R100" s="116"/>
      <c r="S100" s="115"/>
    </row>
    <row r="101" s="100" customFormat="1" ht="43.2" outlineLevel="1" spans="1:19">
      <c r="A101" s="65">
        <v>78</v>
      </c>
      <c r="B101" s="65" t="s">
        <v>206</v>
      </c>
      <c r="C101" s="65" t="s">
        <v>207</v>
      </c>
      <c r="D101" s="58" t="s">
        <v>111</v>
      </c>
      <c r="E101" s="65">
        <v>15.56</v>
      </c>
      <c r="F101" s="57">
        <v>15.56</v>
      </c>
      <c r="G101" s="105">
        <v>15</v>
      </c>
      <c r="H101" s="67">
        <f t="shared" si="67"/>
        <v>29.4</v>
      </c>
      <c r="I101" s="105">
        <v>28</v>
      </c>
      <c r="J101" s="88">
        <v>0.05</v>
      </c>
      <c r="K101" s="72">
        <v>1</v>
      </c>
      <c r="L101" s="67">
        <f>(G101+H101+K101)*$L$5</f>
        <v>2.724</v>
      </c>
      <c r="M101" s="67">
        <f>(G101+H101+K101+L101)*$M$5</f>
        <v>1.44372</v>
      </c>
      <c r="N101" s="67">
        <f t="shared" si="54"/>
        <v>74.35158</v>
      </c>
      <c r="O101" s="67"/>
      <c r="P101" s="67">
        <f t="shared" si="68"/>
        <v>1156.9105848</v>
      </c>
      <c r="Q101" s="82">
        <f t="shared" si="69"/>
        <v>1156.9105848</v>
      </c>
      <c r="R101" s="116"/>
      <c r="S101" s="115"/>
    </row>
    <row r="102" s="100" customFormat="1" ht="54" outlineLevel="1" spans="1:19">
      <c r="A102" s="65">
        <v>79</v>
      </c>
      <c r="B102" s="65" t="s">
        <v>95</v>
      </c>
      <c r="C102" s="125" t="s">
        <v>208</v>
      </c>
      <c r="D102" s="58" t="s">
        <v>76</v>
      </c>
      <c r="E102" s="65">
        <v>36.57</v>
      </c>
      <c r="F102" s="57">
        <v>36.57</v>
      </c>
      <c r="G102" s="105">
        <v>95</v>
      </c>
      <c r="H102" s="67">
        <f t="shared" si="67"/>
        <v>89.25</v>
      </c>
      <c r="I102" s="105">
        <v>85</v>
      </c>
      <c r="J102" s="88">
        <v>0.05</v>
      </c>
      <c r="K102" s="72">
        <f>25+15+48</f>
        <v>88</v>
      </c>
      <c r="L102" s="67">
        <f>(G102+H102+K102)*$L$5</f>
        <v>16.335</v>
      </c>
      <c r="M102" s="67">
        <f>(G102+H102+K102+L102)*$M$5</f>
        <v>8.65755</v>
      </c>
      <c r="N102" s="67">
        <f t="shared" si="54"/>
        <v>445.863825</v>
      </c>
      <c r="O102" s="67"/>
      <c r="P102" s="67">
        <f t="shared" si="68"/>
        <v>16305.24008025</v>
      </c>
      <c r="Q102" s="82">
        <f t="shared" si="69"/>
        <v>16305.24008025</v>
      </c>
      <c r="R102" s="116"/>
      <c r="S102" s="117" t="s">
        <v>177</v>
      </c>
    </row>
    <row r="103" s="100" customFormat="1" spans="1:19">
      <c r="A103" s="65"/>
      <c r="B103" s="65" t="s">
        <v>209</v>
      </c>
      <c r="C103" s="65"/>
      <c r="D103" s="58"/>
      <c r="E103" s="65"/>
      <c r="F103" s="57"/>
      <c r="G103" s="103"/>
      <c r="H103" s="67"/>
      <c r="I103" s="103"/>
      <c r="J103" s="74"/>
      <c r="K103" s="67"/>
      <c r="L103" s="67"/>
      <c r="M103" s="67"/>
      <c r="N103" s="67">
        <f t="shared" si="54"/>
        <v>0</v>
      </c>
      <c r="O103" s="67"/>
      <c r="P103" s="67"/>
      <c r="Q103" s="82"/>
      <c r="R103" s="116"/>
      <c r="S103" s="115"/>
    </row>
    <row r="104" s="100" customFormat="1" ht="64.8" outlineLevel="1" spans="1:20">
      <c r="A104" s="65">
        <v>80</v>
      </c>
      <c r="B104" s="65" t="s">
        <v>210</v>
      </c>
      <c r="C104" s="65" t="s">
        <v>211</v>
      </c>
      <c r="D104" s="58" t="s">
        <v>76</v>
      </c>
      <c r="E104" s="65">
        <v>75.62</v>
      </c>
      <c r="F104" s="57">
        <v>75.62</v>
      </c>
      <c r="G104" s="109">
        <f t="shared" ref="G104:K104" si="70">G18</f>
        <v>190</v>
      </c>
      <c r="H104" s="80">
        <f>I104*(1+J104)</f>
        <v>315</v>
      </c>
      <c r="I104" s="109">
        <f t="shared" si="70"/>
        <v>300</v>
      </c>
      <c r="J104" s="78">
        <v>0.05</v>
      </c>
      <c r="K104" s="109">
        <f t="shared" si="70"/>
        <v>150</v>
      </c>
      <c r="L104" s="67">
        <f>(G104+H104+K104)*$L$5</f>
        <v>39.3</v>
      </c>
      <c r="M104" s="67">
        <f>(G104+H104+K104+L104)*$M$5</f>
        <v>20.829</v>
      </c>
      <c r="N104" s="67">
        <f t="shared" si="54"/>
        <v>1072.6935</v>
      </c>
      <c r="O104" s="67"/>
      <c r="P104" s="67">
        <f>N104*E104</f>
        <v>81117.08247</v>
      </c>
      <c r="Q104" s="82">
        <f t="shared" ref="Q104:Q110" si="71">F104*N104</f>
        <v>81117.08247</v>
      </c>
      <c r="R104" s="116" t="str">
        <f>R91</f>
        <v>厂家定制</v>
      </c>
      <c r="S104" s="115"/>
      <c r="T104" s="148"/>
    </row>
    <row r="105" s="100" customFormat="1" ht="64.8" outlineLevel="1" spans="1:20">
      <c r="A105" s="65">
        <v>81</v>
      </c>
      <c r="B105" s="65" t="s">
        <v>210</v>
      </c>
      <c r="C105" s="65" t="s">
        <v>212</v>
      </c>
      <c r="D105" s="58" t="s">
        <v>76</v>
      </c>
      <c r="E105" s="65">
        <v>21.16</v>
      </c>
      <c r="F105" s="57">
        <v>21.16</v>
      </c>
      <c r="G105" s="103">
        <f>G18</f>
        <v>190</v>
      </c>
      <c r="H105" s="106">
        <f>I105*(1+J105)</f>
        <v>315</v>
      </c>
      <c r="I105" s="114">
        <f t="shared" ref="I105:K105" si="72">I104</f>
        <v>300</v>
      </c>
      <c r="J105" s="93">
        <f t="shared" si="72"/>
        <v>0.05</v>
      </c>
      <c r="K105" s="103">
        <f>K18</f>
        <v>150</v>
      </c>
      <c r="L105" s="106">
        <f>(G105+H105+K105)*$L$5</f>
        <v>39.3</v>
      </c>
      <c r="M105" s="106">
        <f>(G105+H105+K105+L105)*$M$5</f>
        <v>20.829</v>
      </c>
      <c r="N105" s="67">
        <f t="shared" si="54"/>
        <v>1072.6935</v>
      </c>
      <c r="O105" s="67"/>
      <c r="P105" s="106">
        <f>N105*E105</f>
        <v>22698.19446</v>
      </c>
      <c r="Q105" s="82">
        <f t="shared" si="71"/>
        <v>22698.19446</v>
      </c>
      <c r="R105" s="116" t="str">
        <f>R104</f>
        <v>厂家定制</v>
      </c>
      <c r="S105" s="115"/>
      <c r="T105" s="148"/>
    </row>
    <row r="106" s="100" customFormat="1" ht="64.8" outlineLevel="1" spans="1:20">
      <c r="A106" s="84">
        <v>82</v>
      </c>
      <c r="B106" s="84" t="s">
        <v>210</v>
      </c>
      <c r="C106" s="84" t="s">
        <v>213</v>
      </c>
      <c r="D106" s="92" t="s">
        <v>76</v>
      </c>
      <c r="E106" s="84">
        <v>25.2</v>
      </c>
      <c r="F106" s="85">
        <v>25.2</v>
      </c>
      <c r="G106" s="114">
        <f>G105</f>
        <v>190</v>
      </c>
      <c r="H106" s="106">
        <f>I106*(1+J106)</f>
        <v>315</v>
      </c>
      <c r="I106" s="114">
        <f t="shared" ref="G106:K106" si="73">I104</f>
        <v>300</v>
      </c>
      <c r="J106" s="93">
        <f t="shared" si="73"/>
        <v>0.05</v>
      </c>
      <c r="K106" s="106">
        <f>K105</f>
        <v>150</v>
      </c>
      <c r="L106" s="106">
        <f>(G106+H106+K106)*$L$5</f>
        <v>39.3</v>
      </c>
      <c r="M106" s="106">
        <f>(G106+H106+K106+L106)*$M$5</f>
        <v>20.829</v>
      </c>
      <c r="N106" s="67">
        <f t="shared" si="54"/>
        <v>1072.6935</v>
      </c>
      <c r="O106" s="67"/>
      <c r="P106" s="106">
        <f>N106*E106</f>
        <v>27031.8762</v>
      </c>
      <c r="Q106" s="82">
        <f t="shared" si="71"/>
        <v>27031.8762</v>
      </c>
      <c r="R106" s="124" t="str">
        <f>R104</f>
        <v>厂家定制</v>
      </c>
      <c r="S106" s="115"/>
      <c r="T106" s="148"/>
    </row>
    <row r="107" s="100" customFormat="1" ht="75.6" outlineLevel="1" spans="1:19">
      <c r="A107" s="65">
        <v>83</v>
      </c>
      <c r="B107" s="65" t="s">
        <v>204</v>
      </c>
      <c r="C107" s="104" t="s">
        <v>214</v>
      </c>
      <c r="D107" s="58" t="s">
        <v>76</v>
      </c>
      <c r="E107" s="65">
        <v>190.66</v>
      </c>
      <c r="F107" s="57">
        <v>190.66</v>
      </c>
      <c r="G107" s="103">
        <f t="shared" ref="G107:K107" si="74">G100</f>
        <v>35</v>
      </c>
      <c r="H107" s="67">
        <f t="shared" ref="H107:H110" si="75">I107*(1+J107)</f>
        <v>26.25</v>
      </c>
      <c r="I107" s="103">
        <f t="shared" si="74"/>
        <v>25</v>
      </c>
      <c r="J107" s="74">
        <f t="shared" si="74"/>
        <v>0.05</v>
      </c>
      <c r="K107" s="67">
        <f t="shared" si="74"/>
        <v>15</v>
      </c>
      <c r="L107" s="67">
        <f>(G107+H107+K107)*$L$5</f>
        <v>4.575</v>
      </c>
      <c r="M107" s="67">
        <f>(G107+H107+K107+L107)*$M$5</f>
        <v>2.42475</v>
      </c>
      <c r="N107" s="67">
        <f t="shared" si="54"/>
        <v>124.874625</v>
      </c>
      <c r="O107" s="67"/>
      <c r="P107" s="67">
        <f t="shared" ref="P107:P110" si="76">N107*E107</f>
        <v>23808.5960025</v>
      </c>
      <c r="Q107" s="82">
        <f t="shared" si="71"/>
        <v>23808.5960025</v>
      </c>
      <c r="R107" s="116"/>
      <c r="S107" s="117"/>
    </row>
    <row r="108" s="100" customFormat="1" ht="43.2" outlineLevel="1" spans="1:19">
      <c r="A108" s="65">
        <v>84</v>
      </c>
      <c r="B108" s="65" t="s">
        <v>206</v>
      </c>
      <c r="C108" s="65" t="s">
        <v>215</v>
      </c>
      <c r="D108" s="58" t="s">
        <v>111</v>
      </c>
      <c r="E108" s="65">
        <v>100.82</v>
      </c>
      <c r="F108" s="57">
        <v>100.82</v>
      </c>
      <c r="G108" s="103">
        <f t="shared" ref="G108:K108" si="77">G101</f>
        <v>15</v>
      </c>
      <c r="H108" s="67">
        <f t="shared" si="75"/>
        <v>29.4</v>
      </c>
      <c r="I108" s="103">
        <f t="shared" si="77"/>
        <v>28</v>
      </c>
      <c r="J108" s="74">
        <f t="shared" si="77"/>
        <v>0.05</v>
      </c>
      <c r="K108" s="67">
        <f t="shared" si="77"/>
        <v>1</v>
      </c>
      <c r="L108" s="67">
        <f>(G108+H108+K108)*$L$5</f>
        <v>2.724</v>
      </c>
      <c r="M108" s="67">
        <f>(G108+H108+K108+L108)*$M$5</f>
        <v>1.44372</v>
      </c>
      <c r="N108" s="67">
        <f t="shared" si="54"/>
        <v>74.35158</v>
      </c>
      <c r="O108" s="67"/>
      <c r="P108" s="67">
        <f t="shared" si="76"/>
        <v>7496.1262956</v>
      </c>
      <c r="Q108" s="82">
        <f t="shared" si="71"/>
        <v>7496.1262956</v>
      </c>
      <c r="R108" s="116"/>
      <c r="S108" s="115"/>
    </row>
    <row r="109" s="100" customFormat="1" ht="43.2" outlineLevel="1" spans="1:19">
      <c r="A109" s="65">
        <v>85</v>
      </c>
      <c r="B109" s="65" t="s">
        <v>125</v>
      </c>
      <c r="C109" s="65" t="s">
        <v>216</v>
      </c>
      <c r="D109" s="58" t="s">
        <v>76</v>
      </c>
      <c r="E109" s="65">
        <v>95.76</v>
      </c>
      <c r="F109" s="57">
        <v>95.76</v>
      </c>
      <c r="G109" s="107">
        <f t="shared" ref="G109:K109" si="78">G42</f>
        <v>35</v>
      </c>
      <c r="H109" s="106">
        <f t="shared" si="75"/>
        <v>126</v>
      </c>
      <c r="I109" s="141">
        <f t="shared" si="78"/>
        <v>120</v>
      </c>
      <c r="J109" s="142">
        <f t="shared" si="78"/>
        <v>0.05</v>
      </c>
      <c r="K109" s="143">
        <f t="shared" si="78"/>
        <v>220</v>
      </c>
      <c r="L109" s="106">
        <f>(G109+H109+K109)*$L$5</f>
        <v>22.86</v>
      </c>
      <c r="M109" s="106">
        <f>(G109+H109+K109+L109)*$M$5</f>
        <v>12.1158</v>
      </c>
      <c r="N109" s="67">
        <f t="shared" si="54"/>
        <v>623.9637</v>
      </c>
      <c r="O109" s="67"/>
      <c r="P109" s="106">
        <f t="shared" si="76"/>
        <v>59750.763912</v>
      </c>
      <c r="Q109" s="82">
        <f t="shared" si="71"/>
        <v>59750.763912</v>
      </c>
      <c r="R109" s="116"/>
      <c r="S109" s="115"/>
    </row>
    <row r="110" s="100" customFormat="1" ht="43.2" outlineLevel="1" spans="1:19">
      <c r="A110" s="65">
        <v>86</v>
      </c>
      <c r="B110" s="65" t="s">
        <v>217</v>
      </c>
      <c r="C110" s="65" t="s">
        <v>218</v>
      </c>
      <c r="D110" s="58" t="s">
        <v>108</v>
      </c>
      <c r="E110" s="65">
        <v>1</v>
      </c>
      <c r="F110" s="57">
        <v>1</v>
      </c>
      <c r="G110" s="105">
        <v>200</v>
      </c>
      <c r="H110" s="106">
        <f t="shared" si="75"/>
        <v>1260.48</v>
      </c>
      <c r="I110" s="112">
        <f>0.8*2.4*650</f>
        <v>1248</v>
      </c>
      <c r="J110" s="90">
        <v>0.01</v>
      </c>
      <c r="K110" s="113">
        <v>150</v>
      </c>
      <c r="L110" s="106">
        <f>(G110+H110+K110)*$L$5</f>
        <v>96.6288</v>
      </c>
      <c r="M110" s="106">
        <f>(G110+H110+K110+L110)*$M$5</f>
        <v>51.213264</v>
      </c>
      <c r="N110" s="67">
        <f t="shared" si="54"/>
        <v>2637.483096</v>
      </c>
      <c r="O110" s="67"/>
      <c r="P110" s="106">
        <f t="shared" si="76"/>
        <v>2637.483096</v>
      </c>
      <c r="Q110" s="82">
        <f t="shared" si="71"/>
        <v>2637.483096</v>
      </c>
      <c r="R110" s="116"/>
      <c r="S110" s="115"/>
    </row>
    <row r="111" s="100" customFormat="1" spans="1:19">
      <c r="A111" s="65"/>
      <c r="B111" s="65" t="s">
        <v>219</v>
      </c>
      <c r="C111" s="65"/>
      <c r="D111" s="58"/>
      <c r="E111" s="65"/>
      <c r="F111" s="57"/>
      <c r="G111" s="103"/>
      <c r="H111" s="67"/>
      <c r="I111" s="103"/>
      <c r="J111" s="74"/>
      <c r="K111" s="67"/>
      <c r="L111" s="67"/>
      <c r="M111" s="67"/>
      <c r="N111" s="67"/>
      <c r="O111" s="67"/>
      <c r="P111" s="67"/>
      <c r="Q111" s="82"/>
      <c r="R111" s="116"/>
      <c r="S111" s="115"/>
    </row>
    <row r="112" s="100" customFormat="1" ht="21.6" outlineLevel="1" spans="1:19">
      <c r="A112" s="65"/>
      <c r="B112" s="65" t="s">
        <v>220</v>
      </c>
      <c r="C112" s="65"/>
      <c r="D112" s="58"/>
      <c r="E112" s="65"/>
      <c r="F112" s="57"/>
      <c r="G112" s="103"/>
      <c r="H112" s="67"/>
      <c r="I112" s="103"/>
      <c r="J112" s="74"/>
      <c r="K112" s="67"/>
      <c r="L112" s="67"/>
      <c r="M112" s="67"/>
      <c r="N112" s="67"/>
      <c r="O112" s="67"/>
      <c r="P112" s="67"/>
      <c r="Q112" s="82"/>
      <c r="R112" s="116"/>
      <c r="S112" s="115"/>
    </row>
    <row r="113" s="100" customFormat="1" ht="64.8" outlineLevel="1" spans="1:20">
      <c r="A113" s="65">
        <v>87</v>
      </c>
      <c r="B113" s="65" t="s">
        <v>210</v>
      </c>
      <c r="C113" s="65" t="s">
        <v>211</v>
      </c>
      <c r="D113" s="58" t="s">
        <v>76</v>
      </c>
      <c r="E113" s="65">
        <v>20.23</v>
      </c>
      <c r="F113" s="57">
        <v>20.23</v>
      </c>
      <c r="G113" s="103">
        <f>G104</f>
        <v>190</v>
      </c>
      <c r="H113" s="67">
        <f t="shared" ref="H111:H116" si="79">I113*(1+J113)</f>
        <v>315</v>
      </c>
      <c r="I113" s="103">
        <f>I104</f>
        <v>300</v>
      </c>
      <c r="J113" s="74">
        <f t="shared" ref="G113:K113" si="80">J104</f>
        <v>0.05</v>
      </c>
      <c r="K113" s="67">
        <f t="shared" si="80"/>
        <v>150</v>
      </c>
      <c r="L113" s="67">
        <f>(G113+H113+K113)*$L$5</f>
        <v>39.3</v>
      </c>
      <c r="M113" s="67">
        <f>(G113+H113+K113+L113)*$M$5</f>
        <v>20.829</v>
      </c>
      <c r="N113" s="67">
        <f t="shared" ref="N113:N129" si="81">(G113+H113+K113+L113+M113)*1.5</f>
        <v>1072.6935</v>
      </c>
      <c r="O113" s="67"/>
      <c r="P113" s="67">
        <f t="shared" ref="P111:P116" si="82">N113*E113</f>
        <v>21700.589505</v>
      </c>
      <c r="Q113" s="82">
        <f>F113*N113</f>
        <v>21700.589505</v>
      </c>
      <c r="R113" s="116" t="str">
        <f>R104</f>
        <v>厂家定制</v>
      </c>
      <c r="S113" s="115"/>
      <c r="T113" s="148"/>
    </row>
    <row r="114" s="100" customFormat="1" ht="75.6" outlineLevel="1" spans="1:19">
      <c r="A114" s="65">
        <v>88</v>
      </c>
      <c r="B114" s="65" t="s">
        <v>204</v>
      </c>
      <c r="C114" s="104" t="s">
        <v>221</v>
      </c>
      <c r="D114" s="58" t="s">
        <v>76</v>
      </c>
      <c r="E114" s="65">
        <v>2.96</v>
      </c>
      <c r="F114" s="57">
        <v>2.96</v>
      </c>
      <c r="G114" s="103">
        <f t="shared" ref="G114:K114" si="83">G100</f>
        <v>35</v>
      </c>
      <c r="H114" s="67">
        <f t="shared" si="79"/>
        <v>26.25</v>
      </c>
      <c r="I114" s="103">
        <f t="shared" si="83"/>
        <v>25</v>
      </c>
      <c r="J114" s="74">
        <f t="shared" si="83"/>
        <v>0.05</v>
      </c>
      <c r="K114" s="67">
        <f t="shared" si="83"/>
        <v>15</v>
      </c>
      <c r="L114" s="67">
        <f>(G114+H114+K114)*$L$5</f>
        <v>4.575</v>
      </c>
      <c r="M114" s="67">
        <f>(G114+H114+K114+L114)*$M$5</f>
        <v>2.42475</v>
      </c>
      <c r="N114" s="67">
        <f t="shared" si="81"/>
        <v>124.874625</v>
      </c>
      <c r="O114" s="67"/>
      <c r="P114" s="67">
        <f t="shared" si="82"/>
        <v>369.62889</v>
      </c>
      <c r="Q114" s="82">
        <f>F114*N114</f>
        <v>369.62889</v>
      </c>
      <c r="R114" s="116"/>
      <c r="S114" s="117"/>
    </row>
    <row r="115" s="100" customFormat="1" ht="43.2" outlineLevel="1" spans="1:19">
      <c r="A115" s="65">
        <v>89</v>
      </c>
      <c r="B115" s="65" t="s">
        <v>206</v>
      </c>
      <c r="C115" s="65" t="s">
        <v>215</v>
      </c>
      <c r="D115" s="58" t="s">
        <v>111</v>
      </c>
      <c r="E115" s="65">
        <v>6.85</v>
      </c>
      <c r="F115" s="57">
        <v>6.85</v>
      </c>
      <c r="G115" s="103">
        <f t="shared" ref="G115:K115" si="84">G101</f>
        <v>15</v>
      </c>
      <c r="H115" s="67">
        <f t="shared" si="79"/>
        <v>29.4</v>
      </c>
      <c r="I115" s="103">
        <f t="shared" si="84"/>
        <v>28</v>
      </c>
      <c r="J115" s="74">
        <f t="shared" si="84"/>
        <v>0.05</v>
      </c>
      <c r="K115" s="67">
        <f t="shared" si="84"/>
        <v>1</v>
      </c>
      <c r="L115" s="67">
        <f>(G115+H115+K115)*$L$5</f>
        <v>2.724</v>
      </c>
      <c r="M115" s="67">
        <f>(G115+H115+K115+L115)*$M$5</f>
        <v>1.44372</v>
      </c>
      <c r="N115" s="67">
        <f t="shared" si="81"/>
        <v>74.35158</v>
      </c>
      <c r="O115" s="67"/>
      <c r="P115" s="67">
        <f t="shared" si="82"/>
        <v>509.308323</v>
      </c>
      <c r="Q115" s="82">
        <f>F115*N115</f>
        <v>509.308323</v>
      </c>
      <c r="R115" s="116"/>
      <c r="S115" s="115"/>
    </row>
    <row r="116" s="100" customFormat="1" ht="43.2" outlineLevel="1" spans="1:19">
      <c r="A116" s="65">
        <v>90</v>
      </c>
      <c r="B116" s="65" t="s">
        <v>125</v>
      </c>
      <c r="C116" s="65" t="s">
        <v>216</v>
      </c>
      <c r="D116" s="58" t="s">
        <v>76</v>
      </c>
      <c r="E116" s="65">
        <v>44.54</v>
      </c>
      <c r="F116" s="57">
        <v>44.54</v>
      </c>
      <c r="G116" s="103">
        <f t="shared" ref="G116:K116" si="85">G109</f>
        <v>35</v>
      </c>
      <c r="H116" s="106">
        <f t="shared" si="79"/>
        <v>126</v>
      </c>
      <c r="I116" s="114">
        <f t="shared" si="85"/>
        <v>120</v>
      </c>
      <c r="J116" s="93">
        <f t="shared" si="85"/>
        <v>0.05</v>
      </c>
      <c r="K116" s="106">
        <f t="shared" si="85"/>
        <v>220</v>
      </c>
      <c r="L116" s="106">
        <f>(G116+H116+K116)*$L$5</f>
        <v>22.86</v>
      </c>
      <c r="M116" s="106">
        <f>(G116+H116+K116+L116)*$M$5</f>
        <v>12.1158</v>
      </c>
      <c r="N116" s="67">
        <f t="shared" si="81"/>
        <v>623.9637</v>
      </c>
      <c r="O116" s="67"/>
      <c r="P116" s="106">
        <f t="shared" si="82"/>
        <v>27791.343198</v>
      </c>
      <c r="Q116" s="82">
        <f>F116*N116</f>
        <v>27791.343198</v>
      </c>
      <c r="R116" s="116"/>
      <c r="S116" s="115"/>
    </row>
    <row r="117" s="100" customFormat="1" ht="21.6" outlineLevel="1" spans="1:19">
      <c r="A117" s="65"/>
      <c r="B117" s="65" t="s">
        <v>222</v>
      </c>
      <c r="C117" s="65"/>
      <c r="D117" s="58"/>
      <c r="E117" s="65"/>
      <c r="F117" s="57"/>
      <c r="G117" s="103"/>
      <c r="H117" s="67"/>
      <c r="I117" s="103"/>
      <c r="J117" s="74"/>
      <c r="K117" s="67"/>
      <c r="L117" s="67"/>
      <c r="M117" s="67"/>
      <c r="N117" s="67">
        <f t="shared" si="81"/>
        <v>0</v>
      </c>
      <c r="O117" s="67"/>
      <c r="P117" s="67"/>
      <c r="Q117" s="82"/>
      <c r="R117" s="116"/>
      <c r="S117" s="115"/>
    </row>
    <row r="118" s="100" customFormat="1" ht="54" outlineLevel="1" spans="1:19">
      <c r="A118" s="65">
        <v>91</v>
      </c>
      <c r="B118" s="65" t="s">
        <v>95</v>
      </c>
      <c r="C118" s="65" t="s">
        <v>223</v>
      </c>
      <c r="D118" s="58" t="s">
        <v>76</v>
      </c>
      <c r="E118" s="65">
        <v>35.46</v>
      </c>
      <c r="F118" s="57">
        <v>35.46</v>
      </c>
      <c r="G118" s="105">
        <v>155</v>
      </c>
      <c r="H118" s="67">
        <f t="shared" ref="H118:H122" si="86">I118*(1+J118)</f>
        <v>315</v>
      </c>
      <c r="I118" s="105">
        <f>I18</f>
        <v>300</v>
      </c>
      <c r="J118" s="88">
        <v>0.05</v>
      </c>
      <c r="K118" s="72">
        <v>80</v>
      </c>
      <c r="L118" s="67">
        <f>(G118+H118+K118)*$L$5</f>
        <v>33</v>
      </c>
      <c r="M118" s="67">
        <f>(G118+H118+K118+L118)*$M$5</f>
        <v>17.49</v>
      </c>
      <c r="N118" s="67">
        <f t="shared" si="81"/>
        <v>900.735</v>
      </c>
      <c r="O118" s="67"/>
      <c r="P118" s="67">
        <f t="shared" ref="P118:P122" si="87">N118*E118</f>
        <v>31940.0631</v>
      </c>
      <c r="Q118" s="82">
        <f t="shared" ref="Q118:Q123" si="88">F118*N118</f>
        <v>31940.0631</v>
      </c>
      <c r="R118" s="116" t="str">
        <f>R104</f>
        <v>厂家定制</v>
      </c>
      <c r="S118" s="115"/>
    </row>
    <row r="119" s="100" customFormat="1" ht="43.2" outlineLevel="1" spans="1:19">
      <c r="A119" s="65">
        <v>92</v>
      </c>
      <c r="B119" s="65" t="s">
        <v>195</v>
      </c>
      <c r="C119" s="65" t="s">
        <v>224</v>
      </c>
      <c r="D119" s="58" t="s">
        <v>111</v>
      </c>
      <c r="E119" s="65">
        <v>12</v>
      </c>
      <c r="F119" s="57">
        <v>12</v>
      </c>
      <c r="G119" s="103">
        <f t="shared" ref="G119:K119" si="89">G92</f>
        <v>25</v>
      </c>
      <c r="H119" s="67">
        <f t="shared" si="86"/>
        <v>36.75</v>
      </c>
      <c r="I119" s="103">
        <f t="shared" si="89"/>
        <v>35</v>
      </c>
      <c r="J119" s="74">
        <f t="shared" si="89"/>
        <v>0.05</v>
      </c>
      <c r="K119" s="67">
        <f t="shared" si="89"/>
        <v>5</v>
      </c>
      <c r="L119" s="67">
        <f>(G119+H119+K119)*$L$5</f>
        <v>4.005</v>
      </c>
      <c r="M119" s="67">
        <f>(G119+H119+K119+L119)*$M$5</f>
        <v>2.12265</v>
      </c>
      <c r="N119" s="67">
        <f t="shared" si="81"/>
        <v>109.316475</v>
      </c>
      <c r="O119" s="67"/>
      <c r="P119" s="67">
        <f t="shared" si="87"/>
        <v>1311.7977</v>
      </c>
      <c r="Q119" s="82">
        <f t="shared" si="88"/>
        <v>1311.7977</v>
      </c>
      <c r="R119" s="116"/>
      <c r="S119" s="115"/>
    </row>
    <row r="120" s="100" customFormat="1" ht="43.2" outlineLevel="1" spans="1:19">
      <c r="A120" s="65">
        <v>93</v>
      </c>
      <c r="B120" s="65" t="s">
        <v>195</v>
      </c>
      <c r="C120" s="65" t="s">
        <v>225</v>
      </c>
      <c r="D120" s="58" t="s">
        <v>111</v>
      </c>
      <c r="E120" s="65">
        <v>1</v>
      </c>
      <c r="F120" s="57">
        <v>1</v>
      </c>
      <c r="G120" s="103">
        <f t="shared" ref="G120:K120" si="90">G93</f>
        <v>25</v>
      </c>
      <c r="H120" s="67">
        <f t="shared" si="86"/>
        <v>33.6</v>
      </c>
      <c r="I120" s="103">
        <f t="shared" si="90"/>
        <v>32</v>
      </c>
      <c r="J120" s="74">
        <f t="shared" si="90"/>
        <v>0.05</v>
      </c>
      <c r="K120" s="67">
        <f t="shared" si="90"/>
        <v>5</v>
      </c>
      <c r="L120" s="67">
        <f>(G120+H120+K120)*$L$5</f>
        <v>3.816</v>
      </c>
      <c r="M120" s="67">
        <f>(G120+H120+K120+L120)*$M$5</f>
        <v>2.02248</v>
      </c>
      <c r="N120" s="67">
        <f t="shared" si="81"/>
        <v>104.15772</v>
      </c>
      <c r="O120" s="67"/>
      <c r="P120" s="67">
        <f t="shared" si="87"/>
        <v>104.15772</v>
      </c>
      <c r="Q120" s="82">
        <f t="shared" si="88"/>
        <v>104.15772</v>
      </c>
      <c r="R120" s="116"/>
      <c r="S120" s="115"/>
    </row>
    <row r="121" s="100" customFormat="1" ht="43.2" outlineLevel="1" spans="1:19">
      <c r="A121" s="65">
        <v>94</v>
      </c>
      <c r="B121" s="65" t="s">
        <v>103</v>
      </c>
      <c r="C121" s="65" t="s">
        <v>226</v>
      </c>
      <c r="D121" s="58" t="s">
        <v>105</v>
      </c>
      <c r="E121" s="65">
        <v>12</v>
      </c>
      <c r="F121" s="57">
        <v>12</v>
      </c>
      <c r="G121" s="103">
        <f t="shared" ref="G121:K121" si="91">G23</f>
        <v>10</v>
      </c>
      <c r="H121" s="67">
        <f t="shared" si="86"/>
        <v>30.3</v>
      </c>
      <c r="I121" s="103">
        <f t="shared" si="91"/>
        <v>30</v>
      </c>
      <c r="J121" s="74">
        <f t="shared" si="91"/>
        <v>0.01</v>
      </c>
      <c r="K121" s="67">
        <f t="shared" si="91"/>
        <v>1</v>
      </c>
      <c r="L121" s="67">
        <f>(G121+H121+K121)*$L$5</f>
        <v>2.478</v>
      </c>
      <c r="M121" s="67">
        <f>(G121+H121+K121+L121)*$M$5</f>
        <v>1.31334</v>
      </c>
      <c r="N121" s="67">
        <f t="shared" si="81"/>
        <v>67.63701</v>
      </c>
      <c r="O121" s="67"/>
      <c r="P121" s="67">
        <f t="shared" si="87"/>
        <v>811.64412</v>
      </c>
      <c r="Q121" s="82">
        <f t="shared" si="88"/>
        <v>811.64412</v>
      </c>
      <c r="R121" s="116"/>
      <c r="S121" s="115"/>
    </row>
    <row r="122" s="100" customFormat="1" ht="64.8" outlineLevel="1" spans="1:20">
      <c r="A122" s="84">
        <v>95</v>
      </c>
      <c r="B122" s="84" t="s">
        <v>95</v>
      </c>
      <c r="C122" s="84" t="s">
        <v>227</v>
      </c>
      <c r="D122" s="92" t="s">
        <v>76</v>
      </c>
      <c r="E122" s="84">
        <v>22.75</v>
      </c>
      <c r="F122" s="85">
        <v>22.75</v>
      </c>
      <c r="G122" s="114">
        <f>G113</f>
        <v>190</v>
      </c>
      <c r="H122" s="106">
        <f t="shared" si="86"/>
        <v>315</v>
      </c>
      <c r="I122" s="114">
        <f>I118</f>
        <v>300</v>
      </c>
      <c r="J122" s="93">
        <f>J118</f>
        <v>0.05</v>
      </c>
      <c r="K122" s="106">
        <f>K113</f>
        <v>150</v>
      </c>
      <c r="L122" s="106">
        <f>(G122+H122+K122)*$L$5</f>
        <v>39.3</v>
      </c>
      <c r="M122" s="106">
        <f>(G122+H122+K122+L122)*$M$5</f>
        <v>20.829</v>
      </c>
      <c r="N122" s="67">
        <f t="shared" si="81"/>
        <v>1072.6935</v>
      </c>
      <c r="O122" s="67"/>
      <c r="P122" s="106">
        <f t="shared" si="87"/>
        <v>24403.777125</v>
      </c>
      <c r="Q122" s="82">
        <f t="shared" si="88"/>
        <v>24403.777125</v>
      </c>
      <c r="R122" s="124" t="s">
        <v>228</v>
      </c>
      <c r="S122" s="115"/>
      <c r="T122" s="148"/>
    </row>
    <row r="123" s="100" customFormat="1" ht="43.2" outlineLevel="1" spans="1:19">
      <c r="A123" s="65">
        <v>96</v>
      </c>
      <c r="B123" s="65" t="s">
        <v>206</v>
      </c>
      <c r="C123" s="65" t="s">
        <v>215</v>
      </c>
      <c r="D123" s="58" t="s">
        <v>111</v>
      </c>
      <c r="E123" s="65">
        <v>8.32</v>
      </c>
      <c r="F123" s="57">
        <v>8.32</v>
      </c>
      <c r="G123" s="103">
        <f t="shared" ref="G123:K123" si="92">G101</f>
        <v>15</v>
      </c>
      <c r="H123" s="67">
        <f t="shared" ref="H123:H127" si="93">I123*(1+J123)</f>
        <v>29.4</v>
      </c>
      <c r="I123" s="103">
        <f t="shared" si="92"/>
        <v>28</v>
      </c>
      <c r="J123" s="74">
        <f t="shared" si="92"/>
        <v>0.05</v>
      </c>
      <c r="K123" s="67">
        <f t="shared" si="92"/>
        <v>1</v>
      </c>
      <c r="L123" s="67">
        <f>(G123+H123+K123)*$L$5</f>
        <v>2.724</v>
      </c>
      <c r="M123" s="67">
        <f>(G123+H123+K123+L123)*$M$5</f>
        <v>1.44372</v>
      </c>
      <c r="N123" s="67">
        <f t="shared" si="81"/>
        <v>74.35158</v>
      </c>
      <c r="O123" s="67"/>
      <c r="P123" s="67">
        <f t="shared" ref="P123:P131" si="94">N123*E123</f>
        <v>618.6051456</v>
      </c>
      <c r="Q123" s="82">
        <f t="shared" si="88"/>
        <v>618.6051456</v>
      </c>
      <c r="R123" s="116"/>
      <c r="S123" s="115"/>
    </row>
    <row r="124" s="100" customFormat="1" ht="21.6" outlineLevel="1" spans="1:19">
      <c r="A124" s="65"/>
      <c r="B124" s="65" t="s">
        <v>229</v>
      </c>
      <c r="C124" s="65"/>
      <c r="D124" s="58"/>
      <c r="E124" s="65"/>
      <c r="F124" s="57"/>
      <c r="G124" s="103"/>
      <c r="H124" s="67"/>
      <c r="I124" s="103"/>
      <c r="J124" s="74"/>
      <c r="K124" s="67"/>
      <c r="L124" s="67"/>
      <c r="M124" s="67"/>
      <c r="N124" s="67">
        <f t="shared" si="81"/>
        <v>0</v>
      </c>
      <c r="O124" s="67"/>
      <c r="P124" s="67"/>
      <c r="Q124" s="82"/>
      <c r="R124" s="116"/>
      <c r="S124" s="115"/>
    </row>
    <row r="125" s="100" customFormat="1" ht="54" outlineLevel="1" spans="1:19">
      <c r="A125" s="65">
        <v>97</v>
      </c>
      <c r="B125" s="65" t="s">
        <v>95</v>
      </c>
      <c r="C125" s="65" t="s">
        <v>230</v>
      </c>
      <c r="D125" s="58" t="s">
        <v>76</v>
      </c>
      <c r="E125" s="65">
        <v>26.08</v>
      </c>
      <c r="F125" s="57">
        <v>26.08</v>
      </c>
      <c r="G125" s="105">
        <v>145</v>
      </c>
      <c r="H125" s="67">
        <f t="shared" si="93"/>
        <v>236.25</v>
      </c>
      <c r="I125" s="105">
        <v>225</v>
      </c>
      <c r="J125" s="88">
        <v>0.05</v>
      </c>
      <c r="K125" s="72">
        <f>35+25+10</f>
        <v>70</v>
      </c>
      <c r="L125" s="67">
        <f>(G125+H125+K125)*$L$5</f>
        <v>27.075</v>
      </c>
      <c r="M125" s="67">
        <f>(G125+H125+K125+L125)*$M$5</f>
        <v>14.34975</v>
      </c>
      <c r="N125" s="67">
        <f t="shared" si="81"/>
        <v>739.012125</v>
      </c>
      <c r="O125" s="67"/>
      <c r="P125" s="67">
        <f t="shared" si="94"/>
        <v>19273.43622</v>
      </c>
      <c r="Q125" s="82">
        <f t="shared" ref="Q125:Q131" si="95">F125*N125</f>
        <v>19273.43622</v>
      </c>
      <c r="R125" s="116"/>
      <c r="S125" s="115"/>
    </row>
    <row r="126" s="101" customFormat="1" ht="54" outlineLevel="1" spans="1:23">
      <c r="A126" s="68">
        <v>98</v>
      </c>
      <c r="B126" s="68" t="s">
        <v>95</v>
      </c>
      <c r="C126" s="68" t="s">
        <v>231</v>
      </c>
      <c r="D126" s="136" t="s">
        <v>76</v>
      </c>
      <c r="E126" s="68">
        <v>27.6</v>
      </c>
      <c r="F126" s="57">
        <v>27.6</v>
      </c>
      <c r="G126" s="137">
        <v>150</v>
      </c>
      <c r="H126" s="138">
        <f t="shared" si="93"/>
        <v>173.25</v>
      </c>
      <c r="I126" s="137">
        <v>165</v>
      </c>
      <c r="J126" s="144">
        <v>0.05</v>
      </c>
      <c r="K126" s="138">
        <v>50</v>
      </c>
      <c r="L126" s="138">
        <f>(G126+H126+K126)*$L$5</f>
        <v>22.395</v>
      </c>
      <c r="M126" s="138">
        <f>(G126+H126+K126+L126)*$M$5</f>
        <v>11.86935</v>
      </c>
      <c r="N126" s="67">
        <f t="shared" si="81"/>
        <v>611.271525</v>
      </c>
      <c r="O126" s="67"/>
      <c r="P126" s="138">
        <f t="shared" si="94"/>
        <v>16871.09409</v>
      </c>
      <c r="Q126" s="82">
        <f t="shared" si="95"/>
        <v>16871.09409</v>
      </c>
      <c r="R126" s="149"/>
      <c r="S126" s="150"/>
      <c r="T126" s="148"/>
      <c r="U126" s="100"/>
      <c r="V126" s="100"/>
      <c r="W126" s="100"/>
    </row>
    <row r="127" s="101" customFormat="1" ht="43.2" outlineLevel="1" spans="1:23">
      <c r="A127" s="68">
        <v>99</v>
      </c>
      <c r="B127" s="68" t="s">
        <v>232</v>
      </c>
      <c r="C127" s="68" t="s">
        <v>233</v>
      </c>
      <c r="D127" s="136" t="s">
        <v>76</v>
      </c>
      <c r="E127" s="68">
        <v>13.68</v>
      </c>
      <c r="F127" s="57">
        <v>13.68</v>
      </c>
      <c r="G127" s="105">
        <v>260</v>
      </c>
      <c r="H127" s="138">
        <f t="shared" si="93"/>
        <v>1942.5</v>
      </c>
      <c r="I127" s="105">
        <v>1850</v>
      </c>
      <c r="J127" s="110">
        <v>0.05</v>
      </c>
      <c r="K127" s="72">
        <v>120</v>
      </c>
      <c r="L127" s="138">
        <f>(G127+H127+K127)*$L$5</f>
        <v>139.35</v>
      </c>
      <c r="M127" s="138">
        <f>(G127+H127+K127+L127)*$M$5</f>
        <v>73.8555</v>
      </c>
      <c r="N127" s="67">
        <f t="shared" si="81"/>
        <v>3803.55825</v>
      </c>
      <c r="O127" s="67"/>
      <c r="P127" s="138">
        <f t="shared" si="94"/>
        <v>52032.67686</v>
      </c>
      <c r="Q127" s="82">
        <f t="shared" si="95"/>
        <v>52032.67686</v>
      </c>
      <c r="R127" s="149"/>
      <c r="S127" s="150"/>
      <c r="T127" s="100"/>
      <c r="U127" s="100"/>
      <c r="V127" s="100"/>
      <c r="W127" s="100"/>
    </row>
    <row r="128" s="101" customFormat="1" ht="54" outlineLevel="1" spans="1:23">
      <c r="A128" s="68">
        <v>100</v>
      </c>
      <c r="B128" s="68" t="s">
        <v>232</v>
      </c>
      <c r="C128" s="68" t="s">
        <v>234</v>
      </c>
      <c r="D128" s="136" t="s">
        <v>76</v>
      </c>
      <c r="E128" s="68">
        <v>13.92</v>
      </c>
      <c r="F128" s="57">
        <v>13.92</v>
      </c>
      <c r="G128" s="137">
        <v>260</v>
      </c>
      <c r="H128" s="138">
        <v>0</v>
      </c>
      <c r="I128" s="137">
        <v>0</v>
      </c>
      <c r="J128" s="145">
        <v>0</v>
      </c>
      <c r="K128" s="138">
        <v>120</v>
      </c>
      <c r="L128" s="138">
        <f>(G128+H128+K128)*$L$5</f>
        <v>22.8</v>
      </c>
      <c r="M128" s="138">
        <f>(G128+H128+K128+L128)*$M$5</f>
        <v>12.084</v>
      </c>
      <c r="N128" s="67">
        <f t="shared" si="81"/>
        <v>622.326</v>
      </c>
      <c r="O128" s="67"/>
      <c r="P128" s="138">
        <f t="shared" si="94"/>
        <v>8662.77792</v>
      </c>
      <c r="Q128" s="82">
        <f t="shared" si="95"/>
        <v>8662.77792</v>
      </c>
      <c r="R128" s="149" t="s">
        <v>235</v>
      </c>
      <c r="S128" s="150"/>
      <c r="T128" s="100"/>
      <c r="U128" s="100"/>
      <c r="V128" s="100"/>
      <c r="W128" s="100"/>
    </row>
    <row r="129" s="100" customFormat="1" ht="64.8" outlineLevel="1" spans="1:20">
      <c r="A129" s="65">
        <v>101</v>
      </c>
      <c r="B129" s="65" t="s">
        <v>95</v>
      </c>
      <c r="C129" s="65" t="s">
        <v>236</v>
      </c>
      <c r="D129" s="58" t="s">
        <v>76</v>
      </c>
      <c r="E129" s="65">
        <v>11.61</v>
      </c>
      <c r="F129" s="57">
        <v>11.61</v>
      </c>
      <c r="G129" s="103">
        <f>G104</f>
        <v>190</v>
      </c>
      <c r="H129" s="67">
        <f t="shared" ref="H129:H131" si="96">I129*(1+J129)</f>
        <v>315</v>
      </c>
      <c r="I129" s="103">
        <f>I19</f>
        <v>300</v>
      </c>
      <c r="J129" s="74">
        <f>J19</f>
        <v>0.05</v>
      </c>
      <c r="K129" s="67">
        <f>K104</f>
        <v>150</v>
      </c>
      <c r="L129" s="67">
        <f>(G129+H129+K129)*$L$5</f>
        <v>39.3</v>
      </c>
      <c r="M129" s="67">
        <f>(G129+H129+K129+L129)*$M$5</f>
        <v>20.829</v>
      </c>
      <c r="N129" s="67">
        <f t="shared" si="81"/>
        <v>1072.6935</v>
      </c>
      <c r="O129" s="67"/>
      <c r="P129" s="67">
        <f t="shared" si="94"/>
        <v>12453.971535</v>
      </c>
      <c r="Q129" s="82">
        <f t="shared" si="95"/>
        <v>12453.971535</v>
      </c>
      <c r="R129" s="116" t="str">
        <f>R118</f>
        <v>厂家定制</v>
      </c>
      <c r="S129" s="115"/>
      <c r="T129" s="148"/>
    </row>
    <row r="130" s="100" customFormat="1" ht="64.8" outlineLevel="1" spans="1:20">
      <c r="A130" s="65">
        <v>102</v>
      </c>
      <c r="B130" s="65" t="s">
        <v>95</v>
      </c>
      <c r="C130" s="65" t="s">
        <v>237</v>
      </c>
      <c r="D130" s="58" t="s">
        <v>76</v>
      </c>
      <c r="E130" s="65">
        <v>45.49</v>
      </c>
      <c r="F130" s="57">
        <v>45.49</v>
      </c>
      <c r="G130" s="103">
        <f>G129</f>
        <v>190</v>
      </c>
      <c r="H130" s="67">
        <f t="shared" si="96"/>
        <v>336</v>
      </c>
      <c r="I130" s="105">
        <v>320</v>
      </c>
      <c r="J130" s="74">
        <v>0.05</v>
      </c>
      <c r="K130" s="67">
        <f>K129</f>
        <v>150</v>
      </c>
      <c r="L130" s="67">
        <f>(G130+H130+K130)*$L$5</f>
        <v>40.56</v>
      </c>
      <c r="M130" s="67">
        <f>(G130+H130+K130+L130)*$M$5</f>
        <v>21.4968</v>
      </c>
      <c r="N130" s="67">
        <f t="shared" ref="N130:N193" si="97">(G130+H130+K130+L130+M130)*1.5</f>
        <v>1107.0852</v>
      </c>
      <c r="O130" s="67"/>
      <c r="P130" s="67">
        <f t="shared" si="94"/>
        <v>50361.305748</v>
      </c>
      <c r="Q130" s="82">
        <f t="shared" si="95"/>
        <v>50361.305748</v>
      </c>
      <c r="R130" s="116"/>
      <c r="S130" s="115"/>
      <c r="T130" s="148"/>
    </row>
    <row r="131" s="100" customFormat="1" ht="43.2" outlineLevel="1" spans="1:19">
      <c r="A131" s="65">
        <v>103</v>
      </c>
      <c r="B131" s="65" t="s">
        <v>206</v>
      </c>
      <c r="C131" s="65" t="s">
        <v>215</v>
      </c>
      <c r="D131" s="58" t="s">
        <v>111</v>
      </c>
      <c r="E131" s="65">
        <v>3.51</v>
      </c>
      <c r="F131" s="57">
        <v>3.51</v>
      </c>
      <c r="G131" s="103">
        <f t="shared" ref="G131:K131" si="98">G101</f>
        <v>15</v>
      </c>
      <c r="H131" s="67">
        <f t="shared" si="96"/>
        <v>29.4</v>
      </c>
      <c r="I131" s="103">
        <f t="shared" si="98"/>
        <v>28</v>
      </c>
      <c r="J131" s="74">
        <f t="shared" si="98"/>
        <v>0.05</v>
      </c>
      <c r="K131" s="67">
        <f t="shared" si="98"/>
        <v>1</v>
      </c>
      <c r="L131" s="67">
        <f>(G131+H131+K131)*$L$5</f>
        <v>2.724</v>
      </c>
      <c r="M131" s="67">
        <f>(G131+H131+K131+L131)*$M$5</f>
        <v>1.44372</v>
      </c>
      <c r="N131" s="67">
        <f t="shared" si="97"/>
        <v>74.35158</v>
      </c>
      <c r="O131" s="67"/>
      <c r="P131" s="67">
        <f t="shared" si="94"/>
        <v>260.9740458</v>
      </c>
      <c r="Q131" s="82">
        <f t="shared" si="95"/>
        <v>260.9740458</v>
      </c>
      <c r="R131" s="116"/>
      <c r="S131" s="115"/>
    </row>
    <row r="132" s="100" customFormat="1" spans="1:19">
      <c r="A132" s="65"/>
      <c r="B132" s="65" t="s">
        <v>238</v>
      </c>
      <c r="C132" s="65"/>
      <c r="D132" s="58"/>
      <c r="E132" s="65"/>
      <c r="F132" s="57"/>
      <c r="G132" s="103"/>
      <c r="H132" s="67"/>
      <c r="I132" s="103"/>
      <c r="J132" s="74"/>
      <c r="K132" s="67"/>
      <c r="L132" s="67"/>
      <c r="M132" s="67"/>
      <c r="N132" s="67">
        <f t="shared" si="97"/>
        <v>0</v>
      </c>
      <c r="O132" s="67"/>
      <c r="P132" s="67"/>
      <c r="Q132" s="82"/>
      <c r="R132" s="116"/>
      <c r="S132" s="115"/>
    </row>
    <row r="133" s="100" customFormat="1" ht="75.6" outlineLevel="1" spans="1:19">
      <c r="A133" s="65">
        <v>104</v>
      </c>
      <c r="B133" s="65" t="s">
        <v>204</v>
      </c>
      <c r="C133" s="104" t="s">
        <v>221</v>
      </c>
      <c r="D133" s="58" t="s">
        <v>76</v>
      </c>
      <c r="E133" s="65">
        <v>42.25</v>
      </c>
      <c r="F133" s="57">
        <v>42.25</v>
      </c>
      <c r="G133" s="103">
        <f t="shared" ref="G133:K133" si="99">G100</f>
        <v>35</v>
      </c>
      <c r="H133" s="67">
        <f t="shared" ref="H133:H140" si="100">I133*(1+J133)</f>
        <v>26.25</v>
      </c>
      <c r="I133" s="103">
        <f t="shared" si="99"/>
        <v>25</v>
      </c>
      <c r="J133" s="74">
        <f t="shared" si="99"/>
        <v>0.05</v>
      </c>
      <c r="K133" s="67">
        <f t="shared" si="99"/>
        <v>15</v>
      </c>
      <c r="L133" s="67">
        <f>(G133+H133+K133)*$L$5</f>
        <v>4.575</v>
      </c>
      <c r="M133" s="67">
        <f>(G133+H133+K133+L133)*$M$5</f>
        <v>2.42475</v>
      </c>
      <c r="N133" s="67">
        <f t="shared" si="97"/>
        <v>124.874625</v>
      </c>
      <c r="O133" s="67"/>
      <c r="P133" s="67">
        <f t="shared" ref="P133:P140" si="101">N133*E133</f>
        <v>5275.95290625</v>
      </c>
      <c r="Q133" s="82">
        <f t="shared" ref="Q133:Q140" si="102">F133*N133</f>
        <v>5275.95290625</v>
      </c>
      <c r="R133" s="116"/>
      <c r="S133" s="115"/>
    </row>
    <row r="134" s="100" customFormat="1" ht="54" outlineLevel="1" spans="1:19">
      <c r="A134" s="65">
        <v>105</v>
      </c>
      <c r="B134" s="65" t="s">
        <v>95</v>
      </c>
      <c r="C134" s="65" t="s">
        <v>230</v>
      </c>
      <c r="D134" s="58" t="s">
        <v>76</v>
      </c>
      <c r="E134" s="65">
        <v>10.59</v>
      </c>
      <c r="F134" s="57">
        <v>10.59</v>
      </c>
      <c r="G134" s="103">
        <f t="shared" ref="G134:K134" si="103">G125</f>
        <v>145</v>
      </c>
      <c r="H134" s="67">
        <f t="shared" si="100"/>
        <v>236.25</v>
      </c>
      <c r="I134" s="103">
        <f t="shared" si="103"/>
        <v>225</v>
      </c>
      <c r="J134" s="74">
        <f t="shared" si="103"/>
        <v>0.05</v>
      </c>
      <c r="K134" s="67">
        <f t="shared" si="103"/>
        <v>70</v>
      </c>
      <c r="L134" s="67">
        <f>(G134+H134+K134)*$L$5</f>
        <v>27.075</v>
      </c>
      <c r="M134" s="67">
        <f>(G134+H134+K134+L134)*$M$5</f>
        <v>14.34975</v>
      </c>
      <c r="N134" s="67">
        <f t="shared" si="97"/>
        <v>739.012125</v>
      </c>
      <c r="O134" s="67"/>
      <c r="P134" s="67">
        <f t="shared" si="101"/>
        <v>7826.13840375</v>
      </c>
      <c r="Q134" s="82">
        <f t="shared" si="102"/>
        <v>7826.13840375</v>
      </c>
      <c r="R134" s="116"/>
      <c r="S134" s="115"/>
    </row>
    <row r="135" s="100" customFormat="1" ht="43.2" outlineLevel="1" spans="1:19">
      <c r="A135" s="125">
        <v>106</v>
      </c>
      <c r="B135" s="125" t="s">
        <v>232</v>
      </c>
      <c r="C135" s="125" t="s">
        <v>239</v>
      </c>
      <c r="D135" s="151" t="s">
        <v>76</v>
      </c>
      <c r="E135" s="104">
        <v>0</v>
      </c>
      <c r="F135" s="152">
        <v>0</v>
      </c>
      <c r="G135" s="107">
        <f t="shared" ref="G135:K135" si="104">G127</f>
        <v>260</v>
      </c>
      <c r="H135" s="138">
        <f t="shared" si="100"/>
        <v>1942.5</v>
      </c>
      <c r="I135" s="107">
        <f t="shared" si="104"/>
        <v>1850</v>
      </c>
      <c r="J135" s="157">
        <f t="shared" si="104"/>
        <v>0.05</v>
      </c>
      <c r="K135" s="107">
        <f t="shared" si="104"/>
        <v>120</v>
      </c>
      <c r="L135" s="67">
        <f>(G135+H135+K135)*$L$5</f>
        <v>139.35</v>
      </c>
      <c r="M135" s="67">
        <f>(G135+H135+K135+L135)*$M$5</f>
        <v>73.8555</v>
      </c>
      <c r="N135" s="67">
        <f t="shared" si="97"/>
        <v>3803.55825</v>
      </c>
      <c r="O135" s="67"/>
      <c r="P135" s="67">
        <f t="shared" si="101"/>
        <v>0</v>
      </c>
      <c r="Q135" s="82">
        <f t="shared" si="102"/>
        <v>0</v>
      </c>
      <c r="R135" s="125" t="s">
        <v>240</v>
      </c>
      <c r="S135" s="117"/>
    </row>
    <row r="136" s="100" customFormat="1" ht="75.6" outlineLevel="1" spans="1:20">
      <c r="A136" s="36">
        <v>107</v>
      </c>
      <c r="B136" s="36" t="s">
        <v>241</v>
      </c>
      <c r="C136" s="131" t="s">
        <v>242</v>
      </c>
      <c r="D136" s="33" t="s">
        <v>76</v>
      </c>
      <c r="E136" s="36">
        <v>44.66</v>
      </c>
      <c r="F136" s="35">
        <v>44.66</v>
      </c>
      <c r="G136" s="105">
        <v>150</v>
      </c>
      <c r="H136" s="67">
        <f t="shared" si="100"/>
        <v>141.75</v>
      </c>
      <c r="I136" s="105">
        <f>35+15+85</f>
        <v>135</v>
      </c>
      <c r="J136" s="88">
        <v>0.05</v>
      </c>
      <c r="K136" s="72">
        <v>85</v>
      </c>
      <c r="L136" s="67">
        <f>(G136+H136+K136)*$L$5</f>
        <v>22.605</v>
      </c>
      <c r="M136" s="67">
        <f>(G136+H136+K136+L136)*$M$5</f>
        <v>11.98065</v>
      </c>
      <c r="N136" s="67">
        <f t="shared" si="97"/>
        <v>617.003475</v>
      </c>
      <c r="O136" s="67"/>
      <c r="P136" s="67">
        <f t="shared" si="101"/>
        <v>27555.3751935</v>
      </c>
      <c r="Q136" s="82">
        <f t="shared" si="102"/>
        <v>27555.3751935</v>
      </c>
      <c r="R136" s="116"/>
      <c r="S136" s="115"/>
      <c r="T136" s="148"/>
    </row>
    <row r="137" s="101" customFormat="1" ht="86.4" outlineLevel="1" spans="1:23">
      <c r="A137" s="36">
        <v>108</v>
      </c>
      <c r="B137" s="36" t="s">
        <v>241</v>
      </c>
      <c r="C137" s="131" t="s">
        <v>243</v>
      </c>
      <c r="D137" s="33" t="s">
        <v>76</v>
      </c>
      <c r="E137" s="36">
        <v>28.15</v>
      </c>
      <c r="F137" s="35">
        <v>28.15</v>
      </c>
      <c r="G137" s="153">
        <f>G136</f>
        <v>150</v>
      </c>
      <c r="H137" s="154">
        <f t="shared" si="100"/>
        <v>141.75</v>
      </c>
      <c r="I137" s="153">
        <f>I136</f>
        <v>135</v>
      </c>
      <c r="J137" s="139">
        <f>J136</f>
        <v>0.05</v>
      </c>
      <c r="K137" s="154">
        <f>K136</f>
        <v>85</v>
      </c>
      <c r="L137" s="67">
        <f>(G137+H137+K137)*$L$5</f>
        <v>22.605</v>
      </c>
      <c r="M137" s="67">
        <f>(G137+H137+K137+L137)*$M$5</f>
        <v>11.98065</v>
      </c>
      <c r="N137" s="67">
        <f t="shared" si="97"/>
        <v>617.003475</v>
      </c>
      <c r="O137" s="67"/>
      <c r="P137" s="67">
        <f t="shared" si="101"/>
        <v>17368.64782125</v>
      </c>
      <c r="Q137" s="82">
        <f t="shared" si="102"/>
        <v>17368.64782125</v>
      </c>
      <c r="R137" s="160"/>
      <c r="S137" s="150"/>
      <c r="T137" s="148"/>
      <c r="U137" s="100"/>
      <c r="V137" s="100"/>
      <c r="W137" s="100"/>
    </row>
    <row r="138" s="101" customFormat="1" ht="43.2" outlineLevel="1" spans="1:23">
      <c r="A138" s="68">
        <v>109</v>
      </c>
      <c r="B138" s="68" t="s">
        <v>232</v>
      </c>
      <c r="C138" s="68" t="s">
        <v>244</v>
      </c>
      <c r="D138" s="136" t="s">
        <v>76</v>
      </c>
      <c r="E138" s="68">
        <v>21.36</v>
      </c>
      <c r="F138" s="57">
        <v>21.36</v>
      </c>
      <c r="G138" s="155">
        <f t="shared" ref="G138:K138" si="105">G127</f>
        <v>260</v>
      </c>
      <c r="H138" s="138">
        <f t="shared" si="100"/>
        <v>1942.5</v>
      </c>
      <c r="I138" s="155">
        <f t="shared" si="105"/>
        <v>1850</v>
      </c>
      <c r="J138" s="158">
        <f t="shared" si="105"/>
        <v>0.05</v>
      </c>
      <c r="K138" s="155">
        <f t="shared" si="105"/>
        <v>120</v>
      </c>
      <c r="L138" s="67">
        <f>(G138+H138+K138)*$L$5</f>
        <v>139.35</v>
      </c>
      <c r="M138" s="67">
        <f>(G138+H138+K138+L138)*$M$5</f>
        <v>73.8555</v>
      </c>
      <c r="N138" s="67">
        <f t="shared" si="97"/>
        <v>3803.55825</v>
      </c>
      <c r="O138" s="67"/>
      <c r="P138" s="67">
        <f t="shared" si="101"/>
        <v>81244.00422</v>
      </c>
      <c r="Q138" s="82">
        <f t="shared" si="102"/>
        <v>81244.00422</v>
      </c>
      <c r="R138" s="116" t="s">
        <v>245</v>
      </c>
      <c r="S138" s="150"/>
      <c r="T138" s="100"/>
      <c r="U138" s="100"/>
      <c r="V138" s="100"/>
      <c r="W138" s="100"/>
    </row>
    <row r="139" s="100" customFormat="1" ht="43.2" outlineLevel="1" spans="1:19">
      <c r="A139" s="65">
        <v>110</v>
      </c>
      <c r="B139" s="65" t="s">
        <v>206</v>
      </c>
      <c r="C139" s="65" t="s">
        <v>215</v>
      </c>
      <c r="D139" s="58" t="s">
        <v>111</v>
      </c>
      <c r="E139" s="65">
        <v>59.51</v>
      </c>
      <c r="F139" s="57">
        <v>59.51</v>
      </c>
      <c r="G139" s="103">
        <f t="shared" ref="G139:K139" si="106">G101</f>
        <v>15</v>
      </c>
      <c r="H139" s="67">
        <f t="shared" si="100"/>
        <v>29.4</v>
      </c>
      <c r="I139" s="103">
        <f t="shared" si="106"/>
        <v>28</v>
      </c>
      <c r="J139" s="74">
        <f t="shared" si="106"/>
        <v>0.05</v>
      </c>
      <c r="K139" s="67">
        <f t="shared" si="106"/>
        <v>1</v>
      </c>
      <c r="L139" s="67">
        <f>(G139+H139+K139)*$L$5</f>
        <v>2.724</v>
      </c>
      <c r="M139" s="67">
        <f>(G139+H139+K139+L139)*$M$5</f>
        <v>1.44372</v>
      </c>
      <c r="N139" s="67">
        <f t="shared" si="97"/>
        <v>74.35158</v>
      </c>
      <c r="O139" s="67"/>
      <c r="P139" s="67">
        <f t="shared" si="101"/>
        <v>4424.6625258</v>
      </c>
      <c r="Q139" s="82">
        <f t="shared" si="102"/>
        <v>4424.6625258</v>
      </c>
      <c r="R139" s="116"/>
      <c r="S139" s="115"/>
    </row>
    <row r="140" s="100" customFormat="1" ht="64.8" outlineLevel="1" spans="1:19">
      <c r="A140" s="65">
        <v>111</v>
      </c>
      <c r="B140" s="65" t="s">
        <v>246</v>
      </c>
      <c r="C140" s="125" t="s">
        <v>247</v>
      </c>
      <c r="D140" s="58" t="s">
        <v>76</v>
      </c>
      <c r="E140" s="65">
        <v>2.76</v>
      </c>
      <c r="F140" s="57">
        <v>2.76</v>
      </c>
      <c r="G140" s="103">
        <f t="shared" ref="G140:K140" si="107">G136</f>
        <v>150</v>
      </c>
      <c r="H140" s="67">
        <f t="shared" si="100"/>
        <v>141.75</v>
      </c>
      <c r="I140" s="103">
        <f t="shared" si="107"/>
        <v>135</v>
      </c>
      <c r="J140" s="74">
        <f t="shared" si="107"/>
        <v>0.05</v>
      </c>
      <c r="K140" s="67">
        <f t="shared" si="107"/>
        <v>85</v>
      </c>
      <c r="L140" s="67">
        <f>(G140+H140+K140)*$L$5</f>
        <v>22.605</v>
      </c>
      <c r="M140" s="67">
        <f>(G140+H140+K140+L140)*$M$5</f>
        <v>11.98065</v>
      </c>
      <c r="N140" s="67">
        <f t="shared" si="97"/>
        <v>617.003475</v>
      </c>
      <c r="O140" s="67"/>
      <c r="P140" s="67">
        <f t="shared" si="101"/>
        <v>1702.929591</v>
      </c>
      <c r="Q140" s="82">
        <f t="shared" si="102"/>
        <v>1702.929591</v>
      </c>
      <c r="R140" s="116"/>
      <c r="S140" s="115"/>
    </row>
    <row r="141" s="100" customFormat="1" spans="1:19">
      <c r="A141" s="65"/>
      <c r="B141" s="65" t="s">
        <v>248</v>
      </c>
      <c r="C141" s="65"/>
      <c r="D141" s="58"/>
      <c r="E141" s="65"/>
      <c r="F141" s="57"/>
      <c r="G141" s="103"/>
      <c r="H141" s="67"/>
      <c r="I141" s="103"/>
      <c r="J141" s="74"/>
      <c r="K141" s="67"/>
      <c r="L141" s="67"/>
      <c r="M141" s="67"/>
      <c r="N141" s="67">
        <f t="shared" si="97"/>
        <v>0</v>
      </c>
      <c r="O141" s="67"/>
      <c r="P141" s="67"/>
      <c r="Q141" s="82"/>
      <c r="R141" s="116"/>
      <c r="S141" s="115"/>
    </row>
    <row r="142" s="100" customFormat="1" ht="86.4" outlineLevel="1" spans="1:20">
      <c r="A142" s="84">
        <v>112</v>
      </c>
      <c r="B142" s="84" t="s">
        <v>200</v>
      </c>
      <c r="C142" s="120" t="s">
        <v>249</v>
      </c>
      <c r="D142" s="92" t="s">
        <v>76</v>
      </c>
      <c r="E142" s="84">
        <v>62.97</v>
      </c>
      <c r="F142" s="85">
        <v>62.97</v>
      </c>
      <c r="G142" s="114">
        <f t="shared" ref="G142:K142" si="108">G96</f>
        <v>150</v>
      </c>
      <c r="H142" s="106">
        <f>I142*(1+J142)</f>
        <v>226.8</v>
      </c>
      <c r="I142" s="112">
        <v>210</v>
      </c>
      <c r="J142" s="93">
        <f t="shared" si="108"/>
        <v>0.08</v>
      </c>
      <c r="K142" s="106">
        <f t="shared" si="108"/>
        <v>75</v>
      </c>
      <c r="L142" s="106">
        <f>(G142+H142+K142)*$L$5</f>
        <v>27.108</v>
      </c>
      <c r="M142" s="106">
        <f>(G142+H142+K142+L142)*$M$5</f>
        <v>14.36724</v>
      </c>
      <c r="N142" s="67">
        <f t="shared" si="97"/>
        <v>739.91286</v>
      </c>
      <c r="O142" s="67"/>
      <c r="P142" s="106">
        <f>N142*E142</f>
        <v>46592.3127942</v>
      </c>
      <c r="Q142" s="82">
        <f>F142*N142</f>
        <v>46592.3127942</v>
      </c>
      <c r="R142" s="147"/>
      <c r="S142" s="115"/>
      <c r="T142" s="148"/>
    </row>
    <row r="143" s="100" customFormat="1" ht="43.2" outlineLevel="1" spans="1:19">
      <c r="A143" s="65">
        <v>113</v>
      </c>
      <c r="B143" s="65" t="s">
        <v>206</v>
      </c>
      <c r="C143" s="65" t="s">
        <v>215</v>
      </c>
      <c r="D143" s="58" t="s">
        <v>111</v>
      </c>
      <c r="E143" s="65">
        <v>14.63</v>
      </c>
      <c r="F143" s="57">
        <v>14.63</v>
      </c>
      <c r="G143" s="103">
        <f t="shared" ref="G143:K143" si="109">G101</f>
        <v>15</v>
      </c>
      <c r="H143" s="67">
        <f>I143*(1+J143)</f>
        <v>29.4</v>
      </c>
      <c r="I143" s="103">
        <f t="shared" si="109"/>
        <v>28</v>
      </c>
      <c r="J143" s="74">
        <f t="shared" si="109"/>
        <v>0.05</v>
      </c>
      <c r="K143" s="67">
        <f t="shared" si="109"/>
        <v>1</v>
      </c>
      <c r="L143" s="67">
        <f>(G143+H143+K143)*$L$5</f>
        <v>2.724</v>
      </c>
      <c r="M143" s="67">
        <f>(G143+H143+K143+L143)*$M$5</f>
        <v>1.44372</v>
      </c>
      <c r="N143" s="67">
        <f t="shared" si="97"/>
        <v>74.35158</v>
      </c>
      <c r="O143" s="67"/>
      <c r="P143" s="67">
        <f>N143*E143</f>
        <v>1087.7636154</v>
      </c>
      <c r="Q143" s="82">
        <f>F143*N143</f>
        <v>1087.7636154</v>
      </c>
      <c r="R143" s="116"/>
      <c r="S143" s="115"/>
    </row>
    <row r="144" s="100" customFormat="1" ht="43.2" outlineLevel="1" spans="1:19">
      <c r="A144" s="65">
        <v>114</v>
      </c>
      <c r="B144" s="65" t="s">
        <v>250</v>
      </c>
      <c r="C144" s="65" t="s">
        <v>251</v>
      </c>
      <c r="D144" s="58" t="s">
        <v>111</v>
      </c>
      <c r="E144" s="65">
        <v>14.63</v>
      </c>
      <c r="F144" s="57">
        <v>14.63</v>
      </c>
      <c r="G144" s="103">
        <f t="shared" ref="G144:K144" si="110">G143</f>
        <v>15</v>
      </c>
      <c r="H144" s="67">
        <f>I144*(1+J144)</f>
        <v>29.4</v>
      </c>
      <c r="I144" s="103">
        <f t="shared" si="110"/>
        <v>28</v>
      </c>
      <c r="J144" s="74">
        <f t="shared" si="110"/>
        <v>0.05</v>
      </c>
      <c r="K144" s="67">
        <f t="shared" si="110"/>
        <v>1</v>
      </c>
      <c r="L144" s="67">
        <f>(G144+H144+K144)*$L$5</f>
        <v>2.724</v>
      </c>
      <c r="M144" s="67">
        <f>(G144+H144+K144+L144)*$M$5</f>
        <v>1.44372</v>
      </c>
      <c r="N144" s="67">
        <f t="shared" si="97"/>
        <v>74.35158</v>
      </c>
      <c r="O144" s="67"/>
      <c r="P144" s="67">
        <f>N144*E144</f>
        <v>1087.7636154</v>
      </c>
      <c r="Q144" s="82">
        <f>F144*N144</f>
        <v>1087.7636154</v>
      </c>
      <c r="R144" s="116"/>
      <c r="S144" s="115"/>
    </row>
    <row r="145" s="100" customFormat="1" spans="1:19">
      <c r="A145" s="65"/>
      <c r="B145" s="65" t="s">
        <v>252</v>
      </c>
      <c r="C145" s="65"/>
      <c r="D145" s="58"/>
      <c r="E145" s="65"/>
      <c r="F145" s="57"/>
      <c r="G145" s="103"/>
      <c r="H145" s="67"/>
      <c r="I145" s="103"/>
      <c r="J145" s="74"/>
      <c r="K145" s="67"/>
      <c r="L145" s="67"/>
      <c r="M145" s="67"/>
      <c r="N145" s="67">
        <f t="shared" si="97"/>
        <v>0</v>
      </c>
      <c r="O145" s="67"/>
      <c r="P145" s="67"/>
      <c r="Q145" s="82"/>
      <c r="R145" s="116"/>
      <c r="S145" s="115"/>
    </row>
    <row r="146" s="100" customFormat="1" ht="75.6" outlineLevel="1" spans="1:19">
      <c r="A146" s="65">
        <v>115</v>
      </c>
      <c r="B146" s="65" t="s">
        <v>204</v>
      </c>
      <c r="C146" s="104" t="s">
        <v>221</v>
      </c>
      <c r="D146" s="58" t="s">
        <v>76</v>
      </c>
      <c r="E146" s="65">
        <v>32.1</v>
      </c>
      <c r="F146" s="57">
        <v>32.1</v>
      </c>
      <c r="G146" s="103">
        <f t="shared" ref="G146:K146" si="111">G100</f>
        <v>35</v>
      </c>
      <c r="H146" s="67">
        <f t="shared" ref="H146:H153" si="112">I146*(1+J146)</f>
        <v>26.25</v>
      </c>
      <c r="I146" s="103">
        <f>I100</f>
        <v>25</v>
      </c>
      <c r="J146" s="74">
        <f t="shared" si="111"/>
        <v>0.05</v>
      </c>
      <c r="K146" s="67">
        <f t="shared" si="111"/>
        <v>15</v>
      </c>
      <c r="L146" s="67">
        <f>(G146+H146+K146)*$L$5</f>
        <v>4.575</v>
      </c>
      <c r="M146" s="67">
        <f>(G146+H146+K146+L146)*$M$5</f>
        <v>2.42475</v>
      </c>
      <c r="N146" s="67">
        <f t="shared" si="97"/>
        <v>124.874625</v>
      </c>
      <c r="O146" s="67"/>
      <c r="P146" s="67">
        <f t="shared" ref="P146:P153" si="113">N146*E146</f>
        <v>4008.4754625</v>
      </c>
      <c r="Q146" s="82">
        <f t="shared" ref="Q146:Q153" si="114">F146*N146</f>
        <v>4008.4754625</v>
      </c>
      <c r="R146" s="116"/>
      <c r="S146" s="115"/>
    </row>
    <row r="147" s="100" customFormat="1" ht="43.2" outlineLevel="1" spans="1:19">
      <c r="A147" s="65">
        <v>116</v>
      </c>
      <c r="B147" s="65" t="s">
        <v>206</v>
      </c>
      <c r="C147" s="65" t="s">
        <v>215</v>
      </c>
      <c r="D147" s="58" t="s">
        <v>111</v>
      </c>
      <c r="E147" s="65">
        <v>10.27</v>
      </c>
      <c r="F147" s="57">
        <v>10.27</v>
      </c>
      <c r="G147" s="103">
        <f t="shared" ref="G147:K147" si="115">G101</f>
        <v>15</v>
      </c>
      <c r="H147" s="67">
        <f t="shared" si="112"/>
        <v>29.4</v>
      </c>
      <c r="I147" s="103">
        <f t="shared" si="115"/>
        <v>28</v>
      </c>
      <c r="J147" s="74">
        <f t="shared" si="115"/>
        <v>0.05</v>
      </c>
      <c r="K147" s="67">
        <f t="shared" si="115"/>
        <v>1</v>
      </c>
      <c r="L147" s="67">
        <f>(G147+H147+K147)*$L$5</f>
        <v>2.724</v>
      </c>
      <c r="M147" s="67">
        <f>(G147+H147+K147+L147)*$M$5</f>
        <v>1.44372</v>
      </c>
      <c r="N147" s="67">
        <f t="shared" si="97"/>
        <v>74.35158</v>
      </c>
      <c r="O147" s="67"/>
      <c r="P147" s="67">
        <f t="shared" si="113"/>
        <v>763.5907266</v>
      </c>
      <c r="Q147" s="82">
        <f t="shared" si="114"/>
        <v>763.5907266</v>
      </c>
      <c r="R147" s="116"/>
      <c r="S147" s="115"/>
    </row>
    <row r="148" s="100" customFormat="1" ht="64.8" outlineLevel="1" spans="1:19">
      <c r="A148" s="65">
        <v>117</v>
      </c>
      <c r="B148" s="65" t="s">
        <v>253</v>
      </c>
      <c r="C148" s="65" t="s">
        <v>254</v>
      </c>
      <c r="D148" s="58" t="s">
        <v>76</v>
      </c>
      <c r="E148" s="65">
        <v>8.94</v>
      </c>
      <c r="F148" s="57">
        <v>8.94</v>
      </c>
      <c r="G148" s="105">
        <v>150</v>
      </c>
      <c r="H148" s="67">
        <f t="shared" si="112"/>
        <v>336</v>
      </c>
      <c r="I148" s="105">
        <v>320</v>
      </c>
      <c r="J148" s="88">
        <v>0.05</v>
      </c>
      <c r="K148" s="72">
        <v>165</v>
      </c>
      <c r="L148" s="67">
        <f>(G148+H148+K148)*$L$5</f>
        <v>39.06</v>
      </c>
      <c r="M148" s="67">
        <f>(G148+H148+K148+L148)*$M$5</f>
        <v>20.7018</v>
      </c>
      <c r="N148" s="67">
        <f t="shared" si="97"/>
        <v>1066.1427</v>
      </c>
      <c r="O148" s="67"/>
      <c r="P148" s="67">
        <f t="shared" si="113"/>
        <v>9531.315738</v>
      </c>
      <c r="Q148" s="82">
        <f t="shared" si="114"/>
        <v>9531.315738</v>
      </c>
      <c r="R148" s="116"/>
      <c r="S148" s="115"/>
    </row>
    <row r="149" s="100" customFormat="1" ht="64.8" outlineLevel="1" spans="1:19">
      <c r="A149" s="65">
        <v>118</v>
      </c>
      <c r="B149" s="65" t="s">
        <v>255</v>
      </c>
      <c r="C149" s="65" t="s">
        <v>256</v>
      </c>
      <c r="D149" s="58" t="s">
        <v>76</v>
      </c>
      <c r="E149" s="65">
        <v>0.68</v>
      </c>
      <c r="F149" s="57">
        <v>0.68</v>
      </c>
      <c r="G149" s="103">
        <f t="shared" ref="G149:K149" si="116">G148</f>
        <v>150</v>
      </c>
      <c r="H149" s="67">
        <f t="shared" si="112"/>
        <v>336</v>
      </c>
      <c r="I149" s="103">
        <f t="shared" si="116"/>
        <v>320</v>
      </c>
      <c r="J149" s="74">
        <f t="shared" si="116"/>
        <v>0.05</v>
      </c>
      <c r="K149" s="67">
        <f t="shared" si="116"/>
        <v>165</v>
      </c>
      <c r="L149" s="67">
        <f>(G149+H149+K149)*$L$5</f>
        <v>39.06</v>
      </c>
      <c r="M149" s="67">
        <f>(G149+H149+K149+L149)*$M$5</f>
        <v>20.7018</v>
      </c>
      <c r="N149" s="67">
        <f t="shared" si="97"/>
        <v>1066.1427</v>
      </c>
      <c r="O149" s="67"/>
      <c r="P149" s="67">
        <f t="shared" si="113"/>
        <v>724.977036</v>
      </c>
      <c r="Q149" s="82">
        <f t="shared" si="114"/>
        <v>724.977036</v>
      </c>
      <c r="R149" s="116"/>
      <c r="S149" s="115"/>
    </row>
    <row r="150" s="100" customFormat="1" ht="64.8" outlineLevel="1" spans="1:19">
      <c r="A150" s="65">
        <v>119</v>
      </c>
      <c r="B150" s="65" t="s">
        <v>257</v>
      </c>
      <c r="C150" s="65" t="s">
        <v>258</v>
      </c>
      <c r="D150" s="58" t="s">
        <v>111</v>
      </c>
      <c r="E150" s="65">
        <v>3.6</v>
      </c>
      <c r="F150" s="57">
        <v>3.6</v>
      </c>
      <c r="G150" s="105">
        <v>450</v>
      </c>
      <c r="H150" s="67">
        <f t="shared" si="112"/>
        <v>959.5</v>
      </c>
      <c r="I150" s="105">
        <v>950</v>
      </c>
      <c r="J150" s="88">
        <v>0.01</v>
      </c>
      <c r="K150" s="72">
        <v>220</v>
      </c>
      <c r="L150" s="67">
        <f>(G150+H150+K150)*$L$5</f>
        <v>97.77</v>
      </c>
      <c r="M150" s="67">
        <f>(G150+H150+K150+L150)*$M$5</f>
        <v>51.8181</v>
      </c>
      <c r="N150" s="67">
        <f t="shared" si="97"/>
        <v>2668.63215</v>
      </c>
      <c r="O150" s="67"/>
      <c r="P150" s="67">
        <f t="shared" si="113"/>
        <v>9607.07574</v>
      </c>
      <c r="Q150" s="82">
        <f t="shared" si="114"/>
        <v>9607.07574</v>
      </c>
      <c r="R150" s="116"/>
      <c r="S150" s="115"/>
    </row>
    <row r="151" s="100" customFormat="1" ht="43.2" outlineLevel="1" spans="1:19">
      <c r="A151" s="65">
        <v>120</v>
      </c>
      <c r="B151" s="65" t="s">
        <v>217</v>
      </c>
      <c r="C151" s="65" t="s">
        <v>259</v>
      </c>
      <c r="D151" s="58" t="s">
        <v>76</v>
      </c>
      <c r="E151" s="65">
        <v>1.92</v>
      </c>
      <c r="F151" s="57">
        <v>1.92</v>
      </c>
      <c r="G151" s="103">
        <v>150</v>
      </c>
      <c r="H151" s="67">
        <f t="shared" si="112"/>
        <v>682.5</v>
      </c>
      <c r="I151" s="103">
        <f>I110/$E$151</f>
        <v>650</v>
      </c>
      <c r="J151" s="74">
        <v>0.05</v>
      </c>
      <c r="K151" s="67">
        <v>100</v>
      </c>
      <c r="L151" s="67">
        <f>(G151+H151+K151)*$L$5</f>
        <v>55.95</v>
      </c>
      <c r="M151" s="67">
        <f>(G151+H151+K151+L151)*$M$5</f>
        <v>29.6535</v>
      </c>
      <c r="N151" s="67">
        <f t="shared" si="97"/>
        <v>1527.15525</v>
      </c>
      <c r="O151" s="67"/>
      <c r="P151" s="67">
        <f t="shared" si="113"/>
        <v>2932.13808</v>
      </c>
      <c r="Q151" s="82">
        <f t="shared" si="114"/>
        <v>2932.13808</v>
      </c>
      <c r="R151" s="116"/>
      <c r="S151" s="115"/>
    </row>
    <row r="152" s="100" customFormat="1" ht="43.2" outlineLevel="1" spans="1:19">
      <c r="A152" s="65">
        <v>121</v>
      </c>
      <c r="B152" s="65" t="s">
        <v>95</v>
      </c>
      <c r="C152" s="65" t="s">
        <v>260</v>
      </c>
      <c r="D152" s="58" t="s">
        <v>76</v>
      </c>
      <c r="E152" s="65">
        <v>1.28</v>
      </c>
      <c r="F152" s="57">
        <v>1.28</v>
      </c>
      <c r="G152" s="103">
        <f>G21</f>
        <v>165</v>
      </c>
      <c r="H152" s="67">
        <f t="shared" si="112"/>
        <v>315</v>
      </c>
      <c r="I152" s="103">
        <f t="shared" ref="G152:J152" si="117">I118</f>
        <v>300</v>
      </c>
      <c r="J152" s="74">
        <f t="shared" si="117"/>
        <v>0.05</v>
      </c>
      <c r="K152" s="75">
        <v>135</v>
      </c>
      <c r="L152" s="67">
        <f>(G152+H152+K152)*$L$5</f>
        <v>36.9</v>
      </c>
      <c r="M152" s="67">
        <f>(G152+H152+K152+L152)*$M$5</f>
        <v>19.557</v>
      </c>
      <c r="N152" s="67">
        <f t="shared" si="97"/>
        <v>1007.1855</v>
      </c>
      <c r="O152" s="67"/>
      <c r="P152" s="67">
        <f t="shared" si="113"/>
        <v>1289.19744</v>
      </c>
      <c r="Q152" s="82">
        <f t="shared" si="114"/>
        <v>1289.19744</v>
      </c>
      <c r="R152" s="116" t="str">
        <f>R129</f>
        <v>厂家定制</v>
      </c>
      <c r="S152" s="115"/>
    </row>
    <row r="153" s="100" customFormat="1" ht="43.2" outlineLevel="1" spans="1:19">
      <c r="A153" s="65">
        <v>122</v>
      </c>
      <c r="B153" s="65" t="s">
        <v>187</v>
      </c>
      <c r="C153" s="65" t="s">
        <v>261</v>
      </c>
      <c r="D153" s="58" t="s">
        <v>108</v>
      </c>
      <c r="E153" s="65">
        <v>1</v>
      </c>
      <c r="F153" s="57">
        <v>1</v>
      </c>
      <c r="G153" s="103">
        <v>300</v>
      </c>
      <c r="H153" s="67">
        <f t="shared" si="112"/>
        <v>1111</v>
      </c>
      <c r="I153" s="103">
        <v>1100</v>
      </c>
      <c r="J153" s="74">
        <v>0.01</v>
      </c>
      <c r="K153" s="67">
        <v>310</v>
      </c>
      <c r="L153" s="67">
        <f>(G153+H153+K153)*$L$5</f>
        <v>103.26</v>
      </c>
      <c r="M153" s="67">
        <f>(G153+H153+K153+L153)*$M$5</f>
        <v>54.7278</v>
      </c>
      <c r="N153" s="67">
        <f t="shared" si="97"/>
        <v>2818.4817</v>
      </c>
      <c r="O153" s="67"/>
      <c r="P153" s="67">
        <f t="shared" si="113"/>
        <v>2818.4817</v>
      </c>
      <c r="Q153" s="82">
        <f t="shared" si="114"/>
        <v>2818.4817</v>
      </c>
      <c r="R153" s="116" t="str">
        <f>R129</f>
        <v>厂家定制</v>
      </c>
      <c r="S153" s="115"/>
    </row>
    <row r="154" s="100" customFormat="1" spans="1:19">
      <c r="A154" s="65"/>
      <c r="B154" s="65" t="s">
        <v>262</v>
      </c>
      <c r="C154" s="65"/>
      <c r="D154" s="58"/>
      <c r="E154" s="65"/>
      <c r="F154" s="57"/>
      <c r="G154" s="103"/>
      <c r="H154" s="67"/>
      <c r="I154" s="103"/>
      <c r="J154" s="74"/>
      <c r="K154" s="67"/>
      <c r="L154" s="67"/>
      <c r="M154" s="67"/>
      <c r="N154" s="67">
        <f t="shared" si="97"/>
        <v>0</v>
      </c>
      <c r="O154" s="67"/>
      <c r="P154" s="67"/>
      <c r="Q154" s="82"/>
      <c r="R154" s="116"/>
      <c r="S154" s="115"/>
    </row>
    <row r="155" s="100" customFormat="1" ht="43.2" outlineLevel="1" spans="1:19">
      <c r="A155" s="65">
        <v>123</v>
      </c>
      <c r="B155" s="65" t="s">
        <v>95</v>
      </c>
      <c r="C155" s="65" t="s">
        <v>263</v>
      </c>
      <c r="D155" s="58" t="s">
        <v>76</v>
      </c>
      <c r="E155" s="65">
        <v>7.86</v>
      </c>
      <c r="F155" s="57">
        <v>7.86</v>
      </c>
      <c r="G155" s="103">
        <f t="shared" ref="G155:K155" si="118">G152</f>
        <v>165</v>
      </c>
      <c r="H155" s="67">
        <f t="shared" ref="H155:H161" si="119">I155*(1+J155)</f>
        <v>315</v>
      </c>
      <c r="I155" s="103">
        <f t="shared" si="118"/>
        <v>300</v>
      </c>
      <c r="J155" s="74">
        <f t="shared" si="118"/>
        <v>0.05</v>
      </c>
      <c r="K155" s="67">
        <f t="shared" si="118"/>
        <v>135</v>
      </c>
      <c r="L155" s="67">
        <f>(G155+H155+K155)*$L$5</f>
        <v>36.9</v>
      </c>
      <c r="M155" s="67">
        <f>(G155+H155+K155+L155)*$M$5</f>
        <v>19.557</v>
      </c>
      <c r="N155" s="67">
        <f t="shared" si="97"/>
        <v>1007.1855</v>
      </c>
      <c r="O155" s="67"/>
      <c r="P155" s="67">
        <f t="shared" ref="P155:P161" si="120">N155*E155</f>
        <v>7916.47803</v>
      </c>
      <c r="Q155" s="82">
        <f t="shared" ref="Q155:Q163" si="121">F155*N155</f>
        <v>7916.47803</v>
      </c>
      <c r="R155" s="116" t="str">
        <f>R129</f>
        <v>厂家定制</v>
      </c>
      <c r="S155" s="115"/>
    </row>
    <row r="156" s="100" customFormat="1" ht="43.2" outlineLevel="1" spans="1:19">
      <c r="A156" s="65">
        <v>124</v>
      </c>
      <c r="B156" s="65" t="s">
        <v>95</v>
      </c>
      <c r="C156" s="65" t="s">
        <v>264</v>
      </c>
      <c r="D156" s="58" t="s">
        <v>76</v>
      </c>
      <c r="E156" s="65">
        <v>32.33</v>
      </c>
      <c r="F156" s="57">
        <v>32.33</v>
      </c>
      <c r="G156" s="105">
        <v>125</v>
      </c>
      <c r="H156" s="67">
        <f t="shared" si="119"/>
        <v>162</v>
      </c>
      <c r="I156" s="105">
        <v>135</v>
      </c>
      <c r="J156" s="88">
        <v>0.2</v>
      </c>
      <c r="K156" s="72">
        <f>38*2+25</f>
        <v>101</v>
      </c>
      <c r="L156" s="67">
        <f>(G156+H156+K156)*$L$5</f>
        <v>23.28</v>
      </c>
      <c r="M156" s="67">
        <f>(G156+H156+K156+L156)*$M$5</f>
        <v>12.3384</v>
      </c>
      <c r="N156" s="67">
        <f t="shared" si="97"/>
        <v>635.4276</v>
      </c>
      <c r="O156" s="67"/>
      <c r="P156" s="67">
        <f t="shared" si="120"/>
        <v>20543.374308</v>
      </c>
      <c r="Q156" s="82">
        <f t="shared" si="121"/>
        <v>20543.374308</v>
      </c>
      <c r="R156" s="116"/>
      <c r="S156" s="115"/>
    </row>
    <row r="157" s="100" customFormat="1" ht="43.2" outlineLevel="1" spans="1:19">
      <c r="A157" s="65">
        <v>125</v>
      </c>
      <c r="B157" s="65" t="s">
        <v>95</v>
      </c>
      <c r="C157" s="65" t="s">
        <v>265</v>
      </c>
      <c r="D157" s="58" t="s">
        <v>76</v>
      </c>
      <c r="E157" s="65">
        <v>1.5</v>
      </c>
      <c r="F157" s="57">
        <v>1.5</v>
      </c>
      <c r="G157" s="103">
        <f t="shared" ref="G157:J157" si="122">G125</f>
        <v>145</v>
      </c>
      <c r="H157" s="67">
        <f t="shared" si="119"/>
        <v>236.25</v>
      </c>
      <c r="I157" s="103">
        <f t="shared" si="122"/>
        <v>225</v>
      </c>
      <c r="J157" s="74">
        <f t="shared" si="122"/>
        <v>0.05</v>
      </c>
      <c r="K157" s="72">
        <f>K125+15</f>
        <v>85</v>
      </c>
      <c r="L157" s="67">
        <f>(G157+H157+K157)*$L$5</f>
        <v>27.975</v>
      </c>
      <c r="M157" s="67">
        <f>(G157+H157+K157+L157)*$M$5</f>
        <v>14.82675</v>
      </c>
      <c r="N157" s="67">
        <f t="shared" si="97"/>
        <v>763.577625</v>
      </c>
      <c r="O157" s="67"/>
      <c r="P157" s="67">
        <f t="shared" si="120"/>
        <v>1145.3664375</v>
      </c>
      <c r="Q157" s="82">
        <f t="shared" si="121"/>
        <v>1145.3664375</v>
      </c>
      <c r="R157" s="116"/>
      <c r="S157" s="115"/>
    </row>
    <row r="158" s="100" customFormat="1" ht="43.2" outlineLevel="1" spans="1:19">
      <c r="A158" s="65">
        <v>126</v>
      </c>
      <c r="B158" s="65" t="s">
        <v>206</v>
      </c>
      <c r="C158" s="65" t="s">
        <v>215</v>
      </c>
      <c r="D158" s="58" t="s">
        <v>111</v>
      </c>
      <c r="E158" s="65">
        <v>9.01</v>
      </c>
      <c r="F158" s="57">
        <v>9.01</v>
      </c>
      <c r="G158" s="103">
        <f t="shared" ref="G158:K158" si="123">G101</f>
        <v>15</v>
      </c>
      <c r="H158" s="67">
        <f t="shared" si="119"/>
        <v>29.4</v>
      </c>
      <c r="I158" s="103">
        <f t="shared" si="123"/>
        <v>28</v>
      </c>
      <c r="J158" s="74">
        <f t="shared" si="123"/>
        <v>0.05</v>
      </c>
      <c r="K158" s="67">
        <f t="shared" si="123"/>
        <v>1</v>
      </c>
      <c r="L158" s="67">
        <f>(G158+H158+K158)*$L$5</f>
        <v>2.724</v>
      </c>
      <c r="M158" s="67">
        <f>(G158+H158+K158+L158)*$M$5</f>
        <v>1.44372</v>
      </c>
      <c r="N158" s="67">
        <f t="shared" si="97"/>
        <v>74.35158</v>
      </c>
      <c r="O158" s="67"/>
      <c r="P158" s="67">
        <f t="shared" si="120"/>
        <v>669.9077358</v>
      </c>
      <c r="Q158" s="82">
        <f t="shared" si="121"/>
        <v>669.9077358</v>
      </c>
      <c r="R158" s="116"/>
      <c r="S158" s="115"/>
    </row>
    <row r="159" s="100" customFormat="1" ht="64.8" outlineLevel="1" spans="1:19">
      <c r="A159" s="65">
        <v>127</v>
      </c>
      <c r="B159" s="65" t="s">
        <v>266</v>
      </c>
      <c r="C159" s="65" t="s">
        <v>267</v>
      </c>
      <c r="D159" s="58" t="s">
        <v>76</v>
      </c>
      <c r="E159" s="65">
        <v>6.49</v>
      </c>
      <c r="F159" s="57">
        <v>6.49</v>
      </c>
      <c r="G159" s="105">
        <v>350</v>
      </c>
      <c r="H159" s="67">
        <f t="shared" si="119"/>
        <v>1111</v>
      </c>
      <c r="I159" s="105">
        <v>1100</v>
      </c>
      <c r="J159" s="88">
        <v>0.01</v>
      </c>
      <c r="K159" s="72">
        <v>350</v>
      </c>
      <c r="L159" s="67">
        <f>(G159+H159+K159)*$L$5</f>
        <v>108.66</v>
      </c>
      <c r="M159" s="67">
        <f>(G159+H159+K159+L159)*$M$5</f>
        <v>57.5898</v>
      </c>
      <c r="N159" s="67">
        <f t="shared" si="97"/>
        <v>2965.8747</v>
      </c>
      <c r="O159" s="67"/>
      <c r="P159" s="67">
        <f t="shared" si="120"/>
        <v>19248.526803</v>
      </c>
      <c r="Q159" s="82">
        <f t="shared" si="121"/>
        <v>19248.526803</v>
      </c>
      <c r="R159" s="116" t="str">
        <f>R155</f>
        <v>厂家定制</v>
      </c>
      <c r="S159" s="115"/>
    </row>
    <row r="160" s="100" customFormat="1" ht="64.8" outlineLevel="1" spans="1:19">
      <c r="A160" s="65">
        <v>128</v>
      </c>
      <c r="B160" s="65" t="s">
        <v>268</v>
      </c>
      <c r="C160" s="65" t="s">
        <v>269</v>
      </c>
      <c r="D160" s="58" t="s">
        <v>76</v>
      </c>
      <c r="E160" s="65">
        <v>1.83</v>
      </c>
      <c r="F160" s="57">
        <v>1.83</v>
      </c>
      <c r="G160" s="105">
        <f>G159</f>
        <v>350</v>
      </c>
      <c r="H160" s="67">
        <f t="shared" si="119"/>
        <v>959.5</v>
      </c>
      <c r="I160" s="105">
        <v>950</v>
      </c>
      <c r="J160" s="88">
        <f>J159</f>
        <v>0.01</v>
      </c>
      <c r="K160" s="72">
        <v>260</v>
      </c>
      <c r="L160" s="67">
        <f>(G160+H160+K160)*$L$5</f>
        <v>94.17</v>
      </c>
      <c r="M160" s="67">
        <f>(G160+H160+K160+L160)*$M$5</f>
        <v>49.9101</v>
      </c>
      <c r="N160" s="67">
        <f t="shared" si="97"/>
        <v>2570.37015</v>
      </c>
      <c r="O160" s="67"/>
      <c r="P160" s="67">
        <f t="shared" si="120"/>
        <v>4703.7773745</v>
      </c>
      <c r="Q160" s="82">
        <f t="shared" si="121"/>
        <v>4703.7773745</v>
      </c>
      <c r="R160" s="116"/>
      <c r="S160" s="115"/>
    </row>
    <row r="161" s="100" customFormat="1" ht="43.2" outlineLevel="1" spans="1:19">
      <c r="A161" s="65">
        <v>129</v>
      </c>
      <c r="B161" s="65" t="s">
        <v>217</v>
      </c>
      <c r="C161" s="65" t="s">
        <v>270</v>
      </c>
      <c r="D161" s="58" t="s">
        <v>108</v>
      </c>
      <c r="E161" s="65">
        <v>1</v>
      </c>
      <c r="F161" s="57">
        <v>1</v>
      </c>
      <c r="G161" s="103">
        <f t="shared" ref="G161:K161" si="124">G110</f>
        <v>200</v>
      </c>
      <c r="H161" s="106">
        <f t="shared" si="119"/>
        <v>1260.48</v>
      </c>
      <c r="I161" s="103">
        <f t="shared" si="124"/>
        <v>1248</v>
      </c>
      <c r="J161" s="74">
        <f t="shared" si="124"/>
        <v>0.01</v>
      </c>
      <c r="K161" s="67">
        <f t="shared" si="124"/>
        <v>150</v>
      </c>
      <c r="L161" s="106">
        <f>(G161+H161+K161)*$L$5</f>
        <v>96.6288</v>
      </c>
      <c r="M161" s="106">
        <f>(G161+H161+K161+L161)*$M$5</f>
        <v>51.213264</v>
      </c>
      <c r="N161" s="67">
        <f t="shared" si="97"/>
        <v>2637.483096</v>
      </c>
      <c r="O161" s="67"/>
      <c r="P161" s="106">
        <f t="shared" si="120"/>
        <v>2637.483096</v>
      </c>
      <c r="Q161" s="82">
        <f t="shared" si="121"/>
        <v>2637.483096</v>
      </c>
      <c r="R161" s="116"/>
      <c r="S161" s="115"/>
    </row>
    <row r="162" s="100" customFormat="1" ht="21.6" spans="1:19">
      <c r="A162" s="65"/>
      <c r="B162" s="65" t="s">
        <v>271</v>
      </c>
      <c r="C162" s="65"/>
      <c r="D162" s="58"/>
      <c r="E162" s="65"/>
      <c r="F162" s="57"/>
      <c r="G162" s="103"/>
      <c r="H162" s="67"/>
      <c r="I162" s="103"/>
      <c r="J162" s="74"/>
      <c r="K162" s="67"/>
      <c r="L162" s="67"/>
      <c r="M162" s="67"/>
      <c r="N162" s="67">
        <f t="shared" si="97"/>
        <v>0</v>
      </c>
      <c r="O162" s="67"/>
      <c r="P162" s="67"/>
      <c r="Q162" s="82"/>
      <c r="R162" s="116"/>
      <c r="S162" s="115"/>
    </row>
    <row r="163" s="100" customFormat="1" ht="97.2" outlineLevel="1" spans="1:19">
      <c r="A163" s="65">
        <v>130</v>
      </c>
      <c r="B163" s="65" t="s">
        <v>204</v>
      </c>
      <c r="C163" s="65" t="s">
        <v>272</v>
      </c>
      <c r="D163" s="58" t="s">
        <v>76</v>
      </c>
      <c r="E163" s="65">
        <v>74.96</v>
      </c>
      <c r="F163" s="57">
        <v>74.96</v>
      </c>
      <c r="G163" s="156">
        <v>30</v>
      </c>
      <c r="H163" s="67">
        <f>I163*(1+J163)</f>
        <v>15.75</v>
      </c>
      <c r="I163" s="156">
        <v>15</v>
      </c>
      <c r="J163" s="81">
        <v>0.05</v>
      </c>
      <c r="K163" s="159">
        <v>8</v>
      </c>
      <c r="L163" s="67">
        <f>(G163+H163+K163)*$L$5</f>
        <v>3.225</v>
      </c>
      <c r="M163" s="67">
        <f>(G163+H163+K163+L163)*$M$5</f>
        <v>1.70925</v>
      </c>
      <c r="N163" s="67">
        <f t="shared" si="97"/>
        <v>88.026375</v>
      </c>
      <c r="O163" s="67"/>
      <c r="P163" s="67">
        <f t="shared" ref="P163:P167" si="125">N163*E163</f>
        <v>6598.45707</v>
      </c>
      <c r="Q163" s="82">
        <f t="shared" ref="Q163:Q167" si="126">F163*N163</f>
        <v>6598.45707</v>
      </c>
      <c r="R163" s="116" t="str">
        <f>R122</f>
        <v>立邦</v>
      </c>
      <c r="S163" s="115"/>
    </row>
    <row r="164" s="100" customFormat="1" ht="43.2" outlineLevel="1" spans="1:19">
      <c r="A164" s="65">
        <v>131</v>
      </c>
      <c r="B164" s="65" t="s">
        <v>206</v>
      </c>
      <c r="C164" s="65" t="s">
        <v>215</v>
      </c>
      <c r="D164" s="58" t="s">
        <v>111</v>
      </c>
      <c r="E164" s="65">
        <v>23.32</v>
      </c>
      <c r="F164" s="57">
        <v>23.32</v>
      </c>
      <c r="G164" s="103">
        <f t="shared" ref="G164:K164" si="127">G158</f>
        <v>15</v>
      </c>
      <c r="H164" s="67">
        <f t="shared" ref="H163:H167" si="128">I164*(1+J164)</f>
        <v>29.4</v>
      </c>
      <c r="I164" s="103">
        <f t="shared" si="127"/>
        <v>28</v>
      </c>
      <c r="J164" s="74">
        <f t="shared" si="127"/>
        <v>0.05</v>
      </c>
      <c r="K164" s="67">
        <f t="shared" si="127"/>
        <v>1</v>
      </c>
      <c r="L164" s="67">
        <f>(G164+H164+K164)*$L$5</f>
        <v>2.724</v>
      </c>
      <c r="M164" s="67">
        <f>(G164+H164+K164+L164)*$M$5</f>
        <v>1.44372</v>
      </c>
      <c r="N164" s="67">
        <f t="shared" si="97"/>
        <v>74.35158</v>
      </c>
      <c r="O164" s="67"/>
      <c r="P164" s="67">
        <f t="shared" si="125"/>
        <v>1733.8788456</v>
      </c>
      <c r="Q164" s="82">
        <f t="shared" si="126"/>
        <v>1733.8788456</v>
      </c>
      <c r="R164" s="116"/>
      <c r="S164" s="115"/>
    </row>
    <row r="165" s="100" customFormat="1" ht="43.2" outlineLevel="1" spans="1:19">
      <c r="A165" s="65">
        <v>132</v>
      </c>
      <c r="B165" s="65" t="s">
        <v>217</v>
      </c>
      <c r="C165" s="65" t="s">
        <v>259</v>
      </c>
      <c r="D165" s="58" t="s">
        <v>76</v>
      </c>
      <c r="E165" s="65">
        <v>1.92</v>
      </c>
      <c r="F165" s="57">
        <v>1.92</v>
      </c>
      <c r="G165" s="103">
        <f t="shared" ref="G165:K165" si="129">G151</f>
        <v>150</v>
      </c>
      <c r="H165" s="67">
        <f t="shared" si="128"/>
        <v>682.5</v>
      </c>
      <c r="I165" s="103">
        <f t="shared" si="129"/>
        <v>650</v>
      </c>
      <c r="J165" s="74">
        <f t="shared" si="129"/>
        <v>0.05</v>
      </c>
      <c r="K165" s="67">
        <f t="shared" si="129"/>
        <v>100</v>
      </c>
      <c r="L165" s="67">
        <f>(G165+H165+K165)*$L$5</f>
        <v>55.95</v>
      </c>
      <c r="M165" s="67">
        <f>(G165+H165+K165+L165)*$M$5</f>
        <v>29.6535</v>
      </c>
      <c r="N165" s="67">
        <f t="shared" si="97"/>
        <v>1527.15525</v>
      </c>
      <c r="O165" s="67"/>
      <c r="P165" s="67">
        <f t="shared" si="125"/>
        <v>2932.13808</v>
      </c>
      <c r="Q165" s="82">
        <f t="shared" si="126"/>
        <v>2932.13808</v>
      </c>
      <c r="R165" s="116"/>
      <c r="S165" s="115"/>
    </row>
    <row r="166" s="100" customFormat="1" ht="43.2" outlineLevel="1" spans="1:19">
      <c r="A166" s="65">
        <v>133</v>
      </c>
      <c r="B166" s="65" t="s">
        <v>95</v>
      </c>
      <c r="C166" s="65" t="s">
        <v>260</v>
      </c>
      <c r="D166" s="58" t="s">
        <v>76</v>
      </c>
      <c r="E166" s="65">
        <v>1.28</v>
      </c>
      <c r="F166" s="57">
        <v>1.28</v>
      </c>
      <c r="G166" s="103">
        <f t="shared" ref="G166:K166" si="130">G152</f>
        <v>165</v>
      </c>
      <c r="H166" s="67">
        <f t="shared" si="128"/>
        <v>315</v>
      </c>
      <c r="I166" s="103">
        <f t="shared" si="130"/>
        <v>300</v>
      </c>
      <c r="J166" s="74">
        <f t="shared" si="130"/>
        <v>0.05</v>
      </c>
      <c r="K166" s="67">
        <f t="shared" si="130"/>
        <v>135</v>
      </c>
      <c r="L166" s="67">
        <f>(G166+H166+K166)*$L$5</f>
        <v>36.9</v>
      </c>
      <c r="M166" s="67">
        <f>(G166+H166+K166+L166)*$M$5</f>
        <v>19.557</v>
      </c>
      <c r="N166" s="67">
        <f t="shared" si="97"/>
        <v>1007.1855</v>
      </c>
      <c r="O166" s="67"/>
      <c r="P166" s="67">
        <f t="shared" si="125"/>
        <v>1289.19744</v>
      </c>
      <c r="Q166" s="82">
        <f t="shared" si="126"/>
        <v>1289.19744</v>
      </c>
      <c r="R166" s="116" t="str">
        <f>R155</f>
        <v>厂家定制</v>
      </c>
      <c r="S166" s="115"/>
    </row>
    <row r="167" s="100" customFormat="1" ht="43.2" outlineLevel="1" spans="1:19">
      <c r="A167" s="65">
        <v>134</v>
      </c>
      <c r="B167" s="65" t="s">
        <v>187</v>
      </c>
      <c r="C167" s="65" t="s">
        <v>261</v>
      </c>
      <c r="D167" s="58" t="s">
        <v>108</v>
      </c>
      <c r="E167" s="65">
        <v>1</v>
      </c>
      <c r="F167" s="57">
        <v>1</v>
      </c>
      <c r="G167" s="103">
        <f t="shared" ref="G167:K167" si="131">G153</f>
        <v>300</v>
      </c>
      <c r="H167" s="67">
        <f t="shared" si="128"/>
        <v>1111</v>
      </c>
      <c r="I167" s="103">
        <f t="shared" si="131"/>
        <v>1100</v>
      </c>
      <c r="J167" s="74">
        <f t="shared" si="131"/>
        <v>0.01</v>
      </c>
      <c r="K167" s="67">
        <f t="shared" si="131"/>
        <v>310</v>
      </c>
      <c r="L167" s="67">
        <f>(G167+H167+K167)*$L$5</f>
        <v>103.26</v>
      </c>
      <c r="M167" s="67">
        <f>(G167+H167+K167+L167)*$M$5</f>
        <v>54.7278</v>
      </c>
      <c r="N167" s="67">
        <f t="shared" si="97"/>
        <v>2818.4817</v>
      </c>
      <c r="O167" s="67"/>
      <c r="P167" s="67">
        <f t="shared" si="125"/>
        <v>2818.4817</v>
      </c>
      <c r="Q167" s="82">
        <f t="shared" si="126"/>
        <v>2818.4817</v>
      </c>
      <c r="R167" s="116" t="str">
        <f>R155</f>
        <v>厂家定制</v>
      </c>
      <c r="S167" s="115"/>
    </row>
    <row r="168" s="100" customFormat="1" spans="1:19">
      <c r="A168" s="65"/>
      <c r="B168" s="65" t="s">
        <v>273</v>
      </c>
      <c r="C168" s="65"/>
      <c r="D168" s="58"/>
      <c r="E168" s="65"/>
      <c r="F168" s="57"/>
      <c r="G168" s="103"/>
      <c r="H168" s="67"/>
      <c r="I168" s="103"/>
      <c r="J168" s="74"/>
      <c r="K168" s="67"/>
      <c r="L168" s="67"/>
      <c r="M168" s="67"/>
      <c r="N168" s="67">
        <f t="shared" si="97"/>
        <v>0</v>
      </c>
      <c r="O168" s="67"/>
      <c r="P168" s="67"/>
      <c r="Q168" s="82"/>
      <c r="R168" s="116"/>
      <c r="S168" s="115"/>
    </row>
    <row r="169" s="100" customFormat="1" ht="97.2" outlineLevel="1" spans="1:19">
      <c r="A169" s="65">
        <v>135</v>
      </c>
      <c r="B169" s="65" t="s">
        <v>204</v>
      </c>
      <c r="C169" s="83" t="s">
        <v>272</v>
      </c>
      <c r="D169" s="58" t="s">
        <v>76</v>
      </c>
      <c r="E169" s="65">
        <v>43.37</v>
      </c>
      <c r="F169" s="57">
        <v>43.37</v>
      </c>
      <c r="G169" s="103">
        <f>G163</f>
        <v>30</v>
      </c>
      <c r="H169" s="67">
        <f t="shared" ref="H169:H174" si="132">I169*(1+J169)</f>
        <v>15.75</v>
      </c>
      <c r="I169" s="103">
        <f>I163</f>
        <v>15</v>
      </c>
      <c r="J169" s="74">
        <f>J100</f>
        <v>0.05</v>
      </c>
      <c r="K169" s="67">
        <f>K163</f>
        <v>8</v>
      </c>
      <c r="L169" s="67">
        <f>(G169+H169+K169)*$L$5</f>
        <v>3.225</v>
      </c>
      <c r="M169" s="67">
        <f>(G169+H169+K169+L169)*$M$5</f>
        <v>1.70925</v>
      </c>
      <c r="N169" s="67">
        <f t="shared" si="97"/>
        <v>88.026375</v>
      </c>
      <c r="O169" s="67"/>
      <c r="P169" s="67">
        <f t="shared" ref="P169:P174" si="133">N169*E169</f>
        <v>3817.70388375</v>
      </c>
      <c r="Q169" s="82">
        <f t="shared" ref="Q169:Q174" si="134">F169*N169</f>
        <v>3817.70388375</v>
      </c>
      <c r="R169" s="116" t="str">
        <f>R122</f>
        <v>立邦</v>
      </c>
      <c r="S169" s="115"/>
    </row>
    <row r="170" s="100" customFormat="1" ht="43.2" outlineLevel="1" spans="1:19">
      <c r="A170" s="65">
        <v>136</v>
      </c>
      <c r="B170" s="65" t="s">
        <v>189</v>
      </c>
      <c r="C170" s="65" t="s">
        <v>190</v>
      </c>
      <c r="D170" s="58" t="s">
        <v>76</v>
      </c>
      <c r="E170" s="65">
        <v>2.3</v>
      </c>
      <c r="F170" s="57">
        <v>2.3</v>
      </c>
      <c r="G170" s="103">
        <f t="shared" ref="G170:K170" si="135">G89</f>
        <v>185</v>
      </c>
      <c r="H170" s="67">
        <f t="shared" si="132"/>
        <v>336</v>
      </c>
      <c r="I170" s="103">
        <f t="shared" si="135"/>
        <v>320</v>
      </c>
      <c r="J170" s="74">
        <f t="shared" si="135"/>
        <v>0.05</v>
      </c>
      <c r="K170" s="67">
        <f t="shared" si="135"/>
        <v>35</v>
      </c>
      <c r="L170" s="67">
        <f>(G170+H170+K170)*$L$5</f>
        <v>33.36</v>
      </c>
      <c r="M170" s="67">
        <f>(G170+H170+K170+L170)*$M$5</f>
        <v>17.6808</v>
      </c>
      <c r="N170" s="67">
        <f t="shared" si="97"/>
        <v>910.5612</v>
      </c>
      <c r="O170" s="67"/>
      <c r="P170" s="67">
        <f t="shared" si="133"/>
        <v>2094.29076</v>
      </c>
      <c r="Q170" s="82">
        <f t="shared" si="134"/>
        <v>2094.29076</v>
      </c>
      <c r="R170" s="116"/>
      <c r="S170" s="115"/>
    </row>
    <row r="171" s="100" customFormat="1" ht="43.2" outlineLevel="1" spans="1:19">
      <c r="A171" s="65">
        <v>137</v>
      </c>
      <c r="B171" s="65" t="s">
        <v>206</v>
      </c>
      <c r="C171" s="65" t="s">
        <v>215</v>
      </c>
      <c r="D171" s="58" t="s">
        <v>111</v>
      </c>
      <c r="E171" s="65">
        <v>13.9</v>
      </c>
      <c r="F171" s="57">
        <v>13.9</v>
      </c>
      <c r="G171" s="103">
        <f t="shared" ref="G171:K171" si="136">G158</f>
        <v>15</v>
      </c>
      <c r="H171" s="67">
        <f t="shared" si="132"/>
        <v>29.4</v>
      </c>
      <c r="I171" s="103">
        <f t="shared" si="136"/>
        <v>28</v>
      </c>
      <c r="J171" s="74">
        <f t="shared" si="136"/>
        <v>0.05</v>
      </c>
      <c r="K171" s="67">
        <f t="shared" si="136"/>
        <v>1</v>
      </c>
      <c r="L171" s="67">
        <f>(G171+H171+K171)*$L$5</f>
        <v>2.724</v>
      </c>
      <c r="M171" s="67">
        <f>(G171+H171+K171+L171)*$M$5</f>
        <v>1.44372</v>
      </c>
      <c r="N171" s="67">
        <f t="shared" si="97"/>
        <v>74.35158</v>
      </c>
      <c r="O171" s="67"/>
      <c r="P171" s="67">
        <f t="shared" si="133"/>
        <v>1033.486962</v>
      </c>
      <c r="Q171" s="82">
        <f t="shared" si="134"/>
        <v>1033.486962</v>
      </c>
      <c r="R171" s="116"/>
      <c r="S171" s="115"/>
    </row>
    <row r="172" s="100" customFormat="1" ht="43.2" outlineLevel="1" spans="1:19">
      <c r="A172" s="65">
        <v>138</v>
      </c>
      <c r="B172" s="65" t="s">
        <v>217</v>
      </c>
      <c r="C172" s="65" t="s">
        <v>259</v>
      </c>
      <c r="D172" s="58" t="s">
        <v>76</v>
      </c>
      <c r="E172" s="65">
        <v>1.92</v>
      </c>
      <c r="F172" s="57">
        <v>1.92</v>
      </c>
      <c r="G172" s="103">
        <f t="shared" ref="G172:K172" si="137">G151</f>
        <v>150</v>
      </c>
      <c r="H172" s="67">
        <f t="shared" si="132"/>
        <v>682.5</v>
      </c>
      <c r="I172" s="103">
        <f t="shared" si="137"/>
        <v>650</v>
      </c>
      <c r="J172" s="74">
        <f t="shared" si="137"/>
        <v>0.05</v>
      </c>
      <c r="K172" s="67">
        <f t="shared" si="137"/>
        <v>100</v>
      </c>
      <c r="L172" s="67">
        <f>(G172+H172+K172)*$L$5</f>
        <v>55.95</v>
      </c>
      <c r="M172" s="67">
        <f>(G172+H172+K172+L172)*$M$5</f>
        <v>29.6535</v>
      </c>
      <c r="N172" s="67">
        <f t="shared" si="97"/>
        <v>1527.15525</v>
      </c>
      <c r="O172" s="67"/>
      <c r="P172" s="67">
        <f t="shared" si="133"/>
        <v>2932.13808</v>
      </c>
      <c r="Q172" s="82">
        <f t="shared" si="134"/>
        <v>2932.13808</v>
      </c>
      <c r="R172" s="116"/>
      <c r="S172" s="115"/>
    </row>
    <row r="173" s="100" customFormat="1" ht="43.2" outlineLevel="1" spans="1:19">
      <c r="A173" s="65">
        <v>139</v>
      </c>
      <c r="B173" s="65" t="s">
        <v>95</v>
      </c>
      <c r="C173" s="65" t="s">
        <v>260</v>
      </c>
      <c r="D173" s="58" t="s">
        <v>76</v>
      </c>
      <c r="E173" s="65">
        <v>1.28</v>
      </c>
      <c r="F173" s="57">
        <v>1.28</v>
      </c>
      <c r="G173" s="103">
        <f t="shared" ref="G173:K173" si="138">G152</f>
        <v>165</v>
      </c>
      <c r="H173" s="67">
        <f t="shared" si="132"/>
        <v>315</v>
      </c>
      <c r="I173" s="103">
        <f t="shared" si="138"/>
        <v>300</v>
      </c>
      <c r="J173" s="74">
        <f t="shared" si="138"/>
        <v>0.05</v>
      </c>
      <c r="K173" s="67">
        <f t="shared" si="138"/>
        <v>135</v>
      </c>
      <c r="L173" s="67">
        <f>(G173+H173+K173)*$L$5</f>
        <v>36.9</v>
      </c>
      <c r="M173" s="67">
        <f>(G173+H173+K173+L173)*$M$5</f>
        <v>19.557</v>
      </c>
      <c r="N173" s="67">
        <f t="shared" si="97"/>
        <v>1007.1855</v>
      </c>
      <c r="O173" s="67"/>
      <c r="P173" s="67">
        <f t="shared" si="133"/>
        <v>1289.19744</v>
      </c>
      <c r="Q173" s="82">
        <f t="shared" si="134"/>
        <v>1289.19744</v>
      </c>
      <c r="R173" s="116" t="str">
        <f>R155</f>
        <v>厂家定制</v>
      </c>
      <c r="S173" s="115"/>
    </row>
    <row r="174" s="100" customFormat="1" ht="43.2" outlineLevel="1" spans="1:19">
      <c r="A174" s="65">
        <v>140</v>
      </c>
      <c r="B174" s="65" t="s">
        <v>187</v>
      </c>
      <c r="C174" s="65" t="s">
        <v>261</v>
      </c>
      <c r="D174" s="58" t="s">
        <v>108</v>
      </c>
      <c r="E174" s="65">
        <v>1</v>
      </c>
      <c r="F174" s="57">
        <v>1</v>
      </c>
      <c r="G174" s="103">
        <f t="shared" ref="G174:K174" si="139">G153</f>
        <v>300</v>
      </c>
      <c r="H174" s="67">
        <f t="shared" si="132"/>
        <v>1111</v>
      </c>
      <c r="I174" s="103">
        <f t="shared" si="139"/>
        <v>1100</v>
      </c>
      <c r="J174" s="74">
        <f t="shared" si="139"/>
        <v>0.01</v>
      </c>
      <c r="K174" s="67">
        <f t="shared" si="139"/>
        <v>310</v>
      </c>
      <c r="L174" s="67">
        <f>(G174+H174+K174)*$L$5</f>
        <v>103.26</v>
      </c>
      <c r="M174" s="67">
        <f>(G174+H174+K174+L174)*$M$5</f>
        <v>54.7278</v>
      </c>
      <c r="N174" s="67">
        <f t="shared" si="97"/>
        <v>2818.4817</v>
      </c>
      <c r="O174" s="67"/>
      <c r="P174" s="67">
        <f t="shared" si="133"/>
        <v>2818.4817</v>
      </c>
      <c r="Q174" s="82">
        <f t="shared" si="134"/>
        <v>2818.4817</v>
      </c>
      <c r="R174" s="116" t="str">
        <f>R167</f>
        <v>厂家定制</v>
      </c>
      <c r="S174" s="115"/>
    </row>
    <row r="175" s="100" customFormat="1" ht="21.6" spans="1:19">
      <c r="A175" s="65"/>
      <c r="B175" s="65" t="s">
        <v>274</v>
      </c>
      <c r="C175" s="65"/>
      <c r="D175" s="58"/>
      <c r="E175" s="65"/>
      <c r="F175" s="57"/>
      <c r="G175" s="103"/>
      <c r="H175" s="67"/>
      <c r="I175" s="103"/>
      <c r="J175" s="74"/>
      <c r="K175" s="67"/>
      <c r="L175" s="67"/>
      <c r="M175" s="67"/>
      <c r="N175" s="67">
        <f t="shared" si="97"/>
        <v>0</v>
      </c>
      <c r="O175" s="67"/>
      <c r="P175" s="67"/>
      <c r="Q175" s="82"/>
      <c r="R175" s="116"/>
      <c r="S175" s="115"/>
    </row>
    <row r="176" s="100" customFormat="1" ht="97.2" outlineLevel="1" spans="1:19">
      <c r="A176" s="65">
        <v>141</v>
      </c>
      <c r="B176" s="65" t="s">
        <v>204</v>
      </c>
      <c r="C176" s="65" t="s">
        <v>272</v>
      </c>
      <c r="D176" s="58" t="s">
        <v>76</v>
      </c>
      <c r="E176" s="65">
        <v>31.81</v>
      </c>
      <c r="F176" s="57">
        <v>31.81</v>
      </c>
      <c r="G176" s="109">
        <f>G163</f>
        <v>30</v>
      </c>
      <c r="H176" s="80">
        <f t="shared" ref="H176:H181" si="140">I176*(1+J176)</f>
        <v>15.75</v>
      </c>
      <c r="I176" s="109">
        <f>I163</f>
        <v>15</v>
      </c>
      <c r="J176" s="80">
        <f>J100</f>
        <v>0.05</v>
      </c>
      <c r="K176" s="80">
        <f>K163</f>
        <v>8</v>
      </c>
      <c r="L176" s="67">
        <f>(G176+H176+K176)*$L$5</f>
        <v>3.225</v>
      </c>
      <c r="M176" s="67">
        <f>(G176+H176+K176+L176)*$M$5</f>
        <v>1.70925</v>
      </c>
      <c r="N176" s="67">
        <f t="shared" si="97"/>
        <v>88.026375</v>
      </c>
      <c r="O176" s="67"/>
      <c r="P176" s="67">
        <f t="shared" ref="P176:P181" si="141">N176*E176</f>
        <v>2800.11898875</v>
      </c>
      <c r="Q176" s="82">
        <f t="shared" ref="Q176:Q181" si="142">F176*N176</f>
        <v>2800.11898875</v>
      </c>
      <c r="R176" s="116" t="str">
        <f>R122</f>
        <v>立邦</v>
      </c>
      <c r="S176" s="115"/>
    </row>
    <row r="177" s="100" customFormat="1" ht="43.2" outlineLevel="1" spans="1:19">
      <c r="A177" s="65">
        <v>142</v>
      </c>
      <c r="B177" s="65" t="s">
        <v>189</v>
      </c>
      <c r="C177" s="65" t="s">
        <v>190</v>
      </c>
      <c r="D177" s="58" t="s">
        <v>76</v>
      </c>
      <c r="E177" s="65">
        <v>8.63</v>
      </c>
      <c r="F177" s="57">
        <v>8.63</v>
      </c>
      <c r="G177" s="103">
        <f t="shared" ref="G177:K177" si="143">G89</f>
        <v>185</v>
      </c>
      <c r="H177" s="67">
        <f t="shared" si="140"/>
        <v>336</v>
      </c>
      <c r="I177" s="103">
        <f t="shared" si="143"/>
        <v>320</v>
      </c>
      <c r="J177" s="74">
        <f t="shared" si="143"/>
        <v>0.05</v>
      </c>
      <c r="K177" s="67">
        <f t="shared" si="143"/>
        <v>35</v>
      </c>
      <c r="L177" s="67">
        <f>(G177+H177+K177)*$L$5</f>
        <v>33.36</v>
      </c>
      <c r="M177" s="67">
        <f>(G177+H177+K177+L177)*$M$5</f>
        <v>17.6808</v>
      </c>
      <c r="N177" s="67">
        <f t="shared" si="97"/>
        <v>910.5612</v>
      </c>
      <c r="O177" s="67"/>
      <c r="P177" s="67">
        <f t="shared" si="141"/>
        <v>7858.143156</v>
      </c>
      <c r="Q177" s="82">
        <f t="shared" si="142"/>
        <v>7858.143156</v>
      </c>
      <c r="R177" s="116"/>
      <c r="S177" s="115"/>
    </row>
    <row r="178" s="100" customFormat="1" ht="43.2" outlineLevel="1" spans="1:19">
      <c r="A178" s="65">
        <v>143</v>
      </c>
      <c r="B178" s="65" t="s">
        <v>206</v>
      </c>
      <c r="C178" s="65" t="s">
        <v>215</v>
      </c>
      <c r="D178" s="58" t="s">
        <v>111</v>
      </c>
      <c r="E178" s="65">
        <v>10.2</v>
      </c>
      <c r="F178" s="57">
        <v>10.2</v>
      </c>
      <c r="G178" s="103">
        <f t="shared" ref="G178:K178" si="144">G158</f>
        <v>15</v>
      </c>
      <c r="H178" s="67">
        <f t="shared" si="140"/>
        <v>29.4</v>
      </c>
      <c r="I178" s="103">
        <f t="shared" si="144"/>
        <v>28</v>
      </c>
      <c r="J178" s="74">
        <f t="shared" si="144"/>
        <v>0.05</v>
      </c>
      <c r="K178" s="67">
        <f t="shared" si="144"/>
        <v>1</v>
      </c>
      <c r="L178" s="67">
        <f>(G178+H178+K178)*$L$5</f>
        <v>2.724</v>
      </c>
      <c r="M178" s="67">
        <f>(G178+H178+K178+L178)*$M$5</f>
        <v>1.44372</v>
      </c>
      <c r="N178" s="67">
        <f t="shared" si="97"/>
        <v>74.35158</v>
      </c>
      <c r="O178" s="67"/>
      <c r="P178" s="67">
        <f t="shared" si="141"/>
        <v>758.386116</v>
      </c>
      <c r="Q178" s="82">
        <f t="shared" si="142"/>
        <v>758.386116</v>
      </c>
      <c r="R178" s="116"/>
      <c r="S178" s="115"/>
    </row>
    <row r="179" s="100" customFormat="1" ht="43.2" outlineLevel="1" spans="1:19">
      <c r="A179" s="65">
        <v>144</v>
      </c>
      <c r="B179" s="65" t="s">
        <v>217</v>
      </c>
      <c r="C179" s="65" t="s">
        <v>259</v>
      </c>
      <c r="D179" s="58" t="s">
        <v>76</v>
      </c>
      <c r="E179" s="65">
        <v>1.92</v>
      </c>
      <c r="F179" s="57">
        <v>1.92</v>
      </c>
      <c r="G179" s="103">
        <f t="shared" ref="G179:K179" si="145">G151</f>
        <v>150</v>
      </c>
      <c r="H179" s="67">
        <f t="shared" si="140"/>
        <v>682.5</v>
      </c>
      <c r="I179" s="103">
        <f t="shared" si="145"/>
        <v>650</v>
      </c>
      <c r="J179" s="74">
        <f t="shared" si="145"/>
        <v>0.05</v>
      </c>
      <c r="K179" s="67">
        <f t="shared" si="145"/>
        <v>100</v>
      </c>
      <c r="L179" s="67">
        <f>(G179+H179+K179)*$L$5</f>
        <v>55.95</v>
      </c>
      <c r="M179" s="67">
        <f>(G179+H179+K179+L179)*$M$5</f>
        <v>29.6535</v>
      </c>
      <c r="N179" s="67">
        <f t="shared" si="97"/>
        <v>1527.15525</v>
      </c>
      <c r="O179" s="67"/>
      <c r="P179" s="67">
        <f t="shared" si="141"/>
        <v>2932.13808</v>
      </c>
      <c r="Q179" s="82">
        <f t="shared" si="142"/>
        <v>2932.13808</v>
      </c>
      <c r="R179" s="116"/>
      <c r="S179" s="115"/>
    </row>
    <row r="180" s="100" customFormat="1" ht="43.2" outlineLevel="1" spans="1:19">
      <c r="A180" s="65">
        <v>145</v>
      </c>
      <c r="B180" s="65" t="s">
        <v>95</v>
      </c>
      <c r="C180" s="65" t="s">
        <v>260</v>
      </c>
      <c r="D180" s="58" t="s">
        <v>76</v>
      </c>
      <c r="E180" s="65">
        <v>1.28</v>
      </c>
      <c r="F180" s="57">
        <v>1.28</v>
      </c>
      <c r="G180" s="103">
        <f t="shared" ref="G180:K180" si="146">G152</f>
        <v>165</v>
      </c>
      <c r="H180" s="67">
        <f t="shared" si="140"/>
        <v>315</v>
      </c>
      <c r="I180" s="103">
        <f t="shared" si="146"/>
        <v>300</v>
      </c>
      <c r="J180" s="74">
        <f t="shared" si="146"/>
        <v>0.05</v>
      </c>
      <c r="K180" s="67">
        <f t="shared" si="146"/>
        <v>135</v>
      </c>
      <c r="L180" s="67">
        <f>(G180+H180+K180)*$L$5</f>
        <v>36.9</v>
      </c>
      <c r="M180" s="67">
        <f>(G180+H180+K180+L180)*$M$5</f>
        <v>19.557</v>
      </c>
      <c r="N180" s="67">
        <f t="shared" si="97"/>
        <v>1007.1855</v>
      </c>
      <c r="O180" s="67"/>
      <c r="P180" s="67">
        <f t="shared" si="141"/>
        <v>1289.19744</v>
      </c>
      <c r="Q180" s="82">
        <f t="shared" si="142"/>
        <v>1289.19744</v>
      </c>
      <c r="R180" s="116" t="str">
        <f>R167</f>
        <v>厂家定制</v>
      </c>
      <c r="S180" s="115"/>
    </row>
    <row r="181" s="100" customFormat="1" ht="43.2" outlineLevel="1" spans="1:19">
      <c r="A181" s="65">
        <v>146</v>
      </c>
      <c r="B181" s="65" t="s">
        <v>187</v>
      </c>
      <c r="C181" s="65" t="s">
        <v>261</v>
      </c>
      <c r="D181" s="58" t="s">
        <v>108</v>
      </c>
      <c r="E181" s="65">
        <v>1</v>
      </c>
      <c r="F181" s="57">
        <v>1</v>
      </c>
      <c r="G181" s="103">
        <f t="shared" ref="G181:K181" si="147">G153</f>
        <v>300</v>
      </c>
      <c r="H181" s="67">
        <f t="shared" si="140"/>
        <v>1111</v>
      </c>
      <c r="I181" s="103">
        <f t="shared" si="147"/>
        <v>1100</v>
      </c>
      <c r="J181" s="74">
        <f t="shared" si="147"/>
        <v>0.01</v>
      </c>
      <c r="K181" s="67">
        <f t="shared" si="147"/>
        <v>310</v>
      </c>
      <c r="L181" s="67">
        <f>(G181+H181+K181)*$L$5</f>
        <v>103.26</v>
      </c>
      <c r="M181" s="67">
        <f>(G181+H181+K181+L181)*$M$5</f>
        <v>54.7278</v>
      </c>
      <c r="N181" s="67">
        <f t="shared" si="97"/>
        <v>2818.4817</v>
      </c>
      <c r="O181" s="67"/>
      <c r="P181" s="67">
        <f t="shared" si="141"/>
        <v>2818.4817</v>
      </c>
      <c r="Q181" s="82">
        <f t="shared" si="142"/>
        <v>2818.4817</v>
      </c>
      <c r="R181" s="116" t="str">
        <f>R167</f>
        <v>厂家定制</v>
      </c>
      <c r="S181" s="115"/>
    </row>
    <row r="182" s="100" customFormat="1" spans="1:19">
      <c r="A182" s="65"/>
      <c r="B182" s="65" t="s">
        <v>275</v>
      </c>
      <c r="C182" s="65"/>
      <c r="D182" s="58"/>
      <c r="E182" s="65"/>
      <c r="F182" s="57"/>
      <c r="G182" s="103"/>
      <c r="H182" s="67"/>
      <c r="I182" s="103"/>
      <c r="J182" s="74"/>
      <c r="K182" s="67"/>
      <c r="L182" s="67"/>
      <c r="M182" s="67"/>
      <c r="N182" s="67">
        <f t="shared" si="97"/>
        <v>0</v>
      </c>
      <c r="O182" s="67"/>
      <c r="P182" s="67"/>
      <c r="Q182" s="82"/>
      <c r="R182" s="116"/>
      <c r="S182" s="115"/>
    </row>
    <row r="183" s="100" customFormat="1" ht="97.2" outlineLevel="1" spans="1:19">
      <c r="A183" s="65">
        <v>147</v>
      </c>
      <c r="B183" s="65" t="s">
        <v>204</v>
      </c>
      <c r="C183" s="65" t="s">
        <v>272</v>
      </c>
      <c r="D183" s="58" t="s">
        <v>76</v>
      </c>
      <c r="E183" s="65">
        <v>71.18</v>
      </c>
      <c r="F183" s="57">
        <v>71.18</v>
      </c>
      <c r="G183" s="109">
        <f>G163</f>
        <v>30</v>
      </c>
      <c r="H183" s="80">
        <f t="shared" ref="H183:H188" si="148">I183*(1+J183)</f>
        <v>15.75</v>
      </c>
      <c r="I183" s="109">
        <f>I163</f>
        <v>15</v>
      </c>
      <c r="J183" s="78">
        <f>J100</f>
        <v>0.05</v>
      </c>
      <c r="K183" s="80">
        <f>K163</f>
        <v>8</v>
      </c>
      <c r="L183" s="67">
        <f>(G183+H183+K183)*$L$5</f>
        <v>3.225</v>
      </c>
      <c r="M183" s="67">
        <f>(G183+H183+K183+L183)*$M$5</f>
        <v>1.70925</v>
      </c>
      <c r="N183" s="67">
        <f t="shared" si="97"/>
        <v>88.026375</v>
      </c>
      <c r="O183" s="67"/>
      <c r="P183" s="67">
        <f t="shared" ref="P183:P188" si="149">N183*E183</f>
        <v>6265.7173725</v>
      </c>
      <c r="Q183" s="82">
        <f t="shared" ref="Q183:Q188" si="150">F183*N183</f>
        <v>6265.7173725</v>
      </c>
      <c r="R183" s="116" t="str">
        <f>R163</f>
        <v>立邦</v>
      </c>
      <c r="S183" s="115"/>
    </row>
    <row r="184" s="100" customFormat="1" ht="43.2" outlineLevel="1" spans="1:19">
      <c r="A184" s="65">
        <v>148</v>
      </c>
      <c r="B184" s="65" t="s">
        <v>189</v>
      </c>
      <c r="C184" s="65" t="s">
        <v>190</v>
      </c>
      <c r="D184" s="58" t="s">
        <v>76</v>
      </c>
      <c r="E184" s="65">
        <v>9.89</v>
      </c>
      <c r="F184" s="57">
        <v>9.89</v>
      </c>
      <c r="G184" s="103">
        <f t="shared" ref="G184:K184" si="151">G89</f>
        <v>185</v>
      </c>
      <c r="H184" s="67">
        <f t="shared" si="148"/>
        <v>336</v>
      </c>
      <c r="I184" s="103">
        <f t="shared" si="151"/>
        <v>320</v>
      </c>
      <c r="J184" s="74">
        <f t="shared" si="151"/>
        <v>0.05</v>
      </c>
      <c r="K184" s="67">
        <f t="shared" si="151"/>
        <v>35</v>
      </c>
      <c r="L184" s="67">
        <f>(G184+H184+K184)*$L$5</f>
        <v>33.36</v>
      </c>
      <c r="M184" s="67">
        <f>(G184+H184+K184+L184)*$M$5</f>
        <v>17.6808</v>
      </c>
      <c r="N184" s="67">
        <f t="shared" si="97"/>
        <v>910.5612</v>
      </c>
      <c r="O184" s="67"/>
      <c r="P184" s="67">
        <f t="shared" si="149"/>
        <v>9005.450268</v>
      </c>
      <c r="Q184" s="82">
        <f t="shared" si="150"/>
        <v>9005.450268</v>
      </c>
      <c r="R184" s="116"/>
      <c r="S184" s="115"/>
    </row>
    <row r="185" s="100" customFormat="1" ht="43.2" outlineLevel="1" spans="1:19">
      <c r="A185" s="65">
        <v>149</v>
      </c>
      <c r="B185" s="65" t="s">
        <v>206</v>
      </c>
      <c r="C185" s="65" t="s">
        <v>215</v>
      </c>
      <c r="D185" s="58" t="s">
        <v>111</v>
      </c>
      <c r="E185" s="65">
        <v>22.92</v>
      </c>
      <c r="F185" s="57">
        <v>22.92</v>
      </c>
      <c r="G185" s="103">
        <f t="shared" ref="G185:K185" si="152">G158</f>
        <v>15</v>
      </c>
      <c r="H185" s="67">
        <f t="shared" si="148"/>
        <v>29.4</v>
      </c>
      <c r="I185" s="103">
        <f t="shared" si="152"/>
        <v>28</v>
      </c>
      <c r="J185" s="74">
        <f t="shared" si="152"/>
        <v>0.05</v>
      </c>
      <c r="K185" s="67">
        <f t="shared" si="152"/>
        <v>1</v>
      </c>
      <c r="L185" s="67">
        <f>(G185+H185+K185)*$L$5</f>
        <v>2.724</v>
      </c>
      <c r="M185" s="67">
        <f>(G185+H185+K185+L185)*$M$5</f>
        <v>1.44372</v>
      </c>
      <c r="N185" s="67">
        <f t="shared" si="97"/>
        <v>74.35158</v>
      </c>
      <c r="O185" s="67"/>
      <c r="P185" s="67">
        <f t="shared" si="149"/>
        <v>1704.1382136</v>
      </c>
      <c r="Q185" s="82">
        <f t="shared" si="150"/>
        <v>1704.1382136</v>
      </c>
      <c r="R185" s="116"/>
      <c r="S185" s="115"/>
    </row>
    <row r="186" s="100" customFormat="1" ht="43.2" outlineLevel="1" spans="1:19">
      <c r="A186" s="65">
        <v>150</v>
      </c>
      <c r="B186" s="65" t="s">
        <v>217</v>
      </c>
      <c r="C186" s="65" t="s">
        <v>259</v>
      </c>
      <c r="D186" s="58" t="s">
        <v>76</v>
      </c>
      <c r="E186" s="65">
        <v>1.92</v>
      </c>
      <c r="F186" s="57">
        <v>1.92</v>
      </c>
      <c r="G186" s="103">
        <f t="shared" ref="G186:K186" si="153">G151</f>
        <v>150</v>
      </c>
      <c r="H186" s="67">
        <f t="shared" si="148"/>
        <v>682.5</v>
      </c>
      <c r="I186" s="103">
        <f t="shared" si="153"/>
        <v>650</v>
      </c>
      <c r="J186" s="74">
        <f t="shared" si="153"/>
        <v>0.05</v>
      </c>
      <c r="K186" s="67">
        <f t="shared" si="153"/>
        <v>100</v>
      </c>
      <c r="L186" s="67">
        <f>(G186+H186+K186)*$L$5</f>
        <v>55.95</v>
      </c>
      <c r="M186" s="67">
        <f>(G186+H186+K186+L186)*$M$5</f>
        <v>29.6535</v>
      </c>
      <c r="N186" s="67">
        <f t="shared" si="97"/>
        <v>1527.15525</v>
      </c>
      <c r="O186" s="67"/>
      <c r="P186" s="67">
        <f t="shared" si="149"/>
        <v>2932.13808</v>
      </c>
      <c r="Q186" s="82">
        <f t="shared" si="150"/>
        <v>2932.13808</v>
      </c>
      <c r="R186" s="116"/>
      <c r="S186" s="115"/>
    </row>
    <row r="187" s="100" customFormat="1" ht="43.2" outlineLevel="1" spans="1:19">
      <c r="A187" s="65">
        <v>151</v>
      </c>
      <c r="B187" s="65" t="s">
        <v>95</v>
      </c>
      <c r="C187" s="65" t="s">
        <v>260</v>
      </c>
      <c r="D187" s="58" t="s">
        <v>76</v>
      </c>
      <c r="E187" s="65">
        <v>1.28</v>
      </c>
      <c r="F187" s="57">
        <v>1.28</v>
      </c>
      <c r="G187" s="103">
        <f t="shared" ref="G187:K187" si="154">G152</f>
        <v>165</v>
      </c>
      <c r="H187" s="67">
        <f t="shared" si="148"/>
        <v>315</v>
      </c>
      <c r="I187" s="103">
        <f t="shared" si="154"/>
        <v>300</v>
      </c>
      <c r="J187" s="74">
        <f t="shared" si="154"/>
        <v>0.05</v>
      </c>
      <c r="K187" s="67">
        <f t="shared" si="154"/>
        <v>135</v>
      </c>
      <c r="L187" s="67">
        <f>(G187+H187+K187)*$L$5</f>
        <v>36.9</v>
      </c>
      <c r="M187" s="67">
        <f>(G187+H187+K187+L187)*$M$5</f>
        <v>19.557</v>
      </c>
      <c r="N187" s="67">
        <f t="shared" si="97"/>
        <v>1007.1855</v>
      </c>
      <c r="O187" s="67"/>
      <c r="P187" s="67">
        <f t="shared" si="149"/>
        <v>1289.19744</v>
      </c>
      <c r="Q187" s="82">
        <f t="shared" si="150"/>
        <v>1289.19744</v>
      </c>
      <c r="R187" s="116" t="str">
        <f>R180</f>
        <v>厂家定制</v>
      </c>
      <c r="S187" s="115"/>
    </row>
    <row r="188" s="100" customFormat="1" ht="43.2" outlineLevel="1" spans="1:19">
      <c r="A188" s="65">
        <v>152</v>
      </c>
      <c r="B188" s="65" t="s">
        <v>187</v>
      </c>
      <c r="C188" s="65" t="s">
        <v>261</v>
      </c>
      <c r="D188" s="58" t="s">
        <v>108</v>
      </c>
      <c r="E188" s="65">
        <v>1</v>
      </c>
      <c r="F188" s="57">
        <v>1</v>
      </c>
      <c r="G188" s="103">
        <f t="shared" ref="G188:K188" si="155">G153</f>
        <v>300</v>
      </c>
      <c r="H188" s="67">
        <f t="shared" si="148"/>
        <v>1111</v>
      </c>
      <c r="I188" s="103">
        <f t="shared" si="155"/>
        <v>1100</v>
      </c>
      <c r="J188" s="74">
        <f t="shared" si="155"/>
        <v>0.01</v>
      </c>
      <c r="K188" s="67">
        <f t="shared" si="155"/>
        <v>310</v>
      </c>
      <c r="L188" s="67">
        <f>(G188+H188+K188)*$L$5</f>
        <v>103.26</v>
      </c>
      <c r="M188" s="67">
        <f>(G188+H188+K188+L188)*$M$5</f>
        <v>54.7278</v>
      </c>
      <c r="N188" s="67">
        <f t="shared" si="97"/>
        <v>2818.4817</v>
      </c>
      <c r="O188" s="67"/>
      <c r="P188" s="67">
        <f t="shared" si="149"/>
        <v>2818.4817</v>
      </c>
      <c r="Q188" s="82">
        <f t="shared" si="150"/>
        <v>2818.4817</v>
      </c>
      <c r="R188" s="116" t="str">
        <f>R180</f>
        <v>厂家定制</v>
      </c>
      <c r="S188" s="115"/>
    </row>
    <row r="189" s="100" customFormat="1" spans="1:19">
      <c r="A189" s="65"/>
      <c r="B189" s="65" t="s">
        <v>276</v>
      </c>
      <c r="C189" s="65"/>
      <c r="D189" s="58"/>
      <c r="E189" s="65"/>
      <c r="F189" s="57"/>
      <c r="G189" s="103"/>
      <c r="H189" s="67"/>
      <c r="I189" s="103"/>
      <c r="J189" s="74"/>
      <c r="K189" s="67"/>
      <c r="L189" s="67"/>
      <c r="M189" s="67"/>
      <c r="N189" s="67">
        <f t="shared" si="97"/>
        <v>0</v>
      </c>
      <c r="O189" s="67"/>
      <c r="P189" s="67"/>
      <c r="Q189" s="82"/>
      <c r="R189" s="116"/>
      <c r="S189" s="115"/>
    </row>
    <row r="190" s="100" customFormat="1" ht="97.2" outlineLevel="1" spans="1:19">
      <c r="A190" s="65">
        <v>153</v>
      </c>
      <c r="B190" s="65" t="s">
        <v>204</v>
      </c>
      <c r="C190" s="65" t="s">
        <v>272</v>
      </c>
      <c r="D190" s="58" t="s">
        <v>76</v>
      </c>
      <c r="E190" s="65">
        <v>37.66</v>
      </c>
      <c r="F190" s="57">
        <v>37.66</v>
      </c>
      <c r="G190" s="109">
        <f>G163</f>
        <v>30</v>
      </c>
      <c r="H190" s="80">
        <f t="shared" ref="H190:H194" si="156">I190*(1+J190)</f>
        <v>15.75</v>
      </c>
      <c r="I190" s="109">
        <f>I163</f>
        <v>15</v>
      </c>
      <c r="J190" s="78">
        <f>J100</f>
        <v>0.05</v>
      </c>
      <c r="K190" s="80">
        <f>K163</f>
        <v>8</v>
      </c>
      <c r="L190" s="67">
        <f>(G190+H190+K190)*$L$5</f>
        <v>3.225</v>
      </c>
      <c r="M190" s="67">
        <f>(G190+H190+K190+L190)*$M$5</f>
        <v>1.70925</v>
      </c>
      <c r="N190" s="67">
        <f t="shared" si="97"/>
        <v>88.026375</v>
      </c>
      <c r="O190" s="67"/>
      <c r="P190" s="67">
        <f t="shared" ref="P190:P194" si="157">N190*E190</f>
        <v>3315.0732825</v>
      </c>
      <c r="Q190" s="82">
        <f t="shared" ref="Q190:Q194" si="158">F190*N190</f>
        <v>3315.0732825</v>
      </c>
      <c r="R190" s="116" t="str">
        <f>R163</f>
        <v>立邦</v>
      </c>
      <c r="S190" s="115"/>
    </row>
    <row r="191" s="100" customFormat="1" ht="43.2" outlineLevel="1" spans="1:19">
      <c r="A191" s="65">
        <v>154</v>
      </c>
      <c r="B191" s="65" t="s">
        <v>206</v>
      </c>
      <c r="C191" s="65" t="s">
        <v>215</v>
      </c>
      <c r="D191" s="58" t="s">
        <v>111</v>
      </c>
      <c r="E191" s="65">
        <v>12.27</v>
      </c>
      <c r="F191" s="57">
        <v>12.27</v>
      </c>
      <c r="G191" s="103">
        <f t="shared" ref="G191:K191" si="159">G164</f>
        <v>15</v>
      </c>
      <c r="H191" s="67">
        <f t="shared" si="156"/>
        <v>29.4</v>
      </c>
      <c r="I191" s="103">
        <f t="shared" si="159"/>
        <v>28</v>
      </c>
      <c r="J191" s="74">
        <f t="shared" si="159"/>
        <v>0.05</v>
      </c>
      <c r="K191" s="67">
        <f t="shared" si="159"/>
        <v>1</v>
      </c>
      <c r="L191" s="67">
        <f>(G191+H191+K191)*$L$5</f>
        <v>2.724</v>
      </c>
      <c r="M191" s="67">
        <f>(G191+H191+K191+L191)*$M$5</f>
        <v>1.44372</v>
      </c>
      <c r="N191" s="67">
        <f t="shared" si="97"/>
        <v>74.35158</v>
      </c>
      <c r="O191" s="67"/>
      <c r="P191" s="67">
        <f t="shared" si="157"/>
        <v>912.2938866</v>
      </c>
      <c r="Q191" s="82">
        <f t="shared" si="158"/>
        <v>912.2938866</v>
      </c>
      <c r="R191" s="116"/>
      <c r="S191" s="115"/>
    </row>
    <row r="192" s="100" customFormat="1" ht="43.2" outlineLevel="1" spans="1:19">
      <c r="A192" s="65">
        <v>155</v>
      </c>
      <c r="B192" s="65" t="s">
        <v>217</v>
      </c>
      <c r="C192" s="65" t="s">
        <v>259</v>
      </c>
      <c r="D192" s="58" t="s">
        <v>76</v>
      </c>
      <c r="E192" s="65">
        <v>1.92</v>
      </c>
      <c r="F192" s="57">
        <v>1.92</v>
      </c>
      <c r="G192" s="103">
        <f t="shared" ref="G192:K192" si="160">G151</f>
        <v>150</v>
      </c>
      <c r="H192" s="67">
        <f t="shared" si="156"/>
        <v>682.5</v>
      </c>
      <c r="I192" s="103">
        <f t="shared" si="160"/>
        <v>650</v>
      </c>
      <c r="J192" s="74">
        <f t="shared" si="160"/>
        <v>0.05</v>
      </c>
      <c r="K192" s="67">
        <f t="shared" si="160"/>
        <v>100</v>
      </c>
      <c r="L192" s="67">
        <f>(G192+H192+K192)*$L$5</f>
        <v>55.95</v>
      </c>
      <c r="M192" s="67">
        <f>(G192+H192+K192+L192)*$M$5</f>
        <v>29.6535</v>
      </c>
      <c r="N192" s="67">
        <f t="shared" si="97"/>
        <v>1527.15525</v>
      </c>
      <c r="O192" s="67"/>
      <c r="P192" s="67">
        <f t="shared" si="157"/>
        <v>2932.13808</v>
      </c>
      <c r="Q192" s="82">
        <f t="shared" si="158"/>
        <v>2932.13808</v>
      </c>
      <c r="R192" s="116"/>
      <c r="S192" s="115"/>
    </row>
    <row r="193" s="100" customFormat="1" ht="43.2" outlineLevel="1" spans="1:19">
      <c r="A193" s="65">
        <v>156</v>
      </c>
      <c r="B193" s="65" t="s">
        <v>95</v>
      </c>
      <c r="C193" s="65" t="s">
        <v>260</v>
      </c>
      <c r="D193" s="58" t="s">
        <v>76</v>
      </c>
      <c r="E193" s="65">
        <v>1.28</v>
      </c>
      <c r="F193" s="57">
        <v>1.28</v>
      </c>
      <c r="G193" s="103">
        <f t="shared" ref="G193:K193" si="161">G152</f>
        <v>165</v>
      </c>
      <c r="H193" s="67">
        <f t="shared" si="156"/>
        <v>315</v>
      </c>
      <c r="I193" s="103">
        <f t="shared" si="161"/>
        <v>300</v>
      </c>
      <c r="J193" s="74">
        <f t="shared" si="161"/>
        <v>0.05</v>
      </c>
      <c r="K193" s="67">
        <f t="shared" si="161"/>
        <v>135</v>
      </c>
      <c r="L193" s="67">
        <f>(G193+H193+K193)*$L$5</f>
        <v>36.9</v>
      </c>
      <c r="M193" s="67">
        <f>(G193+H193+K193+L193)*$M$5</f>
        <v>19.557</v>
      </c>
      <c r="N193" s="67">
        <f t="shared" si="97"/>
        <v>1007.1855</v>
      </c>
      <c r="O193" s="67"/>
      <c r="P193" s="67">
        <f t="shared" si="157"/>
        <v>1289.19744</v>
      </c>
      <c r="Q193" s="82">
        <f t="shared" si="158"/>
        <v>1289.19744</v>
      </c>
      <c r="R193" s="116" t="str">
        <f>R180</f>
        <v>厂家定制</v>
      </c>
      <c r="S193" s="115"/>
    </row>
    <row r="194" s="100" customFormat="1" ht="43.2" outlineLevel="1" spans="1:19">
      <c r="A194" s="65">
        <v>157</v>
      </c>
      <c r="B194" s="65" t="s">
        <v>187</v>
      </c>
      <c r="C194" s="65" t="s">
        <v>261</v>
      </c>
      <c r="D194" s="58" t="s">
        <v>108</v>
      </c>
      <c r="E194" s="65">
        <v>1</v>
      </c>
      <c r="F194" s="57">
        <v>1</v>
      </c>
      <c r="G194" s="103">
        <f t="shared" ref="G194:K194" si="162">G153</f>
        <v>300</v>
      </c>
      <c r="H194" s="67">
        <f t="shared" si="156"/>
        <v>1111</v>
      </c>
      <c r="I194" s="103">
        <f t="shared" si="162"/>
        <v>1100</v>
      </c>
      <c r="J194" s="74">
        <f t="shared" si="162"/>
        <v>0.01</v>
      </c>
      <c r="K194" s="67">
        <f t="shared" si="162"/>
        <v>310</v>
      </c>
      <c r="L194" s="67">
        <f>(G194+H194+K194)*$L$5</f>
        <v>103.26</v>
      </c>
      <c r="M194" s="67">
        <f>(G194+H194+K194+L194)*$M$5</f>
        <v>54.7278</v>
      </c>
      <c r="N194" s="67">
        <f t="shared" ref="N194:N257" si="163">(G194+H194+K194+L194+M194)*1.5</f>
        <v>2818.4817</v>
      </c>
      <c r="O194" s="67"/>
      <c r="P194" s="67">
        <f t="shared" si="157"/>
        <v>2818.4817</v>
      </c>
      <c r="Q194" s="82">
        <f t="shared" si="158"/>
        <v>2818.4817</v>
      </c>
      <c r="R194" s="116" t="str">
        <f>R180</f>
        <v>厂家定制</v>
      </c>
      <c r="S194" s="115"/>
    </row>
    <row r="195" s="100" customFormat="1" spans="1:19">
      <c r="A195" s="65"/>
      <c r="B195" s="65" t="s">
        <v>277</v>
      </c>
      <c r="C195" s="65"/>
      <c r="D195" s="58"/>
      <c r="E195" s="65"/>
      <c r="F195" s="57"/>
      <c r="G195" s="103"/>
      <c r="H195" s="67"/>
      <c r="I195" s="103"/>
      <c r="J195" s="74"/>
      <c r="K195" s="67"/>
      <c r="L195" s="67"/>
      <c r="M195" s="67"/>
      <c r="N195" s="67">
        <f t="shared" si="163"/>
        <v>0</v>
      </c>
      <c r="O195" s="67"/>
      <c r="P195" s="67"/>
      <c r="Q195" s="82"/>
      <c r="R195" s="116"/>
      <c r="S195" s="115"/>
    </row>
    <row r="196" s="100" customFormat="1" ht="97.2" outlineLevel="1" spans="1:19">
      <c r="A196" s="65">
        <v>158</v>
      </c>
      <c r="B196" s="65" t="s">
        <v>204</v>
      </c>
      <c r="C196" s="65" t="s">
        <v>272</v>
      </c>
      <c r="D196" s="58" t="s">
        <v>76</v>
      </c>
      <c r="E196" s="65">
        <v>38.28</v>
      </c>
      <c r="F196" s="57">
        <v>38.28</v>
      </c>
      <c r="G196" s="103">
        <f>G163</f>
        <v>30</v>
      </c>
      <c r="H196" s="67">
        <f t="shared" ref="H196:H200" si="164">I196*(1+J196)</f>
        <v>15.75</v>
      </c>
      <c r="I196" s="103">
        <f>I163</f>
        <v>15</v>
      </c>
      <c r="J196" s="74">
        <f>J100</f>
        <v>0.05</v>
      </c>
      <c r="K196" s="67">
        <f>K163</f>
        <v>8</v>
      </c>
      <c r="L196" s="67">
        <f>(G196+H196+K196)*$L$5</f>
        <v>3.225</v>
      </c>
      <c r="M196" s="67">
        <f>(G196+H196+K196+L196)*$M$5</f>
        <v>1.70925</v>
      </c>
      <c r="N196" s="67">
        <f t="shared" si="163"/>
        <v>88.026375</v>
      </c>
      <c r="O196" s="67"/>
      <c r="P196" s="67">
        <f t="shared" ref="P196:P200" si="165">N196*E196</f>
        <v>3369.649635</v>
      </c>
      <c r="Q196" s="82">
        <f t="shared" ref="Q196:Q200" si="166">F196*N196</f>
        <v>3369.649635</v>
      </c>
      <c r="R196" s="116" t="str">
        <f>R163</f>
        <v>立邦</v>
      </c>
      <c r="S196" s="115"/>
    </row>
    <row r="197" s="100" customFormat="1" ht="43.2" outlineLevel="1" spans="1:19">
      <c r="A197" s="65">
        <v>159</v>
      </c>
      <c r="B197" s="65" t="s">
        <v>206</v>
      </c>
      <c r="C197" s="65" t="s">
        <v>215</v>
      </c>
      <c r="D197" s="58" t="s">
        <v>111</v>
      </c>
      <c r="E197" s="65">
        <v>12.07</v>
      </c>
      <c r="F197" s="57">
        <v>12.07</v>
      </c>
      <c r="G197" s="103">
        <f t="shared" ref="G197:K197" si="167">G171</f>
        <v>15</v>
      </c>
      <c r="H197" s="67">
        <f t="shared" si="164"/>
        <v>29.4</v>
      </c>
      <c r="I197" s="103">
        <f t="shared" si="167"/>
        <v>28</v>
      </c>
      <c r="J197" s="74">
        <f t="shared" si="167"/>
        <v>0.05</v>
      </c>
      <c r="K197" s="67">
        <f t="shared" si="167"/>
        <v>1</v>
      </c>
      <c r="L197" s="67">
        <f>(G197+H197+K197)*$L$5</f>
        <v>2.724</v>
      </c>
      <c r="M197" s="67">
        <f>(G197+H197+K197+L197)*$M$5</f>
        <v>1.44372</v>
      </c>
      <c r="N197" s="67">
        <f t="shared" si="163"/>
        <v>74.35158</v>
      </c>
      <c r="O197" s="67"/>
      <c r="P197" s="67">
        <f t="shared" si="165"/>
        <v>897.4235706</v>
      </c>
      <c r="Q197" s="82">
        <f t="shared" si="166"/>
        <v>897.4235706</v>
      </c>
      <c r="R197" s="116"/>
      <c r="S197" s="115"/>
    </row>
    <row r="198" s="100" customFormat="1" ht="43.2" outlineLevel="1" spans="1:19">
      <c r="A198" s="65">
        <v>160</v>
      </c>
      <c r="B198" s="65" t="s">
        <v>217</v>
      </c>
      <c r="C198" s="65" t="s">
        <v>259</v>
      </c>
      <c r="D198" s="58" t="s">
        <v>76</v>
      </c>
      <c r="E198" s="65">
        <v>1.92</v>
      </c>
      <c r="F198" s="57">
        <v>1.92</v>
      </c>
      <c r="G198" s="103">
        <f t="shared" ref="G198:K198" si="168">G151</f>
        <v>150</v>
      </c>
      <c r="H198" s="67">
        <f t="shared" si="164"/>
        <v>682.5</v>
      </c>
      <c r="I198" s="103">
        <f t="shared" si="168"/>
        <v>650</v>
      </c>
      <c r="J198" s="74">
        <f t="shared" si="168"/>
        <v>0.05</v>
      </c>
      <c r="K198" s="67">
        <f t="shared" si="168"/>
        <v>100</v>
      </c>
      <c r="L198" s="67">
        <f>(G198+H198+K198)*$L$5</f>
        <v>55.95</v>
      </c>
      <c r="M198" s="67">
        <f>(G198+H198+K198+L198)*$M$5</f>
        <v>29.6535</v>
      </c>
      <c r="N198" s="67">
        <f t="shared" si="163"/>
        <v>1527.15525</v>
      </c>
      <c r="O198" s="67"/>
      <c r="P198" s="67">
        <f t="shared" si="165"/>
        <v>2932.13808</v>
      </c>
      <c r="Q198" s="82">
        <f t="shared" si="166"/>
        <v>2932.13808</v>
      </c>
      <c r="R198" s="116"/>
      <c r="S198" s="115"/>
    </row>
    <row r="199" s="100" customFormat="1" ht="43.2" outlineLevel="1" spans="1:19">
      <c r="A199" s="65">
        <v>161</v>
      </c>
      <c r="B199" s="65" t="s">
        <v>95</v>
      </c>
      <c r="C199" s="65" t="s">
        <v>260</v>
      </c>
      <c r="D199" s="58" t="s">
        <v>76</v>
      </c>
      <c r="E199" s="65">
        <v>1.28</v>
      </c>
      <c r="F199" s="57">
        <v>1.28</v>
      </c>
      <c r="G199" s="103">
        <f t="shared" ref="G199:K199" si="169">G152</f>
        <v>165</v>
      </c>
      <c r="H199" s="67">
        <f t="shared" si="164"/>
        <v>315</v>
      </c>
      <c r="I199" s="103">
        <f t="shared" si="169"/>
        <v>300</v>
      </c>
      <c r="J199" s="74">
        <f t="shared" si="169"/>
        <v>0.05</v>
      </c>
      <c r="K199" s="67">
        <f t="shared" si="169"/>
        <v>135</v>
      </c>
      <c r="L199" s="67">
        <f>(G199+H199+K199)*$L$5</f>
        <v>36.9</v>
      </c>
      <c r="M199" s="67">
        <f>(G199+H199+K199+L199)*$M$5</f>
        <v>19.557</v>
      </c>
      <c r="N199" s="67">
        <f t="shared" si="163"/>
        <v>1007.1855</v>
      </c>
      <c r="O199" s="67"/>
      <c r="P199" s="67">
        <f t="shared" si="165"/>
        <v>1289.19744</v>
      </c>
      <c r="Q199" s="82">
        <f t="shared" si="166"/>
        <v>1289.19744</v>
      </c>
      <c r="R199" s="116" t="str">
        <f>R180</f>
        <v>厂家定制</v>
      </c>
      <c r="S199" s="115"/>
    </row>
    <row r="200" s="100" customFormat="1" ht="43.2" outlineLevel="1" spans="1:19">
      <c r="A200" s="65">
        <v>162</v>
      </c>
      <c r="B200" s="65" t="s">
        <v>187</v>
      </c>
      <c r="C200" s="65" t="s">
        <v>261</v>
      </c>
      <c r="D200" s="58" t="s">
        <v>108</v>
      </c>
      <c r="E200" s="65">
        <v>1</v>
      </c>
      <c r="F200" s="57">
        <v>1</v>
      </c>
      <c r="G200" s="103">
        <f t="shared" ref="G200:K200" si="170">G153</f>
        <v>300</v>
      </c>
      <c r="H200" s="67">
        <f t="shared" si="164"/>
        <v>1111</v>
      </c>
      <c r="I200" s="103">
        <f t="shared" si="170"/>
        <v>1100</v>
      </c>
      <c r="J200" s="74">
        <f t="shared" si="170"/>
        <v>0.01</v>
      </c>
      <c r="K200" s="67">
        <f t="shared" si="170"/>
        <v>310</v>
      </c>
      <c r="L200" s="67">
        <f>(G200+H200+K200)*$L$5</f>
        <v>103.26</v>
      </c>
      <c r="M200" s="67">
        <f>(G200+H200+K200+L200)*$M$5</f>
        <v>54.7278</v>
      </c>
      <c r="N200" s="67">
        <f t="shared" si="163"/>
        <v>2818.4817</v>
      </c>
      <c r="O200" s="67"/>
      <c r="P200" s="67">
        <f t="shared" si="165"/>
        <v>2818.4817</v>
      </c>
      <c r="Q200" s="82">
        <f t="shared" si="166"/>
        <v>2818.4817</v>
      </c>
      <c r="R200" s="116" t="str">
        <f>R181</f>
        <v>厂家定制</v>
      </c>
      <c r="S200" s="115"/>
    </row>
    <row r="201" s="100" customFormat="1" spans="1:19">
      <c r="A201" s="65"/>
      <c r="B201" s="65" t="s">
        <v>278</v>
      </c>
      <c r="C201" s="65"/>
      <c r="D201" s="58"/>
      <c r="E201" s="65"/>
      <c r="F201" s="57"/>
      <c r="G201" s="103"/>
      <c r="H201" s="67"/>
      <c r="I201" s="103"/>
      <c r="J201" s="74"/>
      <c r="K201" s="67"/>
      <c r="L201" s="67"/>
      <c r="M201" s="67"/>
      <c r="N201" s="67">
        <f t="shared" si="163"/>
        <v>0</v>
      </c>
      <c r="O201" s="67"/>
      <c r="P201" s="67"/>
      <c r="Q201" s="82"/>
      <c r="R201" s="116"/>
      <c r="S201" s="115"/>
    </row>
    <row r="202" s="100" customFormat="1" ht="75.6" outlineLevel="1" spans="1:19">
      <c r="A202" s="65">
        <v>163</v>
      </c>
      <c r="B202" s="65" t="s">
        <v>204</v>
      </c>
      <c r="C202" s="104" t="s">
        <v>221</v>
      </c>
      <c r="D202" s="58" t="s">
        <v>76</v>
      </c>
      <c r="E202" s="65">
        <v>64.69</v>
      </c>
      <c r="F202" s="57">
        <v>64.69</v>
      </c>
      <c r="G202" s="103">
        <f t="shared" ref="G202:K202" si="171">G100</f>
        <v>35</v>
      </c>
      <c r="H202" s="67">
        <f t="shared" ref="H202:H206" si="172">I202*(1+J202)</f>
        <v>26.25</v>
      </c>
      <c r="I202" s="103">
        <f t="shared" si="171"/>
        <v>25</v>
      </c>
      <c r="J202" s="74">
        <f t="shared" si="171"/>
        <v>0.05</v>
      </c>
      <c r="K202" s="67">
        <f t="shared" si="171"/>
        <v>15</v>
      </c>
      <c r="L202" s="67">
        <f>(G202+H202+K202)*$L$5</f>
        <v>4.575</v>
      </c>
      <c r="M202" s="67">
        <f>(G202+H202+K202+L202)*$M$5</f>
        <v>2.42475</v>
      </c>
      <c r="N202" s="67">
        <f t="shared" si="163"/>
        <v>124.874625</v>
      </c>
      <c r="O202" s="67"/>
      <c r="P202" s="67">
        <f t="shared" ref="P202:P206" si="173">N202*E202</f>
        <v>8078.13949125</v>
      </c>
      <c r="Q202" s="82">
        <f t="shared" ref="Q202:Q206" si="174">F202*N202</f>
        <v>8078.13949125</v>
      </c>
      <c r="R202" s="116"/>
      <c r="S202" s="115"/>
    </row>
    <row r="203" s="100" customFormat="1" ht="43.2" outlineLevel="1" spans="1:19">
      <c r="A203" s="65">
        <v>164</v>
      </c>
      <c r="B203" s="65" t="s">
        <v>206</v>
      </c>
      <c r="C203" s="65" t="s">
        <v>215</v>
      </c>
      <c r="D203" s="58" t="s">
        <v>111</v>
      </c>
      <c r="E203" s="65">
        <v>21.62</v>
      </c>
      <c r="F203" s="57">
        <v>21.62</v>
      </c>
      <c r="G203" s="103">
        <f t="shared" ref="G203:K203" si="175">G178</f>
        <v>15</v>
      </c>
      <c r="H203" s="67">
        <f t="shared" si="172"/>
        <v>29.4</v>
      </c>
      <c r="I203" s="103">
        <f t="shared" si="175"/>
        <v>28</v>
      </c>
      <c r="J203" s="74">
        <f t="shared" si="175"/>
        <v>0.05</v>
      </c>
      <c r="K203" s="67">
        <f t="shared" si="175"/>
        <v>1</v>
      </c>
      <c r="L203" s="67">
        <f>(G203+H203+K203)*$L$5</f>
        <v>2.724</v>
      </c>
      <c r="M203" s="67">
        <f>(G203+H203+K203+L203)*$M$5</f>
        <v>1.44372</v>
      </c>
      <c r="N203" s="67">
        <f t="shared" si="163"/>
        <v>74.35158</v>
      </c>
      <c r="O203" s="67"/>
      <c r="P203" s="67">
        <f t="shared" si="173"/>
        <v>1607.4811596</v>
      </c>
      <c r="Q203" s="82">
        <f t="shared" si="174"/>
        <v>1607.4811596</v>
      </c>
      <c r="R203" s="116"/>
      <c r="S203" s="115"/>
    </row>
    <row r="204" s="100" customFormat="1" ht="54" outlineLevel="1" spans="1:19">
      <c r="A204" s="65">
        <v>165</v>
      </c>
      <c r="B204" s="65" t="s">
        <v>189</v>
      </c>
      <c r="C204" s="65" t="s">
        <v>279</v>
      </c>
      <c r="D204" s="58" t="s">
        <v>76</v>
      </c>
      <c r="E204" s="65">
        <v>3.07</v>
      </c>
      <c r="F204" s="57">
        <v>3.07</v>
      </c>
      <c r="G204" s="103">
        <f t="shared" ref="G204:K204" si="176">G89</f>
        <v>185</v>
      </c>
      <c r="H204" s="67">
        <f t="shared" si="172"/>
        <v>336</v>
      </c>
      <c r="I204" s="103">
        <f t="shared" si="176"/>
        <v>320</v>
      </c>
      <c r="J204" s="74">
        <f t="shared" si="176"/>
        <v>0.05</v>
      </c>
      <c r="K204" s="67">
        <f t="shared" si="176"/>
        <v>35</v>
      </c>
      <c r="L204" s="67">
        <f>(G204+H204+K204)*$L$5</f>
        <v>33.36</v>
      </c>
      <c r="M204" s="67">
        <f>(G204+H204+K204+L204)*$M$5</f>
        <v>17.6808</v>
      </c>
      <c r="N204" s="67">
        <f t="shared" si="163"/>
        <v>910.5612</v>
      </c>
      <c r="O204" s="67"/>
      <c r="P204" s="67">
        <f t="shared" si="173"/>
        <v>2795.422884</v>
      </c>
      <c r="Q204" s="82">
        <f t="shared" si="174"/>
        <v>2795.422884</v>
      </c>
      <c r="R204" s="116"/>
      <c r="S204" s="115"/>
    </row>
    <row r="205" s="100" customFormat="1" ht="64.8" outlineLevel="1" spans="1:19">
      <c r="A205" s="65">
        <v>166</v>
      </c>
      <c r="B205" s="65" t="s">
        <v>246</v>
      </c>
      <c r="C205" s="125" t="s">
        <v>280</v>
      </c>
      <c r="D205" s="58" t="s">
        <v>76</v>
      </c>
      <c r="E205" s="65">
        <v>2.76</v>
      </c>
      <c r="F205" s="57">
        <v>2.76</v>
      </c>
      <c r="G205" s="103">
        <f t="shared" ref="G205:K205" si="177">G140</f>
        <v>150</v>
      </c>
      <c r="H205" s="67">
        <f t="shared" si="172"/>
        <v>141.75</v>
      </c>
      <c r="I205" s="103">
        <f t="shared" si="177"/>
        <v>135</v>
      </c>
      <c r="J205" s="74">
        <f t="shared" si="177"/>
        <v>0.05</v>
      </c>
      <c r="K205" s="67">
        <f t="shared" si="177"/>
        <v>85</v>
      </c>
      <c r="L205" s="67">
        <f>(G205+H205+K205)*$L$5</f>
        <v>22.605</v>
      </c>
      <c r="M205" s="67">
        <f>(G205+H205+K205+L205)*$M$5</f>
        <v>11.98065</v>
      </c>
      <c r="N205" s="67">
        <f t="shared" si="163"/>
        <v>617.003475</v>
      </c>
      <c r="O205" s="67"/>
      <c r="P205" s="67">
        <f t="shared" si="173"/>
        <v>1702.929591</v>
      </c>
      <c r="Q205" s="82">
        <f t="shared" si="174"/>
        <v>1702.929591</v>
      </c>
      <c r="R205" s="116"/>
      <c r="S205" s="115"/>
    </row>
    <row r="206" s="101" customFormat="1" ht="43.2" outlineLevel="1" spans="1:23">
      <c r="A206" s="68">
        <v>167</v>
      </c>
      <c r="B206" s="68" t="s">
        <v>281</v>
      </c>
      <c r="C206" s="68" t="s">
        <v>282</v>
      </c>
      <c r="D206" s="136" t="s">
        <v>283</v>
      </c>
      <c r="E206" s="68">
        <v>1</v>
      </c>
      <c r="F206" s="57">
        <v>0</v>
      </c>
      <c r="G206" s="105">
        <v>10000</v>
      </c>
      <c r="H206" s="71">
        <f t="shared" si="172"/>
        <v>191900</v>
      </c>
      <c r="I206" s="105">
        <v>190000</v>
      </c>
      <c r="J206" s="88">
        <v>0.01</v>
      </c>
      <c r="K206" s="72">
        <v>50</v>
      </c>
      <c r="L206" s="138">
        <f>(G206+H206+K206)*$L$5</f>
        <v>12117</v>
      </c>
      <c r="M206" s="138">
        <f>(G206+H206+K206+L206)*$M$5</f>
        <v>6422.01</v>
      </c>
      <c r="N206" s="67">
        <f t="shared" si="163"/>
        <v>330733.515</v>
      </c>
      <c r="O206" s="67"/>
      <c r="P206" s="138">
        <f t="shared" si="173"/>
        <v>330733.515</v>
      </c>
      <c r="Q206" s="82">
        <f>55942.03+20531.46+4026.57</f>
        <v>80500.06</v>
      </c>
      <c r="R206" s="149"/>
      <c r="S206" s="150"/>
      <c r="T206" s="100"/>
      <c r="U206" s="100"/>
      <c r="V206" s="100"/>
      <c r="W206" s="100"/>
    </row>
    <row r="207" s="100" customFormat="1" spans="1:19">
      <c r="A207" s="65"/>
      <c r="B207" s="65" t="s">
        <v>284</v>
      </c>
      <c r="C207" s="65"/>
      <c r="D207" s="58"/>
      <c r="E207" s="65"/>
      <c r="F207" s="57"/>
      <c r="G207" s="103"/>
      <c r="H207" s="67"/>
      <c r="I207" s="103"/>
      <c r="J207" s="74"/>
      <c r="K207" s="67"/>
      <c r="L207" s="67"/>
      <c r="M207" s="67"/>
      <c r="N207" s="67">
        <f t="shared" si="163"/>
        <v>0</v>
      </c>
      <c r="O207" s="67"/>
      <c r="P207" s="67"/>
      <c r="Q207" s="82"/>
      <c r="R207" s="116"/>
      <c r="S207" s="115"/>
    </row>
    <row r="208" s="100" customFormat="1" ht="75.6" outlineLevel="1" spans="1:19">
      <c r="A208" s="65">
        <v>168</v>
      </c>
      <c r="B208" s="65" t="s">
        <v>204</v>
      </c>
      <c r="C208" s="104" t="s">
        <v>285</v>
      </c>
      <c r="D208" s="58" t="s">
        <v>76</v>
      </c>
      <c r="E208" s="65">
        <v>43.65</v>
      </c>
      <c r="F208" s="57">
        <v>43.65</v>
      </c>
      <c r="G208" s="103">
        <f>G100</f>
        <v>35</v>
      </c>
      <c r="H208" s="67">
        <f t="shared" ref="H208:H210" si="178">I208*(1+J208)</f>
        <v>26.25</v>
      </c>
      <c r="I208" s="103">
        <f t="shared" ref="G208:K208" si="179">I100</f>
        <v>25</v>
      </c>
      <c r="J208" s="74">
        <f t="shared" si="179"/>
        <v>0.05</v>
      </c>
      <c r="K208" s="67">
        <f t="shared" si="179"/>
        <v>15</v>
      </c>
      <c r="L208" s="67">
        <f>(G208+H208+K208)*$L$5</f>
        <v>4.575</v>
      </c>
      <c r="M208" s="67">
        <f>(G208+H208+K208+L208)*$M$5</f>
        <v>2.42475</v>
      </c>
      <c r="N208" s="67">
        <f t="shared" si="163"/>
        <v>124.874625</v>
      </c>
      <c r="O208" s="67"/>
      <c r="P208" s="67">
        <f t="shared" ref="P208:P210" si="180">N208*E208</f>
        <v>5450.77738125</v>
      </c>
      <c r="Q208" s="82">
        <f t="shared" ref="Q208:Q210" si="181">F208*N208</f>
        <v>5450.77738125</v>
      </c>
      <c r="R208" s="116"/>
      <c r="S208" s="115"/>
    </row>
    <row r="209" s="100" customFormat="1" ht="43.2" outlineLevel="1" spans="1:19">
      <c r="A209" s="65">
        <v>169</v>
      </c>
      <c r="B209" s="65" t="s">
        <v>206</v>
      </c>
      <c r="C209" s="65" t="s">
        <v>215</v>
      </c>
      <c r="D209" s="58" t="s">
        <v>111</v>
      </c>
      <c r="E209" s="65">
        <v>13.99</v>
      </c>
      <c r="F209" s="57">
        <v>13.99</v>
      </c>
      <c r="G209" s="103">
        <f t="shared" ref="G209:K209" si="182">G185</f>
        <v>15</v>
      </c>
      <c r="H209" s="67">
        <f t="shared" si="178"/>
        <v>29.4</v>
      </c>
      <c r="I209" s="103">
        <f t="shared" si="182"/>
        <v>28</v>
      </c>
      <c r="J209" s="74">
        <f t="shared" si="182"/>
        <v>0.05</v>
      </c>
      <c r="K209" s="67">
        <f t="shared" si="182"/>
        <v>1</v>
      </c>
      <c r="L209" s="67">
        <f>(G209+H209+K209)*$L$5</f>
        <v>2.724</v>
      </c>
      <c r="M209" s="67">
        <f>(G209+H209+K209+L209)*$M$5</f>
        <v>1.44372</v>
      </c>
      <c r="N209" s="67">
        <f t="shared" si="163"/>
        <v>74.35158</v>
      </c>
      <c r="O209" s="67"/>
      <c r="P209" s="67">
        <f t="shared" si="180"/>
        <v>1040.1786042</v>
      </c>
      <c r="Q209" s="82">
        <f t="shared" si="181"/>
        <v>1040.1786042</v>
      </c>
      <c r="R209" s="116"/>
      <c r="S209" s="115"/>
    </row>
    <row r="210" s="100" customFormat="1" ht="43.2" outlineLevel="1" spans="1:19">
      <c r="A210" s="65">
        <v>170</v>
      </c>
      <c r="B210" s="65" t="s">
        <v>286</v>
      </c>
      <c r="C210" s="65" t="s">
        <v>287</v>
      </c>
      <c r="D210" s="58" t="s">
        <v>76</v>
      </c>
      <c r="E210" s="65">
        <v>20.4</v>
      </c>
      <c r="F210" s="57">
        <v>20.4</v>
      </c>
      <c r="G210" s="103">
        <f t="shared" ref="G210:K210" si="183">G247</f>
        <v>150</v>
      </c>
      <c r="H210" s="67">
        <f t="shared" si="178"/>
        <v>472.5</v>
      </c>
      <c r="I210" s="103">
        <f t="shared" si="183"/>
        <v>450</v>
      </c>
      <c r="J210" s="74">
        <f t="shared" si="183"/>
        <v>0.05</v>
      </c>
      <c r="K210" s="67">
        <f t="shared" si="183"/>
        <v>75</v>
      </c>
      <c r="L210" s="67">
        <f>(G210+H210+K210)*$L$5</f>
        <v>41.85</v>
      </c>
      <c r="M210" s="67">
        <f>(G210+H210+K210+L210)*$M$5</f>
        <v>22.1805</v>
      </c>
      <c r="N210" s="67">
        <f t="shared" si="163"/>
        <v>1142.29575</v>
      </c>
      <c r="O210" s="67"/>
      <c r="P210" s="67">
        <f t="shared" si="180"/>
        <v>23302.8333</v>
      </c>
      <c r="Q210" s="82">
        <f t="shared" si="181"/>
        <v>23302.8333</v>
      </c>
      <c r="R210" s="116"/>
      <c r="S210" s="115"/>
    </row>
    <row r="211" s="100" customFormat="1" spans="1:19">
      <c r="A211" s="65"/>
      <c r="B211" s="65" t="s">
        <v>288</v>
      </c>
      <c r="C211" s="65"/>
      <c r="D211" s="58"/>
      <c r="E211" s="65"/>
      <c r="F211" s="57"/>
      <c r="G211" s="103"/>
      <c r="H211" s="67"/>
      <c r="I211" s="103"/>
      <c r="J211" s="74"/>
      <c r="K211" s="67"/>
      <c r="L211" s="67"/>
      <c r="M211" s="67"/>
      <c r="N211" s="67">
        <f t="shared" si="163"/>
        <v>0</v>
      </c>
      <c r="O211" s="67"/>
      <c r="P211" s="67"/>
      <c r="Q211" s="82"/>
      <c r="R211" s="116"/>
      <c r="S211" s="115"/>
    </row>
    <row r="212" s="100" customFormat="1" ht="75.6" outlineLevel="1" spans="1:19">
      <c r="A212" s="65">
        <v>171</v>
      </c>
      <c r="B212" s="65" t="s">
        <v>204</v>
      </c>
      <c r="C212" s="104" t="s">
        <v>221</v>
      </c>
      <c r="D212" s="58" t="s">
        <v>76</v>
      </c>
      <c r="E212" s="65">
        <v>44.41</v>
      </c>
      <c r="F212" s="57">
        <v>44.41</v>
      </c>
      <c r="G212" s="103">
        <f t="shared" ref="G212:K212" si="184">G100</f>
        <v>35</v>
      </c>
      <c r="H212" s="67">
        <f t="shared" ref="H212:H214" si="185">I212*(1+J212)</f>
        <v>26.25</v>
      </c>
      <c r="I212" s="103">
        <f t="shared" si="184"/>
        <v>25</v>
      </c>
      <c r="J212" s="74">
        <f t="shared" si="184"/>
        <v>0.05</v>
      </c>
      <c r="K212" s="67">
        <f t="shared" si="184"/>
        <v>15</v>
      </c>
      <c r="L212" s="67">
        <f>(G212+H212+K212)*$L$5</f>
        <v>4.575</v>
      </c>
      <c r="M212" s="67">
        <f>(G212+H212+K212+L212)*$M$5</f>
        <v>2.42475</v>
      </c>
      <c r="N212" s="67">
        <f t="shared" si="163"/>
        <v>124.874625</v>
      </c>
      <c r="O212" s="67"/>
      <c r="P212" s="67">
        <f t="shared" ref="P212:P214" si="186">N212*E212</f>
        <v>5545.68209625</v>
      </c>
      <c r="Q212" s="82">
        <f>F212*N212</f>
        <v>5545.68209625</v>
      </c>
      <c r="R212" s="116"/>
      <c r="S212" s="115"/>
    </row>
    <row r="213" s="100" customFormat="1" ht="43.2" outlineLevel="1" spans="1:19">
      <c r="A213" s="65">
        <v>172</v>
      </c>
      <c r="B213" s="65" t="s">
        <v>206</v>
      </c>
      <c r="C213" s="65" t="s">
        <v>215</v>
      </c>
      <c r="D213" s="58" t="s">
        <v>111</v>
      </c>
      <c r="E213" s="65">
        <v>14.24</v>
      </c>
      <c r="F213" s="57">
        <v>14.24</v>
      </c>
      <c r="G213" s="103">
        <f t="shared" ref="G213:K213" si="187">G191</f>
        <v>15</v>
      </c>
      <c r="H213" s="67">
        <f t="shared" si="185"/>
        <v>29.4</v>
      </c>
      <c r="I213" s="103">
        <f t="shared" si="187"/>
        <v>28</v>
      </c>
      <c r="J213" s="74">
        <f t="shared" si="187"/>
        <v>0.05</v>
      </c>
      <c r="K213" s="67">
        <f t="shared" si="187"/>
        <v>1</v>
      </c>
      <c r="L213" s="67">
        <f>(G213+H213+K213)*$L$5</f>
        <v>2.724</v>
      </c>
      <c r="M213" s="67">
        <f>(G213+H213+K213+L213)*$M$5</f>
        <v>1.44372</v>
      </c>
      <c r="N213" s="67">
        <f t="shared" si="163"/>
        <v>74.35158</v>
      </c>
      <c r="O213" s="67"/>
      <c r="P213" s="67">
        <f t="shared" si="186"/>
        <v>1058.7664992</v>
      </c>
      <c r="Q213" s="82">
        <f>F213*N213</f>
        <v>1058.7664992</v>
      </c>
      <c r="R213" s="116"/>
      <c r="S213" s="115"/>
    </row>
    <row r="214" s="100" customFormat="1" ht="43.2" outlineLevel="1" spans="1:19">
      <c r="A214" s="65">
        <v>173</v>
      </c>
      <c r="B214" s="65" t="s">
        <v>217</v>
      </c>
      <c r="C214" s="65" t="s">
        <v>289</v>
      </c>
      <c r="D214" s="58" t="s">
        <v>108</v>
      </c>
      <c r="E214" s="65">
        <v>1</v>
      </c>
      <c r="F214" s="57">
        <v>1</v>
      </c>
      <c r="G214" s="105">
        <v>300</v>
      </c>
      <c r="H214" s="67">
        <f t="shared" si="185"/>
        <v>3383.5</v>
      </c>
      <c r="I214" s="105">
        <v>3350</v>
      </c>
      <c r="J214" s="88">
        <v>0.01</v>
      </c>
      <c r="K214" s="72">
        <v>265</v>
      </c>
      <c r="L214" s="67">
        <f>(G214+H214+K214)*$L$5</f>
        <v>236.91</v>
      </c>
      <c r="M214" s="67">
        <f>(G214+H214+K214+L214)*$M$5</f>
        <v>125.5623</v>
      </c>
      <c r="N214" s="67">
        <f t="shared" si="163"/>
        <v>6466.45845</v>
      </c>
      <c r="O214" s="67"/>
      <c r="P214" s="67">
        <f t="shared" si="186"/>
        <v>6466.45845</v>
      </c>
      <c r="Q214" s="82">
        <f>F214*N214</f>
        <v>6466.45845</v>
      </c>
      <c r="R214" s="116"/>
      <c r="S214" s="115"/>
    </row>
    <row r="215" s="100" customFormat="1" spans="1:19">
      <c r="A215" s="65"/>
      <c r="B215" s="65" t="s">
        <v>290</v>
      </c>
      <c r="C215" s="65"/>
      <c r="D215" s="58"/>
      <c r="E215" s="65"/>
      <c r="F215" s="57"/>
      <c r="G215" s="103"/>
      <c r="H215" s="67"/>
      <c r="I215" s="103"/>
      <c r="J215" s="74"/>
      <c r="K215" s="67"/>
      <c r="L215" s="67"/>
      <c r="M215" s="67"/>
      <c r="N215" s="67">
        <f t="shared" si="163"/>
        <v>0</v>
      </c>
      <c r="O215" s="67"/>
      <c r="P215" s="67"/>
      <c r="Q215" s="82"/>
      <c r="R215" s="116"/>
      <c r="S215" s="115"/>
    </row>
    <row r="216" s="100" customFormat="1" ht="75.6" outlineLevel="1" spans="1:19">
      <c r="A216" s="65">
        <v>174</v>
      </c>
      <c r="B216" s="65" t="s">
        <v>204</v>
      </c>
      <c r="C216" s="104" t="s">
        <v>221</v>
      </c>
      <c r="D216" s="58" t="s">
        <v>76</v>
      </c>
      <c r="E216" s="65">
        <v>28.11</v>
      </c>
      <c r="F216" s="57">
        <v>28.11</v>
      </c>
      <c r="G216" s="103">
        <f t="shared" ref="G216:K216" si="188">G100</f>
        <v>35</v>
      </c>
      <c r="H216" s="67">
        <f t="shared" ref="H216:H219" si="189">I216*(1+J216)</f>
        <v>26.25</v>
      </c>
      <c r="I216" s="103">
        <f t="shared" si="188"/>
        <v>25</v>
      </c>
      <c r="J216" s="74">
        <f t="shared" si="188"/>
        <v>0.05</v>
      </c>
      <c r="K216" s="67">
        <f t="shared" si="188"/>
        <v>15</v>
      </c>
      <c r="L216" s="67">
        <f>(G216+H216+K216)*$L$5</f>
        <v>4.575</v>
      </c>
      <c r="M216" s="67">
        <f>(G216+H216+K216+L216)*$M$5</f>
        <v>2.42475</v>
      </c>
      <c r="N216" s="67">
        <f t="shared" si="163"/>
        <v>124.874625</v>
      </c>
      <c r="O216" s="67"/>
      <c r="P216" s="67">
        <f t="shared" ref="P216:P219" si="190">N216*E216</f>
        <v>3510.22570875</v>
      </c>
      <c r="Q216" s="82">
        <f>F216*N216</f>
        <v>3510.22570875</v>
      </c>
      <c r="R216" s="116"/>
      <c r="S216" s="115"/>
    </row>
    <row r="217" s="100" customFormat="1" ht="43.2" outlineLevel="1" spans="1:19">
      <c r="A217" s="65">
        <v>175</v>
      </c>
      <c r="B217" s="65" t="s">
        <v>189</v>
      </c>
      <c r="C217" s="65" t="s">
        <v>291</v>
      </c>
      <c r="D217" s="58" t="s">
        <v>76</v>
      </c>
      <c r="E217" s="65">
        <v>8.88</v>
      </c>
      <c r="F217" s="57">
        <v>8.88</v>
      </c>
      <c r="G217" s="103">
        <f t="shared" ref="G217:K217" si="191">G89</f>
        <v>185</v>
      </c>
      <c r="H217" s="67">
        <f t="shared" si="189"/>
        <v>336</v>
      </c>
      <c r="I217" s="103">
        <f t="shared" si="191"/>
        <v>320</v>
      </c>
      <c r="J217" s="74">
        <f t="shared" si="191"/>
        <v>0.05</v>
      </c>
      <c r="K217" s="67">
        <f t="shared" si="191"/>
        <v>35</v>
      </c>
      <c r="L217" s="67">
        <f>(G217+H217+K217)*$L$5</f>
        <v>33.36</v>
      </c>
      <c r="M217" s="67">
        <f>(G217+H217+K217+L217)*$M$5</f>
        <v>17.6808</v>
      </c>
      <c r="N217" s="67">
        <f t="shared" si="163"/>
        <v>910.5612</v>
      </c>
      <c r="O217" s="67"/>
      <c r="P217" s="67">
        <f t="shared" si="190"/>
        <v>8085.783456</v>
      </c>
      <c r="Q217" s="82">
        <f>F217*N217</f>
        <v>8085.783456</v>
      </c>
      <c r="R217" s="116"/>
      <c r="S217" s="115"/>
    </row>
    <row r="218" s="100" customFormat="1" ht="43.2" outlineLevel="1" spans="1:19">
      <c r="A218" s="65">
        <v>176</v>
      </c>
      <c r="B218" s="65" t="s">
        <v>206</v>
      </c>
      <c r="C218" s="65" t="s">
        <v>215</v>
      </c>
      <c r="D218" s="58" t="s">
        <v>111</v>
      </c>
      <c r="E218" s="65">
        <v>9.01</v>
      </c>
      <c r="F218" s="57">
        <v>9.01</v>
      </c>
      <c r="G218" s="103">
        <f t="shared" ref="G218:K218" si="192">G197</f>
        <v>15</v>
      </c>
      <c r="H218" s="67">
        <f t="shared" si="189"/>
        <v>29.4</v>
      </c>
      <c r="I218" s="103">
        <f t="shared" si="192"/>
        <v>28</v>
      </c>
      <c r="J218" s="74">
        <f t="shared" si="192"/>
        <v>0.05</v>
      </c>
      <c r="K218" s="67">
        <f t="shared" si="192"/>
        <v>1</v>
      </c>
      <c r="L218" s="67">
        <f>(G218+H218+K218)*$L$5</f>
        <v>2.724</v>
      </c>
      <c r="M218" s="67">
        <f>(G218+H218+K218+L218)*$M$5</f>
        <v>1.44372</v>
      </c>
      <c r="N218" s="67">
        <f t="shared" si="163"/>
        <v>74.35158</v>
      </c>
      <c r="O218" s="67"/>
      <c r="P218" s="67">
        <f t="shared" si="190"/>
        <v>669.9077358</v>
      </c>
      <c r="Q218" s="82">
        <f>F218*N218</f>
        <v>669.9077358</v>
      </c>
      <c r="R218" s="116"/>
      <c r="S218" s="115"/>
    </row>
    <row r="219" s="100" customFormat="1" ht="43.2" outlineLevel="1" spans="1:19">
      <c r="A219" s="65">
        <v>177</v>
      </c>
      <c r="B219" s="65" t="s">
        <v>217</v>
      </c>
      <c r="C219" s="65" t="s">
        <v>289</v>
      </c>
      <c r="D219" s="58" t="s">
        <v>108</v>
      </c>
      <c r="E219" s="65">
        <v>1</v>
      </c>
      <c r="F219" s="57">
        <v>1</v>
      </c>
      <c r="G219" s="103">
        <f t="shared" ref="G219:K219" si="193">G214</f>
        <v>300</v>
      </c>
      <c r="H219" s="106">
        <f t="shared" si="189"/>
        <v>3383.5</v>
      </c>
      <c r="I219" s="114">
        <f t="shared" si="193"/>
        <v>3350</v>
      </c>
      <c r="J219" s="93">
        <f t="shared" si="193"/>
        <v>0.01</v>
      </c>
      <c r="K219" s="106">
        <f t="shared" si="193"/>
        <v>265</v>
      </c>
      <c r="L219" s="106">
        <f>(G219+H219+K219)*$L$5</f>
        <v>236.91</v>
      </c>
      <c r="M219" s="106">
        <f>(G219+H219+K219+L219)*$M$5</f>
        <v>125.5623</v>
      </c>
      <c r="N219" s="67">
        <f t="shared" si="163"/>
        <v>6466.45845</v>
      </c>
      <c r="O219" s="67"/>
      <c r="P219" s="106">
        <f t="shared" si="190"/>
        <v>6466.45845</v>
      </c>
      <c r="Q219" s="82">
        <f>F219*N219</f>
        <v>6466.45845</v>
      </c>
      <c r="R219" s="116"/>
      <c r="S219" s="115"/>
    </row>
    <row r="220" s="100" customFormat="1" spans="1:19">
      <c r="A220" s="65"/>
      <c r="B220" s="65" t="s">
        <v>292</v>
      </c>
      <c r="C220" s="65"/>
      <c r="D220" s="58"/>
      <c r="E220" s="65"/>
      <c r="F220" s="57"/>
      <c r="G220" s="103"/>
      <c r="H220" s="67"/>
      <c r="I220" s="103"/>
      <c r="J220" s="74"/>
      <c r="K220" s="67"/>
      <c r="L220" s="67"/>
      <c r="M220" s="67"/>
      <c r="N220" s="67">
        <f t="shared" si="163"/>
        <v>0</v>
      </c>
      <c r="O220" s="67"/>
      <c r="P220" s="67"/>
      <c r="Q220" s="82"/>
      <c r="R220" s="116"/>
      <c r="S220" s="115"/>
    </row>
    <row r="221" s="100" customFormat="1" ht="97.2" outlineLevel="1" spans="1:19">
      <c r="A221" s="65">
        <v>178</v>
      </c>
      <c r="B221" s="65" t="s">
        <v>204</v>
      </c>
      <c r="C221" s="65" t="s">
        <v>272</v>
      </c>
      <c r="D221" s="58" t="s">
        <v>76</v>
      </c>
      <c r="E221" s="65">
        <v>29.86</v>
      </c>
      <c r="F221" s="57">
        <v>29.86</v>
      </c>
      <c r="G221" s="103">
        <f>G163</f>
        <v>30</v>
      </c>
      <c r="H221" s="67">
        <f t="shared" ref="H221:H225" si="194">I221*(1+J221)</f>
        <v>15.75</v>
      </c>
      <c r="I221" s="103">
        <f>I163</f>
        <v>15</v>
      </c>
      <c r="J221" s="74">
        <f>J100</f>
        <v>0.05</v>
      </c>
      <c r="K221" s="67">
        <f>K163</f>
        <v>8</v>
      </c>
      <c r="L221" s="67">
        <f>(G221+H221+K221)*$L$5</f>
        <v>3.225</v>
      </c>
      <c r="M221" s="67">
        <f>(G221+H221+K221+L221)*$M$5</f>
        <v>1.70925</v>
      </c>
      <c r="N221" s="67">
        <f t="shared" si="163"/>
        <v>88.026375</v>
      </c>
      <c r="O221" s="67"/>
      <c r="P221" s="67">
        <f t="shared" ref="P221:P225" si="195">N221*E221</f>
        <v>2628.4675575</v>
      </c>
      <c r="Q221" s="82">
        <f t="shared" ref="Q221:Q225" si="196">F221*N221</f>
        <v>2628.4675575</v>
      </c>
      <c r="R221" s="116" t="str">
        <f>R176</f>
        <v>立邦</v>
      </c>
      <c r="S221" s="115"/>
    </row>
    <row r="222" s="100" customFormat="1" ht="43.2" outlineLevel="1" spans="1:19">
      <c r="A222" s="65">
        <v>179</v>
      </c>
      <c r="B222" s="65" t="s">
        <v>206</v>
      </c>
      <c r="C222" s="65" t="s">
        <v>215</v>
      </c>
      <c r="D222" s="58" t="s">
        <v>111</v>
      </c>
      <c r="E222" s="65">
        <v>9.57</v>
      </c>
      <c r="F222" s="57">
        <v>9.57</v>
      </c>
      <c r="G222" s="103">
        <f t="shared" ref="G222:K222" si="197">G203</f>
        <v>15</v>
      </c>
      <c r="H222" s="67">
        <f t="shared" si="194"/>
        <v>29.4</v>
      </c>
      <c r="I222" s="103">
        <f t="shared" si="197"/>
        <v>28</v>
      </c>
      <c r="J222" s="74">
        <f t="shared" si="197"/>
        <v>0.05</v>
      </c>
      <c r="K222" s="67">
        <f t="shared" si="197"/>
        <v>1</v>
      </c>
      <c r="L222" s="67">
        <f>(G222+H222+K222)*$L$5</f>
        <v>2.724</v>
      </c>
      <c r="M222" s="67">
        <f>(G222+H222+K222+L222)*$M$5</f>
        <v>1.44372</v>
      </c>
      <c r="N222" s="67">
        <f t="shared" si="163"/>
        <v>74.35158</v>
      </c>
      <c r="O222" s="67"/>
      <c r="P222" s="67">
        <f t="shared" si="195"/>
        <v>711.5446206</v>
      </c>
      <c r="Q222" s="82">
        <f t="shared" si="196"/>
        <v>711.5446206</v>
      </c>
      <c r="R222" s="116"/>
      <c r="S222" s="115"/>
    </row>
    <row r="223" s="100" customFormat="1" ht="43.2" outlineLevel="1" spans="1:19">
      <c r="A223" s="65">
        <v>180</v>
      </c>
      <c r="B223" s="65" t="s">
        <v>217</v>
      </c>
      <c r="C223" s="65" t="s">
        <v>259</v>
      </c>
      <c r="D223" s="58" t="s">
        <v>76</v>
      </c>
      <c r="E223" s="65">
        <v>1.92</v>
      </c>
      <c r="F223" s="57">
        <v>1.92</v>
      </c>
      <c r="G223" s="103">
        <f t="shared" ref="G223:K223" si="198">G151</f>
        <v>150</v>
      </c>
      <c r="H223" s="67">
        <f t="shared" si="194"/>
        <v>682.5</v>
      </c>
      <c r="I223" s="103">
        <f t="shared" si="198"/>
        <v>650</v>
      </c>
      <c r="J223" s="74">
        <f t="shared" si="198"/>
        <v>0.05</v>
      </c>
      <c r="K223" s="67">
        <f t="shared" si="198"/>
        <v>100</v>
      </c>
      <c r="L223" s="67">
        <f>(G223+H223+K223)*$L$5</f>
        <v>55.95</v>
      </c>
      <c r="M223" s="67">
        <f>(G223+H223+K223+L223)*$M$5</f>
        <v>29.6535</v>
      </c>
      <c r="N223" s="67">
        <f t="shared" si="163"/>
        <v>1527.15525</v>
      </c>
      <c r="O223" s="67"/>
      <c r="P223" s="67">
        <f t="shared" si="195"/>
        <v>2932.13808</v>
      </c>
      <c r="Q223" s="82">
        <f t="shared" si="196"/>
        <v>2932.13808</v>
      </c>
      <c r="R223" s="116"/>
      <c r="S223" s="115"/>
    </row>
    <row r="224" s="100" customFormat="1" ht="43.2" outlineLevel="1" spans="1:19">
      <c r="A224" s="65">
        <v>181</v>
      </c>
      <c r="B224" s="65" t="s">
        <v>95</v>
      </c>
      <c r="C224" s="65" t="s">
        <v>260</v>
      </c>
      <c r="D224" s="58" t="s">
        <v>76</v>
      </c>
      <c r="E224" s="65">
        <v>1.28</v>
      </c>
      <c r="F224" s="57">
        <v>1.28</v>
      </c>
      <c r="G224" s="103">
        <f t="shared" ref="G224:K224" si="199">G152</f>
        <v>165</v>
      </c>
      <c r="H224" s="67">
        <f t="shared" si="194"/>
        <v>315</v>
      </c>
      <c r="I224" s="103">
        <f t="shared" si="199"/>
        <v>300</v>
      </c>
      <c r="J224" s="74">
        <f t="shared" si="199"/>
        <v>0.05</v>
      </c>
      <c r="K224" s="67">
        <f t="shared" si="199"/>
        <v>135</v>
      </c>
      <c r="L224" s="67">
        <f>(G224+H224+K224)*$L$5</f>
        <v>36.9</v>
      </c>
      <c r="M224" s="67">
        <f>(G224+H224+K224+L224)*$M$5</f>
        <v>19.557</v>
      </c>
      <c r="N224" s="67">
        <f t="shared" si="163"/>
        <v>1007.1855</v>
      </c>
      <c r="O224" s="67"/>
      <c r="P224" s="67">
        <f t="shared" si="195"/>
        <v>1289.19744</v>
      </c>
      <c r="Q224" s="82">
        <f t="shared" si="196"/>
        <v>1289.19744</v>
      </c>
      <c r="R224" s="116" t="str">
        <f>R187</f>
        <v>厂家定制</v>
      </c>
      <c r="S224" s="115"/>
    </row>
    <row r="225" s="100" customFormat="1" ht="43.2" outlineLevel="1" spans="1:19">
      <c r="A225" s="65">
        <v>182</v>
      </c>
      <c r="B225" s="65" t="s">
        <v>187</v>
      </c>
      <c r="C225" s="65" t="s">
        <v>261</v>
      </c>
      <c r="D225" s="58" t="s">
        <v>108</v>
      </c>
      <c r="E225" s="65">
        <v>1</v>
      </c>
      <c r="F225" s="57">
        <v>1</v>
      </c>
      <c r="G225" s="103">
        <f t="shared" ref="G225:K225" si="200">G153</f>
        <v>300</v>
      </c>
      <c r="H225" s="67">
        <f t="shared" si="194"/>
        <v>1111</v>
      </c>
      <c r="I225" s="103">
        <f t="shared" si="200"/>
        <v>1100</v>
      </c>
      <c r="J225" s="74">
        <f t="shared" si="200"/>
        <v>0.01</v>
      </c>
      <c r="K225" s="67">
        <f t="shared" si="200"/>
        <v>310</v>
      </c>
      <c r="L225" s="67">
        <f>(G225+H225+K225)*$L$5</f>
        <v>103.26</v>
      </c>
      <c r="M225" s="67">
        <f>(G225+H225+K225+L225)*$M$5</f>
        <v>54.7278</v>
      </c>
      <c r="N225" s="67">
        <f t="shared" si="163"/>
        <v>2818.4817</v>
      </c>
      <c r="O225" s="67"/>
      <c r="P225" s="67">
        <f t="shared" si="195"/>
        <v>2818.4817</v>
      </c>
      <c r="Q225" s="82">
        <f t="shared" si="196"/>
        <v>2818.4817</v>
      </c>
      <c r="R225" s="116" t="str">
        <f>R188</f>
        <v>厂家定制</v>
      </c>
      <c r="S225" s="115"/>
    </row>
    <row r="226" s="100" customFormat="1" spans="1:19">
      <c r="A226" s="65"/>
      <c r="B226" s="65" t="s">
        <v>293</v>
      </c>
      <c r="C226" s="65"/>
      <c r="D226" s="58"/>
      <c r="E226" s="65"/>
      <c r="F226" s="57"/>
      <c r="G226" s="103"/>
      <c r="H226" s="67"/>
      <c r="I226" s="103"/>
      <c r="J226" s="74"/>
      <c r="K226" s="67"/>
      <c r="L226" s="67"/>
      <c r="M226" s="67"/>
      <c r="N226" s="67">
        <f t="shared" si="163"/>
        <v>0</v>
      </c>
      <c r="O226" s="67"/>
      <c r="P226" s="67"/>
      <c r="Q226" s="82"/>
      <c r="R226" s="116"/>
      <c r="S226" s="115"/>
    </row>
    <row r="227" s="100" customFormat="1" ht="97.2" outlineLevel="1" spans="1:19">
      <c r="A227" s="65">
        <v>183</v>
      </c>
      <c r="B227" s="65" t="s">
        <v>204</v>
      </c>
      <c r="C227" s="65" t="s">
        <v>272</v>
      </c>
      <c r="D227" s="58" t="s">
        <v>76</v>
      </c>
      <c r="E227" s="65">
        <v>25.27</v>
      </c>
      <c r="F227" s="57">
        <v>25.27</v>
      </c>
      <c r="G227" s="103">
        <f>G163</f>
        <v>30</v>
      </c>
      <c r="H227" s="67">
        <f t="shared" ref="H227:H232" si="201">I227*(1+J227)</f>
        <v>15.75</v>
      </c>
      <c r="I227" s="103">
        <f>I163</f>
        <v>15</v>
      </c>
      <c r="J227" s="74">
        <f>J100</f>
        <v>0.05</v>
      </c>
      <c r="K227" s="67">
        <f>K163</f>
        <v>8</v>
      </c>
      <c r="L227" s="67">
        <f>(G227+H227+K227)*$L$5</f>
        <v>3.225</v>
      </c>
      <c r="M227" s="67">
        <f>(G227+H227+K227+L227)*$M$5</f>
        <v>1.70925</v>
      </c>
      <c r="N227" s="67">
        <f t="shared" si="163"/>
        <v>88.026375</v>
      </c>
      <c r="O227" s="67"/>
      <c r="P227" s="67">
        <f t="shared" ref="P227:P232" si="202">N227*E227</f>
        <v>2224.42649625</v>
      </c>
      <c r="Q227" s="82">
        <f t="shared" ref="Q227:Q232" si="203">F227*N227</f>
        <v>2224.42649625</v>
      </c>
      <c r="R227" s="116" t="str">
        <f>R183</f>
        <v>立邦</v>
      </c>
      <c r="S227" s="115"/>
    </row>
    <row r="228" s="100" customFormat="1" ht="43.2" outlineLevel="1" spans="1:19">
      <c r="A228" s="65">
        <v>184</v>
      </c>
      <c r="B228" s="65" t="s">
        <v>189</v>
      </c>
      <c r="C228" s="65" t="s">
        <v>291</v>
      </c>
      <c r="D228" s="58" t="s">
        <v>76</v>
      </c>
      <c r="E228" s="65">
        <v>2.96</v>
      </c>
      <c r="F228" s="57">
        <v>2.96</v>
      </c>
      <c r="G228" s="103">
        <f t="shared" ref="G228:K228" si="204">G89</f>
        <v>185</v>
      </c>
      <c r="H228" s="67">
        <f t="shared" si="201"/>
        <v>336</v>
      </c>
      <c r="I228" s="103">
        <f t="shared" si="204"/>
        <v>320</v>
      </c>
      <c r="J228" s="74">
        <f t="shared" si="204"/>
        <v>0.05</v>
      </c>
      <c r="K228" s="67">
        <f t="shared" si="204"/>
        <v>35</v>
      </c>
      <c r="L228" s="67">
        <f>(G228+H228+K228)*$L$5</f>
        <v>33.36</v>
      </c>
      <c r="M228" s="67">
        <f>(G228+H228+K228+L228)*$M$5</f>
        <v>17.6808</v>
      </c>
      <c r="N228" s="67">
        <f t="shared" si="163"/>
        <v>910.5612</v>
      </c>
      <c r="O228" s="67"/>
      <c r="P228" s="67">
        <f t="shared" si="202"/>
        <v>2695.261152</v>
      </c>
      <c r="Q228" s="82">
        <f t="shared" si="203"/>
        <v>2695.261152</v>
      </c>
      <c r="R228" s="116"/>
      <c r="S228" s="115"/>
    </row>
    <row r="229" s="100" customFormat="1" ht="43.2" outlineLevel="1" spans="1:19">
      <c r="A229" s="65">
        <v>185</v>
      </c>
      <c r="B229" s="65" t="s">
        <v>206</v>
      </c>
      <c r="C229" s="65" t="s">
        <v>215</v>
      </c>
      <c r="D229" s="58" t="s">
        <v>111</v>
      </c>
      <c r="E229" s="65">
        <v>8.1</v>
      </c>
      <c r="F229" s="57">
        <v>8.1</v>
      </c>
      <c r="G229" s="103">
        <f t="shared" ref="G229:K229" si="205">G209</f>
        <v>15</v>
      </c>
      <c r="H229" s="67">
        <f t="shared" si="201"/>
        <v>29.4</v>
      </c>
      <c r="I229" s="103">
        <f t="shared" si="205"/>
        <v>28</v>
      </c>
      <c r="J229" s="74">
        <f t="shared" si="205"/>
        <v>0.05</v>
      </c>
      <c r="K229" s="67">
        <f t="shared" si="205"/>
        <v>1</v>
      </c>
      <c r="L229" s="67">
        <f>(G229+H229+K229)*$L$5</f>
        <v>2.724</v>
      </c>
      <c r="M229" s="67">
        <f>(G229+H229+K229+L229)*$M$5</f>
        <v>1.44372</v>
      </c>
      <c r="N229" s="67">
        <f t="shared" si="163"/>
        <v>74.35158</v>
      </c>
      <c r="O229" s="67"/>
      <c r="P229" s="67">
        <f t="shared" si="202"/>
        <v>602.247798</v>
      </c>
      <c r="Q229" s="82">
        <f t="shared" si="203"/>
        <v>602.247798</v>
      </c>
      <c r="R229" s="116"/>
      <c r="S229" s="115"/>
    </row>
    <row r="230" s="100" customFormat="1" ht="43.2" outlineLevel="1" spans="1:19">
      <c r="A230" s="65">
        <v>186</v>
      </c>
      <c r="B230" s="65" t="s">
        <v>217</v>
      </c>
      <c r="C230" s="65" t="s">
        <v>259</v>
      </c>
      <c r="D230" s="58" t="s">
        <v>76</v>
      </c>
      <c r="E230" s="65">
        <v>1.92</v>
      </c>
      <c r="F230" s="57">
        <v>1.92</v>
      </c>
      <c r="G230" s="103">
        <f t="shared" ref="G230:K230" si="206">G151</f>
        <v>150</v>
      </c>
      <c r="H230" s="67">
        <f t="shared" si="201"/>
        <v>682.5</v>
      </c>
      <c r="I230" s="103">
        <f t="shared" si="206"/>
        <v>650</v>
      </c>
      <c r="J230" s="74">
        <f t="shared" si="206"/>
        <v>0.05</v>
      </c>
      <c r="K230" s="67">
        <f t="shared" si="206"/>
        <v>100</v>
      </c>
      <c r="L230" s="67">
        <f>(G230+H230+K230)*$L$5</f>
        <v>55.95</v>
      </c>
      <c r="M230" s="67">
        <f>(G230+H230+K230+L230)*$M$5</f>
        <v>29.6535</v>
      </c>
      <c r="N230" s="67">
        <f t="shared" si="163"/>
        <v>1527.15525</v>
      </c>
      <c r="O230" s="67"/>
      <c r="P230" s="67">
        <f t="shared" si="202"/>
        <v>2932.13808</v>
      </c>
      <c r="Q230" s="82">
        <f t="shared" si="203"/>
        <v>2932.13808</v>
      </c>
      <c r="R230" s="116"/>
      <c r="S230" s="115"/>
    </row>
    <row r="231" s="100" customFormat="1" ht="43.2" outlineLevel="1" spans="1:19">
      <c r="A231" s="65">
        <v>187</v>
      </c>
      <c r="B231" s="65" t="s">
        <v>95</v>
      </c>
      <c r="C231" s="65" t="s">
        <v>294</v>
      </c>
      <c r="D231" s="58" t="s">
        <v>76</v>
      </c>
      <c r="E231" s="65">
        <v>1.28</v>
      </c>
      <c r="F231" s="57">
        <v>1.28</v>
      </c>
      <c r="G231" s="103">
        <f t="shared" ref="G231:K231" si="207">G152</f>
        <v>165</v>
      </c>
      <c r="H231" s="67">
        <f t="shared" si="201"/>
        <v>315</v>
      </c>
      <c r="I231" s="103">
        <f t="shared" si="207"/>
        <v>300</v>
      </c>
      <c r="J231" s="74">
        <f t="shared" si="207"/>
        <v>0.05</v>
      </c>
      <c r="K231" s="67">
        <f t="shared" si="207"/>
        <v>135</v>
      </c>
      <c r="L231" s="67">
        <f>(G231+H231+K231)*$L$5</f>
        <v>36.9</v>
      </c>
      <c r="M231" s="67">
        <f>(G231+H231+K231+L231)*$M$5</f>
        <v>19.557</v>
      </c>
      <c r="N231" s="67">
        <f t="shared" si="163"/>
        <v>1007.1855</v>
      </c>
      <c r="O231" s="67"/>
      <c r="P231" s="67">
        <f t="shared" si="202"/>
        <v>1289.19744</v>
      </c>
      <c r="Q231" s="82">
        <f t="shared" si="203"/>
        <v>1289.19744</v>
      </c>
      <c r="R231" s="116" t="str">
        <f>R193</f>
        <v>厂家定制</v>
      </c>
      <c r="S231" s="115"/>
    </row>
    <row r="232" s="100" customFormat="1" ht="43.2" outlineLevel="1" spans="1:19">
      <c r="A232" s="65">
        <v>188</v>
      </c>
      <c r="B232" s="65" t="s">
        <v>187</v>
      </c>
      <c r="C232" s="65" t="s">
        <v>261</v>
      </c>
      <c r="D232" s="58" t="s">
        <v>108</v>
      </c>
      <c r="E232" s="65">
        <v>1</v>
      </c>
      <c r="F232" s="57">
        <v>1</v>
      </c>
      <c r="G232" s="103">
        <f t="shared" ref="G232:K232" si="208">G153</f>
        <v>300</v>
      </c>
      <c r="H232" s="67">
        <f t="shared" si="201"/>
        <v>1111</v>
      </c>
      <c r="I232" s="103">
        <f t="shared" si="208"/>
        <v>1100</v>
      </c>
      <c r="J232" s="74">
        <f t="shared" si="208"/>
        <v>0.01</v>
      </c>
      <c r="K232" s="67">
        <f t="shared" si="208"/>
        <v>310</v>
      </c>
      <c r="L232" s="67">
        <f>(G232+H232+K232)*$L$5</f>
        <v>103.26</v>
      </c>
      <c r="M232" s="67">
        <f>(G232+H232+K232+L232)*$M$5</f>
        <v>54.7278</v>
      </c>
      <c r="N232" s="67">
        <f t="shared" si="163"/>
        <v>2818.4817</v>
      </c>
      <c r="O232" s="67"/>
      <c r="P232" s="67">
        <f t="shared" si="202"/>
        <v>2818.4817</v>
      </c>
      <c r="Q232" s="82">
        <f t="shared" si="203"/>
        <v>2818.4817</v>
      </c>
      <c r="R232" s="116" t="str">
        <f>R194</f>
        <v>厂家定制</v>
      </c>
      <c r="S232" s="115"/>
    </row>
    <row r="233" s="100" customFormat="1" spans="1:19">
      <c r="A233" s="65"/>
      <c r="B233" s="65" t="s">
        <v>295</v>
      </c>
      <c r="C233" s="65"/>
      <c r="D233" s="58"/>
      <c r="E233" s="65"/>
      <c r="F233" s="57"/>
      <c r="G233" s="103"/>
      <c r="H233" s="67"/>
      <c r="I233" s="103"/>
      <c r="J233" s="74"/>
      <c r="K233" s="67"/>
      <c r="L233" s="67"/>
      <c r="M233" s="67"/>
      <c r="N233" s="67">
        <f t="shared" si="163"/>
        <v>0</v>
      </c>
      <c r="O233" s="67"/>
      <c r="P233" s="67"/>
      <c r="Q233" s="82"/>
      <c r="R233" s="116"/>
      <c r="S233" s="115"/>
    </row>
    <row r="234" s="100" customFormat="1" ht="97.2" outlineLevel="1" spans="1:19">
      <c r="A234" s="65">
        <v>189</v>
      </c>
      <c r="B234" s="65" t="s">
        <v>204</v>
      </c>
      <c r="C234" s="65" t="s">
        <v>296</v>
      </c>
      <c r="D234" s="58" t="s">
        <v>76</v>
      </c>
      <c r="E234" s="65">
        <v>16.47</v>
      </c>
      <c r="F234" s="57">
        <v>16.47</v>
      </c>
      <c r="G234" s="103">
        <f t="shared" ref="G234:K234" si="209">G221</f>
        <v>30</v>
      </c>
      <c r="H234" s="67">
        <f t="shared" ref="H234:H241" si="210">I234*(1+J234)</f>
        <v>15.75</v>
      </c>
      <c r="I234" s="103">
        <f t="shared" si="209"/>
        <v>15</v>
      </c>
      <c r="J234" s="74">
        <f>J100</f>
        <v>0.05</v>
      </c>
      <c r="K234" s="67">
        <f>K163</f>
        <v>8</v>
      </c>
      <c r="L234" s="67">
        <f>(G234+H234+K234)*$L$5</f>
        <v>3.225</v>
      </c>
      <c r="M234" s="67">
        <f>(G234+H234+K234+L234)*$M$5</f>
        <v>1.70925</v>
      </c>
      <c r="N234" s="67">
        <f t="shared" si="163"/>
        <v>88.026375</v>
      </c>
      <c r="O234" s="67"/>
      <c r="P234" s="67">
        <f t="shared" ref="P234:P241" si="211">N234*E234</f>
        <v>1449.79439625</v>
      </c>
      <c r="Q234" s="82">
        <f t="shared" ref="Q234:Q248" si="212">F234*N234</f>
        <v>1449.79439625</v>
      </c>
      <c r="R234" s="116" t="str">
        <f>R190</f>
        <v>立邦</v>
      </c>
      <c r="S234" s="115"/>
    </row>
    <row r="235" s="100" customFormat="1" ht="43.2" outlineLevel="1" spans="1:19">
      <c r="A235" s="65">
        <v>190</v>
      </c>
      <c r="B235" s="65" t="s">
        <v>297</v>
      </c>
      <c r="C235" s="65" t="s">
        <v>298</v>
      </c>
      <c r="D235" s="58" t="s">
        <v>76</v>
      </c>
      <c r="E235" s="65">
        <v>0.57</v>
      </c>
      <c r="F235" s="57">
        <v>0.57</v>
      </c>
      <c r="G235" s="105">
        <v>150</v>
      </c>
      <c r="H235" s="67">
        <f t="shared" si="210"/>
        <v>71.5</v>
      </c>
      <c r="I235" s="103">
        <f>I67</f>
        <v>65</v>
      </c>
      <c r="J235" s="88">
        <v>0.1</v>
      </c>
      <c r="K235" s="67">
        <v>50</v>
      </c>
      <c r="L235" s="67">
        <f>(G235+H235+K235)*$L$5</f>
        <v>16.29</v>
      </c>
      <c r="M235" s="67">
        <f>(G235+H235+K235+L235)*$M$5</f>
        <v>8.6337</v>
      </c>
      <c r="N235" s="67">
        <f t="shared" si="163"/>
        <v>444.63555</v>
      </c>
      <c r="O235" s="67"/>
      <c r="P235" s="67">
        <f t="shared" si="211"/>
        <v>253.4422635</v>
      </c>
      <c r="Q235" s="82">
        <f t="shared" si="212"/>
        <v>253.4422635</v>
      </c>
      <c r="R235" s="116" t="str">
        <f>R65</f>
        <v>广东产</v>
      </c>
      <c r="S235" s="115"/>
    </row>
    <row r="236" s="100" customFormat="1" spans="1:19">
      <c r="A236" s="65"/>
      <c r="B236" s="65" t="s">
        <v>299</v>
      </c>
      <c r="C236" s="65"/>
      <c r="D236" s="58"/>
      <c r="E236" s="65"/>
      <c r="F236" s="57"/>
      <c r="G236" s="103"/>
      <c r="H236" s="67"/>
      <c r="I236" s="103"/>
      <c r="J236" s="74"/>
      <c r="K236" s="67"/>
      <c r="L236" s="67"/>
      <c r="M236" s="67"/>
      <c r="N236" s="67">
        <f t="shared" si="163"/>
        <v>0</v>
      </c>
      <c r="O236" s="67"/>
      <c r="P236" s="67"/>
      <c r="Q236" s="82"/>
      <c r="R236" s="116"/>
      <c r="S236" s="115"/>
    </row>
    <row r="237" s="100" customFormat="1" ht="108" outlineLevel="1" spans="1:19">
      <c r="A237" s="65">
        <v>191</v>
      </c>
      <c r="B237" s="65" t="s">
        <v>300</v>
      </c>
      <c r="C237" s="65" t="s">
        <v>301</v>
      </c>
      <c r="D237" s="58" t="s">
        <v>76</v>
      </c>
      <c r="E237" s="65">
        <v>48.51</v>
      </c>
      <c r="F237" s="57">
        <v>48.51</v>
      </c>
      <c r="G237" s="105">
        <f t="shared" ref="G237:K237" si="213">G67</f>
        <v>85</v>
      </c>
      <c r="H237" s="67">
        <f t="shared" si="210"/>
        <v>126</v>
      </c>
      <c r="I237" s="105">
        <v>120</v>
      </c>
      <c r="J237" s="88">
        <f t="shared" si="213"/>
        <v>0.05</v>
      </c>
      <c r="K237" s="72">
        <f t="shared" si="213"/>
        <v>70</v>
      </c>
      <c r="L237" s="67">
        <f>(G237+H237+K237)*$L$5</f>
        <v>16.86</v>
      </c>
      <c r="M237" s="67">
        <f>(G237+H237+K237+L237)*$M$5</f>
        <v>8.9358</v>
      </c>
      <c r="N237" s="67">
        <f t="shared" si="163"/>
        <v>460.1937</v>
      </c>
      <c r="O237" s="67"/>
      <c r="P237" s="67">
        <f t="shared" si="211"/>
        <v>22323.996387</v>
      </c>
      <c r="Q237" s="82">
        <f t="shared" si="212"/>
        <v>22323.996387</v>
      </c>
      <c r="R237" s="116" t="str">
        <f>R66</f>
        <v>广东产</v>
      </c>
      <c r="S237" s="115"/>
    </row>
    <row r="238" s="100" customFormat="1" ht="32.4" outlineLevel="1" spans="1:19">
      <c r="A238" s="65">
        <v>192</v>
      </c>
      <c r="B238" s="65" t="s">
        <v>302</v>
      </c>
      <c r="C238" s="65" t="s">
        <v>303</v>
      </c>
      <c r="D238" s="58" t="s">
        <v>76</v>
      </c>
      <c r="E238" s="65">
        <v>16.57</v>
      </c>
      <c r="F238" s="57">
        <v>16.57</v>
      </c>
      <c r="G238" s="105">
        <v>125</v>
      </c>
      <c r="H238" s="67">
        <f t="shared" si="210"/>
        <v>577.5</v>
      </c>
      <c r="I238" s="105">
        <v>550</v>
      </c>
      <c r="J238" s="88">
        <v>0.05</v>
      </c>
      <c r="K238" s="72">
        <v>125</v>
      </c>
      <c r="L238" s="67">
        <f>(G238+H238+K238)*$L$5</f>
        <v>49.65</v>
      </c>
      <c r="M238" s="67">
        <f>(G238+H238+K238+L238)*$M$5</f>
        <v>26.3145</v>
      </c>
      <c r="N238" s="67">
        <f t="shared" si="163"/>
        <v>1355.19675</v>
      </c>
      <c r="O238" s="67"/>
      <c r="P238" s="67">
        <f t="shared" si="211"/>
        <v>22455.6101475</v>
      </c>
      <c r="Q238" s="82">
        <f t="shared" si="212"/>
        <v>22455.6101475</v>
      </c>
      <c r="R238" s="116"/>
      <c r="S238" s="115"/>
    </row>
    <row r="239" s="100" customFormat="1" ht="64.8" outlineLevel="1" spans="1:19">
      <c r="A239" s="65">
        <v>193</v>
      </c>
      <c r="B239" s="65" t="s">
        <v>136</v>
      </c>
      <c r="C239" s="65" t="s">
        <v>304</v>
      </c>
      <c r="D239" s="58" t="s">
        <v>76</v>
      </c>
      <c r="E239" s="65">
        <v>4.89</v>
      </c>
      <c r="F239" s="57">
        <v>4.89</v>
      </c>
      <c r="G239" s="105">
        <v>185</v>
      </c>
      <c r="H239" s="71">
        <f t="shared" si="210"/>
        <v>441</v>
      </c>
      <c r="I239" s="105">
        <v>420</v>
      </c>
      <c r="J239" s="88">
        <f>J52</f>
        <v>0.05</v>
      </c>
      <c r="K239" s="72">
        <v>165</v>
      </c>
      <c r="L239" s="67">
        <f>(G239+H239+K239)*$L$5</f>
        <v>47.46</v>
      </c>
      <c r="M239" s="67">
        <f>(G239+H239+K239+L239)*$M$5</f>
        <v>25.1538</v>
      </c>
      <c r="N239" s="67">
        <f t="shared" si="163"/>
        <v>1295.4207</v>
      </c>
      <c r="O239" s="67"/>
      <c r="P239" s="67">
        <f t="shared" si="211"/>
        <v>6334.607223</v>
      </c>
      <c r="Q239" s="82">
        <f t="shared" si="212"/>
        <v>6334.607223</v>
      </c>
      <c r="R239" s="116"/>
      <c r="S239" s="115"/>
    </row>
    <row r="240" s="100" customFormat="1" ht="64.8" outlineLevel="1" spans="1:19">
      <c r="A240" s="65">
        <v>194</v>
      </c>
      <c r="B240" s="65" t="s">
        <v>136</v>
      </c>
      <c r="C240" s="65" t="s">
        <v>305</v>
      </c>
      <c r="D240" s="58" t="s">
        <v>76</v>
      </c>
      <c r="E240" s="65">
        <v>5.68</v>
      </c>
      <c r="F240" s="57">
        <v>5.68</v>
      </c>
      <c r="G240" s="103">
        <f t="shared" ref="G240:K240" si="214">G239</f>
        <v>185</v>
      </c>
      <c r="H240" s="67">
        <f t="shared" si="210"/>
        <v>441</v>
      </c>
      <c r="I240" s="103">
        <f t="shared" si="214"/>
        <v>420</v>
      </c>
      <c r="J240" s="74">
        <f t="shared" si="214"/>
        <v>0.05</v>
      </c>
      <c r="K240" s="67">
        <f t="shared" si="214"/>
        <v>165</v>
      </c>
      <c r="L240" s="67">
        <f>(G240+H240+K240)*$L$5</f>
        <v>47.46</v>
      </c>
      <c r="M240" s="67">
        <f>(G240+H240+K240+L240)*$M$5</f>
        <v>25.1538</v>
      </c>
      <c r="N240" s="67">
        <f t="shared" si="163"/>
        <v>1295.4207</v>
      </c>
      <c r="O240" s="67"/>
      <c r="P240" s="67">
        <f t="shared" si="211"/>
        <v>7357.989576</v>
      </c>
      <c r="Q240" s="82">
        <f t="shared" si="212"/>
        <v>7357.989576</v>
      </c>
      <c r="R240" s="116"/>
      <c r="S240" s="115"/>
    </row>
    <row r="241" s="100" customFormat="1" ht="75.6" outlineLevel="1" spans="1:19">
      <c r="A241" s="65">
        <v>195</v>
      </c>
      <c r="B241" s="65" t="s">
        <v>306</v>
      </c>
      <c r="C241" s="65" t="s">
        <v>307</v>
      </c>
      <c r="D241" s="58" t="s">
        <v>76</v>
      </c>
      <c r="E241" s="65">
        <v>2.33</v>
      </c>
      <c r="F241" s="57">
        <v>2.33</v>
      </c>
      <c r="G241" s="105">
        <v>220</v>
      </c>
      <c r="H241" s="67">
        <f t="shared" si="210"/>
        <v>399</v>
      </c>
      <c r="I241" s="105">
        <v>380</v>
      </c>
      <c r="J241" s="88">
        <v>0.05</v>
      </c>
      <c r="K241" s="72">
        <f>40*2+85+25</f>
        <v>190</v>
      </c>
      <c r="L241" s="67">
        <f>(G241+H241+K241)*$L$5</f>
        <v>48.54</v>
      </c>
      <c r="M241" s="67">
        <f>(G241+H241+K241+L241)*$M$5</f>
        <v>25.7262</v>
      </c>
      <c r="N241" s="67">
        <f t="shared" si="163"/>
        <v>1324.8993</v>
      </c>
      <c r="O241" s="67"/>
      <c r="P241" s="67">
        <f t="shared" si="211"/>
        <v>3087.015369</v>
      </c>
      <c r="Q241" s="82">
        <f t="shared" si="212"/>
        <v>3087.015369</v>
      </c>
      <c r="R241" s="116"/>
      <c r="S241" s="115"/>
    </row>
    <row r="242" s="100" customFormat="1" ht="43.2" outlineLevel="1" spans="1:19">
      <c r="A242" s="65">
        <v>196</v>
      </c>
      <c r="B242" s="65" t="s">
        <v>308</v>
      </c>
      <c r="C242" s="65" t="s">
        <v>309</v>
      </c>
      <c r="D242" s="58" t="s">
        <v>76</v>
      </c>
      <c r="E242" s="65">
        <v>63.41</v>
      </c>
      <c r="F242" s="57">
        <v>63.41</v>
      </c>
      <c r="G242" s="105">
        <v>20</v>
      </c>
      <c r="H242" s="67">
        <f t="shared" ref="H242:H247" si="215">I242*(1+J242)</f>
        <v>36.75</v>
      </c>
      <c r="I242" s="105">
        <v>35</v>
      </c>
      <c r="J242" s="88">
        <v>0.05</v>
      </c>
      <c r="K242" s="72">
        <v>8</v>
      </c>
      <c r="L242" s="67">
        <f>(G242+H242+K242)*$L$5</f>
        <v>3.885</v>
      </c>
      <c r="M242" s="67">
        <f>(G242+H242+K242+L242)*$M$5</f>
        <v>2.05905</v>
      </c>
      <c r="N242" s="67">
        <f t="shared" si="163"/>
        <v>106.041075</v>
      </c>
      <c r="O242" s="67"/>
      <c r="P242" s="67">
        <f t="shared" ref="P242:P247" si="216">N242*E242</f>
        <v>6724.06456575</v>
      </c>
      <c r="Q242" s="82">
        <f t="shared" si="212"/>
        <v>6724.06456575</v>
      </c>
      <c r="R242" s="116"/>
      <c r="S242" s="115"/>
    </row>
    <row r="243" s="100" customFormat="1" ht="43.2" outlineLevel="1" spans="1:19">
      <c r="A243" s="65">
        <v>197</v>
      </c>
      <c r="B243" s="65" t="s">
        <v>310</v>
      </c>
      <c r="C243" s="65" t="s">
        <v>311</v>
      </c>
      <c r="D243" s="58" t="s">
        <v>76</v>
      </c>
      <c r="E243" s="65">
        <v>12.46</v>
      </c>
      <c r="F243" s="57">
        <v>12.46</v>
      </c>
      <c r="G243" s="105">
        <v>220</v>
      </c>
      <c r="H243" s="67">
        <f t="shared" si="215"/>
        <v>181.5</v>
      </c>
      <c r="I243" s="105">
        <v>165</v>
      </c>
      <c r="J243" s="88">
        <v>0.1</v>
      </c>
      <c r="K243" s="72">
        <v>50</v>
      </c>
      <c r="L243" s="67">
        <f>(G243+H243+K243)*$L$5</f>
        <v>27.09</v>
      </c>
      <c r="M243" s="67">
        <f>(G243+H243+K243+L243)*$M$5</f>
        <v>14.3577</v>
      </c>
      <c r="N243" s="67">
        <f t="shared" si="163"/>
        <v>739.42155</v>
      </c>
      <c r="O243" s="67"/>
      <c r="P243" s="67">
        <f t="shared" si="216"/>
        <v>9213.192513</v>
      </c>
      <c r="Q243" s="82">
        <f t="shared" si="212"/>
        <v>9213.192513</v>
      </c>
      <c r="R243" s="116" t="str">
        <f>R196</f>
        <v>立邦</v>
      </c>
      <c r="S243" s="115"/>
    </row>
    <row r="244" s="100" customFormat="1" ht="43.2" outlineLevel="1" spans="1:19">
      <c r="A244" s="65">
        <v>198</v>
      </c>
      <c r="B244" s="65" t="s">
        <v>217</v>
      </c>
      <c r="C244" s="65" t="s">
        <v>259</v>
      </c>
      <c r="D244" s="58" t="s">
        <v>76</v>
      </c>
      <c r="E244" s="65">
        <v>1.92</v>
      </c>
      <c r="F244" s="57">
        <v>1.92</v>
      </c>
      <c r="G244" s="103">
        <f t="shared" ref="G244:K244" si="217">G151</f>
        <v>150</v>
      </c>
      <c r="H244" s="67">
        <f t="shared" si="215"/>
        <v>682.5</v>
      </c>
      <c r="I244" s="103">
        <f t="shared" si="217"/>
        <v>650</v>
      </c>
      <c r="J244" s="74">
        <f t="shared" si="217"/>
        <v>0.05</v>
      </c>
      <c r="K244" s="67">
        <f t="shared" si="217"/>
        <v>100</v>
      </c>
      <c r="L244" s="67">
        <f>(G244+H244+K244)*$L$5</f>
        <v>55.95</v>
      </c>
      <c r="M244" s="67">
        <f>(G244+H244+K244+L244)*$M$5</f>
        <v>29.6535</v>
      </c>
      <c r="N244" s="67">
        <f t="shared" si="163"/>
        <v>1527.15525</v>
      </c>
      <c r="O244" s="67"/>
      <c r="P244" s="67">
        <f t="shared" si="216"/>
        <v>2932.13808</v>
      </c>
      <c r="Q244" s="82">
        <f t="shared" si="212"/>
        <v>2932.13808</v>
      </c>
      <c r="R244" s="116"/>
      <c r="S244" s="115"/>
    </row>
    <row r="245" s="100" customFormat="1" ht="43.2" outlineLevel="1" spans="1:19">
      <c r="A245" s="65">
        <v>199</v>
      </c>
      <c r="B245" s="65" t="s">
        <v>95</v>
      </c>
      <c r="C245" s="65" t="s">
        <v>312</v>
      </c>
      <c r="D245" s="58" t="s">
        <v>76</v>
      </c>
      <c r="E245" s="65">
        <v>1.28</v>
      </c>
      <c r="F245" s="57">
        <v>1.28</v>
      </c>
      <c r="G245" s="103">
        <f t="shared" ref="G245:K245" si="218">G152</f>
        <v>165</v>
      </c>
      <c r="H245" s="67">
        <f t="shared" si="215"/>
        <v>315</v>
      </c>
      <c r="I245" s="103">
        <f t="shared" si="218"/>
        <v>300</v>
      </c>
      <c r="J245" s="74">
        <f t="shared" si="218"/>
        <v>0.05</v>
      </c>
      <c r="K245" s="67">
        <f t="shared" si="218"/>
        <v>135</v>
      </c>
      <c r="L245" s="67">
        <f>(G245+H245+K245)*$L$5</f>
        <v>36.9</v>
      </c>
      <c r="M245" s="67">
        <f>(G245+H245+K245+L245)*$M$5</f>
        <v>19.557</v>
      </c>
      <c r="N245" s="67">
        <f t="shared" si="163"/>
        <v>1007.1855</v>
      </c>
      <c r="O245" s="67"/>
      <c r="P245" s="67">
        <f t="shared" si="216"/>
        <v>1289.19744</v>
      </c>
      <c r="Q245" s="82">
        <f t="shared" si="212"/>
        <v>1289.19744</v>
      </c>
      <c r="R245" s="116" t="str">
        <f>R199</f>
        <v>厂家定制</v>
      </c>
      <c r="S245" s="115"/>
    </row>
    <row r="246" s="100" customFormat="1" ht="43.2" outlineLevel="1" spans="1:19">
      <c r="A246" s="65">
        <v>200</v>
      </c>
      <c r="B246" s="65" t="s">
        <v>187</v>
      </c>
      <c r="C246" s="65" t="s">
        <v>313</v>
      </c>
      <c r="D246" s="58" t="s">
        <v>108</v>
      </c>
      <c r="E246" s="65">
        <v>1</v>
      </c>
      <c r="F246" s="57">
        <v>1</v>
      </c>
      <c r="G246" s="103">
        <f t="shared" ref="G246:K246" si="219">G153</f>
        <v>300</v>
      </c>
      <c r="H246" s="67">
        <f t="shared" si="215"/>
        <v>1111</v>
      </c>
      <c r="I246" s="103">
        <f t="shared" si="219"/>
        <v>1100</v>
      </c>
      <c r="J246" s="74">
        <f t="shared" si="219"/>
        <v>0.01</v>
      </c>
      <c r="K246" s="67">
        <f t="shared" si="219"/>
        <v>310</v>
      </c>
      <c r="L246" s="67">
        <f>(G246+H246+K246)*$L$5</f>
        <v>103.26</v>
      </c>
      <c r="M246" s="67">
        <f>(G246+H246+K246+L246)*$M$5</f>
        <v>54.7278</v>
      </c>
      <c r="N246" s="67">
        <f t="shared" si="163"/>
        <v>2818.4817</v>
      </c>
      <c r="O246" s="67"/>
      <c r="P246" s="67">
        <f t="shared" si="216"/>
        <v>2818.4817</v>
      </c>
      <c r="Q246" s="82">
        <f t="shared" si="212"/>
        <v>2818.4817</v>
      </c>
      <c r="R246" s="116" t="str">
        <f>R200</f>
        <v>厂家定制</v>
      </c>
      <c r="S246" s="115"/>
    </row>
    <row r="247" s="100" customFormat="1" ht="43.2" outlineLevel="1" spans="1:19">
      <c r="A247" s="65">
        <v>201</v>
      </c>
      <c r="B247" s="65" t="s">
        <v>286</v>
      </c>
      <c r="C247" s="65" t="s">
        <v>314</v>
      </c>
      <c r="D247" s="58" t="s">
        <v>76</v>
      </c>
      <c r="E247" s="65">
        <v>3.28</v>
      </c>
      <c r="F247" s="57">
        <v>3.28</v>
      </c>
      <c r="G247" s="103">
        <f t="shared" ref="G247:K247" si="220">G41</f>
        <v>150</v>
      </c>
      <c r="H247" s="67">
        <f t="shared" si="215"/>
        <v>472.5</v>
      </c>
      <c r="I247" s="103">
        <f t="shared" si="220"/>
        <v>450</v>
      </c>
      <c r="J247" s="74">
        <f t="shared" si="220"/>
        <v>0.05</v>
      </c>
      <c r="K247" s="67">
        <f t="shared" si="220"/>
        <v>75</v>
      </c>
      <c r="L247" s="67">
        <f>(G247+H247+K247)*$L$5</f>
        <v>41.85</v>
      </c>
      <c r="M247" s="67">
        <f>(G247+H247+K247+L247)*$M$5</f>
        <v>22.1805</v>
      </c>
      <c r="N247" s="67">
        <f t="shared" si="163"/>
        <v>1142.29575</v>
      </c>
      <c r="O247" s="67"/>
      <c r="P247" s="67">
        <f t="shared" si="216"/>
        <v>3746.73006</v>
      </c>
      <c r="Q247" s="82">
        <f t="shared" si="212"/>
        <v>3746.73006</v>
      </c>
      <c r="R247" s="116" t="str">
        <f>R224</f>
        <v>厂家定制</v>
      </c>
      <c r="S247" s="115"/>
    </row>
    <row r="248" s="100" customFormat="1" spans="1:19">
      <c r="A248" s="65"/>
      <c r="B248" s="65" t="s">
        <v>315</v>
      </c>
      <c r="C248" s="65"/>
      <c r="D248" s="58"/>
      <c r="E248" s="65"/>
      <c r="F248" s="57"/>
      <c r="G248" s="103"/>
      <c r="H248" s="67"/>
      <c r="I248" s="103"/>
      <c r="J248" s="74"/>
      <c r="K248" s="67"/>
      <c r="L248" s="67"/>
      <c r="M248" s="67"/>
      <c r="N248" s="67">
        <f t="shared" si="163"/>
        <v>0</v>
      </c>
      <c r="O248" s="67"/>
      <c r="P248" s="67"/>
      <c r="Q248" s="82"/>
      <c r="R248" s="116"/>
      <c r="S248" s="115"/>
    </row>
    <row r="249" s="100" customFormat="1" ht="108" outlineLevel="1" spans="1:19">
      <c r="A249" s="65">
        <v>202</v>
      </c>
      <c r="B249" s="65" t="s">
        <v>300</v>
      </c>
      <c r="C249" s="65" t="s">
        <v>301</v>
      </c>
      <c r="D249" s="58" t="s">
        <v>76</v>
      </c>
      <c r="E249" s="65">
        <v>31.38</v>
      </c>
      <c r="F249" s="57">
        <v>31.38</v>
      </c>
      <c r="G249" s="103">
        <f t="shared" ref="G249:K249" si="221">G237</f>
        <v>85</v>
      </c>
      <c r="H249" s="67">
        <f t="shared" ref="H249:H253" si="222">I249*(1+J249)</f>
        <v>126</v>
      </c>
      <c r="I249" s="103">
        <f t="shared" si="221"/>
        <v>120</v>
      </c>
      <c r="J249" s="74">
        <f t="shared" si="221"/>
        <v>0.05</v>
      </c>
      <c r="K249" s="67">
        <f t="shared" si="221"/>
        <v>70</v>
      </c>
      <c r="L249" s="67">
        <f>(G249+H249+K249)*$L$5</f>
        <v>16.86</v>
      </c>
      <c r="M249" s="67">
        <f>(G249+H249+K249+L249)*$M$5</f>
        <v>8.9358</v>
      </c>
      <c r="N249" s="67">
        <f t="shared" si="163"/>
        <v>460.1937</v>
      </c>
      <c r="O249" s="67"/>
      <c r="P249" s="67">
        <f t="shared" ref="P249:P253" si="223">N249*E249</f>
        <v>14440.878306</v>
      </c>
      <c r="Q249" s="82">
        <f t="shared" ref="Q249:Q259" si="224">F249*N249</f>
        <v>14440.878306</v>
      </c>
      <c r="R249" s="116" t="str">
        <f>R67</f>
        <v>广东产</v>
      </c>
      <c r="S249" s="115"/>
    </row>
    <row r="250" s="100" customFormat="1" ht="32.4" outlineLevel="1" spans="1:19">
      <c r="A250" s="65">
        <v>203</v>
      </c>
      <c r="B250" s="65" t="s">
        <v>302</v>
      </c>
      <c r="C250" s="65" t="s">
        <v>303</v>
      </c>
      <c r="D250" s="58" t="s">
        <v>76</v>
      </c>
      <c r="E250" s="65">
        <v>16.57</v>
      </c>
      <c r="F250" s="57">
        <v>16.57</v>
      </c>
      <c r="G250" s="103">
        <f t="shared" ref="G250:K250" si="225">G238</f>
        <v>125</v>
      </c>
      <c r="H250" s="67">
        <f t="shared" si="222"/>
        <v>577.5</v>
      </c>
      <c r="I250" s="103">
        <f t="shared" si="225"/>
        <v>550</v>
      </c>
      <c r="J250" s="74">
        <f t="shared" si="225"/>
        <v>0.05</v>
      </c>
      <c r="K250" s="67">
        <f t="shared" si="225"/>
        <v>125</v>
      </c>
      <c r="L250" s="67">
        <f>(G250+H250+K250)*$L$5</f>
        <v>49.65</v>
      </c>
      <c r="M250" s="67">
        <f>(G250+H250+K250+L250)*$M$5</f>
        <v>26.3145</v>
      </c>
      <c r="N250" s="67">
        <f t="shared" si="163"/>
        <v>1355.19675</v>
      </c>
      <c r="O250" s="67"/>
      <c r="P250" s="67">
        <f t="shared" si="223"/>
        <v>22455.6101475</v>
      </c>
      <c r="Q250" s="82">
        <f t="shared" si="224"/>
        <v>22455.6101475</v>
      </c>
      <c r="R250" s="116"/>
      <c r="S250" s="115"/>
    </row>
    <row r="251" s="100" customFormat="1" ht="64.8" outlineLevel="1" spans="1:19">
      <c r="A251" s="65">
        <v>204</v>
      </c>
      <c r="B251" s="65" t="s">
        <v>136</v>
      </c>
      <c r="C251" s="65" t="s">
        <v>304</v>
      </c>
      <c r="D251" s="58" t="s">
        <v>76</v>
      </c>
      <c r="E251" s="65">
        <v>4.89</v>
      </c>
      <c r="F251" s="57">
        <v>4.89</v>
      </c>
      <c r="G251" s="103">
        <f t="shared" ref="G251:K251" si="226">G239</f>
        <v>185</v>
      </c>
      <c r="H251" s="67">
        <f t="shared" si="222"/>
        <v>441</v>
      </c>
      <c r="I251" s="103">
        <f t="shared" si="226"/>
        <v>420</v>
      </c>
      <c r="J251" s="74">
        <f t="shared" si="226"/>
        <v>0.05</v>
      </c>
      <c r="K251" s="67">
        <f t="shared" si="226"/>
        <v>165</v>
      </c>
      <c r="L251" s="67">
        <f>(G251+H251+K251)*$L$5</f>
        <v>47.46</v>
      </c>
      <c r="M251" s="67">
        <f>(G251+H251+K251+L251)*$M$5</f>
        <v>25.1538</v>
      </c>
      <c r="N251" s="67">
        <f t="shared" si="163"/>
        <v>1295.4207</v>
      </c>
      <c r="O251" s="67"/>
      <c r="P251" s="67">
        <f t="shared" si="223"/>
        <v>6334.607223</v>
      </c>
      <c r="Q251" s="82">
        <f t="shared" si="224"/>
        <v>6334.607223</v>
      </c>
      <c r="R251" s="116"/>
      <c r="S251" s="115"/>
    </row>
    <row r="252" s="100" customFormat="1" ht="64.8" outlineLevel="1" spans="1:19">
      <c r="A252" s="65">
        <v>205</v>
      </c>
      <c r="B252" s="65" t="s">
        <v>136</v>
      </c>
      <c r="C252" s="65" t="s">
        <v>305</v>
      </c>
      <c r="D252" s="58" t="s">
        <v>76</v>
      </c>
      <c r="E252" s="65">
        <v>5.68</v>
      </c>
      <c r="F252" s="57">
        <v>5.68</v>
      </c>
      <c r="G252" s="103">
        <f t="shared" ref="G252:K252" si="227">G239</f>
        <v>185</v>
      </c>
      <c r="H252" s="67">
        <f t="shared" si="222"/>
        <v>441</v>
      </c>
      <c r="I252" s="103">
        <f t="shared" si="227"/>
        <v>420</v>
      </c>
      <c r="J252" s="74">
        <f t="shared" si="227"/>
        <v>0.05</v>
      </c>
      <c r="K252" s="67">
        <f t="shared" si="227"/>
        <v>165</v>
      </c>
      <c r="L252" s="67">
        <f>(G252+H252+K252)*$L$5</f>
        <v>47.46</v>
      </c>
      <c r="M252" s="67">
        <f>(G252+H252+K252+L252)*$M$5</f>
        <v>25.1538</v>
      </c>
      <c r="N252" s="67">
        <f t="shared" si="163"/>
        <v>1295.4207</v>
      </c>
      <c r="O252" s="67"/>
      <c r="P252" s="67">
        <f t="shared" si="223"/>
        <v>7357.989576</v>
      </c>
      <c r="Q252" s="82">
        <f t="shared" si="224"/>
        <v>7357.989576</v>
      </c>
      <c r="R252" s="116"/>
      <c r="S252" s="115"/>
    </row>
    <row r="253" s="100" customFormat="1" outlineLevel="1" spans="1:19">
      <c r="A253" s="65">
        <v>206</v>
      </c>
      <c r="B253" s="65" t="s">
        <v>306</v>
      </c>
      <c r="C253" s="65" t="s">
        <v>307</v>
      </c>
      <c r="D253" s="58" t="s">
        <v>76</v>
      </c>
      <c r="E253" s="65">
        <v>2.33</v>
      </c>
      <c r="F253" s="57">
        <v>2.33</v>
      </c>
      <c r="G253" s="103">
        <f t="shared" ref="G253:K253" si="228">G241</f>
        <v>220</v>
      </c>
      <c r="H253" s="67">
        <f t="shared" si="222"/>
        <v>399</v>
      </c>
      <c r="I253" s="103">
        <f t="shared" si="228"/>
        <v>380</v>
      </c>
      <c r="J253" s="74">
        <f t="shared" si="228"/>
        <v>0.05</v>
      </c>
      <c r="K253" s="67">
        <f t="shared" si="228"/>
        <v>190</v>
      </c>
      <c r="L253" s="67">
        <f>(G253+H253+K253)*$L$5</f>
        <v>48.54</v>
      </c>
      <c r="M253" s="67">
        <f>(G253+H253+K253+L253)*$M$5</f>
        <v>25.7262</v>
      </c>
      <c r="N253" s="67">
        <f t="shared" si="163"/>
        <v>1324.8993</v>
      </c>
      <c r="O253" s="67"/>
      <c r="P253" s="67">
        <f t="shared" si="223"/>
        <v>3087.015369</v>
      </c>
      <c r="Q253" s="82">
        <f t="shared" si="224"/>
        <v>3087.015369</v>
      </c>
      <c r="R253" s="116"/>
      <c r="S253" s="115"/>
    </row>
    <row r="254" s="100" customFormat="1" outlineLevel="1" spans="1:19">
      <c r="A254" s="65"/>
      <c r="B254" s="65"/>
      <c r="C254" s="65"/>
      <c r="D254" s="58"/>
      <c r="E254" s="65"/>
      <c r="F254" s="57"/>
      <c r="G254" s="103"/>
      <c r="H254" s="67"/>
      <c r="I254" s="103"/>
      <c r="J254" s="74"/>
      <c r="K254" s="67"/>
      <c r="L254" s="67"/>
      <c r="M254" s="67"/>
      <c r="N254" s="67">
        <f t="shared" si="163"/>
        <v>0</v>
      </c>
      <c r="O254" s="67"/>
      <c r="P254" s="67"/>
      <c r="Q254" s="82">
        <f t="shared" si="224"/>
        <v>0</v>
      </c>
      <c r="R254" s="116"/>
      <c r="S254" s="115"/>
    </row>
    <row r="255" s="100" customFormat="1" ht="43.2" outlineLevel="1" spans="1:19">
      <c r="A255" s="65">
        <v>207</v>
      </c>
      <c r="B255" s="65" t="s">
        <v>308</v>
      </c>
      <c r="C255" s="65" t="s">
        <v>309</v>
      </c>
      <c r="D255" s="58" t="s">
        <v>76</v>
      </c>
      <c r="E255" s="65">
        <v>56.38</v>
      </c>
      <c r="F255" s="57">
        <v>56.38</v>
      </c>
      <c r="G255" s="103">
        <f t="shared" ref="G255:K255" si="229">G242</f>
        <v>20</v>
      </c>
      <c r="H255" s="67">
        <f t="shared" ref="H255:H259" si="230">I255*(1+J255)</f>
        <v>36.75</v>
      </c>
      <c r="I255" s="103">
        <f t="shared" si="229"/>
        <v>35</v>
      </c>
      <c r="J255" s="74">
        <f t="shared" si="229"/>
        <v>0.05</v>
      </c>
      <c r="K255" s="67">
        <f t="shared" si="229"/>
        <v>8</v>
      </c>
      <c r="L255" s="67">
        <f>(G255+H255+K255)*$L$5</f>
        <v>3.885</v>
      </c>
      <c r="M255" s="67">
        <f>(G255+H255+K255+L255)*$M$5</f>
        <v>2.05905</v>
      </c>
      <c r="N255" s="67">
        <f t="shared" si="163"/>
        <v>106.041075</v>
      </c>
      <c r="O255" s="67"/>
      <c r="P255" s="67">
        <f t="shared" ref="P255:P259" si="231">N255*E255</f>
        <v>5978.5958085</v>
      </c>
      <c r="Q255" s="82">
        <f t="shared" si="224"/>
        <v>5978.5958085</v>
      </c>
      <c r="R255" s="116"/>
      <c r="S255" s="115"/>
    </row>
    <row r="256" s="100" customFormat="1" ht="43.2" outlineLevel="1" spans="1:19">
      <c r="A256" s="65">
        <v>208</v>
      </c>
      <c r="B256" s="65" t="s">
        <v>310</v>
      </c>
      <c r="C256" s="65" t="s">
        <v>311</v>
      </c>
      <c r="D256" s="58" t="s">
        <v>76</v>
      </c>
      <c r="E256" s="65">
        <v>12.46</v>
      </c>
      <c r="F256" s="57">
        <v>12.46</v>
      </c>
      <c r="G256" s="103">
        <f t="shared" ref="G256:K256" si="232">G243</f>
        <v>220</v>
      </c>
      <c r="H256" s="67">
        <f t="shared" si="230"/>
        <v>181.5</v>
      </c>
      <c r="I256" s="103">
        <f t="shared" si="232"/>
        <v>165</v>
      </c>
      <c r="J256" s="74">
        <f t="shared" si="232"/>
        <v>0.1</v>
      </c>
      <c r="K256" s="67">
        <f t="shared" si="232"/>
        <v>50</v>
      </c>
      <c r="L256" s="67">
        <f>(G256+H256+K256)*$L$5</f>
        <v>27.09</v>
      </c>
      <c r="M256" s="67">
        <f>(G256+H256+K256+L256)*$M$5</f>
        <v>14.3577</v>
      </c>
      <c r="N256" s="67">
        <f t="shared" si="163"/>
        <v>739.42155</v>
      </c>
      <c r="O256" s="67"/>
      <c r="P256" s="67">
        <f t="shared" si="231"/>
        <v>9213.192513</v>
      </c>
      <c r="Q256" s="82">
        <f t="shared" si="224"/>
        <v>9213.192513</v>
      </c>
      <c r="R256" s="116" t="str">
        <f>R196</f>
        <v>立邦</v>
      </c>
      <c r="S256" s="115"/>
    </row>
    <row r="257" s="100" customFormat="1" ht="43.2" outlineLevel="1" spans="1:19">
      <c r="A257" s="65">
        <v>209</v>
      </c>
      <c r="B257" s="65" t="s">
        <v>217</v>
      </c>
      <c r="C257" s="65" t="s">
        <v>259</v>
      </c>
      <c r="D257" s="58" t="s">
        <v>76</v>
      </c>
      <c r="E257" s="65">
        <v>3.84</v>
      </c>
      <c r="F257" s="57">
        <v>3.84</v>
      </c>
      <c r="G257" s="103">
        <f t="shared" ref="G257:K257" si="233">G151</f>
        <v>150</v>
      </c>
      <c r="H257" s="67">
        <f t="shared" si="230"/>
        <v>682.5</v>
      </c>
      <c r="I257" s="103">
        <f t="shared" si="233"/>
        <v>650</v>
      </c>
      <c r="J257" s="74">
        <f t="shared" si="233"/>
        <v>0.05</v>
      </c>
      <c r="K257" s="67">
        <f t="shared" si="233"/>
        <v>100</v>
      </c>
      <c r="L257" s="67">
        <f>(G257+H257+K257)*$L$5</f>
        <v>55.95</v>
      </c>
      <c r="M257" s="67">
        <f>(G257+H257+K257+L257)*$M$5</f>
        <v>29.6535</v>
      </c>
      <c r="N257" s="67">
        <f t="shared" si="163"/>
        <v>1527.15525</v>
      </c>
      <c r="O257" s="67"/>
      <c r="P257" s="67">
        <f t="shared" si="231"/>
        <v>5864.27616</v>
      </c>
      <c r="Q257" s="82">
        <f t="shared" si="224"/>
        <v>5864.27616</v>
      </c>
      <c r="R257" s="116"/>
      <c r="S257" s="115"/>
    </row>
    <row r="258" s="100" customFormat="1" ht="43.2" outlineLevel="1" spans="1:19">
      <c r="A258" s="65">
        <v>210</v>
      </c>
      <c r="B258" s="65" t="s">
        <v>95</v>
      </c>
      <c r="C258" s="65" t="s">
        <v>313</v>
      </c>
      <c r="D258" s="58" t="s">
        <v>76</v>
      </c>
      <c r="E258" s="65">
        <v>2.56</v>
      </c>
      <c r="F258" s="57">
        <v>2.56</v>
      </c>
      <c r="G258" s="103">
        <f t="shared" ref="G258:K258" si="234">G152</f>
        <v>165</v>
      </c>
      <c r="H258" s="67">
        <f t="shared" si="230"/>
        <v>315</v>
      </c>
      <c r="I258" s="103">
        <f t="shared" si="234"/>
        <v>300</v>
      </c>
      <c r="J258" s="74">
        <f t="shared" si="234"/>
        <v>0.05</v>
      </c>
      <c r="K258" s="67">
        <f t="shared" si="234"/>
        <v>135</v>
      </c>
      <c r="L258" s="67">
        <f>(G258+H258+K258)*$L$5</f>
        <v>36.9</v>
      </c>
      <c r="M258" s="67">
        <f>(G258+H258+K258+L258)*$M$5</f>
        <v>19.557</v>
      </c>
      <c r="N258" s="67">
        <f t="shared" ref="N258:N280" si="235">(G258+H258+K258+L258+M258)*1.5</f>
        <v>1007.1855</v>
      </c>
      <c r="O258" s="67"/>
      <c r="P258" s="67">
        <f t="shared" si="231"/>
        <v>2578.39488</v>
      </c>
      <c r="Q258" s="82">
        <f t="shared" si="224"/>
        <v>2578.39488</v>
      </c>
      <c r="R258" s="116" t="str">
        <f>R225</f>
        <v>厂家定制</v>
      </c>
      <c r="S258" s="115"/>
    </row>
    <row r="259" s="100" customFormat="1" ht="43.2" outlineLevel="1" spans="1:19">
      <c r="A259" s="65">
        <v>211</v>
      </c>
      <c r="B259" s="65" t="s">
        <v>187</v>
      </c>
      <c r="C259" s="65" t="s">
        <v>312</v>
      </c>
      <c r="D259" s="58" t="s">
        <v>108</v>
      </c>
      <c r="E259" s="65">
        <v>2</v>
      </c>
      <c r="F259" s="57">
        <v>2</v>
      </c>
      <c r="G259" s="103">
        <f t="shared" ref="G259:K259" si="236">G153</f>
        <v>300</v>
      </c>
      <c r="H259" s="67">
        <f t="shared" si="230"/>
        <v>1111</v>
      </c>
      <c r="I259" s="103">
        <f t="shared" si="236"/>
        <v>1100</v>
      </c>
      <c r="J259" s="74">
        <f t="shared" si="236"/>
        <v>0.01</v>
      </c>
      <c r="K259" s="67">
        <f t="shared" si="236"/>
        <v>310</v>
      </c>
      <c r="L259" s="67">
        <f>(G259+H259+K259)*$L$5</f>
        <v>103.26</v>
      </c>
      <c r="M259" s="67">
        <f>(G259+H259+K259+L259)*$M$5</f>
        <v>54.7278</v>
      </c>
      <c r="N259" s="67">
        <f t="shared" si="235"/>
        <v>2818.4817</v>
      </c>
      <c r="O259" s="67"/>
      <c r="P259" s="67">
        <f t="shared" si="231"/>
        <v>5636.9634</v>
      </c>
      <c r="Q259" s="82">
        <f t="shared" si="224"/>
        <v>5636.9634</v>
      </c>
      <c r="R259" s="116" t="str">
        <f>R231</f>
        <v>厂家定制</v>
      </c>
      <c r="S259" s="115"/>
    </row>
    <row r="260" s="100" customFormat="1" spans="1:19">
      <c r="A260" s="65"/>
      <c r="B260" s="65" t="s">
        <v>316</v>
      </c>
      <c r="C260" s="65"/>
      <c r="D260" s="58"/>
      <c r="E260" s="65"/>
      <c r="F260" s="57"/>
      <c r="G260" s="103"/>
      <c r="H260" s="67"/>
      <c r="I260" s="103"/>
      <c r="J260" s="74"/>
      <c r="K260" s="67"/>
      <c r="L260" s="67"/>
      <c r="M260" s="67"/>
      <c r="N260" s="67">
        <f t="shared" si="235"/>
        <v>0</v>
      </c>
      <c r="O260" s="67"/>
      <c r="P260" s="67"/>
      <c r="Q260" s="82"/>
      <c r="R260" s="116"/>
      <c r="S260" s="115"/>
    </row>
    <row r="261" s="100" customFormat="1" ht="54" outlineLevel="1" spans="1:19">
      <c r="A261" s="65">
        <v>212</v>
      </c>
      <c r="B261" s="65" t="s">
        <v>95</v>
      </c>
      <c r="C261" s="65" t="s">
        <v>317</v>
      </c>
      <c r="D261" s="58" t="s">
        <v>76</v>
      </c>
      <c r="E261" s="65">
        <v>57.13</v>
      </c>
      <c r="F261" s="57">
        <v>57.13</v>
      </c>
      <c r="G261" s="103">
        <f t="shared" ref="G261:K261" si="237">G118</f>
        <v>155</v>
      </c>
      <c r="H261" s="67">
        <f t="shared" ref="H261:H263" si="238">I261*(1+J261)</f>
        <v>315</v>
      </c>
      <c r="I261" s="103">
        <f t="shared" si="237"/>
        <v>300</v>
      </c>
      <c r="J261" s="74">
        <f>J152</f>
        <v>0.05</v>
      </c>
      <c r="K261" s="103">
        <f t="shared" si="237"/>
        <v>80</v>
      </c>
      <c r="L261" s="67">
        <f>(G261+H261+K261)*$L$5</f>
        <v>33</v>
      </c>
      <c r="M261" s="67">
        <f>(G261+H261+K261+L261)*$M$5</f>
        <v>17.49</v>
      </c>
      <c r="N261" s="67">
        <f t="shared" si="235"/>
        <v>900.735</v>
      </c>
      <c r="O261" s="67"/>
      <c r="P261" s="67">
        <f t="shared" ref="P261:P263" si="239">N261*E261</f>
        <v>51458.99055</v>
      </c>
      <c r="Q261" s="82">
        <f t="shared" ref="Q261:Q263" si="240">F261*N261</f>
        <v>51458.99055</v>
      </c>
      <c r="R261" s="116" t="str">
        <f>R232</f>
        <v>厂家定制</v>
      </c>
      <c r="S261" s="115"/>
    </row>
    <row r="262" s="100" customFormat="1" ht="54" outlineLevel="1" spans="1:19">
      <c r="A262" s="65">
        <v>213</v>
      </c>
      <c r="B262" s="65" t="s">
        <v>95</v>
      </c>
      <c r="C262" s="65" t="s">
        <v>318</v>
      </c>
      <c r="D262" s="58" t="s">
        <v>76</v>
      </c>
      <c r="E262" s="65">
        <v>67.63</v>
      </c>
      <c r="F262" s="57">
        <v>67.63</v>
      </c>
      <c r="G262" s="103">
        <f t="shared" ref="G262:K262" si="241">G125</f>
        <v>145</v>
      </c>
      <c r="H262" s="67">
        <f t="shared" si="238"/>
        <v>236.25</v>
      </c>
      <c r="I262" s="103">
        <f t="shared" si="241"/>
        <v>225</v>
      </c>
      <c r="J262" s="74">
        <f t="shared" si="241"/>
        <v>0.05</v>
      </c>
      <c r="K262" s="67">
        <f t="shared" si="241"/>
        <v>70</v>
      </c>
      <c r="L262" s="67">
        <f>(G262+H262+K262)*$L$5</f>
        <v>27.075</v>
      </c>
      <c r="M262" s="67">
        <f>(G262+H262+K262+L262)*$M$5</f>
        <v>14.34975</v>
      </c>
      <c r="N262" s="67">
        <f t="shared" si="235"/>
        <v>739.012125</v>
      </c>
      <c r="O262" s="67"/>
      <c r="P262" s="67">
        <f t="shared" si="239"/>
        <v>49979.39001375</v>
      </c>
      <c r="Q262" s="82">
        <f t="shared" si="240"/>
        <v>49979.39001375</v>
      </c>
      <c r="R262" s="116"/>
      <c r="S262" s="115"/>
    </row>
    <row r="263" s="100" customFormat="1" ht="43.2" outlineLevel="1" spans="1:19">
      <c r="A263" s="65">
        <v>214</v>
      </c>
      <c r="B263" s="65" t="s">
        <v>206</v>
      </c>
      <c r="C263" s="65" t="s">
        <v>215</v>
      </c>
      <c r="D263" s="58" t="s">
        <v>111</v>
      </c>
      <c r="E263" s="65">
        <v>2.83</v>
      </c>
      <c r="F263" s="57">
        <v>2.83</v>
      </c>
      <c r="G263" s="103">
        <f t="shared" ref="G263:K263" si="242">G213</f>
        <v>15</v>
      </c>
      <c r="H263" s="67">
        <f t="shared" si="238"/>
        <v>29.4</v>
      </c>
      <c r="I263" s="103">
        <f t="shared" si="242"/>
        <v>28</v>
      </c>
      <c r="J263" s="74">
        <f t="shared" si="242"/>
        <v>0.05</v>
      </c>
      <c r="K263" s="67">
        <f t="shared" si="242"/>
        <v>1</v>
      </c>
      <c r="L263" s="67">
        <f>(G263+H263+K263)*$L$5</f>
        <v>2.724</v>
      </c>
      <c r="M263" s="67">
        <f>(G263+H263+K263+L263)*$M$5</f>
        <v>1.44372</v>
      </c>
      <c r="N263" s="67">
        <f t="shared" si="235"/>
        <v>74.35158</v>
      </c>
      <c r="O263" s="67"/>
      <c r="P263" s="67">
        <f t="shared" si="239"/>
        <v>210.4149714</v>
      </c>
      <c r="Q263" s="82">
        <f t="shared" si="240"/>
        <v>210.4149714</v>
      </c>
      <c r="R263" s="116"/>
      <c r="S263" s="115"/>
    </row>
    <row r="264" s="100" customFormat="1" spans="1:19">
      <c r="A264" s="65"/>
      <c r="B264" s="65" t="s">
        <v>319</v>
      </c>
      <c r="C264" s="65"/>
      <c r="D264" s="58"/>
      <c r="E264" s="65"/>
      <c r="F264" s="57"/>
      <c r="G264" s="103"/>
      <c r="H264" s="67"/>
      <c r="I264" s="103"/>
      <c r="J264" s="74"/>
      <c r="K264" s="67"/>
      <c r="L264" s="67"/>
      <c r="M264" s="67"/>
      <c r="N264" s="67">
        <f t="shared" si="235"/>
        <v>0</v>
      </c>
      <c r="O264" s="67"/>
      <c r="P264" s="67"/>
      <c r="Q264" s="82"/>
      <c r="R264" s="116"/>
      <c r="S264" s="115"/>
    </row>
    <row r="265" s="100" customFormat="1" ht="21.6" outlineLevel="1" spans="1:19">
      <c r="A265" s="65"/>
      <c r="B265" s="65" t="s">
        <v>320</v>
      </c>
      <c r="C265" s="65"/>
      <c r="D265" s="58"/>
      <c r="E265" s="65"/>
      <c r="F265" s="57"/>
      <c r="G265" s="103"/>
      <c r="H265" s="67"/>
      <c r="I265" s="103"/>
      <c r="J265" s="74"/>
      <c r="K265" s="67"/>
      <c r="L265" s="67"/>
      <c r="M265" s="67"/>
      <c r="N265" s="67">
        <f t="shared" si="235"/>
        <v>0</v>
      </c>
      <c r="O265" s="67"/>
      <c r="P265" s="67"/>
      <c r="Q265" s="82"/>
      <c r="R265" s="116"/>
      <c r="S265" s="115"/>
    </row>
    <row r="266" s="100" customFormat="1" ht="32.4" outlineLevel="1" spans="1:19">
      <c r="A266" s="65">
        <v>215</v>
      </c>
      <c r="B266" s="65" t="s">
        <v>321</v>
      </c>
      <c r="C266" s="65" t="s">
        <v>322</v>
      </c>
      <c r="D266" s="58" t="s">
        <v>105</v>
      </c>
      <c r="E266" s="65">
        <v>2</v>
      </c>
      <c r="F266" s="57">
        <v>2</v>
      </c>
      <c r="G266" s="105">
        <f>4.48*2.7*300</f>
        <v>3628.8</v>
      </c>
      <c r="H266" s="67">
        <f>I266*(1+J266)</f>
        <v>17816.4</v>
      </c>
      <c r="I266" s="105">
        <f>4.5*2.8*1400</f>
        <v>17640</v>
      </c>
      <c r="J266" s="110">
        <v>0.01</v>
      </c>
      <c r="K266" s="72">
        <f>4.48*2.8*100</f>
        <v>1254.4</v>
      </c>
      <c r="L266" s="67">
        <f>(G266+H266+K266)*$L$5</f>
        <v>1361.976</v>
      </c>
      <c r="M266" s="67">
        <f>(G266+H266+K266+L266)*$M$5</f>
        <v>721.84728</v>
      </c>
      <c r="N266" s="67">
        <f t="shared" si="235"/>
        <v>37175.13492</v>
      </c>
      <c r="O266" s="67"/>
      <c r="P266" s="67">
        <f>N266*E266</f>
        <v>74350.26984</v>
      </c>
      <c r="Q266" s="82">
        <f>F266*N266</f>
        <v>74350.26984</v>
      </c>
      <c r="R266" s="116"/>
      <c r="S266" s="115"/>
    </row>
    <row r="267" s="100" customFormat="1" outlineLevel="1" spans="1:19">
      <c r="A267" s="65"/>
      <c r="B267" s="65" t="s">
        <v>238</v>
      </c>
      <c r="C267" s="65"/>
      <c r="D267" s="58"/>
      <c r="E267" s="65"/>
      <c r="F267" s="57"/>
      <c r="G267" s="103"/>
      <c r="H267" s="67"/>
      <c r="I267" s="103"/>
      <c r="J267" s="74"/>
      <c r="K267" s="67"/>
      <c r="L267" s="67"/>
      <c r="M267" s="67"/>
      <c r="N267" s="67">
        <f t="shared" si="235"/>
        <v>0</v>
      </c>
      <c r="O267" s="67"/>
      <c r="P267" s="67"/>
      <c r="Q267" s="82"/>
      <c r="R267" s="116"/>
      <c r="S267" s="115"/>
    </row>
    <row r="268" s="100" customFormat="1" ht="86.4" outlineLevel="1" spans="1:19">
      <c r="A268" s="65">
        <v>216</v>
      </c>
      <c r="B268" s="65" t="s">
        <v>323</v>
      </c>
      <c r="C268" s="125" t="s">
        <v>324</v>
      </c>
      <c r="D268" s="58" t="s">
        <v>105</v>
      </c>
      <c r="E268" s="65">
        <v>1</v>
      </c>
      <c r="F268" s="57">
        <v>1</v>
      </c>
      <c r="G268" s="103">
        <v>13000</v>
      </c>
      <c r="H268" s="106">
        <f>I268*(1+J268)</f>
        <v>23230</v>
      </c>
      <c r="I268" s="114">
        <v>23000</v>
      </c>
      <c r="J268" s="93">
        <v>0.01</v>
      </c>
      <c r="K268" s="106">
        <v>3500</v>
      </c>
      <c r="L268" s="106">
        <f>(G268+H268+K268)*$L$5</f>
        <v>2383.8</v>
      </c>
      <c r="M268" s="106">
        <f>(G268+H268+K268+L268)*$M$5</f>
        <v>1263.414</v>
      </c>
      <c r="N268" s="67">
        <f t="shared" si="235"/>
        <v>65065.821</v>
      </c>
      <c r="O268" s="67"/>
      <c r="P268" s="106">
        <f>N268*E268</f>
        <v>65065.821</v>
      </c>
      <c r="Q268" s="82">
        <f>F268*N268</f>
        <v>65065.821</v>
      </c>
      <c r="R268" s="116"/>
      <c r="S268" s="115"/>
    </row>
    <row r="269" s="100" customFormat="1" ht="32.4" outlineLevel="1" spans="1:19">
      <c r="A269" s="65"/>
      <c r="B269" s="65" t="s">
        <v>325</v>
      </c>
      <c r="C269" s="65"/>
      <c r="D269" s="58"/>
      <c r="E269" s="65"/>
      <c r="F269" s="57"/>
      <c r="G269" s="103"/>
      <c r="H269" s="67"/>
      <c r="I269" s="103"/>
      <c r="J269" s="74"/>
      <c r="K269" s="67"/>
      <c r="L269" s="67"/>
      <c r="M269" s="67"/>
      <c r="N269" s="67">
        <f t="shared" si="235"/>
        <v>0</v>
      </c>
      <c r="O269" s="67"/>
      <c r="P269" s="67"/>
      <c r="Q269" s="82"/>
      <c r="R269" s="116"/>
      <c r="S269" s="115"/>
    </row>
    <row r="270" s="100" customFormat="1" ht="86.4" outlineLevel="1" spans="1:19">
      <c r="A270" s="65">
        <v>217</v>
      </c>
      <c r="B270" s="65" t="s">
        <v>326</v>
      </c>
      <c r="C270" s="125" t="s">
        <v>327</v>
      </c>
      <c r="D270" s="58" t="s">
        <v>105</v>
      </c>
      <c r="E270" s="65">
        <v>4</v>
      </c>
      <c r="F270" s="57">
        <v>4</v>
      </c>
      <c r="G270" s="105">
        <v>1500</v>
      </c>
      <c r="H270" s="106">
        <f>I270*(1+J270)</f>
        <v>3232</v>
      </c>
      <c r="I270" s="105">
        <v>3200</v>
      </c>
      <c r="J270" s="88">
        <v>0.01</v>
      </c>
      <c r="K270" s="72">
        <v>550</v>
      </c>
      <c r="L270" s="106">
        <f>(G270+H270+K270)*$L$5</f>
        <v>316.92</v>
      </c>
      <c r="M270" s="106">
        <f>(G270+H270+K270+L270)*$M$5</f>
        <v>167.9676</v>
      </c>
      <c r="N270" s="67">
        <f t="shared" si="235"/>
        <v>8650.3314</v>
      </c>
      <c r="O270" s="67"/>
      <c r="P270" s="106">
        <f>N270*E270</f>
        <v>34601.3256</v>
      </c>
      <c r="Q270" s="82">
        <f>F270*N270</f>
        <v>34601.3256</v>
      </c>
      <c r="R270" s="116"/>
      <c r="S270" s="115"/>
    </row>
    <row r="271" s="100" customFormat="1" ht="32.4" outlineLevel="1" spans="1:19">
      <c r="A271" s="65"/>
      <c r="B271" s="65" t="s">
        <v>328</v>
      </c>
      <c r="C271" s="65"/>
      <c r="D271" s="58"/>
      <c r="E271" s="65"/>
      <c r="F271" s="57"/>
      <c r="G271" s="103"/>
      <c r="H271" s="67"/>
      <c r="I271" s="103"/>
      <c r="J271" s="74"/>
      <c r="K271" s="67"/>
      <c r="L271" s="67"/>
      <c r="M271" s="67"/>
      <c r="N271" s="67">
        <f t="shared" si="235"/>
        <v>0</v>
      </c>
      <c r="O271" s="67"/>
      <c r="P271" s="67"/>
      <c r="Q271" s="82"/>
      <c r="R271" s="116"/>
      <c r="S271" s="115"/>
    </row>
    <row r="272" s="100" customFormat="1" ht="75.6" outlineLevel="1" spans="1:19">
      <c r="A272" s="65">
        <v>218</v>
      </c>
      <c r="B272" s="65" t="s">
        <v>326</v>
      </c>
      <c r="C272" s="65" t="s">
        <v>329</v>
      </c>
      <c r="D272" s="58" t="s">
        <v>105</v>
      </c>
      <c r="E272" s="65">
        <v>6</v>
      </c>
      <c r="F272" s="57">
        <v>6</v>
      </c>
      <c r="G272" s="103">
        <f t="shared" ref="G272:K272" si="243">G270</f>
        <v>1500</v>
      </c>
      <c r="H272" s="106">
        <f>I272*(1+J272)</f>
        <v>2424</v>
      </c>
      <c r="I272" s="112">
        <f>I270-800</f>
        <v>2400</v>
      </c>
      <c r="J272" s="93">
        <f t="shared" si="243"/>
        <v>0.01</v>
      </c>
      <c r="K272" s="106">
        <f t="shared" si="243"/>
        <v>550</v>
      </c>
      <c r="L272" s="106">
        <f>(G272+H272+K272)*$L$5</f>
        <v>268.44</v>
      </c>
      <c r="M272" s="106">
        <f>(G272+H272+K272+L272)*$M$5</f>
        <v>142.2732</v>
      </c>
      <c r="N272" s="67">
        <f t="shared" si="235"/>
        <v>7327.0698</v>
      </c>
      <c r="O272" s="67"/>
      <c r="P272" s="106">
        <f>N272*E272</f>
        <v>43962.4188</v>
      </c>
      <c r="Q272" s="82">
        <f>F272*N272</f>
        <v>43962.4188</v>
      </c>
      <c r="R272" s="116"/>
      <c r="S272" s="115"/>
    </row>
    <row r="273" s="100" customFormat="1" ht="22" customHeight="1" outlineLevel="1" spans="1:19">
      <c r="A273" s="65"/>
      <c r="B273" s="65" t="s">
        <v>330</v>
      </c>
      <c r="C273" s="65"/>
      <c r="D273" s="58"/>
      <c r="E273" s="65"/>
      <c r="F273" s="57"/>
      <c r="G273" s="103"/>
      <c r="H273" s="67"/>
      <c r="I273" s="103"/>
      <c r="J273" s="74"/>
      <c r="K273" s="67"/>
      <c r="L273" s="67"/>
      <c r="M273" s="67"/>
      <c r="N273" s="67">
        <f t="shared" si="235"/>
        <v>0</v>
      </c>
      <c r="O273" s="67"/>
      <c r="P273" s="67"/>
      <c r="Q273" s="82"/>
      <c r="R273" s="116"/>
      <c r="S273" s="115"/>
    </row>
    <row r="274" s="100" customFormat="1" ht="75.6" outlineLevel="1" spans="1:19">
      <c r="A274" s="84">
        <v>219</v>
      </c>
      <c r="B274" s="84" t="s">
        <v>326</v>
      </c>
      <c r="C274" s="84" t="s">
        <v>331</v>
      </c>
      <c r="D274" s="92" t="s">
        <v>105</v>
      </c>
      <c r="E274" s="84">
        <v>1</v>
      </c>
      <c r="F274" s="85">
        <v>1</v>
      </c>
      <c r="G274" s="112">
        <f t="shared" ref="G274:K274" si="244">G270</f>
        <v>1500</v>
      </c>
      <c r="H274" s="106">
        <f>I274*(1+J274)</f>
        <v>3232</v>
      </c>
      <c r="I274" s="112">
        <f t="shared" si="244"/>
        <v>3200</v>
      </c>
      <c r="J274" s="90">
        <f t="shared" si="244"/>
        <v>0.01</v>
      </c>
      <c r="K274" s="113">
        <f t="shared" si="244"/>
        <v>550</v>
      </c>
      <c r="L274" s="106">
        <f>(G274+H274+K274)*$L$5</f>
        <v>316.92</v>
      </c>
      <c r="M274" s="106">
        <f>(G274+H274+K274+L274)*$M$5</f>
        <v>167.9676</v>
      </c>
      <c r="N274" s="67">
        <f t="shared" si="235"/>
        <v>8650.3314</v>
      </c>
      <c r="O274" s="67"/>
      <c r="P274" s="106">
        <f>N274*E274</f>
        <v>8650.3314</v>
      </c>
      <c r="Q274" s="82">
        <f>F274*N274</f>
        <v>8650.3314</v>
      </c>
      <c r="R274" s="147"/>
      <c r="S274" s="115"/>
    </row>
    <row r="275" s="100" customFormat="1" ht="22" customHeight="1" outlineLevel="1" spans="1:19">
      <c r="A275" s="65"/>
      <c r="B275" s="65" t="s">
        <v>332</v>
      </c>
      <c r="C275" s="65"/>
      <c r="D275" s="58"/>
      <c r="E275" s="65"/>
      <c r="F275" s="57"/>
      <c r="G275" s="103"/>
      <c r="H275" s="67"/>
      <c r="I275" s="103"/>
      <c r="J275" s="74"/>
      <c r="K275" s="67"/>
      <c r="L275" s="67"/>
      <c r="M275" s="67"/>
      <c r="N275" s="67">
        <f t="shared" si="235"/>
        <v>0</v>
      </c>
      <c r="O275" s="67"/>
      <c r="P275" s="67"/>
      <c r="Q275" s="82"/>
      <c r="R275" s="116"/>
      <c r="S275" s="115"/>
    </row>
    <row r="276" s="21" customFormat="1" ht="75.6" outlineLevel="1" spans="1:23">
      <c r="A276" s="84">
        <v>220</v>
      </c>
      <c r="B276" s="84" t="s">
        <v>326</v>
      </c>
      <c r="C276" s="84" t="s">
        <v>333</v>
      </c>
      <c r="D276" s="92" t="s">
        <v>105</v>
      </c>
      <c r="E276" s="84">
        <v>1</v>
      </c>
      <c r="F276" s="85">
        <v>1</v>
      </c>
      <c r="G276" s="103">
        <f>G274*1.65</f>
        <v>2475</v>
      </c>
      <c r="H276" s="67">
        <f>I276*(1+J276)</f>
        <v>5332.8</v>
      </c>
      <c r="I276" s="103">
        <f>I274*1.65</f>
        <v>5280</v>
      </c>
      <c r="J276" s="74">
        <f>J274</f>
        <v>0.01</v>
      </c>
      <c r="K276" s="67">
        <f>K274*1.6</f>
        <v>880</v>
      </c>
      <c r="L276" s="67">
        <f>(G276+H276+K276)*$L$5</f>
        <v>521.268</v>
      </c>
      <c r="M276" s="67">
        <f>(G276+H276+K276+L276)*$M$5</f>
        <v>276.27204</v>
      </c>
      <c r="N276" s="67">
        <f t="shared" si="235"/>
        <v>14228.01006</v>
      </c>
      <c r="O276" s="67"/>
      <c r="P276" s="67">
        <f>N276*E276</f>
        <v>14228.01006</v>
      </c>
      <c r="Q276" s="82">
        <f>F276*N276</f>
        <v>14228.01006</v>
      </c>
      <c r="R276" s="116"/>
      <c r="S276" s="102"/>
      <c r="T276" s="100"/>
      <c r="U276" s="100"/>
      <c r="V276" s="100"/>
      <c r="W276" s="100"/>
    </row>
    <row r="277" s="21" customFormat="1" outlineLevel="1" spans="1:23">
      <c r="A277" s="65"/>
      <c r="B277" s="65" t="s">
        <v>146</v>
      </c>
      <c r="C277" s="65"/>
      <c r="D277" s="58"/>
      <c r="E277" s="65"/>
      <c r="F277" s="57"/>
      <c r="G277" s="103"/>
      <c r="H277" s="67"/>
      <c r="I277" s="103"/>
      <c r="J277" s="74"/>
      <c r="K277" s="67"/>
      <c r="L277" s="67"/>
      <c r="M277" s="67"/>
      <c r="N277" s="67">
        <f t="shared" si="235"/>
        <v>0</v>
      </c>
      <c r="O277" s="67"/>
      <c r="P277" s="67"/>
      <c r="Q277" s="82"/>
      <c r="R277" s="116"/>
      <c r="S277" s="102"/>
      <c r="T277" s="100"/>
      <c r="U277" s="100"/>
      <c r="V277" s="100"/>
      <c r="W277" s="100"/>
    </row>
    <row r="278" s="21" customFormat="1" ht="86.4" outlineLevel="1" spans="1:23">
      <c r="A278" s="132">
        <v>221</v>
      </c>
      <c r="B278" s="132" t="s">
        <v>146</v>
      </c>
      <c r="C278" s="133" t="s">
        <v>334</v>
      </c>
      <c r="D278" s="134" t="s">
        <v>111</v>
      </c>
      <c r="E278" s="132">
        <v>13.2</v>
      </c>
      <c r="F278" s="135">
        <v>13.2</v>
      </c>
      <c r="G278" s="161">
        <v>850</v>
      </c>
      <c r="H278" s="39">
        <f>I278*(1+J278)</f>
        <v>3838</v>
      </c>
      <c r="I278" s="161">
        <v>3800</v>
      </c>
      <c r="J278" s="88">
        <v>0.01</v>
      </c>
      <c r="K278" s="164">
        <v>850</v>
      </c>
      <c r="L278" s="39">
        <f>(G278+H278+K278)*$L$5</f>
        <v>332.28</v>
      </c>
      <c r="M278" s="39">
        <f>(G278+H278+K278+L278)*$M$5</f>
        <v>176.1084</v>
      </c>
      <c r="N278" s="67">
        <f t="shared" si="235"/>
        <v>9069.5826</v>
      </c>
      <c r="O278" s="67"/>
      <c r="P278" s="39">
        <f>N278*E278</f>
        <v>119718.49032</v>
      </c>
      <c r="Q278" s="82">
        <f>F278*N278</f>
        <v>119718.49032</v>
      </c>
      <c r="R278" s="39"/>
      <c r="S278" s="102"/>
      <c r="T278" s="100"/>
      <c r="U278" s="100"/>
      <c r="V278" s="100"/>
      <c r="W278" s="100"/>
    </row>
    <row r="279" s="21" customFormat="1" ht="226.8" spans="1:23">
      <c r="A279" s="151">
        <v>222</v>
      </c>
      <c r="B279" s="125" t="s">
        <v>86</v>
      </c>
      <c r="C279" s="104" t="s">
        <v>335</v>
      </c>
      <c r="D279" s="151" t="s">
        <v>76</v>
      </c>
      <c r="E279" s="104">
        <v>103.75</v>
      </c>
      <c r="F279" s="152">
        <v>103.75</v>
      </c>
      <c r="G279" s="125">
        <v>95</v>
      </c>
      <c r="H279" s="125">
        <f>I279*(1+J279)</f>
        <v>48.6</v>
      </c>
      <c r="I279" s="125">
        <v>45</v>
      </c>
      <c r="J279" s="165">
        <f>J76</f>
        <v>0.08</v>
      </c>
      <c r="K279" s="125">
        <v>45</v>
      </c>
      <c r="L279" s="67">
        <f>(G279+H279+K279)*$L$5</f>
        <v>11.316</v>
      </c>
      <c r="M279" s="67">
        <f>(G279+H279+K279+L279)*$M$5</f>
        <v>5.99748</v>
      </c>
      <c r="N279" s="67">
        <f t="shared" si="235"/>
        <v>308.87022</v>
      </c>
      <c r="O279" s="67"/>
      <c r="P279" s="67">
        <f>N279*E279</f>
        <v>32045.285325</v>
      </c>
      <c r="Q279" s="118">
        <f>F279*N279</f>
        <v>32045.285325</v>
      </c>
      <c r="R279" s="125" t="s">
        <v>336</v>
      </c>
      <c r="S279" s="102"/>
      <c r="T279" s="100"/>
      <c r="U279" s="100"/>
      <c r="V279" s="100"/>
      <c r="W279" s="100"/>
    </row>
    <row r="280" s="21" customFormat="1" ht="216" spans="1:23">
      <c r="A280" s="151">
        <v>223</v>
      </c>
      <c r="B280" s="125" t="s">
        <v>86</v>
      </c>
      <c r="C280" s="125" t="s">
        <v>337</v>
      </c>
      <c r="D280" s="151" t="s">
        <v>76</v>
      </c>
      <c r="E280" s="104">
        <v>2.22</v>
      </c>
      <c r="F280" s="152">
        <v>2.22</v>
      </c>
      <c r="G280" s="125">
        <f>G279</f>
        <v>95</v>
      </c>
      <c r="H280" s="125">
        <f>I280*(1+J280)</f>
        <v>48.6</v>
      </c>
      <c r="I280" s="125">
        <f>I279</f>
        <v>45</v>
      </c>
      <c r="J280" s="165">
        <f>J279</f>
        <v>0.08</v>
      </c>
      <c r="K280" s="125">
        <f>K279</f>
        <v>45</v>
      </c>
      <c r="L280" s="67">
        <f>(G280+H280+K280)*$L$5</f>
        <v>11.316</v>
      </c>
      <c r="M280" s="67">
        <f>(G280+H280+K280+L280)*$M$5</f>
        <v>5.99748</v>
      </c>
      <c r="N280" s="67">
        <f t="shared" si="235"/>
        <v>308.87022</v>
      </c>
      <c r="O280" s="67"/>
      <c r="P280" s="67">
        <f>N280*E280</f>
        <v>685.6918884</v>
      </c>
      <c r="Q280" s="118">
        <f>F280*N280</f>
        <v>685.6918884</v>
      </c>
      <c r="R280" s="125" t="s">
        <v>336</v>
      </c>
      <c r="S280" s="150"/>
      <c r="T280" s="100"/>
      <c r="U280" s="100"/>
      <c r="V280" s="100"/>
      <c r="W280" s="100"/>
    </row>
    <row r="281" s="21" customFormat="1" ht="16" customHeight="1" spans="1:19">
      <c r="A281" s="33"/>
      <c r="B281" s="36"/>
      <c r="C281" s="36" t="s">
        <v>7</v>
      </c>
      <c r="D281" s="33"/>
      <c r="E281" s="162"/>
      <c r="F281" s="163"/>
      <c r="G281" s="36"/>
      <c r="H281" s="36"/>
      <c r="I281" s="36"/>
      <c r="J281" s="36"/>
      <c r="K281" s="36"/>
      <c r="L281" s="36"/>
      <c r="M281" s="36"/>
      <c r="N281" s="36"/>
      <c r="O281" s="36"/>
      <c r="P281" s="36">
        <f>SUM(P7:P280)</f>
        <v>4379892.67941705</v>
      </c>
      <c r="Q281" s="35"/>
      <c r="R281" s="36"/>
      <c r="S281" s="102"/>
    </row>
    <row r="282" s="21" customFormat="1" ht="36" customHeight="1" spans="1:19">
      <c r="A282" s="44" t="s">
        <v>338</v>
      </c>
      <c r="B282" s="45" t="s">
        <v>339</v>
      </c>
      <c r="C282" s="45"/>
      <c r="D282" s="44"/>
      <c r="E282" s="45"/>
      <c r="F282" s="46"/>
      <c r="G282" s="45"/>
      <c r="H282" s="45"/>
      <c r="I282" s="45"/>
      <c r="J282" s="45"/>
      <c r="K282" s="45"/>
      <c r="L282" s="45"/>
      <c r="M282" s="45"/>
      <c r="N282" s="45"/>
      <c r="O282" s="45"/>
      <c r="P282" s="45"/>
      <c r="Q282" s="46"/>
      <c r="R282" s="45"/>
      <c r="S282" s="102"/>
    </row>
  </sheetData>
  <autoFilter ref="A5:S282">
    <extLst/>
  </autoFilter>
  <mergeCells count="308">
    <mergeCell ref="A1:R1"/>
    <mergeCell ref="A2:G2"/>
    <mergeCell ref="H2:N2"/>
    <mergeCell ref="O2:R2"/>
    <mergeCell ref="G3:M3"/>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N55:O55"/>
    <mergeCell ref="N56:O56"/>
    <mergeCell ref="N57:O57"/>
    <mergeCell ref="N58:O58"/>
    <mergeCell ref="N59:O59"/>
    <mergeCell ref="N60:O60"/>
    <mergeCell ref="N61:O61"/>
    <mergeCell ref="N62:O62"/>
    <mergeCell ref="N63:O63"/>
    <mergeCell ref="N64:O64"/>
    <mergeCell ref="N65:O65"/>
    <mergeCell ref="N66:O66"/>
    <mergeCell ref="N67:O67"/>
    <mergeCell ref="N68:O68"/>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N83:O83"/>
    <mergeCell ref="N84:O84"/>
    <mergeCell ref="N85:O85"/>
    <mergeCell ref="N86:O86"/>
    <mergeCell ref="N87:O87"/>
    <mergeCell ref="N88:O88"/>
    <mergeCell ref="N89:O89"/>
    <mergeCell ref="N90:O90"/>
    <mergeCell ref="N91:O91"/>
    <mergeCell ref="N92:O92"/>
    <mergeCell ref="N93:O93"/>
    <mergeCell ref="N94:O94"/>
    <mergeCell ref="N95:O95"/>
    <mergeCell ref="N96:O96"/>
    <mergeCell ref="N97:O97"/>
    <mergeCell ref="N98:O98"/>
    <mergeCell ref="N99:O99"/>
    <mergeCell ref="N100:O100"/>
    <mergeCell ref="N101:O101"/>
    <mergeCell ref="N102:O102"/>
    <mergeCell ref="N103:O103"/>
    <mergeCell ref="N104:O104"/>
    <mergeCell ref="N105:O105"/>
    <mergeCell ref="N106:O106"/>
    <mergeCell ref="N107:O107"/>
    <mergeCell ref="N108:O108"/>
    <mergeCell ref="N109:O109"/>
    <mergeCell ref="N110:O110"/>
    <mergeCell ref="N111:O111"/>
    <mergeCell ref="N112:O112"/>
    <mergeCell ref="N113:O113"/>
    <mergeCell ref="N114:O114"/>
    <mergeCell ref="N115:O115"/>
    <mergeCell ref="N116:O116"/>
    <mergeCell ref="N117:O117"/>
    <mergeCell ref="N118:O118"/>
    <mergeCell ref="N119:O119"/>
    <mergeCell ref="N120:O120"/>
    <mergeCell ref="N121:O121"/>
    <mergeCell ref="N122:O122"/>
    <mergeCell ref="N123:O123"/>
    <mergeCell ref="N124:O124"/>
    <mergeCell ref="N125:O125"/>
    <mergeCell ref="N126:O126"/>
    <mergeCell ref="N127:O127"/>
    <mergeCell ref="N128:O128"/>
    <mergeCell ref="N129:O129"/>
    <mergeCell ref="N130:O130"/>
    <mergeCell ref="N131:O131"/>
    <mergeCell ref="N132:O132"/>
    <mergeCell ref="N133:O133"/>
    <mergeCell ref="N134:O134"/>
    <mergeCell ref="N135:O135"/>
    <mergeCell ref="N136:O136"/>
    <mergeCell ref="N137:O137"/>
    <mergeCell ref="N138:O138"/>
    <mergeCell ref="N139:O139"/>
    <mergeCell ref="N140:O140"/>
    <mergeCell ref="N141:O141"/>
    <mergeCell ref="N142:O142"/>
    <mergeCell ref="N143:O143"/>
    <mergeCell ref="N144:O144"/>
    <mergeCell ref="N145:O145"/>
    <mergeCell ref="N146:O146"/>
    <mergeCell ref="N147:O147"/>
    <mergeCell ref="N148:O148"/>
    <mergeCell ref="N149:O149"/>
    <mergeCell ref="N150:O150"/>
    <mergeCell ref="N151:O151"/>
    <mergeCell ref="N152:O152"/>
    <mergeCell ref="N153:O153"/>
    <mergeCell ref="N154:O154"/>
    <mergeCell ref="N155:O155"/>
    <mergeCell ref="N156:O156"/>
    <mergeCell ref="N157:O157"/>
    <mergeCell ref="N158:O158"/>
    <mergeCell ref="N159:O159"/>
    <mergeCell ref="N160:O160"/>
    <mergeCell ref="N161:O161"/>
    <mergeCell ref="N162:O162"/>
    <mergeCell ref="N163:O163"/>
    <mergeCell ref="N164:O164"/>
    <mergeCell ref="N165:O165"/>
    <mergeCell ref="N166:O166"/>
    <mergeCell ref="N167:O167"/>
    <mergeCell ref="N168:O168"/>
    <mergeCell ref="N169:O169"/>
    <mergeCell ref="N170:O170"/>
    <mergeCell ref="N171:O171"/>
    <mergeCell ref="N172:O172"/>
    <mergeCell ref="N173:O173"/>
    <mergeCell ref="N174:O174"/>
    <mergeCell ref="N175:O175"/>
    <mergeCell ref="N176:O176"/>
    <mergeCell ref="N177:O177"/>
    <mergeCell ref="N178:O178"/>
    <mergeCell ref="N179:O179"/>
    <mergeCell ref="N180:O180"/>
    <mergeCell ref="N181:O181"/>
    <mergeCell ref="N182:O182"/>
    <mergeCell ref="N183:O183"/>
    <mergeCell ref="N184:O184"/>
    <mergeCell ref="N185:O185"/>
    <mergeCell ref="N186:O186"/>
    <mergeCell ref="N187:O187"/>
    <mergeCell ref="N188:O188"/>
    <mergeCell ref="N189:O189"/>
    <mergeCell ref="N190:O190"/>
    <mergeCell ref="N191:O191"/>
    <mergeCell ref="N192:O192"/>
    <mergeCell ref="N193:O193"/>
    <mergeCell ref="N194:O194"/>
    <mergeCell ref="N195:O195"/>
    <mergeCell ref="N196:O196"/>
    <mergeCell ref="N197:O197"/>
    <mergeCell ref="N198:O198"/>
    <mergeCell ref="N199:O199"/>
    <mergeCell ref="N200:O200"/>
    <mergeCell ref="N201:O201"/>
    <mergeCell ref="N202:O202"/>
    <mergeCell ref="N203:O203"/>
    <mergeCell ref="N204:O204"/>
    <mergeCell ref="N205:O205"/>
    <mergeCell ref="N206:O206"/>
    <mergeCell ref="N207:O207"/>
    <mergeCell ref="N208:O208"/>
    <mergeCell ref="N209:O209"/>
    <mergeCell ref="N210:O210"/>
    <mergeCell ref="N211:O211"/>
    <mergeCell ref="N212:O212"/>
    <mergeCell ref="N213:O213"/>
    <mergeCell ref="N214:O214"/>
    <mergeCell ref="N215:O21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N237:O237"/>
    <mergeCell ref="N238:O238"/>
    <mergeCell ref="N239:O239"/>
    <mergeCell ref="N240:O240"/>
    <mergeCell ref="N241:O241"/>
    <mergeCell ref="N242:O242"/>
    <mergeCell ref="N243:O243"/>
    <mergeCell ref="N244:O244"/>
    <mergeCell ref="N245:O245"/>
    <mergeCell ref="N246:O246"/>
    <mergeCell ref="N247:O247"/>
    <mergeCell ref="N248:O248"/>
    <mergeCell ref="N249:O249"/>
    <mergeCell ref="N250:O250"/>
    <mergeCell ref="N251:O251"/>
    <mergeCell ref="N252:O252"/>
    <mergeCell ref="N253:O253"/>
    <mergeCell ref="N254:O254"/>
    <mergeCell ref="N255:O255"/>
    <mergeCell ref="N256:O256"/>
    <mergeCell ref="N257:O257"/>
    <mergeCell ref="N258:O258"/>
    <mergeCell ref="N259:O259"/>
    <mergeCell ref="N260:O260"/>
    <mergeCell ref="N261:O261"/>
    <mergeCell ref="N262:O262"/>
    <mergeCell ref="N263:O263"/>
    <mergeCell ref="N264:O264"/>
    <mergeCell ref="N265:O265"/>
    <mergeCell ref="N266:O266"/>
    <mergeCell ref="N267:O267"/>
    <mergeCell ref="N268:O268"/>
    <mergeCell ref="N269:O269"/>
    <mergeCell ref="N270:O270"/>
    <mergeCell ref="N271:O271"/>
    <mergeCell ref="N272:O272"/>
    <mergeCell ref="N273:O273"/>
    <mergeCell ref="N274:O274"/>
    <mergeCell ref="N275:O275"/>
    <mergeCell ref="N276:O276"/>
    <mergeCell ref="N277:O277"/>
    <mergeCell ref="N278:O278"/>
    <mergeCell ref="N279:O279"/>
    <mergeCell ref="N280:O280"/>
    <mergeCell ref="B282:R282"/>
    <mergeCell ref="A3:A5"/>
    <mergeCell ref="A253:A254"/>
    <mergeCell ref="B3:B5"/>
    <mergeCell ref="B253:B254"/>
    <mergeCell ref="C3:C5"/>
    <mergeCell ref="C253:C254"/>
    <mergeCell ref="D3:D5"/>
    <mergeCell ref="D253:D254"/>
    <mergeCell ref="E3:E5"/>
    <mergeCell ref="E253:E254"/>
    <mergeCell ref="F3:F5"/>
    <mergeCell ref="F253:F254"/>
    <mergeCell ref="G4:G5"/>
    <mergeCell ref="G253:G254"/>
    <mergeCell ref="H253:H254"/>
    <mergeCell ref="I253:I254"/>
    <mergeCell ref="J253:J254"/>
    <mergeCell ref="K4:K5"/>
    <mergeCell ref="K253:K254"/>
    <mergeCell ref="L253:L254"/>
    <mergeCell ref="M253:M254"/>
    <mergeCell ref="P3:P5"/>
    <mergeCell ref="P253:P254"/>
    <mergeCell ref="Q3:Q5"/>
    <mergeCell ref="R3:R5"/>
    <mergeCell ref="R253:R254"/>
    <mergeCell ref="N3:O5"/>
  </mergeCells>
  <pageMargins left="0.751388888888889" right="0.66875" top="0.786805555555556" bottom="0.66875" header="0.5" footer="0.5"/>
  <pageSetup paperSize="9" scale="92"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W219"/>
  <sheetViews>
    <sheetView view="pageBreakPreview" zoomScaleNormal="115" workbookViewId="0">
      <pane ySplit="5" topLeftCell="A141" activePane="bottomLeft" state="frozen"/>
      <selection/>
      <selection pane="bottomLeft" activeCell="N146" sqref="N146:O146"/>
    </sheetView>
  </sheetViews>
  <sheetFormatPr defaultColWidth="9" defaultRowHeight="10.8"/>
  <cols>
    <col min="1" max="1" width="6.13888888888889" style="21" customWidth="1"/>
    <col min="2" max="2" width="8.28703703703704" style="21" customWidth="1"/>
    <col min="3" max="3" width="21" style="21" customWidth="1"/>
    <col min="4" max="4" width="6.42592592592593" style="21" customWidth="1"/>
    <col min="5" max="5" width="6.71296296296296" style="21" customWidth="1"/>
    <col min="6" max="6" width="6.71296296296296" style="60" customWidth="1"/>
    <col min="7" max="7" width="7" style="21" customWidth="1"/>
    <col min="8" max="8" width="8.66666666666667" style="21" customWidth="1"/>
    <col min="9" max="9" width="9.13888888888889" style="21" customWidth="1"/>
    <col min="10" max="10" width="7.57407407407407" style="21" customWidth="1"/>
    <col min="11" max="11" width="9" style="20" customWidth="1"/>
    <col min="12" max="12" width="10.4259259259259" style="20" customWidth="1"/>
    <col min="13" max="13" width="9.86111111111111" style="20" customWidth="1"/>
    <col min="14" max="14" width="0.333333333333333" style="21" customWidth="1"/>
    <col min="15" max="15" width="11.712962962963" style="21" customWidth="1"/>
    <col min="16" max="16" width="9.13888888888889" style="21" customWidth="1"/>
    <col min="17" max="17" width="9.13888888888889" style="60" customWidth="1"/>
    <col min="18" max="18" width="5.42592592592593" style="21" customWidth="1"/>
    <col min="19" max="19" width="9" style="21"/>
    <col min="20" max="21" width="11" style="21"/>
    <col min="22" max="16384" width="9" style="21"/>
  </cols>
  <sheetData>
    <row r="1" s="21" customFormat="1" ht="25.8" spans="1:18">
      <c r="A1" s="61" t="s">
        <v>52</v>
      </c>
      <c r="B1" s="61"/>
      <c r="C1" s="61"/>
      <c r="D1" s="61"/>
      <c r="E1" s="61"/>
      <c r="F1" s="62"/>
      <c r="G1" s="61"/>
      <c r="H1" s="61"/>
      <c r="I1" s="61"/>
      <c r="J1" s="61"/>
      <c r="K1" s="61"/>
      <c r="L1" s="61"/>
      <c r="M1" s="61"/>
      <c r="N1" s="61"/>
      <c r="O1" s="61"/>
      <c r="P1" s="61"/>
      <c r="Q1" s="62"/>
      <c r="R1" s="61"/>
    </row>
    <row r="2" s="21" customFormat="1" spans="1:18">
      <c r="A2" s="63" t="s">
        <v>340</v>
      </c>
      <c r="B2" s="63"/>
      <c r="C2" s="63"/>
      <c r="D2" s="63"/>
      <c r="E2" s="63"/>
      <c r="F2" s="64"/>
      <c r="G2" s="63"/>
      <c r="H2" s="63"/>
      <c r="I2" s="63"/>
      <c r="J2" s="63"/>
      <c r="K2" s="73"/>
      <c r="L2" s="73"/>
      <c r="M2" s="73"/>
      <c r="N2" s="63"/>
      <c r="O2" s="63"/>
      <c r="P2" s="63"/>
      <c r="Q2" s="64"/>
      <c r="R2" s="63"/>
    </row>
    <row r="3" s="21" customFormat="1" spans="1:18">
      <c r="A3" s="65" t="s">
        <v>9</v>
      </c>
      <c r="B3" s="65" t="s">
        <v>54</v>
      </c>
      <c r="C3" s="65" t="s">
        <v>55</v>
      </c>
      <c r="D3" s="65" t="s">
        <v>31</v>
      </c>
      <c r="E3" s="65" t="s">
        <v>56</v>
      </c>
      <c r="F3" s="57" t="s">
        <v>57</v>
      </c>
      <c r="G3" s="65" t="s">
        <v>58</v>
      </c>
      <c r="H3" s="65"/>
      <c r="I3" s="65"/>
      <c r="J3" s="65"/>
      <c r="K3" s="58"/>
      <c r="L3" s="58"/>
      <c r="M3" s="58"/>
      <c r="N3" s="65" t="s">
        <v>59</v>
      </c>
      <c r="O3" s="65"/>
      <c r="P3" s="65" t="s">
        <v>60</v>
      </c>
      <c r="Q3" s="57" t="s">
        <v>61</v>
      </c>
      <c r="R3" s="65" t="s">
        <v>62</v>
      </c>
    </row>
    <row r="4" s="21" customFormat="1" ht="43.2" spans="1:18">
      <c r="A4" s="65"/>
      <c r="B4" s="65"/>
      <c r="C4" s="65"/>
      <c r="D4" s="65"/>
      <c r="E4" s="65"/>
      <c r="F4" s="57"/>
      <c r="G4" s="65" t="s">
        <v>63</v>
      </c>
      <c r="H4" s="65" t="s">
        <v>64</v>
      </c>
      <c r="I4" s="65" t="s">
        <v>65</v>
      </c>
      <c r="J4" s="65" t="s">
        <v>66</v>
      </c>
      <c r="K4" s="58" t="s">
        <v>67</v>
      </c>
      <c r="L4" s="58" t="s">
        <v>68</v>
      </c>
      <c r="M4" s="58" t="s">
        <v>69</v>
      </c>
      <c r="N4" s="65"/>
      <c r="O4" s="65"/>
      <c r="P4" s="65"/>
      <c r="Q4" s="57"/>
      <c r="R4" s="65"/>
    </row>
    <row r="5" s="21" customFormat="1" ht="21.6" spans="1:18">
      <c r="A5" s="65"/>
      <c r="B5" s="65"/>
      <c r="C5" s="65"/>
      <c r="D5" s="65"/>
      <c r="E5" s="65"/>
      <c r="F5" s="57"/>
      <c r="G5" s="65"/>
      <c r="H5" s="65" t="s">
        <v>70</v>
      </c>
      <c r="I5" s="65" t="s">
        <v>71</v>
      </c>
      <c r="J5" s="65" t="s">
        <v>72</v>
      </c>
      <c r="K5" s="58"/>
      <c r="L5" s="74">
        <f>装饰工程!L5</f>
        <v>0.06</v>
      </c>
      <c r="M5" s="74">
        <f>装饰工程!M5</f>
        <v>0.03</v>
      </c>
      <c r="N5" s="65"/>
      <c r="O5" s="65"/>
      <c r="P5" s="65"/>
      <c r="Q5" s="57"/>
      <c r="R5" s="65"/>
    </row>
    <row r="6" s="21" customFormat="1" spans="1:18">
      <c r="A6" s="65"/>
      <c r="B6" s="65" t="s">
        <v>45</v>
      </c>
      <c r="C6" s="65"/>
      <c r="D6" s="65"/>
      <c r="E6" s="65"/>
      <c r="F6" s="57"/>
      <c r="G6" s="65"/>
      <c r="H6" s="65"/>
      <c r="I6" s="65"/>
      <c r="J6" s="65"/>
      <c r="K6" s="58"/>
      <c r="L6" s="58"/>
      <c r="M6" s="58"/>
      <c r="N6" s="65">
        <f>SUM(P7:P144)</f>
        <v>763201.171371921</v>
      </c>
      <c r="O6" s="65"/>
      <c r="P6" s="65"/>
      <c r="Q6" s="57">
        <f>SUM(Q7:Q144)</f>
        <v>739507.582851921</v>
      </c>
      <c r="R6" s="65"/>
    </row>
    <row r="7" s="21" customFormat="1" spans="1:18">
      <c r="A7" s="65"/>
      <c r="B7" s="65" t="s">
        <v>341</v>
      </c>
      <c r="C7" s="65"/>
      <c r="D7" s="65"/>
      <c r="E7" s="65"/>
      <c r="F7" s="57"/>
      <c r="G7" s="65"/>
      <c r="H7" s="65"/>
      <c r="I7" s="65"/>
      <c r="J7" s="65"/>
      <c r="K7" s="58"/>
      <c r="L7" s="58"/>
      <c r="M7" s="58"/>
      <c r="N7" s="65"/>
      <c r="O7" s="65"/>
      <c r="P7" s="65"/>
      <c r="Q7" s="57"/>
      <c r="R7" s="65"/>
    </row>
    <row r="8" s="21" customFormat="1" ht="43.2" outlineLevel="1" spans="1:23">
      <c r="A8" s="65">
        <v>1</v>
      </c>
      <c r="B8" s="65" t="s">
        <v>342</v>
      </c>
      <c r="C8" s="65" t="s">
        <v>343</v>
      </c>
      <c r="D8" s="65" t="s">
        <v>344</v>
      </c>
      <c r="E8" s="65">
        <v>1</v>
      </c>
      <c r="F8" s="57">
        <v>1</v>
      </c>
      <c r="G8" s="66">
        <v>200</v>
      </c>
      <c r="H8" s="67">
        <f t="shared" ref="H8:H27" si="0">I8*(1+J8)</f>
        <v>2222</v>
      </c>
      <c r="I8" s="75">
        <v>2200</v>
      </c>
      <c r="J8" s="76">
        <v>0.01</v>
      </c>
      <c r="K8" s="77">
        <v>50</v>
      </c>
      <c r="L8" s="39">
        <f>(G8+H8+K8)*$L$5</f>
        <v>148.32</v>
      </c>
      <c r="M8" s="39">
        <f>(G8+H8+K8+L8)*$M$5</f>
        <v>78.6096</v>
      </c>
      <c r="N8" s="67">
        <f>(G8+H8+K8+L8+M8)*1.5</f>
        <v>4048.3944</v>
      </c>
      <c r="O8" s="67"/>
      <c r="P8" s="67">
        <f t="shared" ref="P8:P42" si="1">N8*E8</f>
        <v>4048.3944</v>
      </c>
      <c r="Q8" s="82">
        <f t="shared" ref="Q8:Q42" si="2">F8*N8</f>
        <v>4048.3944</v>
      </c>
      <c r="R8" s="65"/>
      <c r="T8" s="21">
        <f>E8*N8</f>
        <v>4048.3944</v>
      </c>
      <c r="U8" s="21">
        <f>G8+H8+K8+L8+M8</f>
        <v>2698.9296</v>
      </c>
      <c r="V8" s="21" t="b">
        <f>N8=U8</f>
        <v>0</v>
      </c>
      <c r="W8" s="21" t="b">
        <f>T8=P8</f>
        <v>1</v>
      </c>
    </row>
    <row r="9" s="21" customFormat="1" ht="54" outlineLevel="1" spans="1:23">
      <c r="A9" s="68">
        <v>2</v>
      </c>
      <c r="B9" s="68" t="s">
        <v>342</v>
      </c>
      <c r="C9" s="68" t="s">
        <v>345</v>
      </c>
      <c r="D9" s="68" t="s">
        <v>344</v>
      </c>
      <c r="E9" s="68">
        <v>1</v>
      </c>
      <c r="F9" s="57">
        <v>1</v>
      </c>
      <c r="G9" s="68">
        <f t="shared" ref="G9:K9" si="3">G8</f>
        <v>200</v>
      </c>
      <c r="H9" s="67">
        <f t="shared" si="0"/>
        <v>3232</v>
      </c>
      <c r="I9" s="75">
        <v>3200</v>
      </c>
      <c r="J9" s="78">
        <f t="shared" si="3"/>
        <v>0.01</v>
      </c>
      <c r="K9" s="79">
        <f t="shared" si="3"/>
        <v>50</v>
      </c>
      <c r="L9" s="39">
        <f>(G9+H9+K9)*$L$5</f>
        <v>208.92</v>
      </c>
      <c r="M9" s="39">
        <f>(G9+H9+K9+L9)*$M$5</f>
        <v>110.7276</v>
      </c>
      <c r="N9" s="67">
        <f t="shared" ref="N9:N72" si="4">(G9+H9+K9+L9+M9)*1.5</f>
        <v>5702.4714</v>
      </c>
      <c r="O9" s="67"/>
      <c r="P9" s="67">
        <f t="shared" si="1"/>
        <v>5702.4714</v>
      </c>
      <c r="Q9" s="82">
        <f t="shared" si="2"/>
        <v>5702.4714</v>
      </c>
      <c r="R9" s="68"/>
      <c r="T9" s="21">
        <f t="shared" ref="T9:T72" si="5">E9*N9</f>
        <v>5702.4714</v>
      </c>
      <c r="U9" s="21">
        <f t="shared" ref="U9:U72" si="6">G9+H9+K9+L9+M9</f>
        <v>3801.6476</v>
      </c>
      <c r="V9" s="21" t="b">
        <f t="shared" ref="V9:V72" si="7">N9=U9</f>
        <v>0</v>
      </c>
      <c r="W9" s="21" t="b">
        <f t="shared" ref="W9:W72" si="8">T9=P9</f>
        <v>1</v>
      </c>
    </row>
    <row r="10" s="21" customFormat="1" ht="54" outlineLevel="1" spans="1:23">
      <c r="A10" s="68">
        <v>3</v>
      </c>
      <c r="B10" s="68" t="s">
        <v>346</v>
      </c>
      <c r="C10" s="68" t="s">
        <v>347</v>
      </c>
      <c r="D10" s="68" t="s">
        <v>111</v>
      </c>
      <c r="E10" s="68">
        <v>7.54</v>
      </c>
      <c r="F10" s="57">
        <v>7.54</v>
      </c>
      <c r="G10" s="66">
        <v>25</v>
      </c>
      <c r="H10" s="67">
        <f t="shared" si="0"/>
        <v>25.5</v>
      </c>
      <c r="I10" s="75">
        <v>25</v>
      </c>
      <c r="J10" s="76">
        <v>0.02</v>
      </c>
      <c r="K10" s="77">
        <v>6</v>
      </c>
      <c r="L10" s="39">
        <f>(G10+H10+K10)*$L$5</f>
        <v>3.39</v>
      </c>
      <c r="M10" s="39">
        <f>(G10+H10+K10+L10)*$M$5</f>
        <v>1.7967</v>
      </c>
      <c r="N10" s="67">
        <f t="shared" si="4"/>
        <v>92.53005</v>
      </c>
      <c r="O10" s="67"/>
      <c r="P10" s="67">
        <f t="shared" si="1"/>
        <v>697.676577</v>
      </c>
      <c r="Q10" s="82">
        <f t="shared" si="2"/>
        <v>697.676577</v>
      </c>
      <c r="R10" s="68"/>
      <c r="T10" s="21">
        <f t="shared" si="5"/>
        <v>697.676577</v>
      </c>
      <c r="U10" s="21">
        <f t="shared" si="6"/>
        <v>61.6867</v>
      </c>
      <c r="V10" s="21" t="b">
        <f t="shared" si="7"/>
        <v>0</v>
      </c>
      <c r="W10" s="21" t="b">
        <f t="shared" si="8"/>
        <v>1</v>
      </c>
    </row>
    <row r="11" s="21" customFormat="1" ht="54" outlineLevel="1" spans="1:23">
      <c r="A11" s="68">
        <v>4</v>
      </c>
      <c r="B11" s="68" t="s">
        <v>346</v>
      </c>
      <c r="C11" s="68" t="s">
        <v>348</v>
      </c>
      <c r="D11" s="68" t="s">
        <v>111</v>
      </c>
      <c r="E11" s="68">
        <v>105.39</v>
      </c>
      <c r="F11" s="57">
        <v>105.39</v>
      </c>
      <c r="G11" s="68">
        <f>G10</f>
        <v>25</v>
      </c>
      <c r="H11" s="67">
        <f t="shared" si="0"/>
        <v>49.98</v>
      </c>
      <c r="I11" s="75">
        <v>49</v>
      </c>
      <c r="J11" s="78">
        <f>J10</f>
        <v>0.02</v>
      </c>
      <c r="K11" s="77">
        <v>8</v>
      </c>
      <c r="L11" s="39">
        <f>(G11+H11+K11)*$L$5</f>
        <v>4.9788</v>
      </c>
      <c r="M11" s="39">
        <f>(G11+H11+K11+L11)*$M$5</f>
        <v>2.638764</v>
      </c>
      <c r="N11" s="67">
        <f t="shared" si="4"/>
        <v>135.896346</v>
      </c>
      <c r="O11" s="67"/>
      <c r="P11" s="67">
        <f t="shared" si="1"/>
        <v>14322.11590494</v>
      </c>
      <c r="Q11" s="82">
        <f t="shared" si="2"/>
        <v>14322.11590494</v>
      </c>
      <c r="R11" s="68"/>
      <c r="T11" s="21">
        <f t="shared" si="5"/>
        <v>14322.11590494</v>
      </c>
      <c r="U11" s="21">
        <f t="shared" si="6"/>
        <v>90.597564</v>
      </c>
      <c r="V11" s="21" t="b">
        <f t="shared" si="7"/>
        <v>0</v>
      </c>
      <c r="W11" s="21" t="b">
        <f t="shared" si="8"/>
        <v>1</v>
      </c>
    </row>
    <row r="12" s="21" customFormat="1" ht="54" outlineLevel="1" spans="1:23">
      <c r="A12" s="65">
        <v>5</v>
      </c>
      <c r="B12" s="65" t="s">
        <v>346</v>
      </c>
      <c r="C12" s="65" t="s">
        <v>349</v>
      </c>
      <c r="D12" s="65" t="s">
        <v>111</v>
      </c>
      <c r="E12" s="65">
        <v>7.65</v>
      </c>
      <c r="F12" s="57">
        <v>7.65</v>
      </c>
      <c r="G12" s="66">
        <v>30</v>
      </c>
      <c r="H12" s="67">
        <f t="shared" si="0"/>
        <v>66.3</v>
      </c>
      <c r="I12" s="75">
        <v>65</v>
      </c>
      <c r="J12" s="78">
        <f>J10</f>
        <v>0.02</v>
      </c>
      <c r="K12" s="77">
        <v>10</v>
      </c>
      <c r="L12" s="39">
        <f>(G12+H12+K12)*$L$5</f>
        <v>6.378</v>
      </c>
      <c r="M12" s="39">
        <f>(G12+H12+K12+L12)*$M$5</f>
        <v>3.38034</v>
      </c>
      <c r="N12" s="67">
        <f t="shared" si="4"/>
        <v>174.08751</v>
      </c>
      <c r="O12" s="67"/>
      <c r="P12" s="67">
        <f t="shared" si="1"/>
        <v>1331.7694515</v>
      </c>
      <c r="Q12" s="82">
        <f t="shared" si="2"/>
        <v>1331.7694515</v>
      </c>
      <c r="R12" s="65"/>
      <c r="T12" s="21">
        <f t="shared" si="5"/>
        <v>1331.7694515</v>
      </c>
      <c r="U12" s="21">
        <f t="shared" si="6"/>
        <v>116.05834</v>
      </c>
      <c r="V12" s="21" t="b">
        <f t="shared" si="7"/>
        <v>0</v>
      </c>
      <c r="W12" s="21" t="b">
        <f t="shared" si="8"/>
        <v>1</v>
      </c>
    </row>
    <row r="13" s="21" customFormat="1" ht="54" outlineLevel="1" spans="1:23">
      <c r="A13" s="68">
        <v>6</v>
      </c>
      <c r="B13" s="68" t="s">
        <v>346</v>
      </c>
      <c r="C13" s="68" t="s">
        <v>350</v>
      </c>
      <c r="D13" s="68" t="s">
        <v>111</v>
      </c>
      <c r="E13" s="68">
        <v>44.61</v>
      </c>
      <c r="F13" s="57">
        <v>44.61</v>
      </c>
      <c r="G13" s="66">
        <v>36</v>
      </c>
      <c r="H13" s="67">
        <f t="shared" si="0"/>
        <v>168.3</v>
      </c>
      <c r="I13" s="75">
        <v>165</v>
      </c>
      <c r="J13" s="78">
        <f>J10</f>
        <v>0.02</v>
      </c>
      <c r="K13" s="77">
        <v>18</v>
      </c>
      <c r="L13" s="39">
        <f>(G13+H13+K13)*$L$5</f>
        <v>13.338</v>
      </c>
      <c r="M13" s="39">
        <f>(G13+H13+K13+L13)*$M$5</f>
        <v>7.06914</v>
      </c>
      <c r="N13" s="67">
        <f t="shared" si="4"/>
        <v>364.06071</v>
      </c>
      <c r="O13" s="67"/>
      <c r="P13" s="67">
        <f t="shared" si="1"/>
        <v>16240.7482731</v>
      </c>
      <c r="Q13" s="82">
        <f t="shared" si="2"/>
        <v>16240.7482731</v>
      </c>
      <c r="R13" s="68"/>
      <c r="T13" s="21">
        <f t="shared" si="5"/>
        <v>16240.7482731</v>
      </c>
      <c r="U13" s="21">
        <f t="shared" si="6"/>
        <v>242.70714</v>
      </c>
      <c r="V13" s="21" t="b">
        <f t="shared" si="7"/>
        <v>0</v>
      </c>
      <c r="W13" s="21" t="b">
        <f t="shared" si="8"/>
        <v>1</v>
      </c>
    </row>
    <row r="14" s="21" customFormat="1" ht="64.8" outlineLevel="1" spans="1:23">
      <c r="A14" s="68">
        <v>7</v>
      </c>
      <c r="B14" s="68" t="s">
        <v>351</v>
      </c>
      <c r="C14" s="68" t="s">
        <v>352</v>
      </c>
      <c r="D14" s="68" t="s">
        <v>353</v>
      </c>
      <c r="E14" s="68">
        <v>134.57</v>
      </c>
      <c r="F14" s="57">
        <v>134.57</v>
      </c>
      <c r="G14" s="66">
        <v>4.6</v>
      </c>
      <c r="H14" s="67">
        <f t="shared" si="0"/>
        <v>5.04</v>
      </c>
      <c r="I14" s="75">
        <v>4.8</v>
      </c>
      <c r="J14" s="76">
        <v>0.05</v>
      </c>
      <c r="K14" s="77">
        <v>3</v>
      </c>
      <c r="L14" s="39">
        <f>(G14+H14+K14)*$L$5</f>
        <v>0.7584</v>
      </c>
      <c r="M14" s="39">
        <f>(G14+H14+K14+L14)*$M$5</f>
        <v>0.401952</v>
      </c>
      <c r="N14" s="67">
        <f t="shared" si="4"/>
        <v>20.700528</v>
      </c>
      <c r="O14" s="67"/>
      <c r="P14" s="67">
        <f t="shared" si="1"/>
        <v>2785.67005296</v>
      </c>
      <c r="Q14" s="82">
        <f t="shared" si="2"/>
        <v>2785.67005296</v>
      </c>
      <c r="R14" s="68"/>
      <c r="T14" s="21">
        <f t="shared" si="5"/>
        <v>2785.67005296</v>
      </c>
      <c r="U14" s="21">
        <f t="shared" si="6"/>
        <v>13.800352</v>
      </c>
      <c r="V14" s="21" t="b">
        <f t="shared" si="7"/>
        <v>0</v>
      </c>
      <c r="W14" s="21" t="b">
        <f t="shared" si="8"/>
        <v>1</v>
      </c>
    </row>
    <row r="15" s="21" customFormat="1" ht="54" outlineLevel="1" spans="1:23">
      <c r="A15" s="65">
        <v>8</v>
      </c>
      <c r="B15" s="65" t="s">
        <v>354</v>
      </c>
      <c r="C15" s="65" t="s">
        <v>355</v>
      </c>
      <c r="D15" s="65" t="s">
        <v>111</v>
      </c>
      <c r="E15" s="65">
        <v>931.43</v>
      </c>
      <c r="F15" s="57">
        <v>931.43</v>
      </c>
      <c r="G15" s="66">
        <v>10</v>
      </c>
      <c r="H15" s="67">
        <f t="shared" si="0"/>
        <v>5.665</v>
      </c>
      <c r="I15" s="75">
        <v>5.5</v>
      </c>
      <c r="J15" s="76">
        <v>0.03</v>
      </c>
      <c r="K15" s="77">
        <v>2</v>
      </c>
      <c r="L15" s="39">
        <f>(G15+H15+K15)*$L$5</f>
        <v>1.0599</v>
      </c>
      <c r="M15" s="39">
        <f>(G15+H15+K15+L15)*$M$5</f>
        <v>0.561747</v>
      </c>
      <c r="N15" s="67">
        <f t="shared" si="4"/>
        <v>28.9299705</v>
      </c>
      <c r="O15" s="67"/>
      <c r="P15" s="67">
        <f t="shared" si="1"/>
        <v>26946.242422815</v>
      </c>
      <c r="Q15" s="82">
        <f t="shared" si="2"/>
        <v>26946.242422815</v>
      </c>
      <c r="R15" s="65" t="s">
        <v>356</v>
      </c>
      <c r="T15" s="21">
        <f t="shared" si="5"/>
        <v>26946.242422815</v>
      </c>
      <c r="U15" s="21">
        <f t="shared" si="6"/>
        <v>19.286647</v>
      </c>
      <c r="V15" s="21" t="b">
        <f t="shared" si="7"/>
        <v>0</v>
      </c>
      <c r="W15" s="21" t="b">
        <f t="shared" si="8"/>
        <v>1</v>
      </c>
    </row>
    <row r="16" s="21" customFormat="1" ht="54" outlineLevel="1" spans="1:23">
      <c r="A16" s="65">
        <v>9</v>
      </c>
      <c r="B16" s="65" t="s">
        <v>354</v>
      </c>
      <c r="C16" s="65" t="s">
        <v>357</v>
      </c>
      <c r="D16" s="65" t="s">
        <v>111</v>
      </c>
      <c r="E16" s="65">
        <v>406</v>
      </c>
      <c r="F16" s="57">
        <v>406</v>
      </c>
      <c r="G16" s="65">
        <f t="shared" ref="G16:K16" si="9">G15</f>
        <v>10</v>
      </c>
      <c r="H16" s="67">
        <f t="shared" si="0"/>
        <v>5.665</v>
      </c>
      <c r="I16" s="80">
        <f t="shared" si="9"/>
        <v>5.5</v>
      </c>
      <c r="J16" s="78">
        <f t="shared" si="9"/>
        <v>0.03</v>
      </c>
      <c r="K16" s="79">
        <f t="shared" si="9"/>
        <v>2</v>
      </c>
      <c r="L16" s="39">
        <f>(G16+H16+K16)*$L$5</f>
        <v>1.0599</v>
      </c>
      <c r="M16" s="39">
        <f>(G16+H16+K16+L16)*$M$5</f>
        <v>0.561747</v>
      </c>
      <c r="N16" s="67">
        <f t="shared" si="4"/>
        <v>28.9299705</v>
      </c>
      <c r="O16" s="67"/>
      <c r="P16" s="67">
        <f t="shared" si="1"/>
        <v>11745.568023</v>
      </c>
      <c r="Q16" s="82">
        <f t="shared" si="2"/>
        <v>11745.568023</v>
      </c>
      <c r="R16" s="65" t="s">
        <v>356</v>
      </c>
      <c r="T16" s="21">
        <f t="shared" si="5"/>
        <v>11745.568023</v>
      </c>
      <c r="U16" s="21">
        <f t="shared" si="6"/>
        <v>19.286647</v>
      </c>
      <c r="V16" s="21" t="b">
        <f t="shared" si="7"/>
        <v>0</v>
      </c>
      <c r="W16" s="21" t="b">
        <f t="shared" si="8"/>
        <v>1</v>
      </c>
    </row>
    <row r="17" s="21" customFormat="1" ht="54" outlineLevel="1" spans="1:23">
      <c r="A17" s="65">
        <v>10</v>
      </c>
      <c r="B17" s="65" t="s">
        <v>354</v>
      </c>
      <c r="C17" s="69" t="s">
        <v>358</v>
      </c>
      <c r="D17" s="65" t="s">
        <v>111</v>
      </c>
      <c r="E17" s="65">
        <v>230.52</v>
      </c>
      <c r="F17" s="57">
        <v>230.52</v>
      </c>
      <c r="G17" s="65">
        <f t="shared" ref="G17:K17" si="10">G15</f>
        <v>10</v>
      </c>
      <c r="H17" s="67">
        <f t="shared" si="0"/>
        <v>8.858</v>
      </c>
      <c r="I17" s="75">
        <v>8.6</v>
      </c>
      <c r="J17" s="78">
        <f t="shared" si="10"/>
        <v>0.03</v>
      </c>
      <c r="K17" s="79">
        <f t="shared" si="10"/>
        <v>2</v>
      </c>
      <c r="L17" s="39">
        <f>(G17+H17+K17)*$L$5</f>
        <v>1.25148</v>
      </c>
      <c r="M17" s="39">
        <f>(G17+H17+K17+L17)*$M$5</f>
        <v>0.6632844</v>
      </c>
      <c r="N17" s="67">
        <f t="shared" si="4"/>
        <v>34.1591466</v>
      </c>
      <c r="O17" s="67"/>
      <c r="P17" s="67">
        <f t="shared" si="1"/>
        <v>7874.366474232</v>
      </c>
      <c r="Q17" s="82">
        <f t="shared" si="2"/>
        <v>7874.366474232</v>
      </c>
      <c r="R17" s="65" t="s">
        <v>356</v>
      </c>
      <c r="T17" s="21">
        <f t="shared" si="5"/>
        <v>7874.366474232</v>
      </c>
      <c r="U17" s="21">
        <f t="shared" si="6"/>
        <v>22.7727644</v>
      </c>
      <c r="V17" s="21" t="b">
        <f t="shared" si="7"/>
        <v>0</v>
      </c>
      <c r="W17" s="21" t="b">
        <f t="shared" si="8"/>
        <v>1</v>
      </c>
    </row>
    <row r="18" s="21" customFormat="1" ht="54" outlineLevel="1" spans="1:23">
      <c r="A18" s="65">
        <v>11</v>
      </c>
      <c r="B18" s="65" t="s">
        <v>354</v>
      </c>
      <c r="C18" s="65" t="s">
        <v>359</v>
      </c>
      <c r="D18" s="65" t="s">
        <v>111</v>
      </c>
      <c r="E18" s="65">
        <v>42.9</v>
      </c>
      <c r="F18" s="57">
        <v>42.9</v>
      </c>
      <c r="G18" s="65">
        <f t="shared" ref="G18:K18" si="11">G15</f>
        <v>10</v>
      </c>
      <c r="H18" s="67">
        <f t="shared" si="0"/>
        <v>8.858</v>
      </c>
      <c r="I18" s="80">
        <f>I17</f>
        <v>8.6</v>
      </c>
      <c r="J18" s="78">
        <f t="shared" si="11"/>
        <v>0.03</v>
      </c>
      <c r="K18" s="79">
        <f t="shared" si="11"/>
        <v>2</v>
      </c>
      <c r="L18" s="39">
        <f>(G18+H18+K18)*$L$5</f>
        <v>1.25148</v>
      </c>
      <c r="M18" s="39">
        <f>(G18+H18+K18+L18)*$M$5</f>
        <v>0.6632844</v>
      </c>
      <c r="N18" s="67">
        <f t="shared" si="4"/>
        <v>34.1591466</v>
      </c>
      <c r="O18" s="67"/>
      <c r="P18" s="67">
        <f t="shared" si="1"/>
        <v>1465.42738914</v>
      </c>
      <c r="Q18" s="82">
        <f t="shared" si="2"/>
        <v>1465.42738914</v>
      </c>
      <c r="R18" s="65" t="s">
        <v>356</v>
      </c>
      <c r="T18" s="21">
        <f t="shared" si="5"/>
        <v>1465.42738914</v>
      </c>
      <c r="U18" s="21">
        <f t="shared" si="6"/>
        <v>22.7727644</v>
      </c>
      <c r="V18" s="21" t="b">
        <f t="shared" si="7"/>
        <v>0</v>
      </c>
      <c r="W18" s="21" t="b">
        <f t="shared" si="8"/>
        <v>1</v>
      </c>
    </row>
    <row r="19" s="21" customFormat="1" ht="75.6" outlineLevel="1" spans="1:23">
      <c r="A19" s="68">
        <v>12</v>
      </c>
      <c r="B19" s="68" t="s">
        <v>360</v>
      </c>
      <c r="C19" s="68" t="s">
        <v>361</v>
      </c>
      <c r="D19" s="68" t="s">
        <v>111</v>
      </c>
      <c r="E19" s="68">
        <v>3.08</v>
      </c>
      <c r="F19" s="57">
        <v>3.08</v>
      </c>
      <c r="G19" s="66">
        <v>15</v>
      </c>
      <c r="H19" s="67">
        <f t="shared" si="0"/>
        <v>123.6</v>
      </c>
      <c r="I19" s="75">
        <v>120</v>
      </c>
      <c r="J19" s="76">
        <v>0.03</v>
      </c>
      <c r="K19" s="77">
        <v>5</v>
      </c>
      <c r="L19" s="39">
        <f>(G19+H19+K19)*$L$5</f>
        <v>8.616</v>
      </c>
      <c r="M19" s="39">
        <f>(G19+H19+K19+L19)*$M$5</f>
        <v>4.56648</v>
      </c>
      <c r="N19" s="67">
        <f t="shared" si="4"/>
        <v>235.17372</v>
      </c>
      <c r="O19" s="67"/>
      <c r="P19" s="67">
        <f t="shared" si="1"/>
        <v>724.3350576</v>
      </c>
      <c r="Q19" s="82">
        <f t="shared" si="2"/>
        <v>724.3350576</v>
      </c>
      <c r="R19" s="65" t="s">
        <v>356</v>
      </c>
      <c r="T19" s="21">
        <f t="shared" si="5"/>
        <v>724.3350576</v>
      </c>
      <c r="U19" s="21">
        <f t="shared" si="6"/>
        <v>156.78248</v>
      </c>
      <c r="V19" s="21" t="b">
        <f t="shared" si="7"/>
        <v>0</v>
      </c>
      <c r="W19" s="21" t="b">
        <f t="shared" si="8"/>
        <v>1</v>
      </c>
    </row>
    <row r="20" s="21" customFormat="1" ht="64.8" outlineLevel="1" spans="1:23">
      <c r="A20" s="68">
        <v>13</v>
      </c>
      <c r="B20" s="68" t="s">
        <v>362</v>
      </c>
      <c r="C20" s="68" t="s">
        <v>363</v>
      </c>
      <c r="D20" s="68" t="s">
        <v>105</v>
      </c>
      <c r="E20" s="68">
        <v>2</v>
      </c>
      <c r="F20" s="57">
        <v>2</v>
      </c>
      <c r="G20" s="66">
        <v>50</v>
      </c>
      <c r="H20" s="67">
        <f t="shared" si="0"/>
        <v>14.645</v>
      </c>
      <c r="I20" s="75">
        <v>14.5</v>
      </c>
      <c r="J20" s="76">
        <v>0.01</v>
      </c>
      <c r="K20" s="77">
        <v>1</v>
      </c>
      <c r="L20" s="39">
        <f>(G20+H20+K20)*$L$5</f>
        <v>3.9387</v>
      </c>
      <c r="M20" s="39">
        <f>(G20+H20+K20+L20)*$M$5</f>
        <v>2.087511</v>
      </c>
      <c r="N20" s="67">
        <f t="shared" si="4"/>
        <v>107.5068165</v>
      </c>
      <c r="O20" s="67"/>
      <c r="P20" s="67">
        <f t="shared" si="1"/>
        <v>215.013633</v>
      </c>
      <c r="Q20" s="82">
        <f t="shared" si="2"/>
        <v>215.013633</v>
      </c>
      <c r="R20" s="65" t="s">
        <v>356</v>
      </c>
      <c r="T20" s="21">
        <f t="shared" si="5"/>
        <v>215.013633</v>
      </c>
      <c r="U20" s="21">
        <f t="shared" si="6"/>
        <v>71.671211</v>
      </c>
      <c r="V20" s="21" t="b">
        <f t="shared" si="7"/>
        <v>0</v>
      </c>
      <c r="W20" s="21" t="b">
        <f t="shared" si="8"/>
        <v>1</v>
      </c>
    </row>
    <row r="21" s="21" customFormat="1" ht="64.8" outlineLevel="1" spans="1:23">
      <c r="A21" s="65">
        <v>14</v>
      </c>
      <c r="B21" s="65" t="s">
        <v>364</v>
      </c>
      <c r="C21" s="65" t="s">
        <v>365</v>
      </c>
      <c r="D21" s="65" t="s">
        <v>111</v>
      </c>
      <c r="E21" s="65">
        <v>1913.96</v>
      </c>
      <c r="F21" s="57">
        <v>1913.96</v>
      </c>
      <c r="G21" s="66">
        <v>3</v>
      </c>
      <c r="H21" s="67">
        <f t="shared" si="0"/>
        <v>2.088</v>
      </c>
      <c r="I21" s="75">
        <v>1.8</v>
      </c>
      <c r="J21" s="76">
        <v>0.16</v>
      </c>
      <c r="K21" s="77">
        <v>0.5</v>
      </c>
      <c r="L21" s="39">
        <f>(G21+H21+K21)*$L$5</f>
        <v>0.33528</v>
      </c>
      <c r="M21" s="39">
        <f>(G21+H21+K21+L21)*$M$5</f>
        <v>0.1776984</v>
      </c>
      <c r="N21" s="67">
        <f t="shared" si="4"/>
        <v>9.1514676</v>
      </c>
      <c r="O21" s="67"/>
      <c r="P21" s="67">
        <f t="shared" si="1"/>
        <v>17515.542927696</v>
      </c>
      <c r="Q21" s="82">
        <f t="shared" si="2"/>
        <v>17515.542927696</v>
      </c>
      <c r="R21" s="65" t="s">
        <v>356</v>
      </c>
      <c r="T21" s="21">
        <f t="shared" si="5"/>
        <v>17515.542927696</v>
      </c>
      <c r="U21" s="21">
        <f t="shared" si="6"/>
        <v>6.1009784</v>
      </c>
      <c r="V21" s="21" t="b">
        <f t="shared" si="7"/>
        <v>0</v>
      </c>
      <c r="W21" s="21" t="b">
        <f t="shared" si="8"/>
        <v>1</v>
      </c>
    </row>
    <row r="22" s="21" customFormat="1" ht="64.8" outlineLevel="1" spans="1:23">
      <c r="A22" s="65">
        <v>15</v>
      </c>
      <c r="B22" s="65" t="s">
        <v>364</v>
      </c>
      <c r="C22" s="65" t="s">
        <v>366</v>
      </c>
      <c r="D22" s="65" t="s">
        <v>111</v>
      </c>
      <c r="E22" s="65">
        <v>2687.35</v>
      </c>
      <c r="F22" s="57">
        <v>2687.35</v>
      </c>
      <c r="G22" s="65">
        <f t="shared" ref="G22:K22" si="12">G21</f>
        <v>3</v>
      </c>
      <c r="H22" s="67">
        <f t="shared" si="0"/>
        <v>3.016</v>
      </c>
      <c r="I22" s="75">
        <v>2.6</v>
      </c>
      <c r="J22" s="78">
        <f t="shared" si="12"/>
        <v>0.16</v>
      </c>
      <c r="K22" s="79">
        <f t="shared" si="12"/>
        <v>0.5</v>
      </c>
      <c r="L22" s="39">
        <f>(G22+H22+K22)*$L$5</f>
        <v>0.39096</v>
      </c>
      <c r="M22" s="39">
        <f>(G22+H22+K22+L22)*$M$5</f>
        <v>0.2072088</v>
      </c>
      <c r="N22" s="67">
        <f t="shared" si="4"/>
        <v>10.6712532</v>
      </c>
      <c r="O22" s="67"/>
      <c r="P22" s="67">
        <f t="shared" si="1"/>
        <v>28677.39228702</v>
      </c>
      <c r="Q22" s="82">
        <f t="shared" si="2"/>
        <v>28677.39228702</v>
      </c>
      <c r="R22" s="65" t="s">
        <v>356</v>
      </c>
      <c r="T22" s="21">
        <f t="shared" si="5"/>
        <v>28677.39228702</v>
      </c>
      <c r="U22" s="21">
        <f t="shared" si="6"/>
        <v>7.1141688</v>
      </c>
      <c r="V22" s="21" t="b">
        <f t="shared" si="7"/>
        <v>0</v>
      </c>
      <c r="W22" s="21" t="b">
        <f t="shared" si="8"/>
        <v>1</v>
      </c>
    </row>
    <row r="23" s="21" customFormat="1" ht="64.8" outlineLevel="1" spans="1:23">
      <c r="A23" s="65">
        <v>16</v>
      </c>
      <c r="B23" s="65" t="s">
        <v>364</v>
      </c>
      <c r="C23" s="65" t="s">
        <v>367</v>
      </c>
      <c r="D23" s="65" t="s">
        <v>111</v>
      </c>
      <c r="E23" s="65">
        <v>1426.56</v>
      </c>
      <c r="F23" s="57">
        <v>1426.56</v>
      </c>
      <c r="G23" s="65">
        <f>G21</f>
        <v>3</v>
      </c>
      <c r="H23" s="67">
        <f t="shared" si="0"/>
        <v>3.016</v>
      </c>
      <c r="I23" s="80">
        <f t="shared" ref="I23:K23" si="13">I22</f>
        <v>2.6</v>
      </c>
      <c r="J23" s="78">
        <f t="shared" si="13"/>
        <v>0.16</v>
      </c>
      <c r="K23" s="79">
        <f t="shared" si="13"/>
        <v>0.5</v>
      </c>
      <c r="L23" s="39">
        <f>(G23+H23+K23)*$L$5</f>
        <v>0.39096</v>
      </c>
      <c r="M23" s="39">
        <f>(G23+H23+K23+L23)*$M$5</f>
        <v>0.2072088</v>
      </c>
      <c r="N23" s="67">
        <f t="shared" si="4"/>
        <v>10.6712532</v>
      </c>
      <c r="O23" s="67"/>
      <c r="P23" s="67">
        <f t="shared" si="1"/>
        <v>15223.182964992</v>
      </c>
      <c r="Q23" s="82">
        <f t="shared" si="2"/>
        <v>15223.182964992</v>
      </c>
      <c r="R23" s="65" t="s">
        <v>356</v>
      </c>
      <c r="T23" s="21">
        <f t="shared" si="5"/>
        <v>15223.182964992</v>
      </c>
      <c r="U23" s="21">
        <f t="shared" si="6"/>
        <v>7.1141688</v>
      </c>
      <c r="V23" s="21" t="b">
        <f t="shared" si="7"/>
        <v>0</v>
      </c>
      <c r="W23" s="21" t="b">
        <f t="shared" si="8"/>
        <v>1</v>
      </c>
    </row>
    <row r="24" s="21" customFormat="1" ht="54" outlineLevel="1" spans="1:23">
      <c r="A24" s="65">
        <v>17</v>
      </c>
      <c r="B24" s="65" t="s">
        <v>364</v>
      </c>
      <c r="C24" s="69" t="s">
        <v>368</v>
      </c>
      <c r="D24" s="65" t="s">
        <v>111</v>
      </c>
      <c r="E24" s="65">
        <v>1307.74</v>
      </c>
      <c r="F24" s="57">
        <v>1307.74</v>
      </c>
      <c r="G24" s="65">
        <f>G21</f>
        <v>3</v>
      </c>
      <c r="H24" s="67">
        <f t="shared" si="0"/>
        <v>3.944</v>
      </c>
      <c r="I24" s="75">
        <v>3.4</v>
      </c>
      <c r="J24" s="78">
        <f>J23</f>
        <v>0.16</v>
      </c>
      <c r="K24" s="79">
        <f>K23</f>
        <v>0.5</v>
      </c>
      <c r="L24" s="39">
        <f>(G24+H24+K24)*$L$5</f>
        <v>0.44664</v>
      </c>
      <c r="M24" s="39">
        <f>(G24+H24+K24+L24)*$M$5</f>
        <v>0.2367192</v>
      </c>
      <c r="N24" s="67">
        <f t="shared" si="4"/>
        <v>12.1910388</v>
      </c>
      <c r="O24" s="67"/>
      <c r="P24" s="67">
        <f t="shared" si="1"/>
        <v>15942.709080312</v>
      </c>
      <c r="Q24" s="82">
        <f t="shared" si="2"/>
        <v>15942.709080312</v>
      </c>
      <c r="R24" s="65" t="s">
        <v>356</v>
      </c>
      <c r="T24" s="21">
        <f t="shared" si="5"/>
        <v>15942.709080312</v>
      </c>
      <c r="U24" s="21">
        <f t="shared" si="6"/>
        <v>8.1273592</v>
      </c>
      <c r="V24" s="21" t="b">
        <f t="shared" si="7"/>
        <v>0</v>
      </c>
      <c r="W24" s="21" t="b">
        <f t="shared" si="8"/>
        <v>1</v>
      </c>
    </row>
    <row r="25" s="21" customFormat="1" ht="54" outlineLevel="1" spans="1:23">
      <c r="A25" s="65">
        <v>18</v>
      </c>
      <c r="B25" s="65" t="s">
        <v>364</v>
      </c>
      <c r="C25" s="65" t="s">
        <v>369</v>
      </c>
      <c r="D25" s="65" t="s">
        <v>111</v>
      </c>
      <c r="E25" s="65">
        <v>2364.94</v>
      </c>
      <c r="F25" s="57">
        <v>2364.94</v>
      </c>
      <c r="G25" s="65">
        <f>G21</f>
        <v>3</v>
      </c>
      <c r="H25" s="67">
        <f t="shared" si="0"/>
        <v>3.944</v>
      </c>
      <c r="I25" s="80">
        <f t="shared" ref="I25:K25" si="14">I24</f>
        <v>3.4</v>
      </c>
      <c r="J25" s="78">
        <f t="shared" si="14"/>
        <v>0.16</v>
      </c>
      <c r="K25" s="79">
        <f t="shared" si="14"/>
        <v>0.5</v>
      </c>
      <c r="L25" s="39">
        <f>(G25+H25+K25)*$L$5</f>
        <v>0.44664</v>
      </c>
      <c r="M25" s="39">
        <f>(G25+H25+K25+L25)*$M$5</f>
        <v>0.2367192</v>
      </c>
      <c r="N25" s="67">
        <f t="shared" si="4"/>
        <v>12.1910388</v>
      </c>
      <c r="O25" s="67"/>
      <c r="P25" s="67">
        <f t="shared" si="1"/>
        <v>28831.075299672</v>
      </c>
      <c r="Q25" s="82">
        <f t="shared" si="2"/>
        <v>28831.075299672</v>
      </c>
      <c r="R25" s="65" t="s">
        <v>356</v>
      </c>
      <c r="T25" s="21">
        <f t="shared" si="5"/>
        <v>28831.075299672</v>
      </c>
      <c r="U25" s="21">
        <f t="shared" si="6"/>
        <v>8.1273592</v>
      </c>
      <c r="V25" s="21" t="b">
        <f t="shared" si="7"/>
        <v>0</v>
      </c>
      <c r="W25" s="21" t="b">
        <f t="shared" si="8"/>
        <v>1</v>
      </c>
    </row>
    <row r="26" s="21" customFormat="1" ht="54" outlineLevel="1" spans="1:23">
      <c r="A26" s="65">
        <v>19</v>
      </c>
      <c r="B26" s="65" t="s">
        <v>370</v>
      </c>
      <c r="C26" s="69" t="s">
        <v>371</v>
      </c>
      <c r="D26" s="65" t="s">
        <v>283</v>
      </c>
      <c r="E26" s="65">
        <v>43</v>
      </c>
      <c r="F26" s="57">
        <v>43</v>
      </c>
      <c r="G26" s="66">
        <v>20</v>
      </c>
      <c r="H26" s="67">
        <f t="shared" si="0"/>
        <v>146.45</v>
      </c>
      <c r="I26" s="75">
        <v>145</v>
      </c>
      <c r="J26" s="76">
        <v>0.01</v>
      </c>
      <c r="K26" s="77">
        <v>5</v>
      </c>
      <c r="L26" s="39">
        <f>(G26+H26+K26)*$L$5</f>
        <v>10.287</v>
      </c>
      <c r="M26" s="39">
        <f>(G26+H26+K26+L26)*$M$5</f>
        <v>5.45211</v>
      </c>
      <c r="N26" s="67">
        <f t="shared" si="4"/>
        <v>280.783665</v>
      </c>
      <c r="O26" s="67"/>
      <c r="P26" s="67">
        <f t="shared" si="1"/>
        <v>12073.697595</v>
      </c>
      <c r="Q26" s="82">
        <f t="shared" si="2"/>
        <v>12073.697595</v>
      </c>
      <c r="R26" s="65" t="s">
        <v>372</v>
      </c>
      <c r="T26" s="21">
        <f t="shared" si="5"/>
        <v>12073.697595</v>
      </c>
      <c r="U26" s="21">
        <f t="shared" si="6"/>
        <v>187.18911</v>
      </c>
      <c r="V26" s="21" t="b">
        <f t="shared" si="7"/>
        <v>0</v>
      </c>
      <c r="W26" s="21" t="b">
        <f t="shared" si="8"/>
        <v>1</v>
      </c>
    </row>
    <row r="27" s="21" customFormat="1" ht="54" outlineLevel="1" spans="1:23">
      <c r="A27" s="65">
        <v>20</v>
      </c>
      <c r="B27" s="65" t="s">
        <v>370</v>
      </c>
      <c r="C27" s="69" t="s">
        <v>373</v>
      </c>
      <c r="D27" s="65" t="s">
        <v>283</v>
      </c>
      <c r="E27" s="65">
        <v>123</v>
      </c>
      <c r="F27" s="57">
        <v>123</v>
      </c>
      <c r="G27" s="65">
        <f t="shared" ref="G27:K27" si="15">G26</f>
        <v>20</v>
      </c>
      <c r="H27" s="67">
        <f t="shared" si="0"/>
        <v>80.8</v>
      </c>
      <c r="I27" s="75">
        <v>80</v>
      </c>
      <c r="J27" s="74">
        <f t="shared" si="15"/>
        <v>0.01</v>
      </c>
      <c r="K27" s="58">
        <f t="shared" si="15"/>
        <v>5</v>
      </c>
      <c r="L27" s="39">
        <f>(G27+H27+K27)*$L$5</f>
        <v>6.348</v>
      </c>
      <c r="M27" s="39">
        <f>(G27+H27+K27+L27)*$M$5</f>
        <v>3.36444</v>
      </c>
      <c r="N27" s="67">
        <f t="shared" si="4"/>
        <v>173.26866</v>
      </c>
      <c r="O27" s="67"/>
      <c r="P27" s="67">
        <f t="shared" si="1"/>
        <v>21312.04518</v>
      </c>
      <c r="Q27" s="82">
        <f t="shared" si="2"/>
        <v>21312.04518</v>
      </c>
      <c r="R27" s="65" t="s">
        <v>372</v>
      </c>
      <c r="T27" s="21">
        <f t="shared" si="5"/>
        <v>21312.04518</v>
      </c>
      <c r="U27" s="21">
        <f t="shared" si="6"/>
        <v>115.51244</v>
      </c>
      <c r="V27" s="21" t="b">
        <f t="shared" si="7"/>
        <v>0</v>
      </c>
      <c r="W27" s="21" t="b">
        <f t="shared" si="8"/>
        <v>1</v>
      </c>
    </row>
    <row r="28" s="21" customFormat="1" ht="54" outlineLevel="1" spans="1:23">
      <c r="A28" s="65">
        <v>21</v>
      </c>
      <c r="B28" s="65" t="s">
        <v>370</v>
      </c>
      <c r="C28" s="65" t="s">
        <v>374</v>
      </c>
      <c r="D28" s="65" t="s">
        <v>283</v>
      </c>
      <c r="E28" s="65">
        <v>5</v>
      </c>
      <c r="F28" s="57">
        <v>5</v>
      </c>
      <c r="G28" s="70"/>
      <c r="H28" s="71"/>
      <c r="I28" s="80"/>
      <c r="J28" s="78"/>
      <c r="K28" s="79"/>
      <c r="L28" s="39">
        <f>(G28+H28+K28)*$L$5</f>
        <v>0</v>
      </c>
      <c r="M28" s="39">
        <f>(G28+H28+K28+L28)*$M$5</f>
        <v>0</v>
      </c>
      <c r="N28" s="67">
        <f t="shared" si="4"/>
        <v>0</v>
      </c>
      <c r="O28" s="67"/>
      <c r="P28" s="67">
        <f t="shared" si="1"/>
        <v>0</v>
      </c>
      <c r="Q28" s="82">
        <f t="shared" si="2"/>
        <v>0</v>
      </c>
      <c r="R28" s="65" t="s">
        <v>375</v>
      </c>
      <c r="T28" s="21">
        <f t="shared" si="5"/>
        <v>0</v>
      </c>
      <c r="U28" s="21">
        <f t="shared" si="6"/>
        <v>0</v>
      </c>
      <c r="V28" s="21" t="b">
        <f t="shared" si="7"/>
        <v>1</v>
      </c>
      <c r="W28" s="21" t="b">
        <f t="shared" si="8"/>
        <v>1</v>
      </c>
    </row>
    <row r="29" s="21" customFormat="1" ht="54" outlineLevel="1" spans="1:23">
      <c r="A29" s="65">
        <v>22</v>
      </c>
      <c r="B29" s="65" t="s">
        <v>370</v>
      </c>
      <c r="C29" s="65" t="s">
        <v>376</v>
      </c>
      <c r="D29" s="65" t="s">
        <v>111</v>
      </c>
      <c r="E29" s="65">
        <v>151.06</v>
      </c>
      <c r="F29" s="57">
        <v>151.06</v>
      </c>
      <c r="G29" s="65">
        <f>G26</f>
        <v>20</v>
      </c>
      <c r="H29" s="67">
        <f t="shared" ref="H29:H42" si="16">I29*(1+J29)</f>
        <v>26.25</v>
      </c>
      <c r="I29" s="75">
        <v>25</v>
      </c>
      <c r="J29" s="81">
        <v>0.05</v>
      </c>
      <c r="K29" s="58">
        <f>K26</f>
        <v>5</v>
      </c>
      <c r="L29" s="39">
        <f>(G29+H29+K29)*$L$5</f>
        <v>3.075</v>
      </c>
      <c r="M29" s="39">
        <f>(G29+H29+K29+L29)*$M$5</f>
        <v>1.62975</v>
      </c>
      <c r="N29" s="67">
        <f t="shared" si="4"/>
        <v>83.932125</v>
      </c>
      <c r="O29" s="67"/>
      <c r="P29" s="67">
        <f t="shared" si="1"/>
        <v>12678.7868025</v>
      </c>
      <c r="Q29" s="82">
        <f t="shared" si="2"/>
        <v>12678.7868025</v>
      </c>
      <c r="R29" s="65" t="s">
        <v>372</v>
      </c>
      <c r="T29" s="21">
        <f t="shared" si="5"/>
        <v>12678.7868025</v>
      </c>
      <c r="U29" s="21">
        <f t="shared" si="6"/>
        <v>55.95475</v>
      </c>
      <c r="V29" s="21" t="b">
        <f t="shared" si="7"/>
        <v>0</v>
      </c>
      <c r="W29" s="21" t="b">
        <f t="shared" si="8"/>
        <v>1</v>
      </c>
    </row>
    <row r="30" s="21" customFormat="1" ht="54" outlineLevel="1" spans="1:23">
      <c r="A30" s="65">
        <v>23</v>
      </c>
      <c r="B30" s="65" t="s">
        <v>370</v>
      </c>
      <c r="C30" s="65" t="s">
        <v>377</v>
      </c>
      <c r="D30" s="65" t="s">
        <v>283</v>
      </c>
      <c r="E30" s="65">
        <v>1</v>
      </c>
      <c r="F30" s="57">
        <v>1</v>
      </c>
      <c r="G30" s="70"/>
      <c r="H30" s="71"/>
      <c r="I30" s="80"/>
      <c r="J30" s="78"/>
      <c r="K30" s="79"/>
      <c r="L30" s="39">
        <f>(G30+H30+K30)*$L$5</f>
        <v>0</v>
      </c>
      <c r="M30" s="39">
        <f>(G30+H30+K30+L30)*$M$5</f>
        <v>0</v>
      </c>
      <c r="N30" s="67">
        <f t="shared" si="4"/>
        <v>0</v>
      </c>
      <c r="O30" s="67"/>
      <c r="P30" s="67">
        <f t="shared" si="1"/>
        <v>0</v>
      </c>
      <c r="Q30" s="82">
        <f t="shared" si="2"/>
        <v>0</v>
      </c>
      <c r="R30" s="65" t="s">
        <v>375</v>
      </c>
      <c r="T30" s="21">
        <f t="shared" si="5"/>
        <v>0</v>
      </c>
      <c r="U30" s="21">
        <f t="shared" si="6"/>
        <v>0</v>
      </c>
      <c r="V30" s="21" t="b">
        <f t="shared" si="7"/>
        <v>1</v>
      </c>
      <c r="W30" s="21" t="b">
        <f t="shared" si="8"/>
        <v>1</v>
      </c>
    </row>
    <row r="31" s="21" customFormat="1" ht="54" outlineLevel="1" spans="1:23">
      <c r="A31" s="65">
        <v>24</v>
      </c>
      <c r="B31" s="65" t="s">
        <v>370</v>
      </c>
      <c r="C31" s="65" t="s">
        <v>378</v>
      </c>
      <c r="D31" s="65" t="s">
        <v>283</v>
      </c>
      <c r="E31" s="65">
        <v>1</v>
      </c>
      <c r="F31" s="57">
        <v>1</v>
      </c>
      <c r="G31" s="65"/>
      <c r="H31" s="67"/>
      <c r="I31" s="80"/>
      <c r="J31" s="78"/>
      <c r="K31" s="79"/>
      <c r="L31" s="39">
        <f>(G31+H31+K31)*$L$5</f>
        <v>0</v>
      </c>
      <c r="M31" s="39">
        <f>(G31+H31+K31+L31)*$M$5</f>
        <v>0</v>
      </c>
      <c r="N31" s="67">
        <f t="shared" si="4"/>
        <v>0</v>
      </c>
      <c r="O31" s="67"/>
      <c r="P31" s="67">
        <f t="shared" si="1"/>
        <v>0</v>
      </c>
      <c r="Q31" s="82">
        <f t="shared" si="2"/>
        <v>0</v>
      </c>
      <c r="R31" s="65" t="s">
        <v>375</v>
      </c>
      <c r="T31" s="21">
        <f t="shared" si="5"/>
        <v>0</v>
      </c>
      <c r="U31" s="21">
        <f t="shared" si="6"/>
        <v>0</v>
      </c>
      <c r="V31" s="21" t="b">
        <f t="shared" si="7"/>
        <v>1</v>
      </c>
      <c r="W31" s="21" t="b">
        <f t="shared" si="8"/>
        <v>1</v>
      </c>
    </row>
    <row r="32" s="21" customFormat="1" ht="32.4" outlineLevel="1" spans="1:23">
      <c r="A32" s="65">
        <v>25</v>
      </c>
      <c r="B32" s="65" t="s">
        <v>379</v>
      </c>
      <c r="C32" s="65" t="s">
        <v>380</v>
      </c>
      <c r="D32" s="65" t="s">
        <v>105</v>
      </c>
      <c r="E32" s="65">
        <v>11</v>
      </c>
      <c r="F32" s="57">
        <v>11</v>
      </c>
      <c r="G32" s="66">
        <v>15</v>
      </c>
      <c r="H32" s="72">
        <f t="shared" si="16"/>
        <v>28.28</v>
      </c>
      <c r="I32" s="75">
        <v>28</v>
      </c>
      <c r="J32" s="76">
        <v>0.01</v>
      </c>
      <c r="K32" s="77">
        <v>5</v>
      </c>
      <c r="L32" s="39">
        <f>(G32+H32+K32)*$L$5</f>
        <v>2.8968</v>
      </c>
      <c r="M32" s="39">
        <f>(G32+H32+K32+L32)*$M$5</f>
        <v>1.535304</v>
      </c>
      <c r="N32" s="67">
        <f t="shared" si="4"/>
        <v>79.068156</v>
      </c>
      <c r="O32" s="67"/>
      <c r="P32" s="67">
        <f t="shared" si="1"/>
        <v>869.749716</v>
      </c>
      <c r="Q32" s="82">
        <f t="shared" si="2"/>
        <v>869.749716</v>
      </c>
      <c r="R32" s="65" t="s">
        <v>381</v>
      </c>
      <c r="T32" s="21">
        <f t="shared" si="5"/>
        <v>869.749716</v>
      </c>
      <c r="U32" s="21">
        <f t="shared" si="6"/>
        <v>52.712104</v>
      </c>
      <c r="V32" s="21" t="b">
        <f t="shared" si="7"/>
        <v>0</v>
      </c>
      <c r="W32" s="21" t="b">
        <f t="shared" si="8"/>
        <v>1</v>
      </c>
    </row>
    <row r="33" s="21" customFormat="1" ht="32.4" outlineLevel="1" spans="1:23">
      <c r="A33" s="65">
        <v>26</v>
      </c>
      <c r="B33" s="65" t="s">
        <v>379</v>
      </c>
      <c r="C33" s="65" t="s">
        <v>382</v>
      </c>
      <c r="D33" s="65" t="s">
        <v>105</v>
      </c>
      <c r="E33" s="65">
        <v>6</v>
      </c>
      <c r="F33" s="57">
        <v>6</v>
      </c>
      <c r="G33" s="65">
        <f t="shared" ref="G33:K33" si="17">G32</f>
        <v>15</v>
      </c>
      <c r="H33" s="67">
        <f t="shared" si="16"/>
        <v>45.45</v>
      </c>
      <c r="I33" s="75">
        <v>45</v>
      </c>
      <c r="J33" s="78">
        <f t="shared" si="17"/>
        <v>0.01</v>
      </c>
      <c r="K33" s="79">
        <f t="shared" si="17"/>
        <v>5</v>
      </c>
      <c r="L33" s="39">
        <f>(G33+H33+K33)*$L$5</f>
        <v>3.927</v>
      </c>
      <c r="M33" s="39">
        <f>(G33+H33+K33+L33)*$M$5</f>
        <v>2.08131</v>
      </c>
      <c r="N33" s="67">
        <f t="shared" si="4"/>
        <v>107.187465</v>
      </c>
      <c r="O33" s="67"/>
      <c r="P33" s="67">
        <f t="shared" si="1"/>
        <v>643.12479</v>
      </c>
      <c r="Q33" s="82">
        <f t="shared" si="2"/>
        <v>643.12479</v>
      </c>
      <c r="R33" s="65" t="str">
        <f>R32</f>
        <v>罗格朗</v>
      </c>
      <c r="T33" s="21">
        <f t="shared" si="5"/>
        <v>643.12479</v>
      </c>
      <c r="U33" s="21">
        <f t="shared" si="6"/>
        <v>71.45831</v>
      </c>
      <c r="V33" s="21" t="b">
        <f t="shared" si="7"/>
        <v>0</v>
      </c>
      <c r="W33" s="21" t="b">
        <f t="shared" si="8"/>
        <v>1</v>
      </c>
    </row>
    <row r="34" s="21" customFormat="1" ht="32.4" outlineLevel="1" spans="1:23">
      <c r="A34" s="65">
        <v>27</v>
      </c>
      <c r="B34" s="65" t="s">
        <v>379</v>
      </c>
      <c r="C34" s="65" t="s">
        <v>383</v>
      </c>
      <c r="D34" s="65" t="s">
        <v>105</v>
      </c>
      <c r="E34" s="65">
        <v>1</v>
      </c>
      <c r="F34" s="57">
        <v>1</v>
      </c>
      <c r="G34" s="65">
        <f t="shared" ref="G34:K34" si="18">G32</f>
        <v>15</v>
      </c>
      <c r="H34" s="67">
        <f t="shared" si="16"/>
        <v>61.61</v>
      </c>
      <c r="I34" s="75">
        <v>61</v>
      </c>
      <c r="J34" s="78">
        <f t="shared" si="18"/>
        <v>0.01</v>
      </c>
      <c r="K34" s="79">
        <f t="shared" si="18"/>
        <v>5</v>
      </c>
      <c r="L34" s="39">
        <f>(G34+H34+K34)*$L$5</f>
        <v>4.8966</v>
      </c>
      <c r="M34" s="39">
        <f>(G34+H34+K34+L34)*$M$5</f>
        <v>2.595198</v>
      </c>
      <c r="N34" s="67">
        <f t="shared" si="4"/>
        <v>133.652697</v>
      </c>
      <c r="O34" s="67"/>
      <c r="P34" s="67">
        <f t="shared" si="1"/>
        <v>133.652697</v>
      </c>
      <c r="Q34" s="82">
        <f t="shared" si="2"/>
        <v>133.652697</v>
      </c>
      <c r="R34" s="65" t="str">
        <f>R32</f>
        <v>罗格朗</v>
      </c>
      <c r="T34" s="21">
        <f t="shared" si="5"/>
        <v>133.652697</v>
      </c>
      <c r="U34" s="21">
        <f t="shared" si="6"/>
        <v>89.101798</v>
      </c>
      <c r="V34" s="21" t="b">
        <f t="shared" si="7"/>
        <v>0</v>
      </c>
      <c r="W34" s="21" t="b">
        <f t="shared" si="8"/>
        <v>1</v>
      </c>
    </row>
    <row r="35" s="21" customFormat="1" ht="32.4" outlineLevel="1" spans="1:23">
      <c r="A35" s="65">
        <v>28</v>
      </c>
      <c r="B35" s="65" t="s">
        <v>379</v>
      </c>
      <c r="C35" s="65" t="s">
        <v>384</v>
      </c>
      <c r="D35" s="65" t="s">
        <v>105</v>
      </c>
      <c r="E35" s="65">
        <v>7</v>
      </c>
      <c r="F35" s="57">
        <v>7</v>
      </c>
      <c r="G35" s="65">
        <f t="shared" ref="G35:K35" si="19">G32</f>
        <v>15</v>
      </c>
      <c r="H35" s="67">
        <f t="shared" si="16"/>
        <v>82.82</v>
      </c>
      <c r="I35" s="75">
        <v>82</v>
      </c>
      <c r="J35" s="78">
        <f t="shared" si="19"/>
        <v>0.01</v>
      </c>
      <c r="K35" s="79">
        <f t="shared" si="19"/>
        <v>5</v>
      </c>
      <c r="L35" s="39">
        <f>(G35+H35+K35)*$L$5</f>
        <v>6.1692</v>
      </c>
      <c r="M35" s="39">
        <f>(G35+H35+K35+L35)*$M$5</f>
        <v>3.269676</v>
      </c>
      <c r="N35" s="67">
        <f t="shared" si="4"/>
        <v>168.388314</v>
      </c>
      <c r="O35" s="67"/>
      <c r="P35" s="67">
        <f t="shared" si="1"/>
        <v>1178.718198</v>
      </c>
      <c r="Q35" s="82">
        <f t="shared" si="2"/>
        <v>1178.718198</v>
      </c>
      <c r="R35" s="65" t="str">
        <f>R33</f>
        <v>罗格朗</v>
      </c>
      <c r="T35" s="21">
        <f t="shared" si="5"/>
        <v>1178.718198</v>
      </c>
      <c r="U35" s="21">
        <f t="shared" si="6"/>
        <v>112.258876</v>
      </c>
      <c r="V35" s="21" t="b">
        <f t="shared" si="7"/>
        <v>0</v>
      </c>
      <c r="W35" s="21" t="b">
        <f t="shared" si="8"/>
        <v>1</v>
      </c>
    </row>
    <row r="36" s="21" customFormat="1" ht="32.4" outlineLevel="1" spans="1:23">
      <c r="A36" s="65">
        <v>29</v>
      </c>
      <c r="B36" s="65" t="s">
        <v>385</v>
      </c>
      <c r="C36" s="65" t="s">
        <v>386</v>
      </c>
      <c r="D36" s="65" t="s">
        <v>105</v>
      </c>
      <c r="E36" s="65">
        <v>23</v>
      </c>
      <c r="F36" s="57">
        <v>23</v>
      </c>
      <c r="G36" s="66">
        <v>25</v>
      </c>
      <c r="H36" s="72">
        <f t="shared" si="16"/>
        <v>186.85</v>
      </c>
      <c r="I36" s="75">
        <v>185</v>
      </c>
      <c r="J36" s="76">
        <v>0.01</v>
      </c>
      <c r="K36" s="77">
        <v>5</v>
      </c>
      <c r="L36" s="39">
        <f>(G36+H36+K36)*$L$5</f>
        <v>13.011</v>
      </c>
      <c r="M36" s="39">
        <f>(G36+H36+K36+L36)*$M$5</f>
        <v>6.89583</v>
      </c>
      <c r="N36" s="67">
        <f t="shared" si="4"/>
        <v>355.135245</v>
      </c>
      <c r="O36" s="67"/>
      <c r="P36" s="67">
        <f t="shared" si="1"/>
        <v>8168.110635</v>
      </c>
      <c r="Q36" s="82">
        <f t="shared" si="2"/>
        <v>8168.110635</v>
      </c>
      <c r="R36" s="65" t="str">
        <f>R33</f>
        <v>罗格朗</v>
      </c>
      <c r="T36" s="21">
        <f t="shared" si="5"/>
        <v>8168.110635</v>
      </c>
      <c r="U36" s="21">
        <f t="shared" si="6"/>
        <v>236.75683</v>
      </c>
      <c r="V36" s="21" t="b">
        <f t="shared" si="7"/>
        <v>0</v>
      </c>
      <c r="W36" s="21" t="b">
        <f t="shared" si="8"/>
        <v>1</v>
      </c>
    </row>
    <row r="37" s="21" customFormat="1" ht="32.4" outlineLevel="1" spans="1:23">
      <c r="A37" s="65">
        <v>30</v>
      </c>
      <c r="B37" s="65" t="s">
        <v>387</v>
      </c>
      <c r="C37" s="65" t="s">
        <v>388</v>
      </c>
      <c r="D37" s="65" t="s">
        <v>105</v>
      </c>
      <c r="E37" s="65">
        <v>32</v>
      </c>
      <c r="F37" s="57">
        <v>32</v>
      </c>
      <c r="G37" s="70">
        <f t="shared" ref="G37:K37" si="20">G32</f>
        <v>15</v>
      </c>
      <c r="H37" s="67">
        <f t="shared" si="16"/>
        <v>28.28</v>
      </c>
      <c r="I37" s="75">
        <v>28</v>
      </c>
      <c r="J37" s="78">
        <f t="shared" si="20"/>
        <v>0.01</v>
      </c>
      <c r="K37" s="79">
        <f t="shared" si="20"/>
        <v>5</v>
      </c>
      <c r="L37" s="39">
        <f>(G37+H37+K37)*$L$5</f>
        <v>2.8968</v>
      </c>
      <c r="M37" s="39">
        <f>(G37+H37+K37+L37)*$M$5</f>
        <v>1.535304</v>
      </c>
      <c r="N37" s="67">
        <f t="shared" si="4"/>
        <v>79.068156</v>
      </c>
      <c r="O37" s="67"/>
      <c r="P37" s="67">
        <f t="shared" si="1"/>
        <v>2530.180992</v>
      </c>
      <c r="Q37" s="82">
        <f t="shared" si="2"/>
        <v>2530.180992</v>
      </c>
      <c r="R37" s="65" t="str">
        <f>R33</f>
        <v>罗格朗</v>
      </c>
      <c r="T37" s="21">
        <f t="shared" si="5"/>
        <v>2530.180992</v>
      </c>
      <c r="U37" s="21">
        <f t="shared" si="6"/>
        <v>52.712104</v>
      </c>
      <c r="V37" s="21" t="b">
        <f t="shared" si="7"/>
        <v>0</v>
      </c>
      <c r="W37" s="21" t="b">
        <f t="shared" si="8"/>
        <v>1</v>
      </c>
    </row>
    <row r="38" s="21" customFormat="1" ht="43.2" outlineLevel="1" spans="1:23">
      <c r="A38" s="65">
        <v>31</v>
      </c>
      <c r="B38" s="65" t="s">
        <v>387</v>
      </c>
      <c r="C38" s="65" t="s">
        <v>389</v>
      </c>
      <c r="D38" s="65" t="s">
        <v>105</v>
      </c>
      <c r="E38" s="65">
        <v>14</v>
      </c>
      <c r="F38" s="57">
        <v>14</v>
      </c>
      <c r="G38" s="65">
        <f t="shared" ref="G38:K38" si="21">G32</f>
        <v>15</v>
      </c>
      <c r="H38" s="67">
        <f t="shared" si="16"/>
        <v>267.65</v>
      </c>
      <c r="I38" s="75">
        <v>265</v>
      </c>
      <c r="J38" s="78">
        <f t="shared" si="21"/>
        <v>0.01</v>
      </c>
      <c r="K38" s="79">
        <f t="shared" si="21"/>
        <v>5</v>
      </c>
      <c r="L38" s="39">
        <f>(G38+H38+K38)*$L$5</f>
        <v>17.259</v>
      </c>
      <c r="M38" s="39">
        <f>(G38+H38+K38+L38)*$M$5</f>
        <v>9.14727</v>
      </c>
      <c r="N38" s="67">
        <f t="shared" si="4"/>
        <v>471.084405</v>
      </c>
      <c r="O38" s="67"/>
      <c r="P38" s="67">
        <f t="shared" si="1"/>
        <v>6595.18167</v>
      </c>
      <c r="Q38" s="82">
        <f t="shared" si="2"/>
        <v>6595.18167</v>
      </c>
      <c r="R38" s="65" t="str">
        <f>R33</f>
        <v>罗格朗</v>
      </c>
      <c r="T38" s="21">
        <f t="shared" si="5"/>
        <v>6595.18167</v>
      </c>
      <c r="U38" s="21">
        <f t="shared" si="6"/>
        <v>314.05627</v>
      </c>
      <c r="V38" s="21" t="b">
        <f t="shared" si="7"/>
        <v>0</v>
      </c>
      <c r="W38" s="21" t="b">
        <f t="shared" si="8"/>
        <v>1</v>
      </c>
    </row>
    <row r="39" s="21" customFormat="1" ht="32.4" outlineLevel="1" spans="1:23">
      <c r="A39" s="65">
        <v>32</v>
      </c>
      <c r="B39" s="65" t="s">
        <v>387</v>
      </c>
      <c r="C39" s="65" t="s">
        <v>390</v>
      </c>
      <c r="D39" s="65" t="s">
        <v>105</v>
      </c>
      <c r="E39" s="65">
        <v>9</v>
      </c>
      <c r="F39" s="57">
        <v>9</v>
      </c>
      <c r="G39" s="65">
        <f t="shared" ref="G39:K39" si="22">G32</f>
        <v>15</v>
      </c>
      <c r="H39" s="67">
        <f t="shared" si="16"/>
        <v>45.45</v>
      </c>
      <c r="I39" s="75">
        <v>45</v>
      </c>
      <c r="J39" s="78">
        <f t="shared" si="22"/>
        <v>0.01</v>
      </c>
      <c r="K39" s="79">
        <f t="shared" si="22"/>
        <v>5</v>
      </c>
      <c r="L39" s="39">
        <f>(G39+H39+K39)*$L$5</f>
        <v>3.927</v>
      </c>
      <c r="M39" s="39">
        <f>(G39+H39+K39+L39)*$M$5</f>
        <v>2.08131</v>
      </c>
      <c r="N39" s="67">
        <f t="shared" si="4"/>
        <v>107.187465</v>
      </c>
      <c r="O39" s="67"/>
      <c r="P39" s="67">
        <f t="shared" si="1"/>
        <v>964.687185</v>
      </c>
      <c r="Q39" s="82">
        <f t="shared" si="2"/>
        <v>964.687185</v>
      </c>
      <c r="R39" s="65" t="str">
        <f>R33</f>
        <v>罗格朗</v>
      </c>
      <c r="T39" s="21">
        <f t="shared" si="5"/>
        <v>964.687185</v>
      </c>
      <c r="U39" s="21">
        <f t="shared" si="6"/>
        <v>71.45831</v>
      </c>
      <c r="V39" s="21" t="b">
        <f t="shared" si="7"/>
        <v>0</v>
      </c>
      <c r="W39" s="21" t="b">
        <f t="shared" si="8"/>
        <v>1</v>
      </c>
    </row>
    <row r="40" s="21" customFormat="1" ht="32.4" outlineLevel="1" spans="1:23">
      <c r="A40" s="65">
        <v>33</v>
      </c>
      <c r="B40" s="65" t="s">
        <v>391</v>
      </c>
      <c r="C40" s="65" t="s">
        <v>392</v>
      </c>
      <c r="D40" s="65" t="s">
        <v>105</v>
      </c>
      <c r="E40" s="65">
        <v>103</v>
      </c>
      <c r="F40" s="57">
        <v>103</v>
      </c>
      <c r="G40" s="66">
        <v>5</v>
      </c>
      <c r="H40" s="72">
        <f t="shared" si="16"/>
        <v>3.3128</v>
      </c>
      <c r="I40" s="75">
        <v>3.28</v>
      </c>
      <c r="J40" s="76">
        <v>0.01</v>
      </c>
      <c r="K40" s="77">
        <v>2</v>
      </c>
      <c r="L40" s="39">
        <f>(G40+H40+K40)*$L$5</f>
        <v>0.618768</v>
      </c>
      <c r="M40" s="39">
        <f>(G40+H40+K40+L40)*$M$5</f>
        <v>0.32794704</v>
      </c>
      <c r="N40" s="67">
        <f t="shared" si="4"/>
        <v>16.88927256</v>
      </c>
      <c r="O40" s="67"/>
      <c r="P40" s="67">
        <f t="shared" si="1"/>
        <v>1739.59507368</v>
      </c>
      <c r="Q40" s="82">
        <f t="shared" si="2"/>
        <v>1739.59507368</v>
      </c>
      <c r="R40" s="65"/>
      <c r="T40" s="21">
        <f t="shared" si="5"/>
        <v>1739.59507368</v>
      </c>
      <c r="U40" s="21">
        <f t="shared" si="6"/>
        <v>11.25951504</v>
      </c>
      <c r="V40" s="21" t="b">
        <f t="shared" si="7"/>
        <v>0</v>
      </c>
      <c r="W40" s="21" t="b">
        <f t="shared" si="8"/>
        <v>1</v>
      </c>
    </row>
    <row r="41" s="21" customFormat="1" ht="32.4" outlineLevel="1" spans="1:23">
      <c r="A41" s="68">
        <v>34</v>
      </c>
      <c r="B41" s="68" t="s">
        <v>391</v>
      </c>
      <c r="C41" s="68" t="s">
        <v>393</v>
      </c>
      <c r="D41" s="68" t="s">
        <v>105</v>
      </c>
      <c r="E41" s="68">
        <v>202</v>
      </c>
      <c r="F41" s="57">
        <v>202</v>
      </c>
      <c r="G41" s="68">
        <f t="shared" ref="G41:K41" si="23">G40</f>
        <v>5</v>
      </c>
      <c r="H41" s="67">
        <f t="shared" si="16"/>
        <v>3.3128</v>
      </c>
      <c r="I41" s="80">
        <f t="shared" si="23"/>
        <v>3.28</v>
      </c>
      <c r="J41" s="78">
        <f t="shared" si="23"/>
        <v>0.01</v>
      </c>
      <c r="K41" s="79">
        <f t="shared" si="23"/>
        <v>2</v>
      </c>
      <c r="L41" s="39">
        <f>(G41+H41+K41)*$L$5</f>
        <v>0.618768</v>
      </c>
      <c r="M41" s="39">
        <f>(G41+H41+K41+L41)*$M$5</f>
        <v>0.32794704</v>
      </c>
      <c r="N41" s="67">
        <f t="shared" si="4"/>
        <v>16.88927256</v>
      </c>
      <c r="O41" s="67"/>
      <c r="P41" s="67">
        <f t="shared" si="1"/>
        <v>3411.63305712</v>
      </c>
      <c r="Q41" s="82">
        <f t="shared" si="2"/>
        <v>3411.63305712</v>
      </c>
      <c r="R41" s="68"/>
      <c r="T41" s="21">
        <f t="shared" si="5"/>
        <v>3411.63305712</v>
      </c>
      <c r="U41" s="21">
        <f t="shared" si="6"/>
        <v>11.25951504</v>
      </c>
      <c r="V41" s="21" t="b">
        <f t="shared" si="7"/>
        <v>0</v>
      </c>
      <c r="W41" s="21" t="b">
        <f t="shared" si="8"/>
        <v>1</v>
      </c>
    </row>
    <row r="42" s="21" customFormat="1" ht="21.6" outlineLevel="1" spans="1:23">
      <c r="A42" s="65">
        <v>35</v>
      </c>
      <c r="B42" s="65" t="s">
        <v>394</v>
      </c>
      <c r="C42" s="65" t="s">
        <v>395</v>
      </c>
      <c r="D42" s="65" t="s">
        <v>396</v>
      </c>
      <c r="E42" s="65">
        <v>1</v>
      </c>
      <c r="F42" s="57">
        <v>1</v>
      </c>
      <c r="G42" s="66">
        <v>300</v>
      </c>
      <c r="H42" s="67">
        <f t="shared" si="16"/>
        <v>0</v>
      </c>
      <c r="I42" s="75">
        <v>0</v>
      </c>
      <c r="J42" s="76">
        <v>0</v>
      </c>
      <c r="K42" s="77">
        <v>85</v>
      </c>
      <c r="L42" s="39">
        <f>(G42+H42+K42)*$L$5</f>
        <v>23.1</v>
      </c>
      <c r="M42" s="39">
        <f>(G42+H42+K42+L42)*$M$5</f>
        <v>12.243</v>
      </c>
      <c r="N42" s="67">
        <f t="shared" si="4"/>
        <v>630.5145</v>
      </c>
      <c r="O42" s="67"/>
      <c r="P42" s="67">
        <f t="shared" si="1"/>
        <v>630.5145</v>
      </c>
      <c r="Q42" s="82">
        <f t="shared" si="2"/>
        <v>630.5145</v>
      </c>
      <c r="R42" s="65"/>
      <c r="T42" s="21">
        <f t="shared" si="5"/>
        <v>630.5145</v>
      </c>
      <c r="U42" s="21">
        <f t="shared" si="6"/>
        <v>420.343</v>
      </c>
      <c r="V42" s="21" t="b">
        <f t="shared" si="7"/>
        <v>0</v>
      </c>
      <c r="W42" s="21" t="b">
        <f t="shared" si="8"/>
        <v>1</v>
      </c>
    </row>
    <row r="43" s="21" customFormat="1" spans="1:23">
      <c r="A43" s="65"/>
      <c r="B43" s="65" t="s">
        <v>397</v>
      </c>
      <c r="C43" s="65"/>
      <c r="D43" s="65"/>
      <c r="E43" s="65"/>
      <c r="F43" s="57"/>
      <c r="G43" s="65"/>
      <c r="H43" s="67"/>
      <c r="I43" s="80"/>
      <c r="J43" s="78"/>
      <c r="K43" s="79"/>
      <c r="L43" s="39"/>
      <c r="M43" s="39"/>
      <c r="N43" s="67">
        <f t="shared" si="4"/>
        <v>0</v>
      </c>
      <c r="O43" s="67"/>
      <c r="P43" s="67"/>
      <c r="Q43" s="82"/>
      <c r="R43" s="65"/>
      <c r="T43" s="21">
        <f t="shared" si="5"/>
        <v>0</v>
      </c>
      <c r="U43" s="21">
        <f t="shared" si="6"/>
        <v>0</v>
      </c>
      <c r="V43" s="21" t="b">
        <f t="shared" si="7"/>
        <v>1</v>
      </c>
      <c r="W43" s="21" t="b">
        <f t="shared" si="8"/>
        <v>1</v>
      </c>
    </row>
    <row r="44" s="21" customFormat="1" ht="54" outlineLevel="1" spans="1:23">
      <c r="A44" s="68">
        <v>36</v>
      </c>
      <c r="B44" s="68" t="s">
        <v>346</v>
      </c>
      <c r="C44" s="68" t="s">
        <v>398</v>
      </c>
      <c r="D44" s="68" t="s">
        <v>111</v>
      </c>
      <c r="E44" s="68">
        <v>51.2</v>
      </c>
      <c r="F44" s="57">
        <v>51.2</v>
      </c>
      <c r="G44" s="68">
        <f>G10</f>
        <v>25</v>
      </c>
      <c r="H44" s="67">
        <f t="shared" ref="H44:H73" si="24">I44*(1+J44)</f>
        <v>56.1</v>
      </c>
      <c r="I44" s="75">
        <v>55</v>
      </c>
      <c r="J44" s="76">
        <v>0.02</v>
      </c>
      <c r="K44" s="77">
        <v>6</v>
      </c>
      <c r="L44" s="39">
        <f>(G44+H44+K44)*$L$5</f>
        <v>5.226</v>
      </c>
      <c r="M44" s="39">
        <f>(G44+H44+K44+L44)*$M$5</f>
        <v>2.76978</v>
      </c>
      <c r="N44" s="67">
        <f t="shared" si="4"/>
        <v>142.64367</v>
      </c>
      <c r="O44" s="67"/>
      <c r="P44" s="67">
        <f t="shared" ref="P44:P73" si="25">N44*E44</f>
        <v>7303.355904</v>
      </c>
      <c r="Q44" s="82">
        <f t="shared" ref="Q44:Q73" si="26">F44*N44</f>
        <v>7303.355904</v>
      </c>
      <c r="R44" s="68"/>
      <c r="T44" s="21">
        <f t="shared" si="5"/>
        <v>7303.355904</v>
      </c>
      <c r="U44" s="21">
        <f t="shared" si="6"/>
        <v>95.09578</v>
      </c>
      <c r="V44" s="21" t="b">
        <f t="shared" si="7"/>
        <v>0</v>
      </c>
      <c r="W44" s="21" t="b">
        <f t="shared" si="8"/>
        <v>1</v>
      </c>
    </row>
    <row r="45" s="21" customFormat="1" ht="54" outlineLevel="1" spans="1:23">
      <c r="A45" s="65">
        <v>37</v>
      </c>
      <c r="B45" s="65" t="s">
        <v>346</v>
      </c>
      <c r="C45" s="65" t="s">
        <v>399</v>
      </c>
      <c r="D45" s="65" t="s">
        <v>111</v>
      </c>
      <c r="E45" s="65">
        <v>82.99</v>
      </c>
      <c r="F45" s="57">
        <v>82.99</v>
      </c>
      <c r="G45" s="65">
        <f>G10</f>
        <v>25</v>
      </c>
      <c r="H45" s="67">
        <f t="shared" si="24"/>
        <v>48.96</v>
      </c>
      <c r="I45" s="75">
        <v>48</v>
      </c>
      <c r="J45" s="76">
        <v>0.02</v>
      </c>
      <c r="K45" s="77">
        <v>6</v>
      </c>
      <c r="L45" s="39">
        <f>(G45+H45+K45)*$L$5</f>
        <v>4.7976</v>
      </c>
      <c r="M45" s="39">
        <f>(G45+H45+K45+L45)*$M$5</f>
        <v>2.542728</v>
      </c>
      <c r="N45" s="67">
        <f t="shared" si="4"/>
        <v>130.950492</v>
      </c>
      <c r="O45" s="67"/>
      <c r="P45" s="67">
        <f t="shared" si="25"/>
        <v>10867.58133108</v>
      </c>
      <c r="Q45" s="82">
        <f t="shared" si="26"/>
        <v>10867.58133108</v>
      </c>
      <c r="R45" s="65"/>
      <c r="T45" s="21">
        <f t="shared" si="5"/>
        <v>10867.58133108</v>
      </c>
      <c r="U45" s="21">
        <f t="shared" si="6"/>
        <v>87.300328</v>
      </c>
      <c r="V45" s="21" t="b">
        <f t="shared" si="7"/>
        <v>0</v>
      </c>
      <c r="W45" s="21" t="b">
        <f t="shared" si="8"/>
        <v>1</v>
      </c>
    </row>
    <row r="46" s="21" customFormat="1" ht="64.8" outlineLevel="1" spans="1:23">
      <c r="A46" s="65">
        <v>38</v>
      </c>
      <c r="B46" s="65" t="s">
        <v>351</v>
      </c>
      <c r="C46" s="65" t="s">
        <v>352</v>
      </c>
      <c r="D46" s="65" t="s">
        <v>353</v>
      </c>
      <c r="E46" s="65">
        <v>67.08</v>
      </c>
      <c r="F46" s="57">
        <v>67.08</v>
      </c>
      <c r="G46" s="65">
        <f t="shared" ref="G46:K46" si="27">G14</f>
        <v>4.6</v>
      </c>
      <c r="H46" s="67">
        <f t="shared" si="24"/>
        <v>5.04</v>
      </c>
      <c r="I46" s="65">
        <f t="shared" si="27"/>
        <v>4.8</v>
      </c>
      <c r="J46" s="74">
        <f t="shared" si="27"/>
        <v>0.05</v>
      </c>
      <c r="K46" s="58">
        <f t="shared" si="27"/>
        <v>3</v>
      </c>
      <c r="L46" s="39">
        <f>(G46+H46+K46)*$L$5</f>
        <v>0.7584</v>
      </c>
      <c r="M46" s="39">
        <f>(G46+H46+K46+L46)*$M$5</f>
        <v>0.401952</v>
      </c>
      <c r="N46" s="67">
        <f t="shared" si="4"/>
        <v>20.700528</v>
      </c>
      <c r="O46" s="67"/>
      <c r="P46" s="67">
        <f t="shared" si="25"/>
        <v>1388.59141824</v>
      </c>
      <c r="Q46" s="82">
        <f t="shared" si="26"/>
        <v>1388.59141824</v>
      </c>
      <c r="R46" s="65"/>
      <c r="T46" s="21">
        <f t="shared" si="5"/>
        <v>1388.59141824</v>
      </c>
      <c r="U46" s="21">
        <f t="shared" si="6"/>
        <v>13.800352</v>
      </c>
      <c r="V46" s="21" t="b">
        <f t="shared" si="7"/>
        <v>0</v>
      </c>
      <c r="W46" s="21" t="b">
        <f t="shared" si="8"/>
        <v>1</v>
      </c>
    </row>
    <row r="47" s="21" customFormat="1" ht="54" outlineLevel="1" spans="1:23">
      <c r="A47" s="65">
        <v>39</v>
      </c>
      <c r="B47" s="65" t="s">
        <v>354</v>
      </c>
      <c r="C47" s="65" t="s">
        <v>355</v>
      </c>
      <c r="D47" s="65" t="s">
        <v>111</v>
      </c>
      <c r="E47" s="65">
        <v>212.52</v>
      </c>
      <c r="F47" s="57">
        <v>212.52</v>
      </c>
      <c r="G47" s="65">
        <f t="shared" ref="G47:K47" si="28">G15</f>
        <v>10</v>
      </c>
      <c r="H47" s="67">
        <f t="shared" si="24"/>
        <v>5.665</v>
      </c>
      <c r="I47" s="65">
        <f t="shared" si="28"/>
        <v>5.5</v>
      </c>
      <c r="J47" s="74">
        <f t="shared" si="28"/>
        <v>0.03</v>
      </c>
      <c r="K47" s="58">
        <f t="shared" si="28"/>
        <v>2</v>
      </c>
      <c r="L47" s="39">
        <f>(G47+H47+K47)*$L$5</f>
        <v>1.0599</v>
      </c>
      <c r="M47" s="39">
        <f>(G47+H47+K47+L47)*$M$5</f>
        <v>0.561747</v>
      </c>
      <c r="N47" s="67">
        <f t="shared" si="4"/>
        <v>28.9299705</v>
      </c>
      <c r="O47" s="67"/>
      <c r="P47" s="67">
        <f t="shared" si="25"/>
        <v>6148.19733066</v>
      </c>
      <c r="Q47" s="82">
        <f t="shared" si="26"/>
        <v>6148.19733066</v>
      </c>
      <c r="R47" s="65" t="str">
        <f>R20</f>
        <v>郑州三厂</v>
      </c>
      <c r="T47" s="21">
        <f t="shared" si="5"/>
        <v>6148.19733066</v>
      </c>
      <c r="U47" s="21">
        <f t="shared" si="6"/>
        <v>19.286647</v>
      </c>
      <c r="V47" s="21" t="b">
        <f t="shared" si="7"/>
        <v>0</v>
      </c>
      <c r="W47" s="21" t="b">
        <f t="shared" si="8"/>
        <v>1</v>
      </c>
    </row>
    <row r="48" s="21" customFormat="1" ht="54" outlineLevel="1" spans="1:23">
      <c r="A48" s="65">
        <v>40</v>
      </c>
      <c r="B48" s="65" t="s">
        <v>354</v>
      </c>
      <c r="C48" s="65" t="s">
        <v>357</v>
      </c>
      <c r="D48" s="65" t="s">
        <v>111</v>
      </c>
      <c r="E48" s="65">
        <v>49.04</v>
      </c>
      <c r="F48" s="57">
        <v>49.04</v>
      </c>
      <c r="G48" s="65">
        <f t="shared" ref="G48:K48" si="29">G15</f>
        <v>10</v>
      </c>
      <c r="H48" s="67">
        <f t="shared" si="24"/>
        <v>5.665</v>
      </c>
      <c r="I48" s="65">
        <f t="shared" si="29"/>
        <v>5.5</v>
      </c>
      <c r="J48" s="74">
        <f t="shared" si="29"/>
        <v>0.03</v>
      </c>
      <c r="K48" s="58">
        <f t="shared" si="29"/>
        <v>2</v>
      </c>
      <c r="L48" s="39">
        <f>(G48+H48+K48)*$L$5</f>
        <v>1.0599</v>
      </c>
      <c r="M48" s="39">
        <f>(G48+H48+K48+L48)*$M$5</f>
        <v>0.561747</v>
      </c>
      <c r="N48" s="67">
        <f t="shared" si="4"/>
        <v>28.9299705</v>
      </c>
      <c r="O48" s="67"/>
      <c r="P48" s="67">
        <f t="shared" si="25"/>
        <v>1418.72575332</v>
      </c>
      <c r="Q48" s="82">
        <f t="shared" si="26"/>
        <v>1418.72575332</v>
      </c>
      <c r="R48" s="65" t="str">
        <f>R47</f>
        <v>郑州三厂</v>
      </c>
      <c r="T48" s="21">
        <f t="shared" si="5"/>
        <v>1418.72575332</v>
      </c>
      <c r="U48" s="21">
        <f t="shared" si="6"/>
        <v>19.286647</v>
      </c>
      <c r="V48" s="21" t="b">
        <f t="shared" si="7"/>
        <v>0</v>
      </c>
      <c r="W48" s="21" t="b">
        <f t="shared" si="8"/>
        <v>1</v>
      </c>
    </row>
    <row r="49" s="21" customFormat="1" ht="54" outlineLevel="1" spans="1:23">
      <c r="A49" s="65">
        <v>41</v>
      </c>
      <c r="B49" s="65" t="s">
        <v>354</v>
      </c>
      <c r="C49" s="65" t="s">
        <v>358</v>
      </c>
      <c r="D49" s="65" t="s">
        <v>111</v>
      </c>
      <c r="E49" s="65">
        <v>5.52</v>
      </c>
      <c r="F49" s="57">
        <v>5.52</v>
      </c>
      <c r="G49" s="65">
        <f t="shared" ref="G49:K49" si="30">G17</f>
        <v>10</v>
      </c>
      <c r="H49" s="67">
        <f t="shared" si="24"/>
        <v>8.858</v>
      </c>
      <c r="I49" s="65">
        <f t="shared" si="30"/>
        <v>8.6</v>
      </c>
      <c r="J49" s="74">
        <f t="shared" si="30"/>
        <v>0.03</v>
      </c>
      <c r="K49" s="58">
        <f t="shared" si="30"/>
        <v>2</v>
      </c>
      <c r="L49" s="39">
        <f>(G49+H49+K49)*$L$5</f>
        <v>1.25148</v>
      </c>
      <c r="M49" s="39">
        <f>(G49+H49+K49+L49)*$M$5</f>
        <v>0.6632844</v>
      </c>
      <c r="N49" s="67">
        <f t="shared" si="4"/>
        <v>34.1591466</v>
      </c>
      <c r="O49" s="67"/>
      <c r="P49" s="67">
        <f t="shared" si="25"/>
        <v>188.558489232</v>
      </c>
      <c r="Q49" s="82">
        <f t="shared" si="26"/>
        <v>188.558489232</v>
      </c>
      <c r="R49" s="65" t="str">
        <f>R47</f>
        <v>郑州三厂</v>
      </c>
      <c r="T49" s="21">
        <f t="shared" si="5"/>
        <v>188.558489232</v>
      </c>
      <c r="U49" s="21">
        <f t="shared" si="6"/>
        <v>22.7727644</v>
      </c>
      <c r="V49" s="21" t="b">
        <f t="shared" si="7"/>
        <v>0</v>
      </c>
      <c r="W49" s="21" t="b">
        <f t="shared" si="8"/>
        <v>1</v>
      </c>
    </row>
    <row r="50" s="21" customFormat="1" ht="54" outlineLevel="1" spans="1:23">
      <c r="A50" s="65">
        <v>42</v>
      </c>
      <c r="B50" s="65" t="s">
        <v>354</v>
      </c>
      <c r="C50" s="65" t="s">
        <v>359</v>
      </c>
      <c r="D50" s="65" t="s">
        <v>111</v>
      </c>
      <c r="E50" s="65">
        <v>6</v>
      </c>
      <c r="F50" s="57">
        <v>6</v>
      </c>
      <c r="G50" s="65">
        <f t="shared" ref="G50:K50" si="31">G18</f>
        <v>10</v>
      </c>
      <c r="H50" s="67">
        <f t="shared" si="24"/>
        <v>8.858</v>
      </c>
      <c r="I50" s="65">
        <f t="shared" si="31"/>
        <v>8.6</v>
      </c>
      <c r="J50" s="74">
        <f t="shared" si="31"/>
        <v>0.03</v>
      </c>
      <c r="K50" s="58">
        <f t="shared" si="31"/>
        <v>2</v>
      </c>
      <c r="L50" s="39">
        <f>(G50+H50+K50)*$L$5</f>
        <v>1.25148</v>
      </c>
      <c r="M50" s="39">
        <f>(G50+H50+K50+L50)*$M$5</f>
        <v>0.6632844</v>
      </c>
      <c r="N50" s="67">
        <f t="shared" si="4"/>
        <v>34.1591466</v>
      </c>
      <c r="O50" s="67"/>
      <c r="P50" s="67">
        <f t="shared" si="25"/>
        <v>204.9548796</v>
      </c>
      <c r="Q50" s="82">
        <f t="shared" si="26"/>
        <v>204.9548796</v>
      </c>
      <c r="R50" s="65" t="str">
        <f>R47</f>
        <v>郑州三厂</v>
      </c>
      <c r="T50" s="21">
        <f t="shared" si="5"/>
        <v>204.9548796</v>
      </c>
      <c r="U50" s="21">
        <f t="shared" si="6"/>
        <v>22.7727644</v>
      </c>
      <c r="V50" s="21" t="b">
        <f t="shared" si="7"/>
        <v>0</v>
      </c>
      <c r="W50" s="21" t="b">
        <f t="shared" si="8"/>
        <v>1</v>
      </c>
    </row>
    <row r="51" s="21" customFormat="1" ht="54" outlineLevel="1" spans="1:23">
      <c r="A51" s="65">
        <v>43</v>
      </c>
      <c r="B51" s="65" t="s">
        <v>364</v>
      </c>
      <c r="C51" s="65" t="s">
        <v>400</v>
      </c>
      <c r="D51" s="65" t="s">
        <v>111</v>
      </c>
      <c r="E51" s="65">
        <v>31.01</v>
      </c>
      <c r="F51" s="57">
        <v>31.01</v>
      </c>
      <c r="G51" s="65">
        <f>G21</f>
        <v>3</v>
      </c>
      <c r="H51" s="67">
        <f t="shared" si="24"/>
        <v>3.248</v>
      </c>
      <c r="I51" s="75">
        <v>2.8</v>
      </c>
      <c r="J51" s="78">
        <f>J24</f>
        <v>0.16</v>
      </c>
      <c r="K51" s="79">
        <f>K24</f>
        <v>0.5</v>
      </c>
      <c r="L51" s="39">
        <f>(G51+H51+K51)*$L$5</f>
        <v>0.40488</v>
      </c>
      <c r="M51" s="39">
        <f>(G51+H51+K51+L51)*$M$5</f>
        <v>0.2145864</v>
      </c>
      <c r="N51" s="67">
        <f t="shared" si="4"/>
        <v>11.0511996</v>
      </c>
      <c r="O51" s="67"/>
      <c r="P51" s="67">
        <f t="shared" si="25"/>
        <v>342.697699596</v>
      </c>
      <c r="Q51" s="82">
        <f t="shared" si="26"/>
        <v>342.697699596</v>
      </c>
      <c r="R51" s="65" t="str">
        <f>R47</f>
        <v>郑州三厂</v>
      </c>
      <c r="T51" s="21">
        <f t="shared" si="5"/>
        <v>342.697699596</v>
      </c>
      <c r="U51" s="21">
        <f t="shared" si="6"/>
        <v>7.3674664</v>
      </c>
      <c r="V51" s="21" t="b">
        <f t="shared" si="7"/>
        <v>0</v>
      </c>
      <c r="W51" s="21" t="b">
        <f t="shared" si="8"/>
        <v>1</v>
      </c>
    </row>
    <row r="52" s="21" customFormat="1" ht="54" outlineLevel="1" spans="1:23">
      <c r="A52" s="65">
        <v>44</v>
      </c>
      <c r="B52" s="65" t="s">
        <v>364</v>
      </c>
      <c r="C52" s="65" t="s">
        <v>401</v>
      </c>
      <c r="D52" s="65" t="s">
        <v>111</v>
      </c>
      <c r="E52" s="65">
        <v>89.12</v>
      </c>
      <c r="F52" s="57">
        <v>89.12</v>
      </c>
      <c r="G52" s="65">
        <f>G21</f>
        <v>3</v>
      </c>
      <c r="H52" s="67">
        <f t="shared" si="24"/>
        <v>3.248</v>
      </c>
      <c r="I52" s="80">
        <f t="shared" ref="I52:K52" si="32">I51</f>
        <v>2.8</v>
      </c>
      <c r="J52" s="78">
        <f t="shared" si="32"/>
        <v>0.16</v>
      </c>
      <c r="K52" s="79">
        <f t="shared" si="32"/>
        <v>0.5</v>
      </c>
      <c r="L52" s="39">
        <f>(G52+H52+K52)*$L$5</f>
        <v>0.40488</v>
      </c>
      <c r="M52" s="39">
        <f>(G52+H52+K52+L52)*$M$5</f>
        <v>0.2145864</v>
      </c>
      <c r="N52" s="67">
        <f t="shared" si="4"/>
        <v>11.0511996</v>
      </c>
      <c r="O52" s="67"/>
      <c r="P52" s="67">
        <f t="shared" si="25"/>
        <v>984.882908352</v>
      </c>
      <c r="Q52" s="82">
        <f t="shared" si="26"/>
        <v>984.882908352</v>
      </c>
      <c r="R52" s="65" t="str">
        <f>R51</f>
        <v>郑州三厂</v>
      </c>
      <c r="T52" s="21">
        <f t="shared" si="5"/>
        <v>984.882908352</v>
      </c>
      <c r="U52" s="21">
        <f t="shared" si="6"/>
        <v>7.3674664</v>
      </c>
      <c r="V52" s="21" t="b">
        <f t="shared" si="7"/>
        <v>0</v>
      </c>
      <c r="W52" s="21" t="b">
        <f t="shared" si="8"/>
        <v>1</v>
      </c>
    </row>
    <row r="53" s="21" customFormat="1" ht="54" outlineLevel="1" spans="1:23">
      <c r="A53" s="65">
        <v>45</v>
      </c>
      <c r="B53" s="65" t="s">
        <v>364</v>
      </c>
      <c r="C53" s="65" t="s">
        <v>402</v>
      </c>
      <c r="D53" s="65" t="s">
        <v>111</v>
      </c>
      <c r="E53" s="65">
        <v>3.42</v>
      </c>
      <c r="F53" s="57">
        <v>3.42</v>
      </c>
      <c r="G53" s="65">
        <f>G21</f>
        <v>3</v>
      </c>
      <c r="H53" s="67">
        <f t="shared" si="24"/>
        <v>2.436</v>
      </c>
      <c r="I53" s="75">
        <v>2.1</v>
      </c>
      <c r="J53" s="78">
        <f t="shared" ref="J53:J59" si="33">J52</f>
        <v>0.16</v>
      </c>
      <c r="K53" s="79">
        <f t="shared" ref="K53:K59" si="34">K52</f>
        <v>0.5</v>
      </c>
      <c r="L53" s="39">
        <f>(G53+H53+K53)*$L$5</f>
        <v>0.35616</v>
      </c>
      <c r="M53" s="39">
        <f>(G53+H53+K53+L53)*$M$5</f>
        <v>0.1887648</v>
      </c>
      <c r="N53" s="67">
        <f t="shared" si="4"/>
        <v>9.7213872</v>
      </c>
      <c r="O53" s="67"/>
      <c r="P53" s="67">
        <f t="shared" si="25"/>
        <v>33.247144224</v>
      </c>
      <c r="Q53" s="82">
        <f t="shared" si="26"/>
        <v>33.247144224</v>
      </c>
      <c r="R53" s="65" t="str">
        <f>R51</f>
        <v>郑州三厂</v>
      </c>
      <c r="T53" s="21">
        <f t="shared" si="5"/>
        <v>33.247144224</v>
      </c>
      <c r="U53" s="21">
        <f t="shared" si="6"/>
        <v>6.4809248</v>
      </c>
      <c r="V53" s="21" t="b">
        <f t="shared" si="7"/>
        <v>0</v>
      </c>
      <c r="W53" s="21" t="b">
        <f t="shared" si="8"/>
        <v>1</v>
      </c>
    </row>
    <row r="54" s="21" customFormat="1" ht="54" outlineLevel="1" spans="1:23">
      <c r="A54" s="65">
        <v>46</v>
      </c>
      <c r="B54" s="65" t="s">
        <v>364</v>
      </c>
      <c r="C54" s="65" t="s">
        <v>403</v>
      </c>
      <c r="D54" s="65" t="s">
        <v>111</v>
      </c>
      <c r="E54" s="65">
        <v>109.58</v>
      </c>
      <c r="F54" s="57">
        <v>109.58</v>
      </c>
      <c r="G54" s="65">
        <f>G21</f>
        <v>3</v>
      </c>
      <c r="H54" s="67">
        <f t="shared" si="24"/>
        <v>4.06</v>
      </c>
      <c r="I54" s="75">
        <v>3.5</v>
      </c>
      <c r="J54" s="78">
        <f t="shared" si="33"/>
        <v>0.16</v>
      </c>
      <c r="K54" s="79">
        <f t="shared" si="34"/>
        <v>0.5</v>
      </c>
      <c r="L54" s="39">
        <f>(G54+H54+K54)*$L$5</f>
        <v>0.4536</v>
      </c>
      <c r="M54" s="39">
        <f>(G54+H54+K54+L54)*$M$5</f>
        <v>0.240408</v>
      </c>
      <c r="N54" s="67">
        <f t="shared" si="4"/>
        <v>12.381012</v>
      </c>
      <c r="O54" s="67"/>
      <c r="P54" s="67">
        <f t="shared" si="25"/>
        <v>1356.71129496</v>
      </c>
      <c r="Q54" s="82">
        <f t="shared" si="26"/>
        <v>1356.71129496</v>
      </c>
      <c r="R54" s="65" t="str">
        <f>R51</f>
        <v>郑州三厂</v>
      </c>
      <c r="T54" s="21">
        <f t="shared" si="5"/>
        <v>1356.71129496</v>
      </c>
      <c r="U54" s="21">
        <f t="shared" si="6"/>
        <v>8.254008</v>
      </c>
      <c r="V54" s="21" t="b">
        <f t="shared" si="7"/>
        <v>0</v>
      </c>
      <c r="W54" s="21" t="b">
        <f t="shared" si="8"/>
        <v>1</v>
      </c>
    </row>
    <row r="55" s="21" customFormat="1" ht="54" outlineLevel="1" spans="1:23">
      <c r="A55" s="65">
        <v>47</v>
      </c>
      <c r="B55" s="65" t="s">
        <v>364</v>
      </c>
      <c r="C55" s="65" t="s">
        <v>404</v>
      </c>
      <c r="D55" s="65" t="s">
        <v>111</v>
      </c>
      <c r="E55" s="65">
        <v>49.9</v>
      </c>
      <c r="F55" s="57">
        <v>49.9</v>
      </c>
      <c r="G55" s="65">
        <f>G21</f>
        <v>3</v>
      </c>
      <c r="H55" s="67">
        <f t="shared" si="24"/>
        <v>5.22</v>
      </c>
      <c r="I55" s="75">
        <v>4.5</v>
      </c>
      <c r="J55" s="78">
        <f>J53</f>
        <v>0.16</v>
      </c>
      <c r="K55" s="79">
        <f>K53</f>
        <v>0.5</v>
      </c>
      <c r="L55" s="39">
        <f>(G55+H55+K55)*$L$5</f>
        <v>0.5232</v>
      </c>
      <c r="M55" s="39">
        <f>(G55+H55+K55+L55)*$M$5</f>
        <v>0.277296</v>
      </c>
      <c r="N55" s="67">
        <f t="shared" si="4"/>
        <v>14.280744</v>
      </c>
      <c r="O55" s="67"/>
      <c r="P55" s="67">
        <f t="shared" si="25"/>
        <v>712.6091256</v>
      </c>
      <c r="Q55" s="82">
        <f t="shared" si="26"/>
        <v>712.6091256</v>
      </c>
      <c r="R55" s="65" t="str">
        <f>R53</f>
        <v>郑州三厂</v>
      </c>
      <c r="T55" s="21">
        <f t="shared" si="5"/>
        <v>712.6091256</v>
      </c>
      <c r="U55" s="21">
        <f t="shared" si="6"/>
        <v>9.520496</v>
      </c>
      <c r="V55" s="21" t="b">
        <f t="shared" si="7"/>
        <v>0</v>
      </c>
      <c r="W55" s="21" t="b">
        <f t="shared" si="8"/>
        <v>1</v>
      </c>
    </row>
    <row r="56" s="21" customFormat="1" ht="54" outlineLevel="1" spans="1:23">
      <c r="A56" s="65">
        <v>48</v>
      </c>
      <c r="B56" s="65" t="s">
        <v>364</v>
      </c>
      <c r="C56" s="65" t="s">
        <v>405</v>
      </c>
      <c r="D56" s="65" t="s">
        <v>111</v>
      </c>
      <c r="E56" s="65">
        <v>2.15</v>
      </c>
      <c r="F56" s="57">
        <v>2.15</v>
      </c>
      <c r="G56" s="65">
        <f>G21</f>
        <v>3</v>
      </c>
      <c r="H56" s="67">
        <f t="shared" si="24"/>
        <v>3.712</v>
      </c>
      <c r="I56" s="80">
        <v>3.2</v>
      </c>
      <c r="J56" s="78">
        <f>J53</f>
        <v>0.16</v>
      </c>
      <c r="K56" s="79">
        <f>K53</f>
        <v>0.5</v>
      </c>
      <c r="L56" s="39">
        <f>(G56+H56+K56)*$L$5</f>
        <v>0.43272</v>
      </c>
      <c r="M56" s="39">
        <f>(G56+H56+K56+L56)*$M$5</f>
        <v>0.2293416</v>
      </c>
      <c r="N56" s="67">
        <f t="shared" si="4"/>
        <v>11.8110924</v>
      </c>
      <c r="O56" s="67"/>
      <c r="P56" s="67">
        <f t="shared" si="25"/>
        <v>25.39384866</v>
      </c>
      <c r="Q56" s="82">
        <f t="shared" si="26"/>
        <v>25.39384866</v>
      </c>
      <c r="R56" s="65" t="str">
        <f>R55</f>
        <v>郑州三厂</v>
      </c>
      <c r="T56" s="21">
        <f t="shared" si="5"/>
        <v>25.39384866</v>
      </c>
      <c r="U56" s="21">
        <f t="shared" si="6"/>
        <v>7.8740616</v>
      </c>
      <c r="V56" s="21" t="b">
        <f t="shared" si="7"/>
        <v>0</v>
      </c>
      <c r="W56" s="21" t="b">
        <f t="shared" si="8"/>
        <v>1</v>
      </c>
    </row>
    <row r="57" s="21" customFormat="1" ht="54" outlineLevel="1" spans="1:23">
      <c r="A57" s="65">
        <v>49</v>
      </c>
      <c r="B57" s="65" t="s">
        <v>364</v>
      </c>
      <c r="C57" s="65" t="s">
        <v>406</v>
      </c>
      <c r="D57" s="65" t="s">
        <v>111</v>
      </c>
      <c r="E57" s="65">
        <v>3.43</v>
      </c>
      <c r="F57" s="57">
        <v>3.43</v>
      </c>
      <c r="G57" s="65">
        <f>G21</f>
        <v>3</v>
      </c>
      <c r="H57" s="67">
        <f t="shared" si="24"/>
        <v>3.248</v>
      </c>
      <c r="I57" s="80">
        <v>2.8</v>
      </c>
      <c r="J57" s="78">
        <f>J53</f>
        <v>0.16</v>
      </c>
      <c r="K57" s="79">
        <f>K53</f>
        <v>0.5</v>
      </c>
      <c r="L57" s="39">
        <f>(G57+H57+K57)*$L$5</f>
        <v>0.40488</v>
      </c>
      <c r="M57" s="39">
        <f>(G57+H57+K57+L57)*$M$5</f>
        <v>0.2145864</v>
      </c>
      <c r="N57" s="67">
        <f t="shared" si="4"/>
        <v>11.0511996</v>
      </c>
      <c r="O57" s="67"/>
      <c r="P57" s="67">
        <f t="shared" si="25"/>
        <v>37.905614628</v>
      </c>
      <c r="Q57" s="82">
        <f t="shared" si="26"/>
        <v>37.905614628</v>
      </c>
      <c r="R57" s="65" t="str">
        <f>R55</f>
        <v>郑州三厂</v>
      </c>
      <c r="T57" s="21">
        <f t="shared" si="5"/>
        <v>37.905614628</v>
      </c>
      <c r="U57" s="21">
        <f t="shared" si="6"/>
        <v>7.3674664</v>
      </c>
      <c r="V57" s="21" t="b">
        <f t="shared" si="7"/>
        <v>0</v>
      </c>
      <c r="W57" s="21" t="b">
        <f t="shared" si="8"/>
        <v>1</v>
      </c>
    </row>
    <row r="58" s="21" customFormat="1" ht="54" outlineLevel="1" spans="1:23">
      <c r="A58" s="65">
        <v>50</v>
      </c>
      <c r="B58" s="65" t="s">
        <v>407</v>
      </c>
      <c r="C58" s="65" t="s">
        <v>408</v>
      </c>
      <c r="D58" s="65" t="s">
        <v>111</v>
      </c>
      <c r="E58" s="65">
        <v>188.97</v>
      </c>
      <c r="F58" s="57">
        <v>188.97</v>
      </c>
      <c r="G58" s="65">
        <f>G57</f>
        <v>3</v>
      </c>
      <c r="H58" s="67">
        <f t="shared" si="24"/>
        <v>4.06</v>
      </c>
      <c r="I58" s="75">
        <v>3.5</v>
      </c>
      <c r="J58" s="78">
        <f t="shared" si="33"/>
        <v>0.16</v>
      </c>
      <c r="K58" s="79">
        <f t="shared" si="34"/>
        <v>0.5</v>
      </c>
      <c r="L58" s="39">
        <f>(G58+H58+K58)*$L$5</f>
        <v>0.4536</v>
      </c>
      <c r="M58" s="39">
        <f>(G58+H58+K58+L58)*$M$5</f>
        <v>0.240408</v>
      </c>
      <c r="N58" s="67">
        <f t="shared" si="4"/>
        <v>12.381012</v>
      </c>
      <c r="O58" s="67"/>
      <c r="P58" s="67">
        <f t="shared" si="25"/>
        <v>2339.63983764</v>
      </c>
      <c r="Q58" s="82">
        <f t="shared" si="26"/>
        <v>2339.63983764</v>
      </c>
      <c r="R58" s="65" t="str">
        <f>R55</f>
        <v>郑州三厂</v>
      </c>
      <c r="T58" s="21">
        <f t="shared" si="5"/>
        <v>2339.63983764</v>
      </c>
      <c r="U58" s="21">
        <f t="shared" si="6"/>
        <v>8.254008</v>
      </c>
      <c r="V58" s="21" t="b">
        <f t="shared" si="7"/>
        <v>0</v>
      </c>
      <c r="W58" s="21" t="b">
        <f t="shared" si="8"/>
        <v>1</v>
      </c>
    </row>
    <row r="59" s="21" customFormat="1" ht="54" outlineLevel="1" spans="1:23">
      <c r="A59" s="65">
        <v>51</v>
      </c>
      <c r="B59" s="65" t="s">
        <v>407</v>
      </c>
      <c r="C59" s="65" t="s">
        <v>409</v>
      </c>
      <c r="D59" s="65" t="s">
        <v>111</v>
      </c>
      <c r="E59" s="65">
        <v>1227.09</v>
      </c>
      <c r="F59" s="57">
        <v>1227.09</v>
      </c>
      <c r="G59" s="65">
        <f>G58</f>
        <v>3</v>
      </c>
      <c r="H59" s="67">
        <f t="shared" si="24"/>
        <v>4.06</v>
      </c>
      <c r="I59" s="80">
        <v>3.5</v>
      </c>
      <c r="J59" s="78">
        <f t="shared" si="33"/>
        <v>0.16</v>
      </c>
      <c r="K59" s="79">
        <f t="shared" si="34"/>
        <v>0.5</v>
      </c>
      <c r="L59" s="39">
        <f>(G59+H59+K59)*$L$5</f>
        <v>0.4536</v>
      </c>
      <c r="M59" s="39">
        <f>(G59+H59+K59+L59)*$M$5</f>
        <v>0.240408</v>
      </c>
      <c r="N59" s="67">
        <f t="shared" si="4"/>
        <v>12.381012</v>
      </c>
      <c r="O59" s="67"/>
      <c r="P59" s="67">
        <f t="shared" si="25"/>
        <v>15192.61601508</v>
      </c>
      <c r="Q59" s="82">
        <f t="shared" si="26"/>
        <v>15192.61601508</v>
      </c>
      <c r="R59" s="65" t="str">
        <f>R56</f>
        <v>郑州三厂</v>
      </c>
      <c r="T59" s="21">
        <f t="shared" si="5"/>
        <v>15192.61601508</v>
      </c>
      <c r="U59" s="21">
        <f t="shared" si="6"/>
        <v>8.254008</v>
      </c>
      <c r="V59" s="21" t="b">
        <f t="shared" si="7"/>
        <v>0</v>
      </c>
      <c r="W59" s="21" t="b">
        <f t="shared" si="8"/>
        <v>1</v>
      </c>
    </row>
    <row r="60" s="21" customFormat="1" ht="43.2" outlineLevel="1" spans="1:23">
      <c r="A60" s="65">
        <v>52</v>
      </c>
      <c r="B60" s="65" t="s">
        <v>410</v>
      </c>
      <c r="C60" s="65" t="s">
        <v>411</v>
      </c>
      <c r="D60" s="65" t="s">
        <v>344</v>
      </c>
      <c r="E60" s="65">
        <v>1</v>
      </c>
      <c r="F60" s="57">
        <v>1</v>
      </c>
      <c r="G60" s="66">
        <v>500</v>
      </c>
      <c r="H60" s="67">
        <f t="shared" si="24"/>
        <v>5555</v>
      </c>
      <c r="I60" s="75">
        <v>5500</v>
      </c>
      <c r="J60" s="76">
        <v>0.01</v>
      </c>
      <c r="K60" s="77">
        <v>50</v>
      </c>
      <c r="L60" s="39">
        <f>(G60+H60+K60)*$L$5</f>
        <v>366.3</v>
      </c>
      <c r="M60" s="39">
        <f>(G60+H60+K60+L60)*$M$5</f>
        <v>194.139</v>
      </c>
      <c r="N60" s="67">
        <f t="shared" si="4"/>
        <v>9998.1585</v>
      </c>
      <c r="O60" s="67"/>
      <c r="P60" s="67">
        <f t="shared" si="25"/>
        <v>9998.1585</v>
      </c>
      <c r="Q60" s="82">
        <f t="shared" si="26"/>
        <v>9998.1585</v>
      </c>
      <c r="R60" s="65"/>
      <c r="T60" s="21">
        <f t="shared" si="5"/>
        <v>9998.1585</v>
      </c>
      <c r="U60" s="21">
        <f t="shared" si="6"/>
        <v>6665.439</v>
      </c>
      <c r="V60" s="21" t="b">
        <f t="shared" si="7"/>
        <v>0</v>
      </c>
      <c r="W60" s="21" t="b">
        <f t="shared" si="8"/>
        <v>1</v>
      </c>
    </row>
    <row r="61" s="21" customFormat="1" ht="43.2" outlineLevel="1" spans="1:23">
      <c r="A61" s="65">
        <v>53</v>
      </c>
      <c r="B61" s="65" t="s">
        <v>412</v>
      </c>
      <c r="C61" s="65" t="s">
        <v>413</v>
      </c>
      <c r="D61" s="65" t="s">
        <v>344</v>
      </c>
      <c r="E61" s="65">
        <v>1</v>
      </c>
      <c r="F61" s="57">
        <v>1</v>
      </c>
      <c r="G61" s="66">
        <v>2000</v>
      </c>
      <c r="H61" s="67">
        <f t="shared" si="24"/>
        <v>15150</v>
      </c>
      <c r="I61" s="75">
        <v>15000</v>
      </c>
      <c r="J61" s="76">
        <v>0.01</v>
      </c>
      <c r="K61" s="77">
        <v>85</v>
      </c>
      <c r="L61" s="39">
        <f>(G61+H61+K61)*$L$5</f>
        <v>1034.1</v>
      </c>
      <c r="M61" s="39">
        <f>(G61+H61+K61+L61)*$M$5</f>
        <v>548.073</v>
      </c>
      <c r="N61" s="67">
        <f t="shared" si="4"/>
        <v>28225.7595</v>
      </c>
      <c r="O61" s="67"/>
      <c r="P61" s="67">
        <f t="shared" si="25"/>
        <v>28225.7595</v>
      </c>
      <c r="Q61" s="82">
        <f t="shared" si="26"/>
        <v>28225.7595</v>
      </c>
      <c r="R61" s="65"/>
      <c r="T61" s="21">
        <f t="shared" si="5"/>
        <v>28225.7595</v>
      </c>
      <c r="U61" s="21">
        <f t="shared" si="6"/>
        <v>18817.173</v>
      </c>
      <c r="V61" s="21" t="b">
        <f t="shared" si="7"/>
        <v>0</v>
      </c>
      <c r="W61" s="21" t="b">
        <f t="shared" si="8"/>
        <v>1</v>
      </c>
    </row>
    <row r="62" s="21" customFormat="1" ht="54" outlineLevel="1" spans="1:23">
      <c r="A62" s="65">
        <v>54</v>
      </c>
      <c r="B62" s="65" t="s">
        <v>414</v>
      </c>
      <c r="C62" s="65" t="s">
        <v>415</v>
      </c>
      <c r="D62" s="65" t="s">
        <v>344</v>
      </c>
      <c r="E62" s="65">
        <v>9</v>
      </c>
      <c r="F62" s="57">
        <v>9</v>
      </c>
      <c r="G62" s="66">
        <v>35</v>
      </c>
      <c r="H62" s="67">
        <f t="shared" si="24"/>
        <v>166.65</v>
      </c>
      <c r="I62" s="75">
        <v>165</v>
      </c>
      <c r="J62" s="76">
        <v>0.01</v>
      </c>
      <c r="K62" s="77">
        <v>5</v>
      </c>
      <c r="L62" s="39">
        <f>(G62+H62+K62)*$L$5</f>
        <v>12.399</v>
      </c>
      <c r="M62" s="39">
        <f>(G62+H62+K62+L62)*$M$5</f>
        <v>6.57147</v>
      </c>
      <c r="N62" s="67">
        <f t="shared" si="4"/>
        <v>338.430705</v>
      </c>
      <c r="O62" s="67"/>
      <c r="P62" s="67">
        <f t="shared" si="25"/>
        <v>3045.876345</v>
      </c>
      <c r="Q62" s="82">
        <f t="shared" si="26"/>
        <v>3045.876345</v>
      </c>
      <c r="R62" s="65"/>
      <c r="T62" s="21">
        <f t="shared" si="5"/>
        <v>3045.876345</v>
      </c>
      <c r="U62" s="21">
        <f t="shared" si="6"/>
        <v>225.62047</v>
      </c>
      <c r="V62" s="21" t="b">
        <f t="shared" si="7"/>
        <v>0</v>
      </c>
      <c r="W62" s="21" t="b">
        <f t="shared" si="8"/>
        <v>1</v>
      </c>
    </row>
    <row r="63" s="21" customFormat="1" ht="43.2" outlineLevel="1" spans="1:23">
      <c r="A63" s="65">
        <v>55</v>
      </c>
      <c r="B63" s="65" t="s">
        <v>414</v>
      </c>
      <c r="C63" s="65" t="s">
        <v>416</v>
      </c>
      <c r="D63" s="65" t="s">
        <v>344</v>
      </c>
      <c r="E63" s="65">
        <v>1</v>
      </c>
      <c r="F63" s="57">
        <v>1</v>
      </c>
      <c r="G63" s="66">
        <v>50</v>
      </c>
      <c r="H63" s="67">
        <f t="shared" si="24"/>
        <v>505</v>
      </c>
      <c r="I63" s="75">
        <v>500</v>
      </c>
      <c r="J63" s="76">
        <v>0.01</v>
      </c>
      <c r="K63" s="77">
        <v>5</v>
      </c>
      <c r="L63" s="39">
        <f>(G63+H63+K63)*$L$5</f>
        <v>33.6</v>
      </c>
      <c r="M63" s="39">
        <f>(G63+H63+K63+L63)*$M$5</f>
        <v>17.808</v>
      </c>
      <c r="N63" s="67">
        <f t="shared" si="4"/>
        <v>917.112</v>
      </c>
      <c r="O63" s="67"/>
      <c r="P63" s="67">
        <f t="shared" si="25"/>
        <v>917.112</v>
      </c>
      <c r="Q63" s="82">
        <f t="shared" si="26"/>
        <v>917.112</v>
      </c>
      <c r="R63" s="65"/>
      <c r="T63" s="21">
        <f t="shared" si="5"/>
        <v>917.112</v>
      </c>
      <c r="U63" s="21">
        <f t="shared" si="6"/>
        <v>611.408</v>
      </c>
      <c r="V63" s="21" t="b">
        <f t="shared" si="7"/>
        <v>0</v>
      </c>
      <c r="W63" s="21" t="b">
        <f t="shared" si="8"/>
        <v>1</v>
      </c>
    </row>
    <row r="64" s="21" customFormat="1" ht="43.2" outlineLevel="1" spans="1:23">
      <c r="A64" s="65">
        <v>56</v>
      </c>
      <c r="B64" s="65" t="s">
        <v>417</v>
      </c>
      <c r="C64" s="65" t="s">
        <v>418</v>
      </c>
      <c r="D64" s="65" t="s">
        <v>105</v>
      </c>
      <c r="E64" s="65">
        <v>1</v>
      </c>
      <c r="F64" s="57">
        <v>1</v>
      </c>
      <c r="G64" s="65">
        <f t="shared" ref="G64:K64" si="35">G37</f>
        <v>15</v>
      </c>
      <c r="H64" s="67">
        <f t="shared" si="24"/>
        <v>45.45</v>
      </c>
      <c r="I64" s="75">
        <v>45</v>
      </c>
      <c r="J64" s="78">
        <f t="shared" si="35"/>
        <v>0.01</v>
      </c>
      <c r="K64" s="79">
        <f t="shared" si="35"/>
        <v>5</v>
      </c>
      <c r="L64" s="39">
        <f>(G64+H64+K64)*$L$5</f>
        <v>3.927</v>
      </c>
      <c r="M64" s="39">
        <f>(G64+H64+K64+L64)*$M$5</f>
        <v>2.08131</v>
      </c>
      <c r="N64" s="67">
        <f t="shared" si="4"/>
        <v>107.187465</v>
      </c>
      <c r="O64" s="67"/>
      <c r="P64" s="67">
        <f t="shared" si="25"/>
        <v>107.187465</v>
      </c>
      <c r="Q64" s="82">
        <f t="shared" si="26"/>
        <v>107.187465</v>
      </c>
      <c r="R64" s="65"/>
      <c r="T64" s="21">
        <f t="shared" si="5"/>
        <v>107.187465</v>
      </c>
      <c r="U64" s="21">
        <f t="shared" si="6"/>
        <v>71.45831</v>
      </c>
      <c r="V64" s="21" t="b">
        <f t="shared" si="7"/>
        <v>0</v>
      </c>
      <c r="W64" s="21" t="b">
        <f t="shared" si="8"/>
        <v>1</v>
      </c>
    </row>
    <row r="65" s="21" customFormat="1" ht="43.2" outlineLevel="1" spans="1:23">
      <c r="A65" s="65">
        <v>57</v>
      </c>
      <c r="B65" s="65" t="s">
        <v>417</v>
      </c>
      <c r="C65" s="65" t="s">
        <v>419</v>
      </c>
      <c r="D65" s="65" t="s">
        <v>105</v>
      </c>
      <c r="E65" s="65">
        <v>3</v>
      </c>
      <c r="F65" s="57">
        <v>3</v>
      </c>
      <c r="G65" s="65">
        <f t="shared" ref="G65:K65" si="36">G37</f>
        <v>15</v>
      </c>
      <c r="H65" s="67">
        <f t="shared" si="24"/>
        <v>161.6</v>
      </c>
      <c r="I65" s="75">
        <v>160</v>
      </c>
      <c r="J65" s="78">
        <f t="shared" si="36"/>
        <v>0.01</v>
      </c>
      <c r="K65" s="79">
        <f t="shared" si="36"/>
        <v>5</v>
      </c>
      <c r="L65" s="39">
        <f>(G65+H65+K65)*$L$5</f>
        <v>10.896</v>
      </c>
      <c r="M65" s="39">
        <f>(G65+H65+K65+L65)*$M$5</f>
        <v>5.77488</v>
      </c>
      <c r="N65" s="67">
        <f t="shared" si="4"/>
        <v>297.40632</v>
      </c>
      <c r="O65" s="67"/>
      <c r="P65" s="67">
        <f t="shared" si="25"/>
        <v>892.21896</v>
      </c>
      <c r="Q65" s="82">
        <f t="shared" si="26"/>
        <v>892.21896</v>
      </c>
      <c r="R65" s="65"/>
      <c r="T65" s="21">
        <f t="shared" si="5"/>
        <v>892.21896</v>
      </c>
      <c r="U65" s="21">
        <f t="shared" si="6"/>
        <v>198.27088</v>
      </c>
      <c r="V65" s="21" t="b">
        <f t="shared" si="7"/>
        <v>0</v>
      </c>
      <c r="W65" s="21" t="b">
        <f t="shared" si="8"/>
        <v>1</v>
      </c>
    </row>
    <row r="66" s="21" customFormat="1" ht="43.2" outlineLevel="1" spans="1:23">
      <c r="A66" s="65">
        <v>58</v>
      </c>
      <c r="B66" s="65" t="s">
        <v>420</v>
      </c>
      <c r="C66" s="65" t="s">
        <v>421</v>
      </c>
      <c r="D66" s="65" t="s">
        <v>105</v>
      </c>
      <c r="E66" s="65">
        <v>11</v>
      </c>
      <c r="F66" s="57">
        <v>11</v>
      </c>
      <c r="G66" s="65">
        <f t="shared" ref="G66:K66" si="37">G37</f>
        <v>15</v>
      </c>
      <c r="H66" s="67">
        <f t="shared" si="24"/>
        <v>75.75</v>
      </c>
      <c r="I66" s="75">
        <v>75</v>
      </c>
      <c r="J66" s="78">
        <f t="shared" si="37"/>
        <v>0.01</v>
      </c>
      <c r="K66" s="79">
        <f t="shared" si="37"/>
        <v>5</v>
      </c>
      <c r="L66" s="39">
        <f>(G66+H66+K66)*$L$5</f>
        <v>5.745</v>
      </c>
      <c r="M66" s="39">
        <f>(G66+H66+K66+L66)*$M$5</f>
        <v>3.04485</v>
      </c>
      <c r="N66" s="67">
        <f t="shared" si="4"/>
        <v>156.809775</v>
      </c>
      <c r="O66" s="67"/>
      <c r="P66" s="67">
        <f t="shared" si="25"/>
        <v>1724.907525</v>
      </c>
      <c r="Q66" s="82">
        <f t="shared" si="26"/>
        <v>1724.907525</v>
      </c>
      <c r="R66" s="65"/>
      <c r="T66" s="21">
        <f t="shared" si="5"/>
        <v>1724.907525</v>
      </c>
      <c r="U66" s="21">
        <f t="shared" si="6"/>
        <v>104.53985</v>
      </c>
      <c r="V66" s="21" t="b">
        <f t="shared" si="7"/>
        <v>0</v>
      </c>
      <c r="W66" s="21" t="b">
        <f t="shared" si="8"/>
        <v>1</v>
      </c>
    </row>
    <row r="67" s="21" customFormat="1" ht="43.2" outlineLevel="1" spans="1:23">
      <c r="A67" s="65">
        <v>59</v>
      </c>
      <c r="B67" s="65" t="s">
        <v>422</v>
      </c>
      <c r="C67" s="65" t="s">
        <v>423</v>
      </c>
      <c r="D67" s="65" t="s">
        <v>344</v>
      </c>
      <c r="E67" s="65">
        <v>10</v>
      </c>
      <c r="F67" s="57">
        <v>10</v>
      </c>
      <c r="G67" s="66">
        <v>65</v>
      </c>
      <c r="H67" s="67">
        <f t="shared" si="24"/>
        <v>484.8</v>
      </c>
      <c r="I67" s="75">
        <v>480</v>
      </c>
      <c r="J67" s="76">
        <v>0.01</v>
      </c>
      <c r="K67" s="77">
        <v>15</v>
      </c>
      <c r="L67" s="39">
        <f>(G67+H67+K67)*$L$5</f>
        <v>33.888</v>
      </c>
      <c r="M67" s="39">
        <f>(G67+H67+K67+L67)*$M$5</f>
        <v>17.96064</v>
      </c>
      <c r="N67" s="67">
        <f t="shared" si="4"/>
        <v>924.97296</v>
      </c>
      <c r="O67" s="67"/>
      <c r="P67" s="67">
        <f t="shared" si="25"/>
        <v>9249.7296</v>
      </c>
      <c r="Q67" s="82">
        <f t="shared" si="26"/>
        <v>9249.7296</v>
      </c>
      <c r="R67" s="65"/>
      <c r="T67" s="21">
        <f t="shared" si="5"/>
        <v>9249.7296</v>
      </c>
      <c r="U67" s="21">
        <f t="shared" si="6"/>
        <v>616.64864</v>
      </c>
      <c r="V67" s="21" t="b">
        <f t="shared" si="7"/>
        <v>0</v>
      </c>
      <c r="W67" s="21" t="b">
        <f t="shared" si="8"/>
        <v>1</v>
      </c>
    </row>
    <row r="68" s="21" customFormat="1" ht="43.2" outlineLevel="1" spans="1:23">
      <c r="A68" s="65">
        <v>60</v>
      </c>
      <c r="B68" s="65" t="s">
        <v>424</v>
      </c>
      <c r="C68" s="65" t="s">
        <v>425</v>
      </c>
      <c r="D68" s="65" t="s">
        <v>344</v>
      </c>
      <c r="E68" s="65">
        <v>7</v>
      </c>
      <c r="F68" s="57">
        <v>7</v>
      </c>
      <c r="G68" s="66">
        <v>30</v>
      </c>
      <c r="H68" s="67">
        <f t="shared" si="24"/>
        <v>186.85</v>
      </c>
      <c r="I68" s="75">
        <v>185</v>
      </c>
      <c r="J68" s="76">
        <v>0.01</v>
      </c>
      <c r="K68" s="77">
        <v>5</v>
      </c>
      <c r="L68" s="39">
        <f>(G68+H68+K68)*$L$5</f>
        <v>13.311</v>
      </c>
      <c r="M68" s="39">
        <f>(G68+H68+K68+L68)*$M$5</f>
        <v>7.05483</v>
      </c>
      <c r="N68" s="67">
        <f t="shared" si="4"/>
        <v>363.323745</v>
      </c>
      <c r="O68" s="67"/>
      <c r="P68" s="67">
        <f t="shared" si="25"/>
        <v>2543.266215</v>
      </c>
      <c r="Q68" s="82">
        <f t="shared" si="26"/>
        <v>2543.266215</v>
      </c>
      <c r="R68" s="65"/>
      <c r="T68" s="21">
        <f t="shared" si="5"/>
        <v>2543.266215</v>
      </c>
      <c r="U68" s="21">
        <f t="shared" si="6"/>
        <v>242.21583</v>
      </c>
      <c r="V68" s="21" t="b">
        <f t="shared" si="7"/>
        <v>0</v>
      </c>
      <c r="W68" s="21" t="b">
        <f t="shared" si="8"/>
        <v>1</v>
      </c>
    </row>
    <row r="69" s="21" customFormat="1" ht="32.4" outlineLevel="1" spans="1:23">
      <c r="A69" s="65">
        <v>61</v>
      </c>
      <c r="B69" s="65" t="s">
        <v>426</v>
      </c>
      <c r="C69" s="65" t="s">
        <v>427</v>
      </c>
      <c r="D69" s="65" t="s">
        <v>344</v>
      </c>
      <c r="E69" s="65">
        <v>1</v>
      </c>
      <c r="F69" s="57">
        <v>1</v>
      </c>
      <c r="G69" s="66">
        <v>65</v>
      </c>
      <c r="H69" s="67">
        <f t="shared" si="24"/>
        <v>656.5</v>
      </c>
      <c r="I69" s="75">
        <v>650</v>
      </c>
      <c r="J69" s="76">
        <v>0.01</v>
      </c>
      <c r="K69" s="77">
        <v>15</v>
      </c>
      <c r="L69" s="39">
        <f>(G69+H69+K69)*$L$5</f>
        <v>44.19</v>
      </c>
      <c r="M69" s="39">
        <f>(G69+H69+K69+L69)*$M$5</f>
        <v>23.4207</v>
      </c>
      <c r="N69" s="67">
        <f t="shared" si="4"/>
        <v>1206.16605</v>
      </c>
      <c r="O69" s="67"/>
      <c r="P69" s="67">
        <f t="shared" si="25"/>
        <v>1206.16605</v>
      </c>
      <c r="Q69" s="82">
        <f t="shared" si="26"/>
        <v>1206.16605</v>
      </c>
      <c r="R69" s="65"/>
      <c r="T69" s="21">
        <f t="shared" si="5"/>
        <v>1206.16605</v>
      </c>
      <c r="U69" s="21">
        <f t="shared" si="6"/>
        <v>804.1107</v>
      </c>
      <c r="V69" s="21" t="b">
        <f t="shared" si="7"/>
        <v>0</v>
      </c>
      <c r="W69" s="21" t="b">
        <f t="shared" si="8"/>
        <v>1</v>
      </c>
    </row>
    <row r="70" s="21" customFormat="1" ht="32.4" outlineLevel="1" spans="1:23">
      <c r="A70" s="65">
        <v>62</v>
      </c>
      <c r="B70" s="65" t="s">
        <v>426</v>
      </c>
      <c r="C70" s="65" t="s">
        <v>428</v>
      </c>
      <c r="D70" s="65" t="s">
        <v>344</v>
      </c>
      <c r="E70" s="65">
        <v>1</v>
      </c>
      <c r="F70" s="57">
        <v>1</v>
      </c>
      <c r="G70" s="66">
        <v>10</v>
      </c>
      <c r="H70" s="67">
        <f t="shared" si="24"/>
        <v>166.65</v>
      </c>
      <c r="I70" s="75">
        <v>165</v>
      </c>
      <c r="J70" s="76">
        <v>0.01</v>
      </c>
      <c r="K70" s="77">
        <v>5</v>
      </c>
      <c r="L70" s="39">
        <f>(G70+H70+K70)*$L$5</f>
        <v>10.899</v>
      </c>
      <c r="M70" s="39">
        <f>(G70+H70+K70+L70)*$M$5</f>
        <v>5.77647</v>
      </c>
      <c r="N70" s="67">
        <f t="shared" si="4"/>
        <v>297.488205</v>
      </c>
      <c r="O70" s="67"/>
      <c r="P70" s="67">
        <f t="shared" si="25"/>
        <v>297.488205</v>
      </c>
      <c r="Q70" s="82">
        <f t="shared" si="26"/>
        <v>297.488205</v>
      </c>
      <c r="R70" s="65"/>
      <c r="T70" s="21">
        <f t="shared" si="5"/>
        <v>297.488205</v>
      </c>
      <c r="U70" s="21">
        <f t="shared" si="6"/>
        <v>198.32547</v>
      </c>
      <c r="V70" s="21" t="b">
        <f t="shared" si="7"/>
        <v>0</v>
      </c>
      <c r="W70" s="21" t="b">
        <f t="shared" si="8"/>
        <v>1</v>
      </c>
    </row>
    <row r="71" s="21" customFormat="1" ht="21.6" outlineLevel="1" spans="1:23">
      <c r="A71" s="65">
        <v>63</v>
      </c>
      <c r="B71" s="65" t="s">
        <v>429</v>
      </c>
      <c r="C71" s="65" t="s">
        <v>430</v>
      </c>
      <c r="D71" s="65" t="s">
        <v>344</v>
      </c>
      <c r="E71" s="65">
        <v>1</v>
      </c>
      <c r="F71" s="57">
        <v>1</v>
      </c>
      <c r="G71" s="66">
        <v>200</v>
      </c>
      <c r="H71" s="67">
        <f t="shared" si="24"/>
        <v>2020</v>
      </c>
      <c r="I71" s="75">
        <v>2000</v>
      </c>
      <c r="J71" s="76">
        <v>0.01</v>
      </c>
      <c r="K71" s="77">
        <v>15</v>
      </c>
      <c r="L71" s="39">
        <f>(G71+H71+K71)*$L$5</f>
        <v>134.1</v>
      </c>
      <c r="M71" s="39">
        <f>(G71+H71+K71+L71)*$M$5</f>
        <v>71.073</v>
      </c>
      <c r="N71" s="67">
        <f t="shared" si="4"/>
        <v>3660.2595</v>
      </c>
      <c r="O71" s="67"/>
      <c r="P71" s="67">
        <f t="shared" si="25"/>
        <v>3660.2595</v>
      </c>
      <c r="Q71" s="82">
        <f t="shared" si="26"/>
        <v>3660.2595</v>
      </c>
      <c r="R71" s="65"/>
      <c r="T71" s="21">
        <f t="shared" si="5"/>
        <v>3660.2595</v>
      </c>
      <c r="U71" s="21">
        <f t="shared" si="6"/>
        <v>2440.173</v>
      </c>
      <c r="V71" s="21" t="b">
        <f t="shared" si="7"/>
        <v>0</v>
      </c>
      <c r="W71" s="21" t="b">
        <f t="shared" si="8"/>
        <v>1</v>
      </c>
    </row>
    <row r="72" s="21" customFormat="1" ht="32.4" outlineLevel="1" spans="1:23">
      <c r="A72" s="65">
        <v>64</v>
      </c>
      <c r="B72" s="65" t="s">
        <v>431</v>
      </c>
      <c r="C72" s="65" t="s">
        <v>432</v>
      </c>
      <c r="D72" s="65" t="s">
        <v>344</v>
      </c>
      <c r="E72" s="65">
        <v>1</v>
      </c>
      <c r="F72" s="57">
        <v>1</v>
      </c>
      <c r="G72" s="66">
        <v>100</v>
      </c>
      <c r="H72" s="67">
        <f t="shared" si="24"/>
        <v>1515</v>
      </c>
      <c r="I72" s="75">
        <v>1500</v>
      </c>
      <c r="J72" s="76">
        <v>0.01</v>
      </c>
      <c r="K72" s="77">
        <v>15</v>
      </c>
      <c r="L72" s="39">
        <f>(G72+H72+K72)*$L$5</f>
        <v>97.8</v>
      </c>
      <c r="M72" s="39">
        <f>(G72+H72+K72+L72)*$M$5</f>
        <v>51.834</v>
      </c>
      <c r="N72" s="67">
        <f t="shared" si="4"/>
        <v>2669.451</v>
      </c>
      <c r="O72" s="67"/>
      <c r="P72" s="67">
        <f t="shared" si="25"/>
        <v>2669.451</v>
      </c>
      <c r="Q72" s="82">
        <f t="shared" si="26"/>
        <v>2669.451</v>
      </c>
      <c r="R72" s="65"/>
      <c r="T72" s="21">
        <f t="shared" si="5"/>
        <v>2669.451</v>
      </c>
      <c r="U72" s="21">
        <f t="shared" si="6"/>
        <v>1779.634</v>
      </c>
      <c r="V72" s="21" t="b">
        <f t="shared" si="7"/>
        <v>0</v>
      </c>
      <c r="W72" s="21" t="b">
        <f t="shared" si="8"/>
        <v>1</v>
      </c>
    </row>
    <row r="73" s="21" customFormat="1" ht="32.4" outlineLevel="1" spans="1:23">
      <c r="A73" s="65">
        <v>65</v>
      </c>
      <c r="B73" s="65" t="s">
        <v>391</v>
      </c>
      <c r="C73" s="65" t="s">
        <v>393</v>
      </c>
      <c r="D73" s="65" t="s">
        <v>105</v>
      </c>
      <c r="E73" s="65">
        <v>45</v>
      </c>
      <c r="F73" s="57">
        <v>45</v>
      </c>
      <c r="G73" s="65">
        <f t="shared" ref="G73:K73" si="38">G40</f>
        <v>5</v>
      </c>
      <c r="H73" s="67">
        <f t="shared" si="24"/>
        <v>3.3128</v>
      </c>
      <c r="I73" s="80">
        <f t="shared" si="38"/>
        <v>3.28</v>
      </c>
      <c r="J73" s="78">
        <f t="shared" si="38"/>
        <v>0.01</v>
      </c>
      <c r="K73" s="79">
        <f t="shared" si="38"/>
        <v>2</v>
      </c>
      <c r="L73" s="39">
        <f>(G73+H73+K73)*$L$5</f>
        <v>0.618768</v>
      </c>
      <c r="M73" s="39">
        <f>(G73+H73+K73+L73)*$M$5</f>
        <v>0.32794704</v>
      </c>
      <c r="N73" s="67">
        <f t="shared" ref="N73:N87" si="39">(G73+H73+K73+L73+M73)*1.5</f>
        <v>16.88927256</v>
      </c>
      <c r="O73" s="67"/>
      <c r="P73" s="67">
        <f t="shared" si="25"/>
        <v>760.0172652</v>
      </c>
      <c r="Q73" s="82">
        <f t="shared" si="26"/>
        <v>760.0172652</v>
      </c>
      <c r="R73" s="65"/>
      <c r="T73" s="21">
        <f t="shared" ref="T73:T87" si="40">E73*N73</f>
        <v>760.0172652</v>
      </c>
      <c r="U73" s="21">
        <f t="shared" ref="U73:U87" si="41">G73+H73+K73+L73+M73</f>
        <v>11.25951504</v>
      </c>
      <c r="V73" s="21" t="b">
        <f t="shared" ref="V73:V87" si="42">N73=U73</f>
        <v>0</v>
      </c>
      <c r="W73" s="21" t="b">
        <f t="shared" ref="W73:W87" si="43">T73=P73</f>
        <v>1</v>
      </c>
    </row>
    <row r="74" s="21" customFormat="1" spans="1:23">
      <c r="A74" s="65"/>
      <c r="B74" s="65" t="s">
        <v>433</v>
      </c>
      <c r="C74" s="65"/>
      <c r="D74" s="65"/>
      <c r="E74" s="65"/>
      <c r="F74" s="57"/>
      <c r="G74" s="65"/>
      <c r="H74" s="67"/>
      <c r="I74" s="80"/>
      <c r="J74" s="78"/>
      <c r="K74" s="79"/>
      <c r="L74" s="39"/>
      <c r="M74" s="39"/>
      <c r="N74" s="67">
        <f t="shared" si="39"/>
        <v>0</v>
      </c>
      <c r="O74" s="67"/>
      <c r="P74" s="67"/>
      <c r="Q74" s="82"/>
      <c r="R74" s="65"/>
      <c r="T74" s="21">
        <f t="shared" si="40"/>
        <v>0</v>
      </c>
      <c r="U74" s="21">
        <f t="shared" si="41"/>
        <v>0</v>
      </c>
      <c r="V74" s="21" t="b">
        <f t="shared" si="42"/>
        <v>1</v>
      </c>
      <c r="W74" s="21" t="b">
        <f t="shared" si="43"/>
        <v>1</v>
      </c>
    </row>
    <row r="75" s="21" customFormat="1" ht="75.6" outlineLevel="1" spans="1:23">
      <c r="A75" s="65">
        <v>66</v>
      </c>
      <c r="B75" s="65" t="s">
        <v>434</v>
      </c>
      <c r="C75" s="65" t="s">
        <v>435</v>
      </c>
      <c r="D75" s="65" t="s">
        <v>436</v>
      </c>
      <c r="E75" s="65">
        <v>4</v>
      </c>
      <c r="F75" s="57">
        <v>0</v>
      </c>
      <c r="G75" s="66">
        <v>80</v>
      </c>
      <c r="H75" s="67">
        <f t="shared" ref="H75:H87" si="44">I75*(1+J75)</f>
        <v>1515</v>
      </c>
      <c r="I75" s="75">
        <v>1500</v>
      </c>
      <c r="J75" s="76">
        <v>0.01</v>
      </c>
      <c r="K75" s="77">
        <v>45</v>
      </c>
      <c r="L75" s="39">
        <f>(G75+H75+K75)*$L$5</f>
        <v>98.4</v>
      </c>
      <c r="M75" s="39">
        <f>(G75+H75+K75+L75)*$M$5</f>
        <v>52.152</v>
      </c>
      <c r="N75" s="67">
        <f t="shared" si="39"/>
        <v>2685.828</v>
      </c>
      <c r="O75" s="67"/>
      <c r="P75" s="67">
        <f t="shared" ref="P75:P87" si="45">N75*E75</f>
        <v>10743.312</v>
      </c>
      <c r="Q75" s="82">
        <f t="shared" ref="Q75:Q82" si="46">F75*N75</f>
        <v>0</v>
      </c>
      <c r="R75" s="65" t="s">
        <v>437</v>
      </c>
      <c r="T75" s="21">
        <f t="shared" si="40"/>
        <v>10743.312</v>
      </c>
      <c r="U75" s="21">
        <f t="shared" si="41"/>
        <v>1790.552</v>
      </c>
      <c r="V75" s="21" t="b">
        <f t="shared" si="42"/>
        <v>0</v>
      </c>
      <c r="W75" s="21" t="b">
        <f t="shared" si="43"/>
        <v>1</v>
      </c>
    </row>
    <row r="76" s="21" customFormat="1" ht="75.6" outlineLevel="1" spans="1:23">
      <c r="A76" s="65">
        <v>67</v>
      </c>
      <c r="B76" s="65" t="s">
        <v>438</v>
      </c>
      <c r="C76" s="65" t="s">
        <v>439</v>
      </c>
      <c r="D76" s="65" t="s">
        <v>436</v>
      </c>
      <c r="E76" s="65">
        <v>6</v>
      </c>
      <c r="F76" s="57">
        <v>0</v>
      </c>
      <c r="G76" s="66">
        <v>80</v>
      </c>
      <c r="H76" s="67">
        <f t="shared" si="44"/>
        <v>858.5</v>
      </c>
      <c r="I76" s="75">
        <v>850</v>
      </c>
      <c r="J76" s="76">
        <v>0.01</v>
      </c>
      <c r="K76" s="77">
        <v>55</v>
      </c>
      <c r="L76" s="39">
        <f>(G76+H76+K76)*$L$5</f>
        <v>59.61</v>
      </c>
      <c r="M76" s="39">
        <f>(G76+H76+K76+L76)*$M$5</f>
        <v>31.5933</v>
      </c>
      <c r="N76" s="67">
        <f t="shared" si="39"/>
        <v>1627.05495</v>
      </c>
      <c r="O76" s="67"/>
      <c r="P76" s="67">
        <f t="shared" si="45"/>
        <v>9762.3297</v>
      </c>
      <c r="Q76" s="82">
        <f t="shared" si="46"/>
        <v>0</v>
      </c>
      <c r="R76" s="65" t="s">
        <v>437</v>
      </c>
      <c r="T76" s="21">
        <f t="shared" si="40"/>
        <v>9762.3297</v>
      </c>
      <c r="U76" s="21">
        <f t="shared" si="41"/>
        <v>1084.7033</v>
      </c>
      <c r="V76" s="21" t="b">
        <f t="shared" si="42"/>
        <v>0</v>
      </c>
      <c r="W76" s="21" t="b">
        <f t="shared" si="43"/>
        <v>1</v>
      </c>
    </row>
    <row r="77" s="21" customFormat="1" ht="75.6" outlineLevel="1" spans="1:23">
      <c r="A77" s="65">
        <v>68</v>
      </c>
      <c r="B77" s="65" t="s">
        <v>440</v>
      </c>
      <c r="C77" s="65" t="s">
        <v>441</v>
      </c>
      <c r="D77" s="65" t="s">
        <v>436</v>
      </c>
      <c r="E77" s="65">
        <v>2</v>
      </c>
      <c r="F77" s="57">
        <v>0</v>
      </c>
      <c r="G77" s="83">
        <f t="shared" ref="G77:K77" si="47">G76</f>
        <v>80</v>
      </c>
      <c r="H77" s="67">
        <f t="shared" si="44"/>
        <v>838.3</v>
      </c>
      <c r="I77" s="75">
        <v>830</v>
      </c>
      <c r="J77" s="78">
        <f t="shared" si="47"/>
        <v>0.01</v>
      </c>
      <c r="K77" s="87">
        <f t="shared" si="47"/>
        <v>55</v>
      </c>
      <c r="L77" s="39">
        <f>(G77+H77+K77)*$L$5</f>
        <v>58.398</v>
      </c>
      <c r="M77" s="39">
        <f>(G77+H77+K77+L77)*$M$5</f>
        <v>30.95094</v>
      </c>
      <c r="N77" s="67">
        <f t="shared" si="39"/>
        <v>1593.97341</v>
      </c>
      <c r="O77" s="67"/>
      <c r="P77" s="67">
        <f t="shared" si="45"/>
        <v>3187.94682</v>
      </c>
      <c r="Q77" s="82">
        <f t="shared" si="46"/>
        <v>0</v>
      </c>
      <c r="R77" s="65" t="s">
        <v>437</v>
      </c>
      <c r="T77" s="21">
        <f t="shared" si="40"/>
        <v>3187.94682</v>
      </c>
      <c r="U77" s="21">
        <f t="shared" si="41"/>
        <v>1062.64894</v>
      </c>
      <c r="V77" s="21" t="b">
        <f t="shared" si="42"/>
        <v>0</v>
      </c>
      <c r="W77" s="21" t="b">
        <f t="shared" si="43"/>
        <v>1</v>
      </c>
    </row>
    <row r="78" s="21" customFormat="1" ht="75.6" outlineLevel="1" spans="1:23">
      <c r="A78" s="65">
        <v>69</v>
      </c>
      <c r="B78" s="65" t="s">
        <v>442</v>
      </c>
      <c r="C78" s="65" t="s">
        <v>443</v>
      </c>
      <c r="D78" s="65" t="s">
        <v>436</v>
      </c>
      <c r="E78" s="65">
        <v>1</v>
      </c>
      <c r="F78" s="57">
        <v>1</v>
      </c>
      <c r="G78" s="66">
        <v>50</v>
      </c>
      <c r="H78" s="67">
        <f t="shared" si="44"/>
        <v>656.5</v>
      </c>
      <c r="I78" s="75">
        <v>650</v>
      </c>
      <c r="J78" s="76">
        <v>0.01</v>
      </c>
      <c r="K78" s="77">
        <v>35</v>
      </c>
      <c r="L78" s="39">
        <f>(G78+H78+K78)*$L$5</f>
        <v>44.49</v>
      </c>
      <c r="M78" s="39">
        <f>(G78+H78+K78+L78)*$M$5</f>
        <v>23.5797</v>
      </c>
      <c r="N78" s="67">
        <f t="shared" si="39"/>
        <v>1214.35455</v>
      </c>
      <c r="O78" s="67"/>
      <c r="P78" s="67">
        <f t="shared" si="45"/>
        <v>1214.35455</v>
      </c>
      <c r="Q78" s="82">
        <f t="shared" si="46"/>
        <v>1214.35455</v>
      </c>
      <c r="R78" s="65"/>
      <c r="T78" s="21">
        <f t="shared" si="40"/>
        <v>1214.35455</v>
      </c>
      <c r="U78" s="21">
        <f t="shared" si="41"/>
        <v>809.5697</v>
      </c>
      <c r="V78" s="21" t="b">
        <f t="shared" si="42"/>
        <v>0</v>
      </c>
      <c r="W78" s="21" t="b">
        <f t="shared" si="43"/>
        <v>1</v>
      </c>
    </row>
    <row r="79" s="21" customFormat="1" ht="21.6" outlineLevel="1" spans="1:23">
      <c r="A79" s="65">
        <v>70</v>
      </c>
      <c r="B79" s="65" t="s">
        <v>444</v>
      </c>
      <c r="C79" s="65" t="s">
        <v>445</v>
      </c>
      <c r="D79" s="65" t="s">
        <v>105</v>
      </c>
      <c r="E79" s="65">
        <v>4</v>
      </c>
      <c r="F79" s="57">
        <v>4</v>
      </c>
      <c r="G79" s="66">
        <v>25</v>
      </c>
      <c r="H79" s="67">
        <f t="shared" si="44"/>
        <v>65.65</v>
      </c>
      <c r="I79" s="75">
        <v>65</v>
      </c>
      <c r="J79" s="76">
        <v>0.01</v>
      </c>
      <c r="K79" s="77">
        <v>5</v>
      </c>
      <c r="L79" s="39">
        <f>(G79+H79+K79)*$L$5</f>
        <v>5.739</v>
      </c>
      <c r="M79" s="39">
        <f>(G79+H79+K79+L79)*$M$5</f>
        <v>3.04167</v>
      </c>
      <c r="N79" s="67">
        <f t="shared" si="39"/>
        <v>156.646005</v>
      </c>
      <c r="O79" s="67"/>
      <c r="P79" s="67">
        <f t="shared" si="45"/>
        <v>626.58402</v>
      </c>
      <c r="Q79" s="82">
        <f t="shared" si="46"/>
        <v>626.58402</v>
      </c>
      <c r="R79" s="65"/>
      <c r="T79" s="21">
        <f t="shared" si="40"/>
        <v>626.58402</v>
      </c>
      <c r="U79" s="21">
        <f t="shared" si="41"/>
        <v>104.43067</v>
      </c>
      <c r="V79" s="21" t="b">
        <f t="shared" si="42"/>
        <v>0</v>
      </c>
      <c r="W79" s="21" t="b">
        <f t="shared" si="43"/>
        <v>1</v>
      </c>
    </row>
    <row r="80" s="21" customFormat="1" ht="21.6" outlineLevel="1" spans="1:23">
      <c r="A80" s="65">
        <v>71</v>
      </c>
      <c r="B80" s="65" t="s">
        <v>444</v>
      </c>
      <c r="C80" s="65" t="s">
        <v>446</v>
      </c>
      <c r="D80" s="65" t="s">
        <v>105</v>
      </c>
      <c r="E80" s="65">
        <v>1</v>
      </c>
      <c r="F80" s="57">
        <v>1</v>
      </c>
      <c r="G80" s="66">
        <v>25</v>
      </c>
      <c r="H80" s="67">
        <f t="shared" si="44"/>
        <v>35.35</v>
      </c>
      <c r="I80" s="75">
        <v>35</v>
      </c>
      <c r="J80" s="76">
        <v>0.01</v>
      </c>
      <c r="K80" s="77">
        <v>5</v>
      </c>
      <c r="L80" s="39">
        <f>(G80+H80+K80)*$L$5</f>
        <v>3.921</v>
      </c>
      <c r="M80" s="39">
        <f>(G80+H80+K80+L80)*$M$5</f>
        <v>2.07813</v>
      </c>
      <c r="N80" s="67">
        <f t="shared" si="39"/>
        <v>107.023695</v>
      </c>
      <c r="O80" s="67"/>
      <c r="P80" s="67">
        <f t="shared" si="45"/>
        <v>107.023695</v>
      </c>
      <c r="Q80" s="82">
        <f t="shared" si="46"/>
        <v>107.023695</v>
      </c>
      <c r="R80" s="65"/>
      <c r="T80" s="21">
        <f t="shared" si="40"/>
        <v>107.023695</v>
      </c>
      <c r="U80" s="21">
        <f t="shared" si="41"/>
        <v>71.34913</v>
      </c>
      <c r="V80" s="21" t="b">
        <f t="shared" si="42"/>
        <v>0</v>
      </c>
      <c r="W80" s="21" t="b">
        <f t="shared" si="43"/>
        <v>1</v>
      </c>
    </row>
    <row r="81" s="21" customFormat="1" ht="54" outlineLevel="1" spans="1:23">
      <c r="A81" s="65">
        <v>72</v>
      </c>
      <c r="B81" s="65" t="s">
        <v>447</v>
      </c>
      <c r="C81" s="65" t="s">
        <v>448</v>
      </c>
      <c r="D81" s="65" t="s">
        <v>111</v>
      </c>
      <c r="E81" s="65">
        <v>13.11</v>
      </c>
      <c r="F81" s="57">
        <v>13.11</v>
      </c>
      <c r="G81" s="66">
        <v>18</v>
      </c>
      <c r="H81" s="65">
        <f t="shared" si="44"/>
        <v>32.96</v>
      </c>
      <c r="I81" s="66">
        <v>32</v>
      </c>
      <c r="J81" s="88">
        <v>0.03</v>
      </c>
      <c r="K81" s="89">
        <v>13</v>
      </c>
      <c r="L81" s="58">
        <f>(G81+H81+K81)*$L$5</f>
        <v>3.8376</v>
      </c>
      <c r="M81" s="58">
        <f>(G81+H81+K81+L81)*$M$5</f>
        <v>2.033928</v>
      </c>
      <c r="N81" s="67">
        <f t="shared" si="39"/>
        <v>104.747292</v>
      </c>
      <c r="O81" s="67"/>
      <c r="P81" s="65">
        <f t="shared" si="45"/>
        <v>1373.23699812</v>
      </c>
      <c r="Q81" s="82">
        <f t="shared" si="46"/>
        <v>1373.23699812</v>
      </c>
      <c r="R81" s="65"/>
      <c r="T81" s="21">
        <f t="shared" si="40"/>
        <v>1373.23699812</v>
      </c>
      <c r="U81" s="21">
        <f t="shared" si="41"/>
        <v>69.831528</v>
      </c>
      <c r="V81" s="21" t="b">
        <f t="shared" si="42"/>
        <v>0</v>
      </c>
      <c r="W81" s="21" t="b">
        <f t="shared" si="43"/>
        <v>1</v>
      </c>
    </row>
    <row r="82" s="21" customFormat="1" ht="54" outlineLevel="1" spans="1:23">
      <c r="A82" s="65">
        <v>73</v>
      </c>
      <c r="B82" s="65" t="s">
        <v>447</v>
      </c>
      <c r="C82" s="65" t="s">
        <v>449</v>
      </c>
      <c r="D82" s="65" t="s">
        <v>111</v>
      </c>
      <c r="E82" s="65">
        <v>8.53</v>
      </c>
      <c r="F82" s="57">
        <v>8.53</v>
      </c>
      <c r="G82" s="66">
        <v>25</v>
      </c>
      <c r="H82" s="65">
        <f t="shared" si="44"/>
        <v>46.35</v>
      </c>
      <c r="I82" s="66">
        <v>45</v>
      </c>
      <c r="J82" s="88">
        <v>0.03</v>
      </c>
      <c r="K82" s="89">
        <v>18</v>
      </c>
      <c r="L82" s="58">
        <f>(G82+H82+K82)*$L$5</f>
        <v>5.361</v>
      </c>
      <c r="M82" s="58">
        <f>(G82+H82+K82+L82)*$M$5</f>
        <v>2.84133</v>
      </c>
      <c r="N82" s="67">
        <f t="shared" si="39"/>
        <v>146.328495</v>
      </c>
      <c r="O82" s="67"/>
      <c r="P82" s="65">
        <f t="shared" si="45"/>
        <v>1248.18206235</v>
      </c>
      <c r="Q82" s="82">
        <f t="shared" si="46"/>
        <v>1248.18206235</v>
      </c>
      <c r="R82" s="65"/>
      <c r="T82" s="21">
        <f t="shared" si="40"/>
        <v>1248.18206235</v>
      </c>
      <c r="U82" s="21">
        <f t="shared" si="41"/>
        <v>97.55233</v>
      </c>
      <c r="V82" s="21" t="b">
        <f t="shared" si="42"/>
        <v>0</v>
      </c>
      <c r="W82" s="21" t="b">
        <f t="shared" si="43"/>
        <v>1</v>
      </c>
    </row>
    <row r="83" s="21" customFormat="1" ht="54" outlineLevel="1" spans="1:23">
      <c r="A83" s="84">
        <v>74</v>
      </c>
      <c r="B83" s="84" t="s">
        <v>447</v>
      </c>
      <c r="C83" s="84" t="s">
        <v>450</v>
      </c>
      <c r="D83" s="84" t="s">
        <v>111</v>
      </c>
      <c r="E83" s="84">
        <v>14.12</v>
      </c>
      <c r="F83" s="85">
        <v>14.12</v>
      </c>
      <c r="G83" s="86">
        <v>30</v>
      </c>
      <c r="H83" s="84">
        <f t="shared" si="44"/>
        <v>56.65</v>
      </c>
      <c r="I83" s="86">
        <v>55</v>
      </c>
      <c r="J83" s="90">
        <v>0.03</v>
      </c>
      <c r="K83" s="91">
        <v>22</v>
      </c>
      <c r="L83" s="92">
        <f>(G83+H83+K83)*$L$5</f>
        <v>6.519</v>
      </c>
      <c r="M83" s="92">
        <f>(G83+H83+K83+L83)*$M$5</f>
        <v>3.45507</v>
      </c>
      <c r="N83" s="67">
        <f t="shared" si="39"/>
        <v>177.936105</v>
      </c>
      <c r="O83" s="67"/>
      <c r="P83" s="84">
        <f t="shared" si="45"/>
        <v>2512.4578026</v>
      </c>
      <c r="Q83" s="82">
        <f t="shared" ref="Q83:Q94" si="48">F83*N83</f>
        <v>2512.4578026</v>
      </c>
      <c r="R83" s="84"/>
      <c r="T83" s="21">
        <f t="shared" si="40"/>
        <v>2512.4578026</v>
      </c>
      <c r="U83" s="21">
        <f t="shared" si="41"/>
        <v>118.62407</v>
      </c>
      <c r="V83" s="21" t="b">
        <f t="shared" si="42"/>
        <v>0</v>
      </c>
      <c r="W83" s="21" t="b">
        <f t="shared" si="43"/>
        <v>1</v>
      </c>
    </row>
    <row r="84" s="21" customFormat="1" ht="64.8" outlineLevel="1" spans="1:23">
      <c r="A84" s="65">
        <v>75</v>
      </c>
      <c r="B84" s="65" t="s">
        <v>447</v>
      </c>
      <c r="C84" s="65" t="s">
        <v>451</v>
      </c>
      <c r="D84" s="65" t="s">
        <v>111</v>
      </c>
      <c r="E84" s="65">
        <v>16.41</v>
      </c>
      <c r="F84" s="57">
        <v>16.41</v>
      </c>
      <c r="G84" s="66">
        <v>15</v>
      </c>
      <c r="H84" s="65">
        <f t="shared" si="44"/>
        <v>8.4</v>
      </c>
      <c r="I84" s="66">
        <v>8</v>
      </c>
      <c r="J84" s="88">
        <v>0.05</v>
      </c>
      <c r="K84" s="89">
        <v>3</v>
      </c>
      <c r="L84" s="58">
        <f>(G84+H84+K84)*$L$5</f>
        <v>1.584</v>
      </c>
      <c r="M84" s="58">
        <f>(G84+H84+K84+L84)*$M$5</f>
        <v>0.83952</v>
      </c>
      <c r="N84" s="67">
        <f t="shared" si="39"/>
        <v>43.23528</v>
      </c>
      <c r="O84" s="67"/>
      <c r="P84" s="65">
        <f t="shared" si="45"/>
        <v>709.4909448</v>
      </c>
      <c r="Q84" s="82">
        <f t="shared" si="48"/>
        <v>709.4909448</v>
      </c>
      <c r="R84" s="65"/>
      <c r="T84" s="21">
        <f t="shared" si="40"/>
        <v>709.4909448</v>
      </c>
      <c r="U84" s="21">
        <f t="shared" si="41"/>
        <v>28.82352</v>
      </c>
      <c r="V84" s="21" t="b">
        <f t="shared" si="42"/>
        <v>0</v>
      </c>
      <c r="W84" s="21" t="b">
        <f t="shared" si="43"/>
        <v>1</v>
      </c>
    </row>
    <row r="85" s="21" customFormat="1" ht="64.8" outlineLevel="1" spans="1:23">
      <c r="A85" s="84">
        <v>76</v>
      </c>
      <c r="B85" s="84" t="s">
        <v>447</v>
      </c>
      <c r="C85" s="84" t="s">
        <v>452</v>
      </c>
      <c r="D85" s="84" t="s">
        <v>111</v>
      </c>
      <c r="E85" s="84">
        <v>12.5</v>
      </c>
      <c r="F85" s="85">
        <v>12.5</v>
      </c>
      <c r="G85" s="84">
        <f t="shared" ref="G85:K85" si="49">G84</f>
        <v>15</v>
      </c>
      <c r="H85" s="84">
        <f t="shared" si="44"/>
        <v>10.5</v>
      </c>
      <c r="I85" s="86">
        <v>10</v>
      </c>
      <c r="J85" s="93">
        <f t="shared" si="49"/>
        <v>0.05</v>
      </c>
      <c r="K85" s="92">
        <f t="shared" si="49"/>
        <v>3</v>
      </c>
      <c r="L85" s="92">
        <f>(G85+H85+K85)*$L$5</f>
        <v>1.71</v>
      </c>
      <c r="M85" s="92">
        <f>(G85+H85+K85+L85)*$M$5</f>
        <v>0.9063</v>
      </c>
      <c r="N85" s="67">
        <f t="shared" si="39"/>
        <v>46.67445</v>
      </c>
      <c r="O85" s="67"/>
      <c r="P85" s="84">
        <f t="shared" si="45"/>
        <v>583.430625</v>
      </c>
      <c r="Q85" s="82">
        <f t="shared" si="48"/>
        <v>583.430625</v>
      </c>
      <c r="R85" s="84"/>
      <c r="T85" s="21">
        <f t="shared" si="40"/>
        <v>583.430625</v>
      </c>
      <c r="U85" s="21">
        <f t="shared" si="41"/>
        <v>31.1163</v>
      </c>
      <c r="V85" s="21" t="b">
        <f t="shared" si="42"/>
        <v>0</v>
      </c>
      <c r="W85" s="21" t="b">
        <f t="shared" si="43"/>
        <v>1</v>
      </c>
    </row>
    <row r="86" s="21" customFormat="1" ht="64.8" outlineLevel="1" spans="1:23">
      <c r="A86" s="65">
        <v>77</v>
      </c>
      <c r="B86" s="65" t="s">
        <v>447</v>
      </c>
      <c r="C86" s="65" t="s">
        <v>453</v>
      </c>
      <c r="D86" s="65" t="s">
        <v>111</v>
      </c>
      <c r="E86" s="65">
        <v>10.71</v>
      </c>
      <c r="F86" s="57">
        <v>10.71</v>
      </c>
      <c r="G86" s="65">
        <f t="shared" ref="G86:K86" si="50">G84</f>
        <v>15</v>
      </c>
      <c r="H86" s="65">
        <f t="shared" si="44"/>
        <v>12.6</v>
      </c>
      <c r="I86" s="66">
        <v>12</v>
      </c>
      <c r="J86" s="74">
        <f t="shared" si="50"/>
        <v>0.05</v>
      </c>
      <c r="K86" s="58">
        <f t="shared" si="50"/>
        <v>3</v>
      </c>
      <c r="L86" s="58">
        <f>(G86+H86+K86)*$L$5</f>
        <v>1.836</v>
      </c>
      <c r="M86" s="58">
        <f>(G86+H86+K86+L86)*$M$5</f>
        <v>0.97308</v>
      </c>
      <c r="N86" s="67">
        <f t="shared" si="39"/>
        <v>50.11362</v>
      </c>
      <c r="O86" s="67"/>
      <c r="P86" s="65">
        <f t="shared" si="45"/>
        <v>536.7168702</v>
      </c>
      <c r="Q86" s="82">
        <f t="shared" si="48"/>
        <v>536.7168702</v>
      </c>
      <c r="R86" s="65"/>
      <c r="T86" s="21">
        <f t="shared" si="40"/>
        <v>536.7168702</v>
      </c>
      <c r="U86" s="21">
        <f t="shared" si="41"/>
        <v>33.40908</v>
      </c>
      <c r="V86" s="21" t="b">
        <f t="shared" si="42"/>
        <v>0</v>
      </c>
      <c r="W86" s="21" t="b">
        <f t="shared" si="43"/>
        <v>1</v>
      </c>
    </row>
    <row r="87" s="21" customFormat="1" ht="64.8" outlineLevel="1" spans="1:23">
      <c r="A87" s="84">
        <v>78</v>
      </c>
      <c r="B87" s="84" t="s">
        <v>447</v>
      </c>
      <c r="C87" s="84" t="s">
        <v>454</v>
      </c>
      <c r="D87" s="84" t="s">
        <v>111</v>
      </c>
      <c r="E87" s="84">
        <v>6.28</v>
      </c>
      <c r="F87" s="85">
        <v>6.28</v>
      </c>
      <c r="G87" s="84">
        <f>G84</f>
        <v>15</v>
      </c>
      <c r="H87" s="84">
        <f t="shared" si="44"/>
        <v>24.15</v>
      </c>
      <c r="I87" s="86">
        <v>23</v>
      </c>
      <c r="J87" s="93">
        <v>0.05</v>
      </c>
      <c r="K87" s="91">
        <v>10</v>
      </c>
      <c r="L87" s="92">
        <f>(G87+H87+K87)*$L$5</f>
        <v>2.949</v>
      </c>
      <c r="M87" s="92">
        <f>(G87+H87+K87+L87)*$M$5</f>
        <v>1.56297</v>
      </c>
      <c r="N87" s="67">
        <f t="shared" si="39"/>
        <v>80.492955</v>
      </c>
      <c r="O87" s="67"/>
      <c r="P87" s="84">
        <f t="shared" si="45"/>
        <v>505.4957574</v>
      </c>
      <c r="Q87" s="82">
        <f t="shared" si="48"/>
        <v>505.4957574</v>
      </c>
      <c r="R87" s="84"/>
      <c r="T87" s="21">
        <f t="shared" si="40"/>
        <v>505.4957574</v>
      </c>
      <c r="U87" s="21">
        <f t="shared" si="41"/>
        <v>53.66197</v>
      </c>
      <c r="V87" s="21" t="b">
        <f t="shared" si="42"/>
        <v>0</v>
      </c>
      <c r="W87" s="21" t="b">
        <f t="shared" si="43"/>
        <v>1</v>
      </c>
    </row>
    <row r="88" s="21" customFormat="1" ht="32.4" outlineLevel="1" spans="1:23">
      <c r="A88" s="65">
        <v>79</v>
      </c>
      <c r="B88" s="65" t="s">
        <v>455</v>
      </c>
      <c r="C88" s="65" t="s">
        <v>456</v>
      </c>
      <c r="D88" s="65" t="s">
        <v>105</v>
      </c>
      <c r="E88" s="65">
        <v>1</v>
      </c>
      <c r="F88" s="57">
        <v>1</v>
      </c>
      <c r="G88" s="66">
        <v>20</v>
      </c>
      <c r="H88" s="67">
        <f t="shared" ref="H88:H106" si="51">I88*(1+J88)</f>
        <v>65.65</v>
      </c>
      <c r="I88" s="75">
        <v>65</v>
      </c>
      <c r="J88" s="76">
        <v>0.01</v>
      </c>
      <c r="K88" s="77">
        <v>3</v>
      </c>
      <c r="L88" s="39">
        <f>(G88+H88+K88)*$L$5</f>
        <v>5.319</v>
      </c>
      <c r="M88" s="39">
        <f>(G88+H88+K88+L88)*$M$5</f>
        <v>2.81907</v>
      </c>
      <c r="N88" s="67">
        <f t="shared" ref="N88:N129" si="52">(G88+H88+K88+L88+M88)*1.5</f>
        <v>145.182105</v>
      </c>
      <c r="O88" s="67"/>
      <c r="P88" s="67">
        <f t="shared" ref="P88:P106" si="53">N88*E88</f>
        <v>145.182105</v>
      </c>
      <c r="Q88" s="82">
        <f t="shared" si="48"/>
        <v>145.182105</v>
      </c>
      <c r="R88" s="65"/>
      <c r="T88" s="21">
        <f t="shared" ref="T88:T129" si="54">E88*N88</f>
        <v>145.182105</v>
      </c>
      <c r="U88" s="21">
        <f t="shared" ref="U88:U129" si="55">G88+H88+K88+L88+M88</f>
        <v>96.78807</v>
      </c>
      <c r="V88" s="21" t="b">
        <f t="shared" ref="V88:V129" si="56">N88=U88</f>
        <v>0</v>
      </c>
      <c r="W88" s="21" t="b">
        <f t="shared" ref="W88:W129" si="57">T88=P88</f>
        <v>1</v>
      </c>
    </row>
    <row r="89" s="21" customFormat="1" ht="32.4" outlineLevel="1" spans="1:23">
      <c r="A89" s="65">
        <v>80</v>
      </c>
      <c r="B89" s="65" t="s">
        <v>455</v>
      </c>
      <c r="C89" s="65" t="s">
        <v>457</v>
      </c>
      <c r="D89" s="65" t="s">
        <v>105</v>
      </c>
      <c r="E89" s="65">
        <v>1</v>
      </c>
      <c r="F89" s="57">
        <v>1</v>
      </c>
      <c r="G89" s="65">
        <f t="shared" ref="G89:K89" si="58">G88</f>
        <v>20</v>
      </c>
      <c r="H89" s="67">
        <f t="shared" si="51"/>
        <v>85.85</v>
      </c>
      <c r="I89" s="75">
        <v>85</v>
      </c>
      <c r="J89" s="78">
        <f t="shared" si="58"/>
        <v>0.01</v>
      </c>
      <c r="K89" s="79">
        <f t="shared" si="58"/>
        <v>3</v>
      </c>
      <c r="L89" s="39">
        <f>(G89+H89+K89)*$L$5</f>
        <v>6.531</v>
      </c>
      <c r="M89" s="39">
        <f>(G89+H89+K89+L89)*$M$5</f>
        <v>3.46143</v>
      </c>
      <c r="N89" s="67">
        <f t="shared" si="52"/>
        <v>178.263645</v>
      </c>
      <c r="O89" s="67"/>
      <c r="P89" s="67">
        <f t="shared" si="53"/>
        <v>178.263645</v>
      </c>
      <c r="Q89" s="82">
        <f t="shared" si="48"/>
        <v>178.263645</v>
      </c>
      <c r="R89" s="65"/>
      <c r="T89" s="21">
        <f t="shared" si="54"/>
        <v>178.263645</v>
      </c>
      <c r="U89" s="21">
        <f t="shared" si="55"/>
        <v>118.84243</v>
      </c>
      <c r="V89" s="21" t="b">
        <f t="shared" si="56"/>
        <v>0</v>
      </c>
      <c r="W89" s="21" t="b">
        <f t="shared" si="57"/>
        <v>1</v>
      </c>
    </row>
    <row r="90" s="21" customFormat="1" spans="1:23">
      <c r="A90" s="65"/>
      <c r="B90" s="65" t="s">
        <v>458</v>
      </c>
      <c r="C90" s="65"/>
      <c r="D90" s="65"/>
      <c r="E90" s="65"/>
      <c r="F90" s="57"/>
      <c r="G90" s="65"/>
      <c r="H90" s="67"/>
      <c r="I90" s="80"/>
      <c r="J90" s="78"/>
      <c r="K90" s="79"/>
      <c r="L90" s="39"/>
      <c r="M90" s="39"/>
      <c r="N90" s="67">
        <f t="shared" si="52"/>
        <v>0</v>
      </c>
      <c r="O90" s="67"/>
      <c r="P90" s="67"/>
      <c r="Q90" s="82"/>
      <c r="R90" s="65"/>
      <c r="T90" s="21">
        <f t="shared" si="54"/>
        <v>0</v>
      </c>
      <c r="U90" s="21">
        <f t="shared" si="55"/>
        <v>0</v>
      </c>
      <c r="V90" s="21" t="b">
        <f t="shared" si="56"/>
        <v>1</v>
      </c>
      <c r="W90" s="21" t="b">
        <f t="shared" si="57"/>
        <v>1</v>
      </c>
    </row>
    <row r="91" s="21" customFormat="1" ht="75.6" outlineLevel="1" spans="1:23">
      <c r="A91" s="65">
        <v>81</v>
      </c>
      <c r="B91" s="65" t="s">
        <v>459</v>
      </c>
      <c r="C91" s="65" t="s">
        <v>460</v>
      </c>
      <c r="D91" s="65" t="s">
        <v>344</v>
      </c>
      <c r="E91" s="65">
        <v>2</v>
      </c>
      <c r="F91" s="57">
        <v>2</v>
      </c>
      <c r="G91" s="66">
        <v>100</v>
      </c>
      <c r="H91" s="67">
        <f t="shared" si="51"/>
        <v>555.5</v>
      </c>
      <c r="I91" s="75">
        <v>550</v>
      </c>
      <c r="J91" s="76">
        <v>0.01</v>
      </c>
      <c r="K91" s="77">
        <v>50</v>
      </c>
      <c r="L91" s="39">
        <f>(G91+H91+K91)*$L$5</f>
        <v>42.33</v>
      </c>
      <c r="M91" s="39">
        <f>(G91+H91+K91+L91)*$M$5</f>
        <v>22.4349</v>
      </c>
      <c r="N91" s="67">
        <f t="shared" si="52"/>
        <v>1155.39735</v>
      </c>
      <c r="O91" s="67"/>
      <c r="P91" s="67">
        <f t="shared" si="53"/>
        <v>2310.7947</v>
      </c>
      <c r="Q91" s="82">
        <f t="shared" ref="Q91:Q106" si="59">F91*N91</f>
        <v>2310.7947</v>
      </c>
      <c r="R91" s="65"/>
      <c r="T91" s="21">
        <f t="shared" si="54"/>
        <v>2310.7947</v>
      </c>
      <c r="U91" s="21">
        <f t="shared" si="55"/>
        <v>770.2649</v>
      </c>
      <c r="V91" s="21" t="b">
        <f t="shared" si="56"/>
        <v>0</v>
      </c>
      <c r="W91" s="21" t="b">
        <f t="shared" si="57"/>
        <v>1</v>
      </c>
    </row>
    <row r="92" s="21" customFormat="1" ht="43.2" outlineLevel="1" spans="1:23">
      <c r="A92" s="65">
        <v>82</v>
      </c>
      <c r="B92" s="65" t="s">
        <v>461</v>
      </c>
      <c r="C92" s="65" t="s">
        <v>462</v>
      </c>
      <c r="D92" s="65" t="s">
        <v>76</v>
      </c>
      <c r="E92" s="65">
        <v>32.58</v>
      </c>
      <c r="F92" s="57">
        <v>32.58</v>
      </c>
      <c r="G92" s="66">
        <v>150</v>
      </c>
      <c r="H92" s="67">
        <f t="shared" si="51"/>
        <v>606</v>
      </c>
      <c r="I92" s="75">
        <v>600</v>
      </c>
      <c r="J92" s="76">
        <v>0.01</v>
      </c>
      <c r="K92" s="77">
        <v>35</v>
      </c>
      <c r="L92" s="39">
        <f>(G92+H92+K92)*$L$5</f>
        <v>47.46</v>
      </c>
      <c r="M92" s="39">
        <f>(G92+H92+K92+L92)*$M$5</f>
        <v>25.1538</v>
      </c>
      <c r="N92" s="67">
        <f t="shared" si="52"/>
        <v>1295.4207</v>
      </c>
      <c r="O92" s="67"/>
      <c r="P92" s="67">
        <f t="shared" si="53"/>
        <v>42204.806406</v>
      </c>
      <c r="Q92" s="82">
        <f t="shared" si="59"/>
        <v>42204.806406</v>
      </c>
      <c r="R92" s="65"/>
      <c r="T92" s="21">
        <f t="shared" si="54"/>
        <v>42204.806406</v>
      </c>
      <c r="U92" s="21">
        <f t="shared" si="55"/>
        <v>863.6138</v>
      </c>
      <c r="V92" s="21" t="b">
        <f t="shared" si="56"/>
        <v>0</v>
      </c>
      <c r="W92" s="21" t="b">
        <f t="shared" si="57"/>
        <v>1</v>
      </c>
    </row>
    <row r="93" s="21" customFormat="1" ht="108" outlineLevel="1" spans="1:23">
      <c r="A93" s="65">
        <v>83</v>
      </c>
      <c r="B93" s="65" t="s">
        <v>463</v>
      </c>
      <c r="C93" s="65" t="s">
        <v>464</v>
      </c>
      <c r="D93" s="65" t="s">
        <v>344</v>
      </c>
      <c r="E93" s="65">
        <v>1</v>
      </c>
      <c r="F93" s="57">
        <v>1</v>
      </c>
      <c r="G93" s="66">
        <v>550</v>
      </c>
      <c r="H93" s="67">
        <f t="shared" si="51"/>
        <v>3131</v>
      </c>
      <c r="I93" s="75">
        <v>3100</v>
      </c>
      <c r="J93" s="76">
        <v>0.01</v>
      </c>
      <c r="K93" s="77">
        <v>150</v>
      </c>
      <c r="L93" s="39">
        <f>(G93+H93+K93)*$L$5</f>
        <v>229.86</v>
      </c>
      <c r="M93" s="39">
        <f>(G93+H93+K93+L93)*$M$5</f>
        <v>121.8258</v>
      </c>
      <c r="N93" s="67">
        <f t="shared" si="52"/>
        <v>6274.0287</v>
      </c>
      <c r="O93" s="67"/>
      <c r="P93" s="67">
        <f t="shared" si="53"/>
        <v>6274.0287</v>
      </c>
      <c r="Q93" s="82">
        <f t="shared" si="59"/>
        <v>6274.0287</v>
      </c>
      <c r="R93" s="65" t="s">
        <v>465</v>
      </c>
      <c r="T93" s="21">
        <f t="shared" si="54"/>
        <v>6274.0287</v>
      </c>
      <c r="U93" s="21">
        <f t="shared" si="55"/>
        <v>4182.6858</v>
      </c>
      <c r="V93" s="21" t="b">
        <f t="shared" si="56"/>
        <v>0</v>
      </c>
      <c r="W93" s="21" t="b">
        <f t="shared" si="57"/>
        <v>1</v>
      </c>
    </row>
    <row r="94" s="21" customFormat="1" ht="108" outlineLevel="1" spans="1:23">
      <c r="A94" s="65">
        <v>84</v>
      </c>
      <c r="B94" s="65" t="s">
        <v>463</v>
      </c>
      <c r="C94" s="65" t="s">
        <v>466</v>
      </c>
      <c r="D94" s="65" t="s">
        <v>344</v>
      </c>
      <c r="E94" s="65">
        <v>1</v>
      </c>
      <c r="F94" s="57">
        <v>1</v>
      </c>
      <c r="G94" s="65">
        <f t="shared" ref="G94:K94" si="60">G93</f>
        <v>550</v>
      </c>
      <c r="H94" s="67">
        <f t="shared" si="51"/>
        <v>2828</v>
      </c>
      <c r="I94" s="75">
        <v>2800</v>
      </c>
      <c r="J94" s="74">
        <f t="shared" si="60"/>
        <v>0.01</v>
      </c>
      <c r="K94" s="58">
        <f t="shared" si="60"/>
        <v>150</v>
      </c>
      <c r="L94" s="39">
        <f>(G94+H94+K94)*$L$5</f>
        <v>211.68</v>
      </c>
      <c r="M94" s="39">
        <f>(G94+H94+K94+L94)*$M$5</f>
        <v>112.1904</v>
      </c>
      <c r="N94" s="67">
        <f t="shared" si="52"/>
        <v>5777.8056</v>
      </c>
      <c r="O94" s="67"/>
      <c r="P94" s="67">
        <f t="shared" si="53"/>
        <v>5777.8056</v>
      </c>
      <c r="Q94" s="82">
        <f t="shared" si="59"/>
        <v>5777.8056</v>
      </c>
      <c r="R94" s="65" t="str">
        <f>R93</f>
        <v>海信</v>
      </c>
      <c r="T94" s="21">
        <f t="shared" si="54"/>
        <v>5777.8056</v>
      </c>
      <c r="U94" s="21">
        <f t="shared" si="55"/>
        <v>3851.8704</v>
      </c>
      <c r="V94" s="21" t="b">
        <f t="shared" si="56"/>
        <v>0</v>
      </c>
      <c r="W94" s="21" t="b">
        <f t="shared" si="57"/>
        <v>1</v>
      </c>
    </row>
    <row r="95" s="21" customFormat="1" ht="97.2" outlineLevel="1" spans="1:23">
      <c r="A95" s="65">
        <v>85</v>
      </c>
      <c r="B95" s="65" t="s">
        <v>463</v>
      </c>
      <c r="C95" s="65" t="s">
        <v>467</v>
      </c>
      <c r="D95" s="65" t="s">
        <v>344</v>
      </c>
      <c r="E95" s="65">
        <v>1</v>
      </c>
      <c r="F95" s="57">
        <v>1</v>
      </c>
      <c r="G95" s="65">
        <f t="shared" ref="G95:K95" si="61">G93</f>
        <v>550</v>
      </c>
      <c r="H95" s="67">
        <f t="shared" si="51"/>
        <v>2727</v>
      </c>
      <c r="I95" s="75">
        <v>2700</v>
      </c>
      <c r="J95" s="74">
        <f t="shared" si="61"/>
        <v>0.01</v>
      </c>
      <c r="K95" s="58">
        <f t="shared" si="61"/>
        <v>150</v>
      </c>
      <c r="L95" s="39">
        <f>(G95+H95+K95)*$L$5</f>
        <v>205.62</v>
      </c>
      <c r="M95" s="39">
        <f>(G95+H95+K95+L95)*$M$5</f>
        <v>108.9786</v>
      </c>
      <c r="N95" s="67">
        <f t="shared" si="52"/>
        <v>5612.3979</v>
      </c>
      <c r="O95" s="67"/>
      <c r="P95" s="67">
        <f t="shared" si="53"/>
        <v>5612.3979</v>
      </c>
      <c r="Q95" s="82">
        <f t="shared" si="59"/>
        <v>5612.3979</v>
      </c>
      <c r="R95" s="65" t="str">
        <f>R93</f>
        <v>海信</v>
      </c>
      <c r="T95" s="21">
        <f t="shared" si="54"/>
        <v>5612.3979</v>
      </c>
      <c r="U95" s="21">
        <f t="shared" si="55"/>
        <v>3741.5986</v>
      </c>
      <c r="V95" s="21" t="b">
        <f t="shared" si="56"/>
        <v>0</v>
      </c>
      <c r="W95" s="21" t="b">
        <f t="shared" si="57"/>
        <v>1</v>
      </c>
    </row>
    <row r="96" s="21" customFormat="1" ht="97.2" outlineLevel="1" spans="1:23">
      <c r="A96" s="65">
        <v>86</v>
      </c>
      <c r="B96" s="65" t="s">
        <v>463</v>
      </c>
      <c r="C96" s="65" t="s">
        <v>468</v>
      </c>
      <c r="D96" s="65" t="s">
        <v>344</v>
      </c>
      <c r="E96" s="65">
        <v>2</v>
      </c>
      <c r="F96" s="57">
        <v>2</v>
      </c>
      <c r="G96" s="65">
        <f t="shared" ref="G96:K96" si="62">G93</f>
        <v>550</v>
      </c>
      <c r="H96" s="67">
        <f t="shared" si="51"/>
        <v>2676.5</v>
      </c>
      <c r="I96" s="75">
        <v>2650</v>
      </c>
      <c r="J96" s="74">
        <f t="shared" si="62"/>
        <v>0.01</v>
      </c>
      <c r="K96" s="58">
        <f t="shared" si="62"/>
        <v>150</v>
      </c>
      <c r="L96" s="39">
        <f>(G96+H96+K96)*$L$5</f>
        <v>202.59</v>
      </c>
      <c r="M96" s="39">
        <f>(G96+H96+K96+L96)*$M$5</f>
        <v>107.3727</v>
      </c>
      <c r="N96" s="67">
        <f t="shared" si="52"/>
        <v>5529.69405</v>
      </c>
      <c r="O96" s="67"/>
      <c r="P96" s="67">
        <f t="shared" si="53"/>
        <v>11059.3881</v>
      </c>
      <c r="Q96" s="82">
        <f t="shared" si="59"/>
        <v>11059.3881</v>
      </c>
      <c r="R96" s="65" t="str">
        <f>R94</f>
        <v>海信</v>
      </c>
      <c r="T96" s="21">
        <f t="shared" si="54"/>
        <v>11059.3881</v>
      </c>
      <c r="U96" s="21">
        <f t="shared" si="55"/>
        <v>3686.4627</v>
      </c>
      <c r="V96" s="21" t="b">
        <f t="shared" si="56"/>
        <v>0</v>
      </c>
      <c r="W96" s="21" t="b">
        <f t="shared" si="57"/>
        <v>1</v>
      </c>
    </row>
    <row r="97" s="21" customFormat="1" ht="97.2" outlineLevel="1" spans="1:23">
      <c r="A97" s="65">
        <v>87</v>
      </c>
      <c r="B97" s="65" t="s">
        <v>463</v>
      </c>
      <c r="C97" s="65" t="s">
        <v>469</v>
      </c>
      <c r="D97" s="65" t="s">
        <v>344</v>
      </c>
      <c r="E97" s="65">
        <v>1</v>
      </c>
      <c r="F97" s="57">
        <v>1</v>
      </c>
      <c r="G97" s="65">
        <f t="shared" ref="G97:K97" si="63">G93</f>
        <v>550</v>
      </c>
      <c r="H97" s="67">
        <f t="shared" si="51"/>
        <v>2626</v>
      </c>
      <c r="I97" s="75">
        <v>2600</v>
      </c>
      <c r="J97" s="74">
        <f t="shared" si="63"/>
        <v>0.01</v>
      </c>
      <c r="K97" s="58">
        <f t="shared" si="63"/>
        <v>150</v>
      </c>
      <c r="L97" s="39">
        <f>(G97+H97+K97)*$L$5</f>
        <v>199.56</v>
      </c>
      <c r="M97" s="39">
        <f>(G97+H97+K97+L97)*$M$5</f>
        <v>105.7668</v>
      </c>
      <c r="N97" s="67">
        <f t="shared" si="52"/>
        <v>5446.9902</v>
      </c>
      <c r="O97" s="67"/>
      <c r="P97" s="67">
        <f t="shared" si="53"/>
        <v>5446.9902</v>
      </c>
      <c r="Q97" s="82">
        <f t="shared" si="59"/>
        <v>5446.9902</v>
      </c>
      <c r="R97" s="65" t="str">
        <f t="shared" ref="R97:R103" si="64">R96</f>
        <v>海信</v>
      </c>
      <c r="T97" s="21">
        <f t="shared" si="54"/>
        <v>5446.9902</v>
      </c>
      <c r="U97" s="21">
        <f t="shared" si="55"/>
        <v>3631.3268</v>
      </c>
      <c r="V97" s="21" t="b">
        <f t="shared" si="56"/>
        <v>0</v>
      </c>
      <c r="W97" s="21" t="b">
        <f t="shared" si="57"/>
        <v>1</v>
      </c>
    </row>
    <row r="98" s="21" customFormat="1" ht="97.2" outlineLevel="1" spans="1:23">
      <c r="A98" s="65">
        <v>88</v>
      </c>
      <c r="B98" s="65" t="s">
        <v>463</v>
      </c>
      <c r="C98" s="65" t="s">
        <v>470</v>
      </c>
      <c r="D98" s="65" t="s">
        <v>344</v>
      </c>
      <c r="E98" s="65">
        <v>1</v>
      </c>
      <c r="F98" s="57">
        <v>1</v>
      </c>
      <c r="G98" s="65">
        <f t="shared" ref="G98:K98" si="65">G93</f>
        <v>550</v>
      </c>
      <c r="H98" s="67">
        <f t="shared" si="51"/>
        <v>2575.5</v>
      </c>
      <c r="I98" s="75">
        <v>2550</v>
      </c>
      <c r="J98" s="74">
        <f t="shared" si="65"/>
        <v>0.01</v>
      </c>
      <c r="K98" s="58">
        <f t="shared" si="65"/>
        <v>150</v>
      </c>
      <c r="L98" s="39">
        <f>(G98+H98+K98)*$L$5</f>
        <v>196.53</v>
      </c>
      <c r="M98" s="39">
        <f>(G98+H98+K98+L98)*$M$5</f>
        <v>104.1609</v>
      </c>
      <c r="N98" s="67">
        <f t="shared" si="52"/>
        <v>5364.28635</v>
      </c>
      <c r="O98" s="67"/>
      <c r="P98" s="67">
        <f t="shared" si="53"/>
        <v>5364.28635</v>
      </c>
      <c r="Q98" s="82">
        <f t="shared" si="59"/>
        <v>5364.28635</v>
      </c>
      <c r="R98" s="65" t="str">
        <f t="shared" si="64"/>
        <v>海信</v>
      </c>
      <c r="T98" s="21">
        <f t="shared" si="54"/>
        <v>5364.28635</v>
      </c>
      <c r="U98" s="21">
        <f t="shared" si="55"/>
        <v>3576.1909</v>
      </c>
      <c r="V98" s="21" t="b">
        <f t="shared" si="56"/>
        <v>0</v>
      </c>
      <c r="W98" s="21" t="b">
        <f t="shared" si="57"/>
        <v>1</v>
      </c>
    </row>
    <row r="99" s="21" customFormat="1" ht="97.2" outlineLevel="1" spans="1:23">
      <c r="A99" s="65">
        <v>89</v>
      </c>
      <c r="B99" s="65" t="s">
        <v>463</v>
      </c>
      <c r="C99" s="65" t="s">
        <v>471</v>
      </c>
      <c r="D99" s="65" t="s">
        <v>344</v>
      </c>
      <c r="E99" s="65">
        <v>1</v>
      </c>
      <c r="F99" s="57">
        <v>1</v>
      </c>
      <c r="G99" s="65">
        <f t="shared" ref="G99:K99" si="66">G93</f>
        <v>550</v>
      </c>
      <c r="H99" s="67">
        <f t="shared" si="51"/>
        <v>2575.5</v>
      </c>
      <c r="I99" s="75">
        <f>I98</f>
        <v>2550</v>
      </c>
      <c r="J99" s="74">
        <f t="shared" si="66"/>
        <v>0.01</v>
      </c>
      <c r="K99" s="58">
        <f t="shared" si="66"/>
        <v>150</v>
      </c>
      <c r="L99" s="39">
        <f>(G99+H99+K99)*$L$5</f>
        <v>196.53</v>
      </c>
      <c r="M99" s="39">
        <f>(G99+H99+K99+L99)*$M$5</f>
        <v>104.1609</v>
      </c>
      <c r="N99" s="67">
        <f t="shared" si="52"/>
        <v>5364.28635</v>
      </c>
      <c r="O99" s="67"/>
      <c r="P99" s="67">
        <f t="shared" si="53"/>
        <v>5364.28635</v>
      </c>
      <c r="Q99" s="82">
        <f t="shared" si="59"/>
        <v>5364.28635</v>
      </c>
      <c r="R99" s="65" t="str">
        <f t="shared" si="64"/>
        <v>海信</v>
      </c>
      <c r="T99" s="21">
        <f t="shared" si="54"/>
        <v>5364.28635</v>
      </c>
      <c r="U99" s="21">
        <f t="shared" si="55"/>
        <v>3576.1909</v>
      </c>
      <c r="V99" s="21" t="b">
        <f t="shared" si="56"/>
        <v>0</v>
      </c>
      <c r="W99" s="21" t="b">
        <f t="shared" si="57"/>
        <v>1</v>
      </c>
    </row>
    <row r="100" s="21" customFormat="1" ht="97.2" outlineLevel="1" spans="1:23">
      <c r="A100" s="65">
        <v>90</v>
      </c>
      <c r="B100" s="65" t="s">
        <v>463</v>
      </c>
      <c r="C100" s="65" t="s">
        <v>472</v>
      </c>
      <c r="D100" s="65" t="s">
        <v>344</v>
      </c>
      <c r="E100" s="65">
        <v>1</v>
      </c>
      <c r="F100" s="57">
        <v>1</v>
      </c>
      <c r="G100" s="65">
        <f t="shared" ref="G100:K100" si="67">G93</f>
        <v>550</v>
      </c>
      <c r="H100" s="67">
        <f t="shared" si="51"/>
        <v>2575.5</v>
      </c>
      <c r="I100" s="75">
        <f>I98</f>
        <v>2550</v>
      </c>
      <c r="J100" s="74">
        <f t="shared" si="67"/>
        <v>0.01</v>
      </c>
      <c r="K100" s="58">
        <f t="shared" si="67"/>
        <v>150</v>
      </c>
      <c r="L100" s="39">
        <f>(G100+H100+K100)*$L$5</f>
        <v>196.53</v>
      </c>
      <c r="M100" s="39">
        <f>(G100+H100+K100+L100)*$M$5</f>
        <v>104.1609</v>
      </c>
      <c r="N100" s="67">
        <f t="shared" si="52"/>
        <v>5364.28635</v>
      </c>
      <c r="O100" s="67"/>
      <c r="P100" s="67">
        <f t="shared" si="53"/>
        <v>5364.28635</v>
      </c>
      <c r="Q100" s="82">
        <f t="shared" si="59"/>
        <v>5364.28635</v>
      </c>
      <c r="R100" s="65" t="str">
        <f t="shared" si="64"/>
        <v>海信</v>
      </c>
      <c r="T100" s="21">
        <f t="shared" si="54"/>
        <v>5364.28635</v>
      </c>
      <c r="U100" s="21">
        <f t="shared" si="55"/>
        <v>3576.1909</v>
      </c>
      <c r="V100" s="21" t="b">
        <f t="shared" si="56"/>
        <v>0</v>
      </c>
      <c r="W100" s="21" t="b">
        <f t="shared" si="57"/>
        <v>1</v>
      </c>
    </row>
    <row r="101" s="21" customFormat="1" ht="97.2" outlineLevel="1" spans="1:23">
      <c r="A101" s="65">
        <v>91</v>
      </c>
      <c r="B101" s="65" t="s">
        <v>463</v>
      </c>
      <c r="C101" s="65" t="s">
        <v>473</v>
      </c>
      <c r="D101" s="65" t="s">
        <v>344</v>
      </c>
      <c r="E101" s="65">
        <v>1</v>
      </c>
      <c r="F101" s="57">
        <v>1</v>
      </c>
      <c r="G101" s="65">
        <f t="shared" ref="G101:K101" si="68">G93</f>
        <v>550</v>
      </c>
      <c r="H101" s="67">
        <f t="shared" si="51"/>
        <v>2575.5</v>
      </c>
      <c r="I101" s="75">
        <f>I98</f>
        <v>2550</v>
      </c>
      <c r="J101" s="74">
        <f t="shared" si="68"/>
        <v>0.01</v>
      </c>
      <c r="K101" s="58">
        <f t="shared" si="68"/>
        <v>150</v>
      </c>
      <c r="L101" s="39">
        <f>(G101+H101+K101)*$L$5</f>
        <v>196.53</v>
      </c>
      <c r="M101" s="39">
        <f>(G101+H101+K101+L101)*$M$5</f>
        <v>104.1609</v>
      </c>
      <c r="N101" s="67">
        <f t="shared" si="52"/>
        <v>5364.28635</v>
      </c>
      <c r="O101" s="67"/>
      <c r="P101" s="67">
        <f t="shared" si="53"/>
        <v>5364.28635</v>
      </c>
      <c r="Q101" s="82">
        <f t="shared" si="59"/>
        <v>5364.28635</v>
      </c>
      <c r="R101" s="65" t="str">
        <f t="shared" si="64"/>
        <v>海信</v>
      </c>
      <c r="T101" s="21">
        <f t="shared" si="54"/>
        <v>5364.28635</v>
      </c>
      <c r="U101" s="21">
        <f t="shared" si="55"/>
        <v>3576.1909</v>
      </c>
      <c r="V101" s="21" t="b">
        <f t="shared" si="56"/>
        <v>0</v>
      </c>
      <c r="W101" s="21" t="b">
        <f t="shared" si="57"/>
        <v>1</v>
      </c>
    </row>
    <row r="102" s="21" customFormat="1" ht="97.2" outlineLevel="1" spans="1:23">
      <c r="A102" s="65">
        <v>92</v>
      </c>
      <c r="B102" s="65" t="s">
        <v>463</v>
      </c>
      <c r="C102" s="65" t="s">
        <v>474</v>
      </c>
      <c r="D102" s="65" t="s">
        <v>344</v>
      </c>
      <c r="E102" s="65">
        <v>1</v>
      </c>
      <c r="F102" s="57">
        <v>1</v>
      </c>
      <c r="G102" s="65">
        <f t="shared" ref="G102:K102" si="69">G93</f>
        <v>550</v>
      </c>
      <c r="H102" s="67">
        <f t="shared" si="51"/>
        <v>2575.5</v>
      </c>
      <c r="I102" s="75">
        <f>I101</f>
        <v>2550</v>
      </c>
      <c r="J102" s="74">
        <f t="shared" si="69"/>
        <v>0.01</v>
      </c>
      <c r="K102" s="58">
        <f t="shared" si="69"/>
        <v>150</v>
      </c>
      <c r="L102" s="39">
        <f>(G102+H102+K102)*$L$5</f>
        <v>196.53</v>
      </c>
      <c r="M102" s="39">
        <f>(G102+H102+K102+L102)*$M$5</f>
        <v>104.1609</v>
      </c>
      <c r="N102" s="67">
        <f t="shared" si="52"/>
        <v>5364.28635</v>
      </c>
      <c r="O102" s="67"/>
      <c r="P102" s="67">
        <f t="shared" si="53"/>
        <v>5364.28635</v>
      </c>
      <c r="Q102" s="82">
        <f t="shared" si="59"/>
        <v>5364.28635</v>
      </c>
      <c r="R102" s="65" t="str">
        <f t="shared" si="64"/>
        <v>海信</v>
      </c>
      <c r="T102" s="21">
        <f t="shared" si="54"/>
        <v>5364.28635</v>
      </c>
      <c r="U102" s="21">
        <f t="shared" si="55"/>
        <v>3576.1909</v>
      </c>
      <c r="V102" s="21" t="b">
        <f t="shared" si="56"/>
        <v>0</v>
      </c>
      <c r="W102" s="21" t="b">
        <f t="shared" si="57"/>
        <v>1</v>
      </c>
    </row>
    <row r="103" s="21" customFormat="1" ht="108" outlineLevel="1" spans="1:23">
      <c r="A103" s="65">
        <v>93</v>
      </c>
      <c r="B103" s="65" t="s">
        <v>463</v>
      </c>
      <c r="C103" s="65" t="s">
        <v>475</v>
      </c>
      <c r="D103" s="65" t="s">
        <v>344</v>
      </c>
      <c r="E103" s="65">
        <v>12</v>
      </c>
      <c r="F103" s="57">
        <v>12</v>
      </c>
      <c r="G103" s="65">
        <f t="shared" ref="G103:K103" si="70">G93</f>
        <v>550</v>
      </c>
      <c r="H103" s="67">
        <f t="shared" si="51"/>
        <v>4545</v>
      </c>
      <c r="I103" s="75">
        <v>4500</v>
      </c>
      <c r="J103" s="74">
        <f t="shared" si="70"/>
        <v>0.01</v>
      </c>
      <c r="K103" s="58">
        <f t="shared" si="70"/>
        <v>150</v>
      </c>
      <c r="L103" s="39">
        <f>(G103+H103+K103)*$L$5</f>
        <v>314.7</v>
      </c>
      <c r="M103" s="39">
        <f>(G103+H103+K103+L103)*$M$5</f>
        <v>166.791</v>
      </c>
      <c r="N103" s="67">
        <f t="shared" si="52"/>
        <v>8589.7365</v>
      </c>
      <c r="O103" s="67"/>
      <c r="P103" s="67">
        <f t="shared" si="53"/>
        <v>103076.838</v>
      </c>
      <c r="Q103" s="82">
        <f t="shared" si="59"/>
        <v>103076.838</v>
      </c>
      <c r="R103" s="65" t="str">
        <f t="shared" si="64"/>
        <v>海信</v>
      </c>
      <c r="T103" s="21">
        <f t="shared" si="54"/>
        <v>103076.838</v>
      </c>
      <c r="U103" s="21">
        <f t="shared" si="55"/>
        <v>5726.491</v>
      </c>
      <c r="V103" s="21" t="b">
        <f t="shared" si="56"/>
        <v>0</v>
      </c>
      <c r="W103" s="21" t="b">
        <f t="shared" si="57"/>
        <v>1</v>
      </c>
    </row>
    <row r="104" s="21" customFormat="1" ht="86.4" outlineLevel="1" spans="1:23">
      <c r="A104" s="65">
        <v>94</v>
      </c>
      <c r="B104" s="65" t="s">
        <v>476</v>
      </c>
      <c r="C104" s="65" t="s">
        <v>477</v>
      </c>
      <c r="D104" s="65" t="s">
        <v>76</v>
      </c>
      <c r="E104" s="65">
        <v>71.17</v>
      </c>
      <c r="F104" s="57">
        <v>71.17</v>
      </c>
      <c r="G104" s="66">
        <v>35</v>
      </c>
      <c r="H104" s="65">
        <f t="shared" si="51"/>
        <v>68.25</v>
      </c>
      <c r="I104" s="66">
        <v>65</v>
      </c>
      <c r="J104" s="88">
        <v>0.05</v>
      </c>
      <c r="K104" s="89">
        <v>15</v>
      </c>
      <c r="L104" s="58">
        <f>(G104+H104+K104)*$L$5</f>
        <v>7.095</v>
      </c>
      <c r="M104" s="58">
        <f>(G104+H104+K104+L104)*$M$5</f>
        <v>3.76035</v>
      </c>
      <c r="N104" s="67">
        <f t="shared" si="52"/>
        <v>193.658025</v>
      </c>
      <c r="O104" s="67"/>
      <c r="P104" s="65">
        <f t="shared" si="53"/>
        <v>13782.64163925</v>
      </c>
      <c r="Q104" s="82">
        <f t="shared" si="59"/>
        <v>13782.64163925</v>
      </c>
      <c r="R104" s="65"/>
      <c r="T104" s="21">
        <f t="shared" si="54"/>
        <v>13782.64163925</v>
      </c>
      <c r="U104" s="21">
        <f t="shared" si="55"/>
        <v>129.10535</v>
      </c>
      <c r="V104" s="21" t="b">
        <f t="shared" si="56"/>
        <v>0</v>
      </c>
      <c r="W104" s="21" t="b">
        <f t="shared" si="57"/>
        <v>1</v>
      </c>
    </row>
    <row r="105" s="21" customFormat="1" ht="86.4" outlineLevel="1" spans="1:23">
      <c r="A105" s="84">
        <v>95</v>
      </c>
      <c r="B105" s="84" t="s">
        <v>476</v>
      </c>
      <c r="C105" s="84" t="s">
        <v>478</v>
      </c>
      <c r="D105" s="84" t="s">
        <v>76</v>
      </c>
      <c r="E105" s="84">
        <v>54.25</v>
      </c>
      <c r="F105" s="85">
        <v>54.25</v>
      </c>
      <c r="G105" s="84">
        <f t="shared" ref="G105:K105" si="71">G104</f>
        <v>35</v>
      </c>
      <c r="H105" s="84">
        <f t="shared" si="51"/>
        <v>68.25</v>
      </c>
      <c r="I105" s="84">
        <f t="shared" si="71"/>
        <v>65</v>
      </c>
      <c r="J105" s="93">
        <f t="shared" si="71"/>
        <v>0.05</v>
      </c>
      <c r="K105" s="92">
        <f t="shared" si="71"/>
        <v>15</v>
      </c>
      <c r="L105" s="92">
        <f>(G105+H105+K105)*$L$5</f>
        <v>7.095</v>
      </c>
      <c r="M105" s="92">
        <f>(G105+H105+K105+L105)*$M$5</f>
        <v>3.76035</v>
      </c>
      <c r="N105" s="67">
        <f t="shared" si="52"/>
        <v>193.658025</v>
      </c>
      <c r="O105" s="67"/>
      <c r="P105" s="84">
        <f t="shared" si="53"/>
        <v>10505.94785625</v>
      </c>
      <c r="Q105" s="82">
        <f t="shared" si="59"/>
        <v>10505.94785625</v>
      </c>
      <c r="R105" s="92"/>
      <c r="T105" s="21">
        <f t="shared" si="54"/>
        <v>10505.94785625</v>
      </c>
      <c r="U105" s="21">
        <f t="shared" si="55"/>
        <v>129.10535</v>
      </c>
      <c r="V105" s="21" t="b">
        <f t="shared" si="56"/>
        <v>0</v>
      </c>
      <c r="W105" s="21" t="b">
        <f t="shared" si="57"/>
        <v>1</v>
      </c>
    </row>
    <row r="106" s="21" customFormat="1" ht="86.4" outlineLevel="1" spans="1:23">
      <c r="A106" s="84">
        <v>96</v>
      </c>
      <c r="B106" s="84" t="s">
        <v>476</v>
      </c>
      <c r="C106" s="84" t="s">
        <v>479</v>
      </c>
      <c r="D106" s="84" t="s">
        <v>76</v>
      </c>
      <c r="E106" s="84">
        <v>10.73</v>
      </c>
      <c r="F106" s="85">
        <v>10.73</v>
      </c>
      <c r="G106" s="84">
        <f t="shared" ref="G106:K106" si="72">G104</f>
        <v>35</v>
      </c>
      <c r="H106" s="84">
        <f t="shared" si="51"/>
        <v>68.25</v>
      </c>
      <c r="I106" s="84">
        <f t="shared" si="72"/>
        <v>65</v>
      </c>
      <c r="J106" s="93">
        <f t="shared" si="72"/>
        <v>0.05</v>
      </c>
      <c r="K106" s="92">
        <f t="shared" si="72"/>
        <v>15</v>
      </c>
      <c r="L106" s="92">
        <f>(G106+H106+K106)*$L$5</f>
        <v>7.095</v>
      </c>
      <c r="M106" s="92">
        <f>(G106+H106+K106+L106)*$M$5</f>
        <v>3.76035</v>
      </c>
      <c r="N106" s="67">
        <f t="shared" si="52"/>
        <v>193.658025</v>
      </c>
      <c r="O106" s="67"/>
      <c r="P106" s="84">
        <f t="shared" si="53"/>
        <v>2077.95060825</v>
      </c>
      <c r="Q106" s="82">
        <f t="shared" si="59"/>
        <v>2077.95060825</v>
      </c>
      <c r="R106" s="92"/>
      <c r="T106" s="21">
        <f t="shared" si="54"/>
        <v>2077.95060825</v>
      </c>
      <c r="U106" s="21">
        <f t="shared" si="55"/>
        <v>129.10535</v>
      </c>
      <c r="V106" s="21" t="b">
        <f t="shared" si="56"/>
        <v>0</v>
      </c>
      <c r="W106" s="21" t="b">
        <f t="shared" si="57"/>
        <v>1</v>
      </c>
    </row>
    <row r="107" s="21" customFormat="1" ht="32.4" outlineLevel="1" spans="1:23">
      <c r="A107" s="65">
        <v>97</v>
      </c>
      <c r="B107" s="65" t="s">
        <v>480</v>
      </c>
      <c r="C107" s="65" t="s">
        <v>481</v>
      </c>
      <c r="D107" s="65" t="s">
        <v>76</v>
      </c>
      <c r="E107" s="65">
        <v>18.82</v>
      </c>
      <c r="F107" s="57">
        <v>18.82</v>
      </c>
      <c r="G107" s="66">
        <v>185</v>
      </c>
      <c r="H107" s="67">
        <f t="shared" ref="H107:H119" si="73">I107*(1+J107)</f>
        <v>231</v>
      </c>
      <c r="I107" s="75">
        <v>220</v>
      </c>
      <c r="J107" s="76">
        <v>0.05</v>
      </c>
      <c r="K107" s="77">
        <v>15</v>
      </c>
      <c r="L107" s="39">
        <f>(G107+H107+K107)*$L$5</f>
        <v>25.86</v>
      </c>
      <c r="M107" s="39">
        <f>(G107+H107+K107+L107)*$M$5</f>
        <v>13.7058</v>
      </c>
      <c r="N107" s="67">
        <f t="shared" si="52"/>
        <v>705.8487</v>
      </c>
      <c r="O107" s="67"/>
      <c r="P107" s="67">
        <f t="shared" ref="P107:P119" si="74">N107*E107</f>
        <v>13284.072534</v>
      </c>
      <c r="Q107" s="82">
        <f t="shared" ref="Q107:Q148" si="75">F107*N107</f>
        <v>13284.072534</v>
      </c>
      <c r="R107" s="65"/>
      <c r="T107" s="21">
        <f t="shared" si="54"/>
        <v>13284.072534</v>
      </c>
      <c r="U107" s="21">
        <f t="shared" si="55"/>
        <v>470.5658</v>
      </c>
      <c r="V107" s="21" t="b">
        <f t="shared" si="56"/>
        <v>0</v>
      </c>
      <c r="W107" s="21" t="b">
        <f t="shared" si="57"/>
        <v>1</v>
      </c>
    </row>
    <row r="108" s="21" customFormat="1" ht="75.6" outlineLevel="1" spans="1:23">
      <c r="A108" s="65">
        <v>98</v>
      </c>
      <c r="B108" s="65" t="s">
        <v>482</v>
      </c>
      <c r="C108" s="65" t="s">
        <v>483</v>
      </c>
      <c r="D108" s="65" t="s">
        <v>111</v>
      </c>
      <c r="E108" s="65">
        <v>51.62</v>
      </c>
      <c r="F108" s="57">
        <v>51.62</v>
      </c>
      <c r="G108" s="66">
        <v>15</v>
      </c>
      <c r="H108" s="67">
        <f t="shared" si="73"/>
        <v>78.75</v>
      </c>
      <c r="I108" s="75">
        <v>75</v>
      </c>
      <c r="J108" s="78">
        <v>0.05</v>
      </c>
      <c r="K108" s="79">
        <v>1</v>
      </c>
      <c r="L108" s="39">
        <f>(G108+H108+K108)*$L$5</f>
        <v>5.685</v>
      </c>
      <c r="M108" s="39">
        <f>(G108+H108+K108+L108)*$M$5</f>
        <v>3.01305</v>
      </c>
      <c r="N108" s="67">
        <f t="shared" si="52"/>
        <v>155.172075</v>
      </c>
      <c r="O108" s="67"/>
      <c r="P108" s="67">
        <f t="shared" si="74"/>
        <v>8009.9825115</v>
      </c>
      <c r="Q108" s="82">
        <f t="shared" si="75"/>
        <v>8009.9825115</v>
      </c>
      <c r="R108" s="94" t="s">
        <v>484</v>
      </c>
      <c r="T108" s="21">
        <f t="shared" si="54"/>
        <v>8009.9825115</v>
      </c>
      <c r="U108" s="21">
        <f t="shared" si="55"/>
        <v>103.44805</v>
      </c>
      <c r="V108" s="21" t="b">
        <f t="shared" si="56"/>
        <v>0</v>
      </c>
      <c r="W108" s="21" t="b">
        <f t="shared" si="57"/>
        <v>1</v>
      </c>
    </row>
    <row r="109" s="21" customFormat="1" ht="75.6" outlineLevel="1" spans="1:23">
      <c r="A109" s="65">
        <v>99</v>
      </c>
      <c r="B109" s="65" t="s">
        <v>482</v>
      </c>
      <c r="C109" s="65" t="s">
        <v>485</v>
      </c>
      <c r="D109" s="65" t="s">
        <v>111</v>
      </c>
      <c r="E109" s="65">
        <v>7.39</v>
      </c>
      <c r="F109" s="57">
        <v>7.39</v>
      </c>
      <c r="G109" s="83">
        <f t="shared" ref="G109:K109" si="76">G108</f>
        <v>15</v>
      </c>
      <c r="H109" s="67">
        <f t="shared" si="73"/>
        <v>71.4</v>
      </c>
      <c r="I109" s="75">
        <v>68</v>
      </c>
      <c r="J109" s="78">
        <f t="shared" si="76"/>
        <v>0.05</v>
      </c>
      <c r="K109" s="79">
        <f t="shared" si="76"/>
        <v>1</v>
      </c>
      <c r="L109" s="39">
        <f>(G109+H109+K109)*$L$5</f>
        <v>5.244</v>
      </c>
      <c r="M109" s="39">
        <f>(G109+H109+K109+L109)*$M$5</f>
        <v>2.77932</v>
      </c>
      <c r="N109" s="67">
        <f t="shared" si="52"/>
        <v>143.13498</v>
      </c>
      <c r="O109" s="67"/>
      <c r="P109" s="67">
        <f t="shared" si="74"/>
        <v>1057.7675022</v>
      </c>
      <c r="Q109" s="82">
        <f t="shared" si="75"/>
        <v>1057.7675022</v>
      </c>
      <c r="R109" s="94" t="s">
        <v>484</v>
      </c>
      <c r="T109" s="21">
        <f t="shared" si="54"/>
        <v>1057.7675022</v>
      </c>
      <c r="U109" s="21">
        <f t="shared" si="55"/>
        <v>95.42332</v>
      </c>
      <c r="V109" s="21" t="b">
        <f t="shared" si="56"/>
        <v>0</v>
      </c>
      <c r="W109" s="21" t="b">
        <f t="shared" si="57"/>
        <v>1</v>
      </c>
    </row>
    <row r="110" s="21" customFormat="1" ht="75.6" outlineLevel="1" spans="1:23">
      <c r="A110" s="65">
        <v>100</v>
      </c>
      <c r="B110" s="65" t="s">
        <v>482</v>
      </c>
      <c r="C110" s="65" t="s">
        <v>486</v>
      </c>
      <c r="D110" s="65" t="s">
        <v>111</v>
      </c>
      <c r="E110" s="65">
        <v>40.63</v>
      </c>
      <c r="F110" s="57">
        <v>40.63</v>
      </c>
      <c r="G110" s="83">
        <f t="shared" ref="G110:K110" si="77">G108</f>
        <v>15</v>
      </c>
      <c r="H110" s="67">
        <f t="shared" si="73"/>
        <v>65.1</v>
      </c>
      <c r="I110" s="75">
        <v>62</v>
      </c>
      <c r="J110" s="78">
        <f t="shared" si="77"/>
        <v>0.05</v>
      </c>
      <c r="K110" s="79">
        <f t="shared" si="77"/>
        <v>1</v>
      </c>
      <c r="L110" s="39">
        <f>(G110+H110+K110)*$L$5</f>
        <v>4.866</v>
      </c>
      <c r="M110" s="39">
        <f>(G110+H110+K110+L110)*$M$5</f>
        <v>2.57898</v>
      </c>
      <c r="N110" s="67">
        <f t="shared" si="52"/>
        <v>132.81747</v>
      </c>
      <c r="O110" s="67"/>
      <c r="P110" s="67">
        <f t="shared" si="74"/>
        <v>5396.3738061</v>
      </c>
      <c r="Q110" s="82">
        <f t="shared" si="75"/>
        <v>5396.3738061</v>
      </c>
      <c r="R110" s="94" t="s">
        <v>484</v>
      </c>
      <c r="T110" s="21">
        <f t="shared" si="54"/>
        <v>5396.3738061</v>
      </c>
      <c r="U110" s="21">
        <f t="shared" si="55"/>
        <v>88.54498</v>
      </c>
      <c r="V110" s="21" t="b">
        <f t="shared" si="56"/>
        <v>0</v>
      </c>
      <c r="W110" s="21" t="b">
        <f t="shared" si="57"/>
        <v>1</v>
      </c>
    </row>
    <row r="111" s="21" customFormat="1" ht="75.6" outlineLevel="1" spans="1:23">
      <c r="A111" s="65">
        <v>101</v>
      </c>
      <c r="B111" s="65" t="s">
        <v>482</v>
      </c>
      <c r="C111" s="65" t="s">
        <v>487</v>
      </c>
      <c r="D111" s="65" t="s">
        <v>111</v>
      </c>
      <c r="E111" s="65">
        <v>39.36</v>
      </c>
      <c r="F111" s="57">
        <v>39.36</v>
      </c>
      <c r="G111" s="83">
        <f t="shared" ref="G111:K111" si="78">G108</f>
        <v>15</v>
      </c>
      <c r="H111" s="67">
        <f t="shared" si="73"/>
        <v>57.75</v>
      </c>
      <c r="I111" s="75">
        <v>55</v>
      </c>
      <c r="J111" s="78">
        <f t="shared" si="78"/>
        <v>0.05</v>
      </c>
      <c r="K111" s="79">
        <f t="shared" si="78"/>
        <v>1</v>
      </c>
      <c r="L111" s="39">
        <f>(G111+H111+K111)*$L$5</f>
        <v>4.425</v>
      </c>
      <c r="M111" s="39">
        <f>(G111+H111+K111+L111)*$M$5</f>
        <v>2.34525</v>
      </c>
      <c r="N111" s="67">
        <f t="shared" si="52"/>
        <v>120.780375</v>
      </c>
      <c r="O111" s="67"/>
      <c r="P111" s="67">
        <f t="shared" si="74"/>
        <v>4753.91556</v>
      </c>
      <c r="Q111" s="82">
        <f t="shared" si="75"/>
        <v>4753.91556</v>
      </c>
      <c r="R111" s="94" t="s">
        <v>484</v>
      </c>
      <c r="T111" s="21">
        <f t="shared" si="54"/>
        <v>4753.91556</v>
      </c>
      <c r="U111" s="21">
        <f t="shared" si="55"/>
        <v>80.52025</v>
      </c>
      <c r="V111" s="21" t="b">
        <f t="shared" si="56"/>
        <v>0</v>
      </c>
      <c r="W111" s="21" t="b">
        <f t="shared" si="57"/>
        <v>1</v>
      </c>
    </row>
    <row r="112" s="21" customFormat="1" ht="75.6" outlineLevel="1" spans="1:23">
      <c r="A112" s="65">
        <v>102</v>
      </c>
      <c r="B112" s="65" t="s">
        <v>482</v>
      </c>
      <c r="C112" s="65" t="s">
        <v>488</v>
      </c>
      <c r="D112" s="65" t="s">
        <v>111</v>
      </c>
      <c r="E112" s="65">
        <v>12.89</v>
      </c>
      <c r="F112" s="57">
        <v>12.89</v>
      </c>
      <c r="G112" s="65">
        <v>10</v>
      </c>
      <c r="H112" s="67">
        <f t="shared" si="73"/>
        <v>47.25</v>
      </c>
      <c r="I112" s="75">
        <v>45</v>
      </c>
      <c r="J112" s="78">
        <f>J108</f>
        <v>0.05</v>
      </c>
      <c r="K112" s="79">
        <f>K108</f>
        <v>1</v>
      </c>
      <c r="L112" s="39">
        <f>(G112+H112+K112)*$L$5</f>
        <v>3.495</v>
      </c>
      <c r="M112" s="39">
        <f>(G112+H112+K112+L112)*$M$5</f>
        <v>1.85235</v>
      </c>
      <c r="N112" s="67">
        <f t="shared" si="52"/>
        <v>95.396025</v>
      </c>
      <c r="O112" s="67"/>
      <c r="P112" s="67">
        <f t="shared" si="74"/>
        <v>1229.65476225</v>
      </c>
      <c r="Q112" s="82">
        <f t="shared" si="75"/>
        <v>1229.65476225</v>
      </c>
      <c r="R112" s="94" t="s">
        <v>484</v>
      </c>
      <c r="T112" s="21">
        <f t="shared" si="54"/>
        <v>1229.65476225</v>
      </c>
      <c r="U112" s="21">
        <f t="shared" si="55"/>
        <v>63.59735</v>
      </c>
      <c r="V112" s="21" t="b">
        <f t="shared" si="56"/>
        <v>0</v>
      </c>
      <c r="W112" s="21" t="b">
        <f t="shared" si="57"/>
        <v>1</v>
      </c>
    </row>
    <row r="113" s="21" customFormat="1" ht="75.6" outlineLevel="1" spans="1:23">
      <c r="A113" s="65">
        <v>103</v>
      </c>
      <c r="B113" s="65" t="s">
        <v>482</v>
      </c>
      <c r="C113" s="65" t="s">
        <v>489</v>
      </c>
      <c r="D113" s="65" t="s">
        <v>111</v>
      </c>
      <c r="E113" s="65">
        <v>59.01</v>
      </c>
      <c r="F113" s="57">
        <v>59.01</v>
      </c>
      <c r="G113" s="65">
        <f>G112</f>
        <v>10</v>
      </c>
      <c r="H113" s="67">
        <f t="shared" si="73"/>
        <v>44.1</v>
      </c>
      <c r="I113" s="75">
        <v>42</v>
      </c>
      <c r="J113" s="78">
        <f>J108</f>
        <v>0.05</v>
      </c>
      <c r="K113" s="79">
        <f>K108</f>
        <v>1</v>
      </c>
      <c r="L113" s="39">
        <f>(G113+H113+K113)*$L$5</f>
        <v>3.306</v>
      </c>
      <c r="M113" s="39">
        <f>(G113+H113+K113+L113)*$M$5</f>
        <v>1.75218</v>
      </c>
      <c r="N113" s="67">
        <f t="shared" si="52"/>
        <v>90.23727</v>
      </c>
      <c r="O113" s="67"/>
      <c r="P113" s="67">
        <f t="shared" si="74"/>
        <v>5324.9013027</v>
      </c>
      <c r="Q113" s="82">
        <f t="shared" si="75"/>
        <v>5324.9013027</v>
      </c>
      <c r="R113" s="94" t="s">
        <v>484</v>
      </c>
      <c r="T113" s="21">
        <f t="shared" si="54"/>
        <v>5324.9013027</v>
      </c>
      <c r="U113" s="21">
        <f t="shared" si="55"/>
        <v>60.15818</v>
      </c>
      <c r="V113" s="21" t="b">
        <f t="shared" si="56"/>
        <v>0</v>
      </c>
      <c r="W113" s="21" t="b">
        <f t="shared" si="57"/>
        <v>1</v>
      </c>
    </row>
    <row r="114" s="21" customFormat="1" ht="75.6" outlineLevel="1" spans="1:23">
      <c r="A114" s="65">
        <v>104</v>
      </c>
      <c r="B114" s="65" t="s">
        <v>482</v>
      </c>
      <c r="C114" s="65" t="s">
        <v>490</v>
      </c>
      <c r="D114" s="65" t="s">
        <v>111</v>
      </c>
      <c r="E114" s="65">
        <v>53.18</v>
      </c>
      <c r="F114" s="57">
        <v>53.18</v>
      </c>
      <c r="G114" s="65">
        <f>G112</f>
        <v>10</v>
      </c>
      <c r="H114" s="67">
        <f t="shared" si="73"/>
        <v>36.75</v>
      </c>
      <c r="I114" s="75">
        <v>35</v>
      </c>
      <c r="J114" s="78">
        <f>J108</f>
        <v>0.05</v>
      </c>
      <c r="K114" s="79">
        <f>K108</f>
        <v>1</v>
      </c>
      <c r="L114" s="39">
        <f>(G114+H114+K114)*$L$5</f>
        <v>2.865</v>
      </c>
      <c r="M114" s="39">
        <f>(G114+H114+K114+L114)*$M$5</f>
        <v>1.51845</v>
      </c>
      <c r="N114" s="67">
        <f t="shared" si="52"/>
        <v>78.200175</v>
      </c>
      <c r="O114" s="67"/>
      <c r="P114" s="67">
        <f t="shared" si="74"/>
        <v>4158.6853065</v>
      </c>
      <c r="Q114" s="82">
        <f t="shared" si="75"/>
        <v>4158.6853065</v>
      </c>
      <c r="R114" s="94" t="s">
        <v>484</v>
      </c>
      <c r="T114" s="21">
        <f t="shared" si="54"/>
        <v>4158.6853065</v>
      </c>
      <c r="U114" s="21">
        <f t="shared" si="55"/>
        <v>52.13345</v>
      </c>
      <c r="V114" s="21" t="b">
        <f t="shared" si="56"/>
        <v>0</v>
      </c>
      <c r="W114" s="21" t="b">
        <f t="shared" si="57"/>
        <v>1</v>
      </c>
    </row>
    <row r="115" s="21" customFormat="1" ht="75.6" outlineLevel="1" spans="1:23">
      <c r="A115" s="65">
        <v>105</v>
      </c>
      <c r="B115" s="65" t="s">
        <v>482</v>
      </c>
      <c r="C115" s="65" t="s">
        <v>491</v>
      </c>
      <c r="D115" s="65" t="s">
        <v>111</v>
      </c>
      <c r="E115" s="65">
        <v>143.52</v>
      </c>
      <c r="F115" s="57">
        <v>143.52</v>
      </c>
      <c r="G115" s="65">
        <f>G112</f>
        <v>10</v>
      </c>
      <c r="H115" s="67">
        <f t="shared" si="73"/>
        <v>33.6</v>
      </c>
      <c r="I115" s="75">
        <v>32</v>
      </c>
      <c r="J115" s="78">
        <f>J108</f>
        <v>0.05</v>
      </c>
      <c r="K115" s="79">
        <f>K108</f>
        <v>1</v>
      </c>
      <c r="L115" s="39">
        <f>(G115+H115+K115)*$L$5</f>
        <v>2.676</v>
      </c>
      <c r="M115" s="39">
        <f>(G115+H115+K115+L115)*$M$5</f>
        <v>1.41828</v>
      </c>
      <c r="N115" s="67">
        <f t="shared" si="52"/>
        <v>73.04142</v>
      </c>
      <c r="O115" s="67"/>
      <c r="P115" s="67">
        <f t="shared" si="74"/>
        <v>10482.9045984</v>
      </c>
      <c r="Q115" s="82">
        <f t="shared" si="75"/>
        <v>10482.9045984</v>
      </c>
      <c r="R115" s="94" t="s">
        <v>484</v>
      </c>
      <c r="T115" s="21">
        <f t="shared" si="54"/>
        <v>10482.9045984</v>
      </c>
      <c r="U115" s="21">
        <f t="shared" si="55"/>
        <v>48.69428</v>
      </c>
      <c r="V115" s="21" t="b">
        <f t="shared" si="56"/>
        <v>0</v>
      </c>
      <c r="W115" s="21" t="b">
        <f t="shared" si="57"/>
        <v>1</v>
      </c>
    </row>
    <row r="116" s="21" customFormat="1" ht="75.6" outlineLevel="1" spans="1:23">
      <c r="A116" s="65">
        <v>106</v>
      </c>
      <c r="B116" s="65" t="s">
        <v>482</v>
      </c>
      <c r="C116" s="65" t="s">
        <v>492</v>
      </c>
      <c r="D116" s="65" t="s">
        <v>111</v>
      </c>
      <c r="E116" s="65">
        <v>29.16</v>
      </c>
      <c r="F116" s="57">
        <v>29.16</v>
      </c>
      <c r="G116" s="65">
        <f>G112</f>
        <v>10</v>
      </c>
      <c r="H116" s="67">
        <f t="shared" si="73"/>
        <v>26.25</v>
      </c>
      <c r="I116" s="75">
        <v>25</v>
      </c>
      <c r="J116" s="78">
        <f>J108</f>
        <v>0.05</v>
      </c>
      <c r="K116" s="79">
        <f>K108</f>
        <v>1</v>
      </c>
      <c r="L116" s="39">
        <f>(G116+H116+K116)*$L$5</f>
        <v>2.235</v>
      </c>
      <c r="M116" s="39">
        <f>(G116+H116+K116+L116)*$M$5</f>
        <v>1.18455</v>
      </c>
      <c r="N116" s="67">
        <f t="shared" si="52"/>
        <v>61.004325</v>
      </c>
      <c r="O116" s="67"/>
      <c r="P116" s="67">
        <f t="shared" si="74"/>
        <v>1778.886117</v>
      </c>
      <c r="Q116" s="82">
        <f t="shared" si="75"/>
        <v>1778.886117</v>
      </c>
      <c r="R116" s="94" t="s">
        <v>484</v>
      </c>
      <c r="T116" s="21">
        <f t="shared" si="54"/>
        <v>1778.886117</v>
      </c>
      <c r="U116" s="21">
        <f t="shared" si="55"/>
        <v>40.66955</v>
      </c>
      <c r="V116" s="21" t="b">
        <f t="shared" si="56"/>
        <v>0</v>
      </c>
      <c r="W116" s="21" t="b">
        <f t="shared" si="57"/>
        <v>1</v>
      </c>
    </row>
    <row r="117" s="21" customFormat="1" ht="75.6" outlineLevel="1" spans="1:23">
      <c r="A117" s="65">
        <v>107</v>
      </c>
      <c r="B117" s="65" t="s">
        <v>482</v>
      </c>
      <c r="C117" s="65" t="s">
        <v>493</v>
      </c>
      <c r="D117" s="65" t="s">
        <v>111</v>
      </c>
      <c r="E117" s="65">
        <v>107.87</v>
      </c>
      <c r="F117" s="57">
        <v>107.87</v>
      </c>
      <c r="G117" s="65">
        <f>G114</f>
        <v>10</v>
      </c>
      <c r="H117" s="67">
        <f t="shared" si="73"/>
        <v>21</v>
      </c>
      <c r="I117" s="75">
        <v>20</v>
      </c>
      <c r="J117" s="78">
        <f>J108</f>
        <v>0.05</v>
      </c>
      <c r="K117" s="79">
        <f>K108</f>
        <v>1</v>
      </c>
      <c r="L117" s="39">
        <f>(G117+H117+K117)*$L$5</f>
        <v>1.92</v>
      </c>
      <c r="M117" s="39">
        <f>(G117+H117+K117+L117)*$M$5</f>
        <v>1.0176</v>
      </c>
      <c r="N117" s="67">
        <f t="shared" si="52"/>
        <v>52.4064</v>
      </c>
      <c r="O117" s="67"/>
      <c r="P117" s="67">
        <f t="shared" si="74"/>
        <v>5653.078368</v>
      </c>
      <c r="Q117" s="82">
        <f t="shared" si="75"/>
        <v>5653.078368</v>
      </c>
      <c r="R117" s="94" t="s">
        <v>484</v>
      </c>
      <c r="T117" s="21">
        <f t="shared" si="54"/>
        <v>5653.078368</v>
      </c>
      <c r="U117" s="21">
        <f t="shared" si="55"/>
        <v>34.9376</v>
      </c>
      <c r="V117" s="21" t="b">
        <f t="shared" si="56"/>
        <v>0</v>
      </c>
      <c r="W117" s="21" t="b">
        <f t="shared" si="57"/>
        <v>1</v>
      </c>
    </row>
    <row r="118" s="21" customFormat="1" ht="86.4" outlineLevel="1" spans="1:23">
      <c r="A118" s="84">
        <v>108</v>
      </c>
      <c r="B118" s="84" t="s">
        <v>447</v>
      </c>
      <c r="C118" s="84" t="s">
        <v>494</v>
      </c>
      <c r="D118" s="84" t="s">
        <v>111</v>
      </c>
      <c r="E118" s="84">
        <v>102.51</v>
      </c>
      <c r="F118" s="85">
        <v>102.51</v>
      </c>
      <c r="G118" s="84">
        <f>G87</f>
        <v>15</v>
      </c>
      <c r="H118" s="84">
        <f t="shared" si="73"/>
        <v>33.6</v>
      </c>
      <c r="I118" s="86">
        <f>I81</f>
        <v>32</v>
      </c>
      <c r="J118" s="93">
        <f>J87</f>
        <v>0.05</v>
      </c>
      <c r="K118" s="91">
        <v>12</v>
      </c>
      <c r="L118" s="92">
        <f>(G118+H118+K118)*$L$5</f>
        <v>3.636</v>
      </c>
      <c r="M118" s="92">
        <f>(G118+H118+K118+L118)*$M$5</f>
        <v>1.92708</v>
      </c>
      <c r="N118" s="67">
        <f t="shared" si="52"/>
        <v>99.24462</v>
      </c>
      <c r="O118" s="67"/>
      <c r="P118" s="84">
        <f t="shared" si="74"/>
        <v>10173.5659962</v>
      </c>
      <c r="Q118" s="82">
        <f t="shared" si="75"/>
        <v>10173.5659962</v>
      </c>
      <c r="R118" s="84"/>
      <c r="T118" s="21">
        <f t="shared" si="54"/>
        <v>10173.5659962</v>
      </c>
      <c r="U118" s="21">
        <f t="shared" si="55"/>
        <v>66.16308</v>
      </c>
      <c r="V118" s="21" t="b">
        <f t="shared" si="56"/>
        <v>0</v>
      </c>
      <c r="W118" s="21" t="b">
        <f t="shared" si="57"/>
        <v>1</v>
      </c>
    </row>
    <row r="119" s="21" customFormat="1" ht="86.4" outlineLevel="1" spans="1:23">
      <c r="A119" s="84">
        <v>109</v>
      </c>
      <c r="B119" s="84" t="s">
        <v>447</v>
      </c>
      <c r="C119" s="84" t="s">
        <v>495</v>
      </c>
      <c r="D119" s="84" t="s">
        <v>111</v>
      </c>
      <c r="E119" s="84">
        <v>101.05</v>
      </c>
      <c r="F119" s="85">
        <v>101.05</v>
      </c>
      <c r="G119" s="84">
        <f>G118</f>
        <v>15</v>
      </c>
      <c r="H119" s="84">
        <f t="shared" si="73"/>
        <v>18.9</v>
      </c>
      <c r="I119" s="86">
        <v>18</v>
      </c>
      <c r="J119" s="93">
        <f>J118</f>
        <v>0.05</v>
      </c>
      <c r="K119" s="91">
        <v>8</v>
      </c>
      <c r="L119" s="92">
        <f>(G119+H119+K119)*$L$5</f>
        <v>2.514</v>
      </c>
      <c r="M119" s="92">
        <f>(G119+H119+K119+L119)*$M$5</f>
        <v>1.33242</v>
      </c>
      <c r="N119" s="67">
        <f t="shared" si="52"/>
        <v>68.61963</v>
      </c>
      <c r="O119" s="67"/>
      <c r="P119" s="84">
        <f t="shared" si="74"/>
        <v>6934.0136115</v>
      </c>
      <c r="Q119" s="82">
        <f t="shared" si="75"/>
        <v>6934.0136115</v>
      </c>
      <c r="R119" s="84"/>
      <c r="T119" s="21">
        <f t="shared" si="54"/>
        <v>6934.0136115</v>
      </c>
      <c r="U119" s="21">
        <f t="shared" si="55"/>
        <v>45.74642</v>
      </c>
      <c r="V119" s="21" t="b">
        <f t="shared" si="56"/>
        <v>0</v>
      </c>
      <c r="W119" s="21" t="b">
        <f t="shared" si="57"/>
        <v>1</v>
      </c>
    </row>
    <row r="120" s="21" customFormat="1" ht="54" outlineLevel="1" spans="1:23">
      <c r="A120" s="65">
        <v>110</v>
      </c>
      <c r="B120" s="65" t="s">
        <v>496</v>
      </c>
      <c r="C120" s="65" t="s">
        <v>497</v>
      </c>
      <c r="D120" s="65" t="s">
        <v>105</v>
      </c>
      <c r="E120" s="65">
        <v>2</v>
      </c>
      <c r="F120" s="57">
        <v>2</v>
      </c>
      <c r="G120" s="66">
        <v>35</v>
      </c>
      <c r="H120" s="67">
        <f t="shared" ref="H120:H144" si="79">I120*(1+J120)</f>
        <v>237.35</v>
      </c>
      <c r="I120" s="75">
        <v>235</v>
      </c>
      <c r="J120" s="76">
        <v>0.01</v>
      </c>
      <c r="K120" s="77">
        <v>10</v>
      </c>
      <c r="L120" s="39">
        <f>(G120+H120+K120)*$L$5</f>
        <v>16.941</v>
      </c>
      <c r="M120" s="39">
        <f>(G120+H120+K120+L120)*$M$5</f>
        <v>8.97873</v>
      </c>
      <c r="N120" s="67">
        <f t="shared" si="52"/>
        <v>462.404595</v>
      </c>
      <c r="O120" s="67"/>
      <c r="P120" s="67">
        <f t="shared" ref="P120:P144" si="80">N120*E120</f>
        <v>924.80919</v>
      </c>
      <c r="Q120" s="82">
        <f t="shared" si="75"/>
        <v>924.80919</v>
      </c>
      <c r="R120" s="65"/>
      <c r="T120" s="21">
        <f t="shared" si="54"/>
        <v>924.80919</v>
      </c>
      <c r="U120" s="21">
        <f t="shared" si="55"/>
        <v>308.26973</v>
      </c>
      <c r="V120" s="21" t="b">
        <f t="shared" si="56"/>
        <v>0</v>
      </c>
      <c r="W120" s="21" t="b">
        <f t="shared" si="57"/>
        <v>1</v>
      </c>
    </row>
    <row r="121" s="21" customFormat="1" ht="54" outlineLevel="1" spans="1:23">
      <c r="A121" s="65">
        <v>111</v>
      </c>
      <c r="B121" s="65" t="s">
        <v>496</v>
      </c>
      <c r="C121" s="65" t="s">
        <v>498</v>
      </c>
      <c r="D121" s="65" t="s">
        <v>105</v>
      </c>
      <c r="E121" s="65">
        <v>1</v>
      </c>
      <c r="F121" s="57">
        <v>1</v>
      </c>
      <c r="G121" s="65">
        <f t="shared" ref="G121:K121" si="81">G120</f>
        <v>35</v>
      </c>
      <c r="H121" s="67">
        <f t="shared" si="79"/>
        <v>237.35</v>
      </c>
      <c r="I121" s="80">
        <f t="shared" si="81"/>
        <v>235</v>
      </c>
      <c r="J121" s="78">
        <f t="shared" si="81"/>
        <v>0.01</v>
      </c>
      <c r="K121" s="79">
        <f t="shared" si="81"/>
        <v>10</v>
      </c>
      <c r="L121" s="39">
        <f>(G121+H121+K121)*$L$5</f>
        <v>16.941</v>
      </c>
      <c r="M121" s="39">
        <f>(G121+H121+K121+L121)*$M$5</f>
        <v>8.97873</v>
      </c>
      <c r="N121" s="67">
        <f t="shared" si="52"/>
        <v>462.404595</v>
      </c>
      <c r="O121" s="67"/>
      <c r="P121" s="67">
        <f t="shared" si="80"/>
        <v>462.404595</v>
      </c>
      <c r="Q121" s="82">
        <f t="shared" si="75"/>
        <v>462.404595</v>
      </c>
      <c r="R121" s="65"/>
      <c r="T121" s="21">
        <f t="shared" si="54"/>
        <v>462.404595</v>
      </c>
      <c r="U121" s="21">
        <f t="shared" si="55"/>
        <v>308.26973</v>
      </c>
      <c r="V121" s="21" t="b">
        <f t="shared" si="56"/>
        <v>0</v>
      </c>
      <c r="W121" s="21" t="b">
        <f t="shared" si="57"/>
        <v>1</v>
      </c>
    </row>
    <row r="122" s="21" customFormat="1" ht="54" outlineLevel="1" spans="1:23">
      <c r="A122" s="65">
        <v>112</v>
      </c>
      <c r="B122" s="65" t="s">
        <v>496</v>
      </c>
      <c r="C122" s="65" t="s">
        <v>499</v>
      </c>
      <c r="D122" s="65" t="s">
        <v>105</v>
      </c>
      <c r="E122" s="65">
        <v>1</v>
      </c>
      <c r="F122" s="57">
        <v>1</v>
      </c>
      <c r="G122" s="65">
        <f t="shared" ref="G122:K122" si="82">G120</f>
        <v>35</v>
      </c>
      <c r="H122" s="67">
        <f t="shared" si="79"/>
        <v>237.35</v>
      </c>
      <c r="I122" s="80">
        <f t="shared" si="82"/>
        <v>235</v>
      </c>
      <c r="J122" s="78">
        <f t="shared" si="82"/>
        <v>0.01</v>
      </c>
      <c r="K122" s="79">
        <f t="shared" si="82"/>
        <v>10</v>
      </c>
      <c r="L122" s="39">
        <f>(G122+H122+K122)*$L$5</f>
        <v>16.941</v>
      </c>
      <c r="M122" s="39">
        <f>(G122+H122+K122+L122)*$M$5</f>
        <v>8.97873</v>
      </c>
      <c r="N122" s="67">
        <f t="shared" si="52"/>
        <v>462.404595</v>
      </c>
      <c r="O122" s="67"/>
      <c r="P122" s="67">
        <f t="shared" si="80"/>
        <v>462.404595</v>
      </c>
      <c r="Q122" s="82">
        <f t="shared" si="75"/>
        <v>462.404595</v>
      </c>
      <c r="R122" s="65"/>
      <c r="T122" s="21">
        <f t="shared" si="54"/>
        <v>462.404595</v>
      </c>
      <c r="U122" s="21">
        <f t="shared" si="55"/>
        <v>308.26973</v>
      </c>
      <c r="V122" s="21" t="b">
        <f t="shared" si="56"/>
        <v>0</v>
      </c>
      <c r="W122" s="21" t="b">
        <f t="shared" si="57"/>
        <v>1</v>
      </c>
    </row>
    <row r="123" s="21" customFormat="1" ht="64.8" outlineLevel="1" spans="1:23">
      <c r="A123" s="65">
        <v>113</v>
      </c>
      <c r="B123" s="65" t="s">
        <v>496</v>
      </c>
      <c r="C123" s="65" t="s">
        <v>500</v>
      </c>
      <c r="D123" s="65" t="s">
        <v>105</v>
      </c>
      <c r="E123" s="65">
        <v>1</v>
      </c>
      <c r="F123" s="57">
        <v>1</v>
      </c>
      <c r="G123" s="65">
        <f t="shared" ref="G123:K123" si="83">G120</f>
        <v>35</v>
      </c>
      <c r="H123" s="67">
        <f t="shared" si="79"/>
        <v>166.65</v>
      </c>
      <c r="I123" s="75">
        <v>165</v>
      </c>
      <c r="J123" s="78">
        <f t="shared" si="83"/>
        <v>0.01</v>
      </c>
      <c r="K123" s="79">
        <f t="shared" si="83"/>
        <v>10</v>
      </c>
      <c r="L123" s="39">
        <f>(G123+H123+K123)*$L$5</f>
        <v>12.699</v>
      </c>
      <c r="M123" s="39">
        <f>(G123+H123+K123+L123)*$M$5</f>
        <v>6.73047</v>
      </c>
      <c r="N123" s="67">
        <f t="shared" ref="N123:N187" si="84">(G123+H123+K123+L123+M123)*1.5</f>
        <v>346.619205</v>
      </c>
      <c r="O123" s="67"/>
      <c r="P123" s="67">
        <f t="shared" si="80"/>
        <v>346.619205</v>
      </c>
      <c r="Q123" s="82">
        <f t="shared" si="75"/>
        <v>346.619205</v>
      </c>
      <c r="R123" s="65"/>
      <c r="T123" s="21">
        <f t="shared" ref="T123:T186" si="85">E123*N123</f>
        <v>346.619205</v>
      </c>
      <c r="U123" s="21">
        <f t="shared" ref="U123:U186" si="86">G123+H123+K123+L123+M123</f>
        <v>231.07947</v>
      </c>
      <c r="V123" s="21" t="b">
        <f t="shared" ref="V123:V186" si="87">N123=U123</f>
        <v>0</v>
      </c>
      <c r="W123" s="21" t="b">
        <f t="shared" ref="W123:W186" si="88">T123=P123</f>
        <v>1</v>
      </c>
    </row>
    <row r="124" s="21" customFormat="1" ht="64.8" outlineLevel="1" spans="1:23">
      <c r="A124" s="65">
        <v>114</v>
      </c>
      <c r="B124" s="65" t="s">
        <v>496</v>
      </c>
      <c r="C124" s="65" t="s">
        <v>501</v>
      </c>
      <c r="D124" s="65" t="s">
        <v>105</v>
      </c>
      <c r="E124" s="65">
        <v>4</v>
      </c>
      <c r="F124" s="57">
        <v>4</v>
      </c>
      <c r="G124" s="65">
        <f>G120</f>
        <v>35</v>
      </c>
      <c r="H124" s="67">
        <f t="shared" si="79"/>
        <v>166.65</v>
      </c>
      <c r="I124" s="80">
        <f t="shared" ref="I124:K124" si="89">I123</f>
        <v>165</v>
      </c>
      <c r="J124" s="78">
        <f t="shared" si="89"/>
        <v>0.01</v>
      </c>
      <c r="K124" s="79">
        <f t="shared" si="89"/>
        <v>10</v>
      </c>
      <c r="L124" s="39">
        <f>(G124+H124+K124)*$L$5</f>
        <v>12.699</v>
      </c>
      <c r="M124" s="39">
        <f>(G124+H124+K124+L124)*$M$5</f>
        <v>6.73047</v>
      </c>
      <c r="N124" s="67">
        <f t="shared" si="84"/>
        <v>346.619205</v>
      </c>
      <c r="O124" s="67"/>
      <c r="P124" s="67">
        <f t="shared" si="80"/>
        <v>1386.47682</v>
      </c>
      <c r="Q124" s="82">
        <f t="shared" si="75"/>
        <v>1386.47682</v>
      </c>
      <c r="R124" s="65"/>
      <c r="T124" s="21">
        <f t="shared" si="85"/>
        <v>1386.47682</v>
      </c>
      <c r="U124" s="21">
        <f t="shared" si="86"/>
        <v>231.07947</v>
      </c>
      <c r="V124" s="21" t="b">
        <f t="shared" si="87"/>
        <v>0</v>
      </c>
      <c r="W124" s="21" t="b">
        <f t="shared" si="88"/>
        <v>1</v>
      </c>
    </row>
    <row r="125" s="21" customFormat="1" ht="64.8" outlineLevel="1" spans="1:23">
      <c r="A125" s="65">
        <v>115</v>
      </c>
      <c r="B125" s="65" t="s">
        <v>496</v>
      </c>
      <c r="C125" s="65" t="s">
        <v>502</v>
      </c>
      <c r="D125" s="65" t="s">
        <v>105</v>
      </c>
      <c r="E125" s="65">
        <v>2</v>
      </c>
      <c r="F125" s="57">
        <v>2</v>
      </c>
      <c r="G125" s="65">
        <f>G120</f>
        <v>35</v>
      </c>
      <c r="H125" s="67">
        <f t="shared" si="79"/>
        <v>166.65</v>
      </c>
      <c r="I125" s="80">
        <f t="shared" ref="I125:K125" si="90">I123</f>
        <v>165</v>
      </c>
      <c r="J125" s="78">
        <f t="shared" si="90"/>
        <v>0.01</v>
      </c>
      <c r="K125" s="79">
        <f t="shared" si="90"/>
        <v>10</v>
      </c>
      <c r="L125" s="39">
        <f>(G125+H125+K125)*$L$5</f>
        <v>12.699</v>
      </c>
      <c r="M125" s="39">
        <f>(G125+H125+K125+L125)*$M$5</f>
        <v>6.73047</v>
      </c>
      <c r="N125" s="67">
        <f t="shared" si="84"/>
        <v>346.619205</v>
      </c>
      <c r="O125" s="67"/>
      <c r="P125" s="67">
        <f t="shared" si="80"/>
        <v>693.23841</v>
      </c>
      <c r="Q125" s="82">
        <f t="shared" si="75"/>
        <v>693.23841</v>
      </c>
      <c r="R125" s="65"/>
      <c r="T125" s="21">
        <f t="shared" si="85"/>
        <v>693.23841</v>
      </c>
      <c r="U125" s="21">
        <f t="shared" si="86"/>
        <v>231.07947</v>
      </c>
      <c r="V125" s="21" t="b">
        <f t="shared" si="87"/>
        <v>0</v>
      </c>
      <c r="W125" s="21" t="b">
        <f t="shared" si="88"/>
        <v>1</v>
      </c>
    </row>
    <row r="126" s="21" customFormat="1" ht="54" outlineLevel="1" spans="1:23">
      <c r="A126" s="65">
        <v>116</v>
      </c>
      <c r="B126" s="65" t="s">
        <v>496</v>
      </c>
      <c r="C126" s="65" t="s">
        <v>503</v>
      </c>
      <c r="D126" s="65" t="s">
        <v>105</v>
      </c>
      <c r="E126" s="65">
        <v>4</v>
      </c>
      <c r="F126" s="57">
        <v>4</v>
      </c>
      <c r="G126" s="65">
        <f>G120</f>
        <v>35</v>
      </c>
      <c r="H126" s="67">
        <f t="shared" si="79"/>
        <v>151.5</v>
      </c>
      <c r="I126" s="75">
        <v>150</v>
      </c>
      <c r="J126" s="78">
        <f>J123</f>
        <v>0.01</v>
      </c>
      <c r="K126" s="79">
        <f>K123</f>
        <v>10</v>
      </c>
      <c r="L126" s="39">
        <f>(G126+H126+K126)*$L$5</f>
        <v>11.79</v>
      </c>
      <c r="M126" s="39">
        <f>(G126+H126+K126+L126)*$M$5</f>
        <v>6.2487</v>
      </c>
      <c r="N126" s="67">
        <f t="shared" si="84"/>
        <v>321.80805</v>
      </c>
      <c r="O126" s="67"/>
      <c r="P126" s="67">
        <f t="shared" si="80"/>
        <v>1287.2322</v>
      </c>
      <c r="Q126" s="82">
        <f t="shared" si="75"/>
        <v>1287.2322</v>
      </c>
      <c r="R126" s="65"/>
      <c r="T126" s="21">
        <f t="shared" si="85"/>
        <v>1287.2322</v>
      </c>
      <c r="U126" s="21">
        <f t="shared" si="86"/>
        <v>214.5387</v>
      </c>
      <c r="V126" s="21" t="b">
        <f t="shared" si="87"/>
        <v>0</v>
      </c>
      <c r="W126" s="21" t="b">
        <f t="shared" si="88"/>
        <v>1</v>
      </c>
    </row>
    <row r="127" s="21" customFormat="1" ht="54" outlineLevel="1" spans="1:23">
      <c r="A127" s="65">
        <v>117</v>
      </c>
      <c r="B127" s="65" t="s">
        <v>496</v>
      </c>
      <c r="C127" s="65" t="s">
        <v>504</v>
      </c>
      <c r="D127" s="65" t="s">
        <v>105</v>
      </c>
      <c r="E127" s="65">
        <v>3</v>
      </c>
      <c r="F127" s="57">
        <v>3</v>
      </c>
      <c r="G127" s="65">
        <f t="shared" ref="G127:K127" si="91">G120</f>
        <v>35</v>
      </c>
      <c r="H127" s="67">
        <f t="shared" si="79"/>
        <v>151.5</v>
      </c>
      <c r="I127" s="80">
        <f>I126</f>
        <v>150</v>
      </c>
      <c r="J127" s="74">
        <f t="shared" si="91"/>
        <v>0.01</v>
      </c>
      <c r="K127" s="58">
        <f t="shared" si="91"/>
        <v>10</v>
      </c>
      <c r="L127" s="39">
        <f>(G127+H127+K127)*$L$5</f>
        <v>11.79</v>
      </c>
      <c r="M127" s="39">
        <f>(G127+H127+K127+L127)*$M$5</f>
        <v>6.2487</v>
      </c>
      <c r="N127" s="67">
        <f t="shared" si="84"/>
        <v>321.80805</v>
      </c>
      <c r="O127" s="67"/>
      <c r="P127" s="67">
        <f t="shared" si="80"/>
        <v>965.42415</v>
      </c>
      <c r="Q127" s="82">
        <f t="shared" si="75"/>
        <v>965.42415</v>
      </c>
      <c r="R127" s="65"/>
      <c r="T127" s="21">
        <f t="shared" si="85"/>
        <v>965.42415</v>
      </c>
      <c r="U127" s="21">
        <f t="shared" si="86"/>
        <v>214.5387</v>
      </c>
      <c r="V127" s="21" t="b">
        <f t="shared" si="87"/>
        <v>0</v>
      </c>
      <c r="W127" s="21" t="b">
        <f t="shared" si="88"/>
        <v>1</v>
      </c>
    </row>
    <row r="128" s="21" customFormat="1" ht="64.8" outlineLevel="1" spans="1:23">
      <c r="A128" s="65">
        <v>118</v>
      </c>
      <c r="B128" s="65" t="s">
        <v>496</v>
      </c>
      <c r="C128" s="65" t="s">
        <v>505</v>
      </c>
      <c r="D128" s="65" t="s">
        <v>105</v>
      </c>
      <c r="E128" s="65">
        <v>1</v>
      </c>
      <c r="F128" s="57">
        <v>1</v>
      </c>
      <c r="G128" s="65">
        <f t="shared" ref="G128:K128" si="92">G120</f>
        <v>35</v>
      </c>
      <c r="H128" s="67">
        <f t="shared" si="79"/>
        <v>151.5</v>
      </c>
      <c r="I128" s="80">
        <f>I126</f>
        <v>150</v>
      </c>
      <c r="J128" s="74">
        <f t="shared" si="92"/>
        <v>0.01</v>
      </c>
      <c r="K128" s="58">
        <f t="shared" si="92"/>
        <v>10</v>
      </c>
      <c r="L128" s="39">
        <f>(G128+H128+K128)*$L$5</f>
        <v>11.79</v>
      </c>
      <c r="M128" s="39">
        <f>(G128+H128+K128+L128)*$M$5</f>
        <v>6.2487</v>
      </c>
      <c r="N128" s="67">
        <f t="shared" si="84"/>
        <v>321.80805</v>
      </c>
      <c r="O128" s="67"/>
      <c r="P128" s="67">
        <f t="shared" si="80"/>
        <v>321.80805</v>
      </c>
      <c r="Q128" s="82">
        <f t="shared" si="75"/>
        <v>321.80805</v>
      </c>
      <c r="R128" s="65"/>
      <c r="T128" s="21">
        <f t="shared" si="85"/>
        <v>321.80805</v>
      </c>
      <c r="U128" s="21">
        <f t="shared" si="86"/>
        <v>214.5387</v>
      </c>
      <c r="V128" s="21" t="b">
        <f t="shared" si="87"/>
        <v>0</v>
      </c>
      <c r="W128" s="21" t="b">
        <f t="shared" si="88"/>
        <v>1</v>
      </c>
    </row>
    <row r="129" s="21" customFormat="1" ht="64.8" outlineLevel="1" spans="1:23">
      <c r="A129" s="65">
        <v>119</v>
      </c>
      <c r="B129" s="65" t="s">
        <v>496</v>
      </c>
      <c r="C129" s="65" t="s">
        <v>506</v>
      </c>
      <c r="D129" s="65" t="s">
        <v>105</v>
      </c>
      <c r="E129" s="65">
        <v>2</v>
      </c>
      <c r="F129" s="57">
        <v>2</v>
      </c>
      <c r="G129" s="65">
        <f t="shared" ref="G129:K129" si="93">G120</f>
        <v>35</v>
      </c>
      <c r="H129" s="67">
        <f t="shared" si="79"/>
        <v>151.5</v>
      </c>
      <c r="I129" s="80">
        <f>I126</f>
        <v>150</v>
      </c>
      <c r="J129" s="74">
        <f t="shared" si="93"/>
        <v>0.01</v>
      </c>
      <c r="K129" s="58">
        <f t="shared" si="93"/>
        <v>10</v>
      </c>
      <c r="L129" s="39">
        <f>(G129+H129+K129)*$L$5</f>
        <v>11.79</v>
      </c>
      <c r="M129" s="39">
        <f>(G129+H129+K129+L129)*$M$5</f>
        <v>6.2487</v>
      </c>
      <c r="N129" s="67">
        <f t="shared" si="84"/>
        <v>321.80805</v>
      </c>
      <c r="O129" s="67"/>
      <c r="P129" s="67">
        <f t="shared" si="80"/>
        <v>643.6161</v>
      </c>
      <c r="Q129" s="82">
        <f t="shared" si="75"/>
        <v>643.6161</v>
      </c>
      <c r="R129" s="65"/>
      <c r="T129" s="21">
        <f t="shared" si="85"/>
        <v>643.6161</v>
      </c>
      <c r="U129" s="21">
        <f t="shared" si="86"/>
        <v>214.5387</v>
      </c>
      <c r="V129" s="21" t="b">
        <f t="shared" si="87"/>
        <v>0</v>
      </c>
      <c r="W129" s="21" t="b">
        <f t="shared" si="88"/>
        <v>1</v>
      </c>
    </row>
    <row r="130" s="21" customFormat="1" ht="54" outlineLevel="1" spans="1:23">
      <c r="A130" s="65">
        <v>120</v>
      </c>
      <c r="B130" s="65" t="s">
        <v>496</v>
      </c>
      <c r="C130" s="65" t="s">
        <v>507</v>
      </c>
      <c r="D130" s="65" t="s">
        <v>105</v>
      </c>
      <c r="E130" s="65">
        <v>1</v>
      </c>
      <c r="F130" s="57">
        <v>1</v>
      </c>
      <c r="G130" s="65">
        <f t="shared" ref="G130:K130" si="94">G120</f>
        <v>35</v>
      </c>
      <c r="H130" s="67">
        <f t="shared" si="79"/>
        <v>85.85</v>
      </c>
      <c r="I130" s="75">
        <v>85</v>
      </c>
      <c r="J130" s="74">
        <f t="shared" si="94"/>
        <v>0.01</v>
      </c>
      <c r="K130" s="58">
        <f t="shared" si="94"/>
        <v>10</v>
      </c>
      <c r="L130" s="39">
        <f>(G130+H130+K130)*$L$5</f>
        <v>7.851</v>
      </c>
      <c r="M130" s="39">
        <f>(G130+H130+K130+L130)*$M$5</f>
        <v>4.16103</v>
      </c>
      <c r="N130" s="67">
        <f t="shared" si="84"/>
        <v>214.293045</v>
      </c>
      <c r="O130" s="67"/>
      <c r="P130" s="67">
        <f t="shared" si="80"/>
        <v>214.293045</v>
      </c>
      <c r="Q130" s="82">
        <f t="shared" si="75"/>
        <v>214.293045</v>
      </c>
      <c r="R130" s="65"/>
      <c r="T130" s="21">
        <f t="shared" si="85"/>
        <v>214.293045</v>
      </c>
      <c r="U130" s="21">
        <f t="shared" si="86"/>
        <v>142.86203</v>
      </c>
      <c r="V130" s="21" t="b">
        <f t="shared" si="87"/>
        <v>0</v>
      </c>
      <c r="W130" s="21" t="b">
        <f t="shared" si="88"/>
        <v>1</v>
      </c>
    </row>
    <row r="131" s="21" customFormat="1" ht="54" outlineLevel="1" spans="1:23">
      <c r="A131" s="65">
        <v>121</v>
      </c>
      <c r="B131" s="65" t="s">
        <v>496</v>
      </c>
      <c r="C131" s="65" t="s">
        <v>508</v>
      </c>
      <c r="D131" s="65" t="s">
        <v>105</v>
      </c>
      <c r="E131" s="65">
        <v>2</v>
      </c>
      <c r="F131" s="57">
        <v>2</v>
      </c>
      <c r="G131" s="65">
        <f t="shared" ref="G131:K131" si="95">G120</f>
        <v>35</v>
      </c>
      <c r="H131" s="67">
        <f t="shared" si="79"/>
        <v>85.85</v>
      </c>
      <c r="I131" s="80">
        <f>I130</f>
        <v>85</v>
      </c>
      <c r="J131" s="74">
        <f t="shared" si="95"/>
        <v>0.01</v>
      </c>
      <c r="K131" s="58">
        <f t="shared" si="95"/>
        <v>10</v>
      </c>
      <c r="L131" s="39">
        <f>(G131+H131+K131)*$L$5</f>
        <v>7.851</v>
      </c>
      <c r="M131" s="39">
        <f>(G131+H131+K131+L131)*$M$5</f>
        <v>4.16103</v>
      </c>
      <c r="N131" s="67">
        <f t="shared" si="84"/>
        <v>214.293045</v>
      </c>
      <c r="O131" s="67"/>
      <c r="P131" s="67">
        <f t="shared" si="80"/>
        <v>428.58609</v>
      </c>
      <c r="Q131" s="82">
        <f t="shared" si="75"/>
        <v>428.58609</v>
      </c>
      <c r="R131" s="65"/>
      <c r="T131" s="21">
        <f t="shared" si="85"/>
        <v>428.58609</v>
      </c>
      <c r="U131" s="21">
        <f t="shared" si="86"/>
        <v>142.86203</v>
      </c>
      <c r="V131" s="21" t="b">
        <f t="shared" si="87"/>
        <v>0</v>
      </c>
      <c r="W131" s="21" t="b">
        <f t="shared" si="88"/>
        <v>1</v>
      </c>
    </row>
    <row r="132" s="21" customFormat="1" ht="54" outlineLevel="1" spans="1:23">
      <c r="A132" s="65">
        <v>122</v>
      </c>
      <c r="B132" s="65" t="s">
        <v>496</v>
      </c>
      <c r="C132" s="65" t="s">
        <v>509</v>
      </c>
      <c r="D132" s="65" t="s">
        <v>105</v>
      </c>
      <c r="E132" s="65">
        <v>1</v>
      </c>
      <c r="F132" s="57">
        <v>1</v>
      </c>
      <c r="G132" s="65">
        <f t="shared" ref="G132:K132" si="96">G120</f>
        <v>35</v>
      </c>
      <c r="H132" s="67">
        <f t="shared" si="79"/>
        <v>85.85</v>
      </c>
      <c r="I132" s="80">
        <f>I130</f>
        <v>85</v>
      </c>
      <c r="J132" s="74">
        <f t="shared" si="96"/>
        <v>0.01</v>
      </c>
      <c r="K132" s="58">
        <f t="shared" si="96"/>
        <v>10</v>
      </c>
      <c r="L132" s="39">
        <f>(G132+H132+K132)*$L$5</f>
        <v>7.851</v>
      </c>
      <c r="M132" s="39">
        <f>(G132+H132+K132+L132)*$M$5</f>
        <v>4.16103</v>
      </c>
      <c r="N132" s="67">
        <f t="shared" si="84"/>
        <v>214.293045</v>
      </c>
      <c r="O132" s="67"/>
      <c r="P132" s="67">
        <f t="shared" si="80"/>
        <v>214.293045</v>
      </c>
      <c r="Q132" s="82">
        <f t="shared" si="75"/>
        <v>214.293045</v>
      </c>
      <c r="R132" s="65"/>
      <c r="T132" s="21">
        <f t="shared" si="85"/>
        <v>214.293045</v>
      </c>
      <c r="U132" s="21">
        <f t="shared" si="86"/>
        <v>142.86203</v>
      </c>
      <c r="V132" s="21" t="b">
        <f t="shared" si="87"/>
        <v>0</v>
      </c>
      <c r="W132" s="21" t="b">
        <f t="shared" si="88"/>
        <v>1</v>
      </c>
    </row>
    <row r="133" s="21" customFormat="1" ht="54" outlineLevel="1" spans="1:23">
      <c r="A133" s="65">
        <v>123</v>
      </c>
      <c r="B133" s="65" t="s">
        <v>496</v>
      </c>
      <c r="C133" s="65" t="s">
        <v>510</v>
      </c>
      <c r="D133" s="65" t="s">
        <v>105</v>
      </c>
      <c r="E133" s="65">
        <v>1</v>
      </c>
      <c r="F133" s="57">
        <v>1</v>
      </c>
      <c r="G133" s="65">
        <f t="shared" ref="G133:K133" si="97">G120</f>
        <v>35</v>
      </c>
      <c r="H133" s="67">
        <f t="shared" si="79"/>
        <v>85.85</v>
      </c>
      <c r="I133" s="80">
        <f>I130</f>
        <v>85</v>
      </c>
      <c r="J133" s="74">
        <f t="shared" si="97"/>
        <v>0.01</v>
      </c>
      <c r="K133" s="58">
        <f t="shared" si="97"/>
        <v>10</v>
      </c>
      <c r="L133" s="39">
        <f>(G133+H133+K133)*$L$5</f>
        <v>7.851</v>
      </c>
      <c r="M133" s="39">
        <f>(G133+H133+K133+L133)*$M$5</f>
        <v>4.16103</v>
      </c>
      <c r="N133" s="67">
        <f t="shared" si="84"/>
        <v>214.293045</v>
      </c>
      <c r="O133" s="67"/>
      <c r="P133" s="67">
        <f t="shared" si="80"/>
        <v>214.293045</v>
      </c>
      <c r="Q133" s="82">
        <f t="shared" si="75"/>
        <v>214.293045</v>
      </c>
      <c r="R133" s="65"/>
      <c r="T133" s="21">
        <f t="shared" si="85"/>
        <v>214.293045</v>
      </c>
      <c r="U133" s="21">
        <f t="shared" si="86"/>
        <v>142.86203</v>
      </c>
      <c r="V133" s="21" t="b">
        <f t="shared" si="87"/>
        <v>0</v>
      </c>
      <c r="W133" s="21" t="b">
        <f t="shared" si="88"/>
        <v>1</v>
      </c>
    </row>
    <row r="134" s="21" customFormat="1" ht="64.8" outlineLevel="1" spans="1:23">
      <c r="A134" s="65">
        <v>124</v>
      </c>
      <c r="B134" s="65" t="s">
        <v>496</v>
      </c>
      <c r="C134" s="65" t="s">
        <v>511</v>
      </c>
      <c r="D134" s="65" t="s">
        <v>105</v>
      </c>
      <c r="E134" s="65">
        <v>4</v>
      </c>
      <c r="F134" s="57">
        <v>4</v>
      </c>
      <c r="G134" s="65">
        <f t="shared" ref="G134:K134" si="98">G120</f>
        <v>35</v>
      </c>
      <c r="H134" s="67">
        <f t="shared" si="79"/>
        <v>85.85</v>
      </c>
      <c r="I134" s="80">
        <f>I130</f>
        <v>85</v>
      </c>
      <c r="J134" s="74">
        <f t="shared" si="98"/>
        <v>0.01</v>
      </c>
      <c r="K134" s="58">
        <f t="shared" si="98"/>
        <v>10</v>
      </c>
      <c r="L134" s="39">
        <f>(G134+H134+K134)*$L$5</f>
        <v>7.851</v>
      </c>
      <c r="M134" s="39">
        <f>(G134+H134+K134+L134)*$M$5</f>
        <v>4.16103</v>
      </c>
      <c r="N134" s="67">
        <f t="shared" si="84"/>
        <v>214.293045</v>
      </c>
      <c r="O134" s="67"/>
      <c r="P134" s="67">
        <f t="shared" si="80"/>
        <v>857.17218</v>
      </c>
      <c r="Q134" s="82">
        <f t="shared" si="75"/>
        <v>857.17218</v>
      </c>
      <c r="R134" s="65"/>
      <c r="T134" s="21">
        <f t="shared" si="85"/>
        <v>857.17218</v>
      </c>
      <c r="U134" s="21">
        <f t="shared" si="86"/>
        <v>142.86203</v>
      </c>
      <c r="V134" s="21" t="b">
        <f t="shared" si="87"/>
        <v>0</v>
      </c>
      <c r="W134" s="21" t="b">
        <f t="shared" si="88"/>
        <v>1</v>
      </c>
    </row>
    <row r="135" s="21" customFormat="1" ht="64.8" outlineLevel="1" spans="1:23">
      <c r="A135" s="65">
        <v>125</v>
      </c>
      <c r="B135" s="65" t="s">
        <v>496</v>
      </c>
      <c r="C135" s="65" t="s">
        <v>512</v>
      </c>
      <c r="D135" s="65" t="s">
        <v>105</v>
      </c>
      <c r="E135" s="65">
        <v>2</v>
      </c>
      <c r="F135" s="57">
        <v>2</v>
      </c>
      <c r="G135" s="65">
        <f t="shared" ref="G135:K135" si="99">G120</f>
        <v>35</v>
      </c>
      <c r="H135" s="67">
        <f t="shared" si="79"/>
        <v>85.85</v>
      </c>
      <c r="I135" s="80">
        <f>I130</f>
        <v>85</v>
      </c>
      <c r="J135" s="74">
        <f t="shared" si="99"/>
        <v>0.01</v>
      </c>
      <c r="K135" s="58">
        <f t="shared" si="99"/>
        <v>10</v>
      </c>
      <c r="L135" s="39">
        <f>(G135+H135+K135)*$L$5</f>
        <v>7.851</v>
      </c>
      <c r="M135" s="39">
        <f>(G135+H135+K135+L135)*$M$5</f>
        <v>4.16103</v>
      </c>
      <c r="N135" s="67">
        <f t="shared" si="84"/>
        <v>214.293045</v>
      </c>
      <c r="O135" s="67"/>
      <c r="P135" s="67">
        <f t="shared" si="80"/>
        <v>428.58609</v>
      </c>
      <c r="Q135" s="82">
        <f t="shared" si="75"/>
        <v>428.58609</v>
      </c>
      <c r="R135" s="65"/>
      <c r="T135" s="21">
        <f t="shared" si="85"/>
        <v>428.58609</v>
      </c>
      <c r="U135" s="21">
        <f t="shared" si="86"/>
        <v>142.86203</v>
      </c>
      <c r="V135" s="21" t="b">
        <f t="shared" si="87"/>
        <v>0</v>
      </c>
      <c r="W135" s="21" t="b">
        <f t="shared" si="88"/>
        <v>1</v>
      </c>
    </row>
    <row r="136" s="21" customFormat="1" ht="64.8" outlineLevel="1" spans="1:23">
      <c r="A136" s="65">
        <v>126</v>
      </c>
      <c r="B136" s="65" t="s">
        <v>496</v>
      </c>
      <c r="C136" s="65" t="s">
        <v>513</v>
      </c>
      <c r="D136" s="65" t="s">
        <v>105</v>
      </c>
      <c r="E136" s="65">
        <v>2</v>
      </c>
      <c r="F136" s="57">
        <v>2</v>
      </c>
      <c r="G136" s="65">
        <f t="shared" ref="G136:K136" si="100">G120</f>
        <v>35</v>
      </c>
      <c r="H136" s="67">
        <f t="shared" si="79"/>
        <v>85.85</v>
      </c>
      <c r="I136" s="80">
        <f t="shared" ref="I136:I140" si="101">I134</f>
        <v>85</v>
      </c>
      <c r="J136" s="74">
        <f t="shared" si="100"/>
        <v>0.01</v>
      </c>
      <c r="K136" s="58">
        <f t="shared" si="100"/>
        <v>10</v>
      </c>
      <c r="L136" s="39">
        <f>(G136+H136+K136)*$L$5</f>
        <v>7.851</v>
      </c>
      <c r="M136" s="39">
        <f>(G136+H136+K136+L136)*$M$5</f>
        <v>4.16103</v>
      </c>
      <c r="N136" s="67">
        <f t="shared" si="84"/>
        <v>214.293045</v>
      </c>
      <c r="O136" s="67"/>
      <c r="P136" s="67">
        <f t="shared" si="80"/>
        <v>428.58609</v>
      </c>
      <c r="Q136" s="82">
        <f t="shared" si="75"/>
        <v>428.58609</v>
      </c>
      <c r="R136" s="65"/>
      <c r="T136" s="21">
        <f t="shared" si="85"/>
        <v>428.58609</v>
      </c>
      <c r="U136" s="21">
        <f t="shared" si="86"/>
        <v>142.86203</v>
      </c>
      <c r="V136" s="21" t="b">
        <f t="shared" si="87"/>
        <v>0</v>
      </c>
      <c r="W136" s="21" t="b">
        <f t="shared" si="88"/>
        <v>1</v>
      </c>
    </row>
    <row r="137" s="21" customFormat="1" ht="64.8" outlineLevel="1" spans="1:23">
      <c r="A137" s="65">
        <v>127</v>
      </c>
      <c r="B137" s="65" t="s">
        <v>496</v>
      </c>
      <c r="C137" s="65" t="s">
        <v>514</v>
      </c>
      <c r="D137" s="65" t="s">
        <v>105</v>
      </c>
      <c r="E137" s="65">
        <v>1</v>
      </c>
      <c r="F137" s="57">
        <v>1</v>
      </c>
      <c r="G137" s="65">
        <f t="shared" ref="G137:K137" si="102">G120</f>
        <v>35</v>
      </c>
      <c r="H137" s="67">
        <f t="shared" si="79"/>
        <v>85.85</v>
      </c>
      <c r="I137" s="80">
        <f>I136</f>
        <v>85</v>
      </c>
      <c r="J137" s="74">
        <f t="shared" si="102"/>
        <v>0.01</v>
      </c>
      <c r="K137" s="58">
        <f t="shared" si="102"/>
        <v>10</v>
      </c>
      <c r="L137" s="39">
        <f>(G137+H137+K137)*$L$5</f>
        <v>7.851</v>
      </c>
      <c r="M137" s="39">
        <f>(G137+H137+K137+L137)*$M$5</f>
        <v>4.16103</v>
      </c>
      <c r="N137" s="67">
        <f t="shared" si="84"/>
        <v>214.293045</v>
      </c>
      <c r="O137" s="67"/>
      <c r="P137" s="67">
        <f t="shared" si="80"/>
        <v>214.293045</v>
      </c>
      <c r="Q137" s="82">
        <f t="shared" si="75"/>
        <v>214.293045</v>
      </c>
      <c r="R137" s="65"/>
      <c r="T137" s="21">
        <f t="shared" si="85"/>
        <v>214.293045</v>
      </c>
      <c r="U137" s="21">
        <f t="shared" si="86"/>
        <v>142.86203</v>
      </c>
      <c r="V137" s="21" t="b">
        <f t="shared" si="87"/>
        <v>0</v>
      </c>
      <c r="W137" s="21" t="b">
        <f t="shared" si="88"/>
        <v>1</v>
      </c>
    </row>
    <row r="138" s="21" customFormat="1" ht="64.8" outlineLevel="1" spans="1:23">
      <c r="A138" s="65">
        <v>128</v>
      </c>
      <c r="B138" s="65" t="s">
        <v>496</v>
      </c>
      <c r="C138" s="65" t="s">
        <v>515</v>
      </c>
      <c r="D138" s="65" t="s">
        <v>105</v>
      </c>
      <c r="E138" s="65">
        <v>2</v>
      </c>
      <c r="F138" s="57">
        <v>2</v>
      </c>
      <c r="G138" s="65">
        <f t="shared" ref="G138:K138" si="103">G120</f>
        <v>35</v>
      </c>
      <c r="H138" s="67">
        <f t="shared" si="79"/>
        <v>85.85</v>
      </c>
      <c r="I138" s="80">
        <f t="shared" si="101"/>
        <v>85</v>
      </c>
      <c r="J138" s="74">
        <f t="shared" si="103"/>
        <v>0.01</v>
      </c>
      <c r="K138" s="58">
        <f t="shared" si="103"/>
        <v>10</v>
      </c>
      <c r="L138" s="39">
        <f>(G138+H138+K138)*$L$5</f>
        <v>7.851</v>
      </c>
      <c r="M138" s="39">
        <f>(G138+H138+K138+L138)*$M$5</f>
        <v>4.16103</v>
      </c>
      <c r="N138" s="67">
        <f t="shared" si="84"/>
        <v>214.293045</v>
      </c>
      <c r="O138" s="67"/>
      <c r="P138" s="67">
        <f t="shared" si="80"/>
        <v>428.58609</v>
      </c>
      <c r="Q138" s="82">
        <f t="shared" si="75"/>
        <v>428.58609</v>
      </c>
      <c r="R138" s="65"/>
      <c r="T138" s="21">
        <f t="shared" si="85"/>
        <v>428.58609</v>
      </c>
      <c r="U138" s="21">
        <f t="shared" si="86"/>
        <v>142.86203</v>
      </c>
      <c r="V138" s="21" t="b">
        <f t="shared" si="87"/>
        <v>0</v>
      </c>
      <c r="W138" s="21" t="b">
        <f t="shared" si="88"/>
        <v>1</v>
      </c>
    </row>
    <row r="139" s="21" customFormat="1" ht="54" outlineLevel="1" spans="1:23">
      <c r="A139" s="65">
        <v>129</v>
      </c>
      <c r="B139" s="65" t="s">
        <v>496</v>
      </c>
      <c r="C139" s="65" t="s">
        <v>516</v>
      </c>
      <c r="D139" s="65" t="s">
        <v>105</v>
      </c>
      <c r="E139" s="65">
        <v>3</v>
      </c>
      <c r="F139" s="57">
        <v>3</v>
      </c>
      <c r="G139" s="65">
        <f t="shared" ref="G139:K139" si="104">G120</f>
        <v>35</v>
      </c>
      <c r="H139" s="67">
        <f t="shared" si="79"/>
        <v>85.85</v>
      </c>
      <c r="I139" s="80">
        <f>I138</f>
        <v>85</v>
      </c>
      <c r="J139" s="74">
        <f t="shared" si="104"/>
        <v>0.01</v>
      </c>
      <c r="K139" s="58">
        <f t="shared" si="104"/>
        <v>10</v>
      </c>
      <c r="L139" s="39">
        <f>(G139+H139+K139)*$L$5</f>
        <v>7.851</v>
      </c>
      <c r="M139" s="39">
        <f>(G139+H139+K139+L139)*$M$5</f>
        <v>4.16103</v>
      </c>
      <c r="N139" s="67">
        <f t="shared" si="84"/>
        <v>214.293045</v>
      </c>
      <c r="O139" s="67"/>
      <c r="P139" s="67">
        <f t="shared" si="80"/>
        <v>642.879135</v>
      </c>
      <c r="Q139" s="82">
        <f t="shared" si="75"/>
        <v>642.879135</v>
      </c>
      <c r="R139" s="65"/>
      <c r="T139" s="21">
        <f t="shared" si="85"/>
        <v>642.879135</v>
      </c>
      <c r="U139" s="21">
        <f t="shared" si="86"/>
        <v>142.86203</v>
      </c>
      <c r="V139" s="21" t="b">
        <f t="shared" si="87"/>
        <v>0</v>
      </c>
      <c r="W139" s="21" t="b">
        <f t="shared" si="88"/>
        <v>1</v>
      </c>
    </row>
    <row r="140" s="21" customFormat="1" ht="54" outlineLevel="1" spans="1:23">
      <c r="A140" s="65">
        <v>130</v>
      </c>
      <c r="B140" s="65" t="s">
        <v>496</v>
      </c>
      <c r="C140" s="65" t="s">
        <v>517</v>
      </c>
      <c r="D140" s="65" t="s">
        <v>105</v>
      </c>
      <c r="E140" s="65">
        <v>5</v>
      </c>
      <c r="F140" s="57">
        <v>5</v>
      </c>
      <c r="G140" s="65">
        <f t="shared" ref="G140:K140" si="105">G120</f>
        <v>35</v>
      </c>
      <c r="H140" s="67">
        <f t="shared" si="79"/>
        <v>85.85</v>
      </c>
      <c r="I140" s="80">
        <f t="shared" si="101"/>
        <v>85</v>
      </c>
      <c r="J140" s="74">
        <f t="shared" si="105"/>
        <v>0.01</v>
      </c>
      <c r="K140" s="58">
        <f t="shared" si="105"/>
        <v>10</v>
      </c>
      <c r="L140" s="39">
        <f>(G140+H140+K140)*$L$5</f>
        <v>7.851</v>
      </c>
      <c r="M140" s="39">
        <f>(G140+H140+K140+L140)*$M$5</f>
        <v>4.16103</v>
      </c>
      <c r="N140" s="67">
        <f t="shared" si="84"/>
        <v>214.293045</v>
      </c>
      <c r="O140" s="67"/>
      <c r="P140" s="67">
        <f t="shared" si="80"/>
        <v>1071.465225</v>
      </c>
      <c r="Q140" s="82">
        <f t="shared" si="75"/>
        <v>1071.465225</v>
      </c>
      <c r="R140" s="65"/>
      <c r="T140" s="21">
        <f t="shared" si="85"/>
        <v>1071.465225</v>
      </c>
      <c r="U140" s="21">
        <f t="shared" si="86"/>
        <v>142.86203</v>
      </c>
      <c r="V140" s="21" t="b">
        <f t="shared" si="87"/>
        <v>0</v>
      </c>
      <c r="W140" s="21" t="b">
        <f t="shared" si="88"/>
        <v>1</v>
      </c>
    </row>
    <row r="141" s="21" customFormat="1" ht="54" outlineLevel="1" spans="1:23">
      <c r="A141" s="65">
        <v>131</v>
      </c>
      <c r="B141" s="65" t="s">
        <v>496</v>
      </c>
      <c r="C141" s="65" t="s">
        <v>518</v>
      </c>
      <c r="D141" s="65" t="s">
        <v>105</v>
      </c>
      <c r="E141" s="65">
        <v>3</v>
      </c>
      <c r="F141" s="57">
        <v>3</v>
      </c>
      <c r="G141" s="65">
        <f t="shared" ref="G141:K141" si="106">G120</f>
        <v>35</v>
      </c>
      <c r="H141" s="67">
        <f t="shared" si="79"/>
        <v>85.85</v>
      </c>
      <c r="I141" s="80">
        <f>I138</f>
        <v>85</v>
      </c>
      <c r="J141" s="74">
        <f t="shared" si="106"/>
        <v>0.01</v>
      </c>
      <c r="K141" s="58">
        <f t="shared" si="106"/>
        <v>10</v>
      </c>
      <c r="L141" s="39">
        <f>(G141+H141+K141)*$L$5</f>
        <v>7.851</v>
      </c>
      <c r="M141" s="39">
        <f>(G141+H141+K141+L141)*$M$5</f>
        <v>4.16103</v>
      </c>
      <c r="N141" s="67">
        <f t="shared" si="84"/>
        <v>214.293045</v>
      </c>
      <c r="O141" s="67"/>
      <c r="P141" s="67">
        <f t="shared" si="80"/>
        <v>642.879135</v>
      </c>
      <c r="Q141" s="82">
        <f t="shared" si="75"/>
        <v>642.879135</v>
      </c>
      <c r="R141" s="65"/>
      <c r="T141" s="21">
        <f t="shared" si="85"/>
        <v>642.879135</v>
      </c>
      <c r="U141" s="21">
        <f t="shared" si="86"/>
        <v>142.86203</v>
      </c>
      <c r="V141" s="21" t="b">
        <f t="shared" si="87"/>
        <v>0</v>
      </c>
      <c r="W141" s="21" t="b">
        <f t="shared" si="88"/>
        <v>1</v>
      </c>
    </row>
    <row r="142" s="21" customFormat="1" ht="54" outlineLevel="1" spans="1:23">
      <c r="A142" s="65">
        <v>132</v>
      </c>
      <c r="B142" s="65" t="s">
        <v>519</v>
      </c>
      <c r="C142" s="65" t="s">
        <v>520</v>
      </c>
      <c r="D142" s="65" t="s">
        <v>521</v>
      </c>
      <c r="E142" s="65">
        <v>0.42</v>
      </c>
      <c r="F142" s="57">
        <v>0.42</v>
      </c>
      <c r="G142" s="66">
        <v>700</v>
      </c>
      <c r="H142" s="67">
        <f t="shared" si="79"/>
        <v>1545</v>
      </c>
      <c r="I142" s="75">
        <v>1500</v>
      </c>
      <c r="J142" s="76">
        <v>0.03</v>
      </c>
      <c r="K142" s="77">
        <v>160</v>
      </c>
      <c r="L142" s="39">
        <f>(G142+H142+K142)*$L$5</f>
        <v>144.3</v>
      </c>
      <c r="M142" s="39">
        <f>(G142+H142+K142+L142)*$M$5</f>
        <v>76.479</v>
      </c>
      <c r="N142" s="67">
        <f t="shared" si="84"/>
        <v>3938.6685</v>
      </c>
      <c r="O142" s="67"/>
      <c r="P142" s="67">
        <f t="shared" si="80"/>
        <v>1654.24077</v>
      </c>
      <c r="Q142" s="82">
        <f t="shared" si="75"/>
        <v>1654.24077</v>
      </c>
      <c r="R142" s="65"/>
      <c r="T142" s="21">
        <f t="shared" si="85"/>
        <v>1654.24077</v>
      </c>
      <c r="U142" s="21">
        <f t="shared" si="86"/>
        <v>2625.779</v>
      </c>
      <c r="V142" s="21" t="b">
        <f t="shared" si="87"/>
        <v>0</v>
      </c>
      <c r="W142" s="21" t="b">
        <f t="shared" si="88"/>
        <v>1</v>
      </c>
    </row>
    <row r="143" s="21" customFormat="1" ht="54" outlineLevel="1" spans="1:23">
      <c r="A143" s="65">
        <v>133</v>
      </c>
      <c r="B143" s="65" t="s">
        <v>519</v>
      </c>
      <c r="C143" s="65" t="s">
        <v>522</v>
      </c>
      <c r="D143" s="65" t="s">
        <v>521</v>
      </c>
      <c r="E143" s="65">
        <v>2.33</v>
      </c>
      <c r="F143" s="57">
        <v>2.33</v>
      </c>
      <c r="G143" s="65">
        <f t="shared" ref="G143:K143" si="107">G142</f>
        <v>700</v>
      </c>
      <c r="H143" s="67">
        <f t="shared" si="79"/>
        <v>1545</v>
      </c>
      <c r="I143" s="80">
        <f t="shared" si="107"/>
        <v>1500</v>
      </c>
      <c r="J143" s="78">
        <f t="shared" si="107"/>
        <v>0.03</v>
      </c>
      <c r="K143" s="79">
        <f t="shared" si="107"/>
        <v>160</v>
      </c>
      <c r="L143" s="39">
        <f>(G143+H143+K143)*$L$5</f>
        <v>144.3</v>
      </c>
      <c r="M143" s="39">
        <f>(G143+H143+K143+L143)*$M$5</f>
        <v>76.479</v>
      </c>
      <c r="N143" s="67">
        <f t="shared" si="84"/>
        <v>3938.6685</v>
      </c>
      <c r="O143" s="67"/>
      <c r="P143" s="67">
        <f t="shared" si="80"/>
        <v>9177.097605</v>
      </c>
      <c r="Q143" s="82">
        <f t="shared" si="75"/>
        <v>9177.097605</v>
      </c>
      <c r="R143" s="65"/>
      <c r="T143" s="21">
        <f t="shared" si="85"/>
        <v>9177.097605</v>
      </c>
      <c r="U143" s="21">
        <f t="shared" si="86"/>
        <v>2625.779</v>
      </c>
      <c r="V143" s="21" t="b">
        <f t="shared" si="87"/>
        <v>0</v>
      </c>
      <c r="W143" s="21" t="b">
        <f t="shared" si="88"/>
        <v>1</v>
      </c>
    </row>
    <row r="144" s="21" customFormat="1" ht="32.4" outlineLevel="1" spans="1:23">
      <c r="A144" s="65">
        <v>134</v>
      </c>
      <c r="B144" s="65" t="s">
        <v>523</v>
      </c>
      <c r="C144" s="65" t="s">
        <v>524</v>
      </c>
      <c r="D144" s="65" t="s">
        <v>396</v>
      </c>
      <c r="E144" s="65">
        <v>1</v>
      </c>
      <c r="F144" s="57">
        <v>1</v>
      </c>
      <c r="G144" s="66">
        <v>1800</v>
      </c>
      <c r="H144" s="67">
        <f t="shared" si="79"/>
        <v>0</v>
      </c>
      <c r="I144" s="80">
        <v>0</v>
      </c>
      <c r="J144" s="76">
        <v>0</v>
      </c>
      <c r="K144" s="77">
        <v>1500</v>
      </c>
      <c r="L144" s="39">
        <f>(G144+H144+K144)*$L$5</f>
        <v>198</v>
      </c>
      <c r="M144" s="39">
        <f>(G144+H144+K144+L144)*$M$5</f>
        <v>104.94</v>
      </c>
      <c r="N144" s="67">
        <f t="shared" si="84"/>
        <v>5404.41</v>
      </c>
      <c r="O144" s="67"/>
      <c r="P144" s="67">
        <f t="shared" si="80"/>
        <v>5404.41</v>
      </c>
      <c r="Q144" s="82">
        <f t="shared" si="75"/>
        <v>5404.41</v>
      </c>
      <c r="R144" s="65"/>
      <c r="T144" s="21">
        <f t="shared" si="85"/>
        <v>5404.41</v>
      </c>
      <c r="U144" s="21">
        <f t="shared" si="86"/>
        <v>3602.94</v>
      </c>
      <c r="V144" s="21" t="b">
        <f t="shared" si="87"/>
        <v>0</v>
      </c>
      <c r="W144" s="21" t="b">
        <f t="shared" si="88"/>
        <v>1</v>
      </c>
    </row>
    <row r="145" s="21" customFormat="1" spans="1:23">
      <c r="A145" s="65"/>
      <c r="B145" s="65" t="s">
        <v>38</v>
      </c>
      <c r="C145" s="65"/>
      <c r="D145" s="65"/>
      <c r="E145" s="65"/>
      <c r="F145" s="57"/>
      <c r="G145" s="65"/>
      <c r="H145" s="67"/>
      <c r="I145" s="80"/>
      <c r="J145" s="78"/>
      <c r="K145" s="79"/>
      <c r="L145" s="39"/>
      <c r="M145" s="39"/>
      <c r="N145" s="95">
        <f>SUM(P146:P217)</f>
        <v>470557.73853093</v>
      </c>
      <c r="O145" s="95"/>
      <c r="P145" s="67"/>
      <c r="Q145" s="57">
        <f>SUM(Q146:Q217)</f>
        <v>470557.73853093</v>
      </c>
      <c r="R145" s="65"/>
      <c r="T145" s="21">
        <f t="shared" si="85"/>
        <v>0</v>
      </c>
      <c r="U145" s="21">
        <f t="shared" si="86"/>
        <v>0</v>
      </c>
      <c r="V145" s="21" t="b">
        <f t="shared" si="87"/>
        <v>0</v>
      </c>
      <c r="W145" s="21" t="b">
        <f t="shared" si="88"/>
        <v>1</v>
      </c>
    </row>
    <row r="146" s="21" customFormat="1" spans="1:23">
      <c r="A146" s="65"/>
      <c r="B146" s="65" t="s">
        <v>341</v>
      </c>
      <c r="C146" s="65"/>
      <c r="D146" s="65"/>
      <c r="E146" s="65"/>
      <c r="F146" s="57"/>
      <c r="G146" s="65"/>
      <c r="H146" s="67"/>
      <c r="I146" s="80"/>
      <c r="J146" s="78"/>
      <c r="K146" s="79"/>
      <c r="L146" s="39"/>
      <c r="M146" s="39"/>
      <c r="N146" s="67">
        <f t="shared" si="84"/>
        <v>0</v>
      </c>
      <c r="O146" s="67"/>
      <c r="P146" s="67"/>
      <c r="Q146" s="82"/>
      <c r="R146" s="65"/>
      <c r="T146" s="21">
        <f t="shared" si="85"/>
        <v>0</v>
      </c>
      <c r="U146" s="21">
        <f t="shared" si="86"/>
        <v>0</v>
      </c>
      <c r="V146" s="21" t="b">
        <f t="shared" si="87"/>
        <v>1</v>
      </c>
      <c r="W146" s="21" t="b">
        <f t="shared" si="88"/>
        <v>1</v>
      </c>
    </row>
    <row r="147" s="21" customFormat="1" ht="54" outlineLevel="1" spans="1:23">
      <c r="A147" s="65">
        <v>135</v>
      </c>
      <c r="B147" s="65" t="s">
        <v>342</v>
      </c>
      <c r="C147" s="65" t="s">
        <v>525</v>
      </c>
      <c r="D147" s="65" t="s">
        <v>344</v>
      </c>
      <c r="E147" s="65">
        <v>1</v>
      </c>
      <c r="F147" s="57">
        <v>1</v>
      </c>
      <c r="G147" s="65">
        <f>G9</f>
        <v>200</v>
      </c>
      <c r="H147" s="67">
        <f t="shared" ref="H147:H178" si="108">I147*(1+J147)</f>
        <v>2222</v>
      </c>
      <c r="I147" s="75">
        <f t="shared" ref="I147:K147" si="109">I8</f>
        <v>2200</v>
      </c>
      <c r="J147" s="78">
        <f t="shared" si="109"/>
        <v>0.01</v>
      </c>
      <c r="K147" s="79">
        <f t="shared" si="109"/>
        <v>50</v>
      </c>
      <c r="L147" s="39">
        <f>(G147+H147+K147)*$L$5</f>
        <v>148.32</v>
      </c>
      <c r="M147" s="39">
        <f>(G147+H147+K147+L147)*$M$5</f>
        <v>78.6096</v>
      </c>
      <c r="N147" s="67">
        <f t="shared" si="84"/>
        <v>4048.3944</v>
      </c>
      <c r="O147" s="67"/>
      <c r="P147" s="67">
        <f t="shared" ref="P147:P178" si="110">N147*E147</f>
        <v>4048.3944</v>
      </c>
      <c r="Q147" s="82">
        <f t="shared" ref="Q147:Q178" si="111">F147*N147</f>
        <v>4048.3944</v>
      </c>
      <c r="R147" s="65"/>
      <c r="T147" s="21">
        <f t="shared" si="85"/>
        <v>4048.3944</v>
      </c>
      <c r="U147" s="21">
        <f t="shared" si="86"/>
        <v>2698.9296</v>
      </c>
      <c r="V147" s="21" t="b">
        <f t="shared" si="87"/>
        <v>0</v>
      </c>
      <c r="W147" s="21" t="b">
        <f t="shared" si="88"/>
        <v>1</v>
      </c>
    </row>
    <row r="148" s="21" customFormat="1" ht="64.8" outlineLevel="1" spans="1:23">
      <c r="A148" s="68">
        <v>136</v>
      </c>
      <c r="B148" s="68" t="s">
        <v>342</v>
      </c>
      <c r="C148" s="68" t="s">
        <v>526</v>
      </c>
      <c r="D148" s="68" t="s">
        <v>344</v>
      </c>
      <c r="E148" s="68">
        <v>1</v>
      </c>
      <c r="F148" s="57">
        <v>1</v>
      </c>
      <c r="G148" s="68">
        <f>G9</f>
        <v>200</v>
      </c>
      <c r="H148" s="67">
        <f t="shared" si="108"/>
        <v>1313</v>
      </c>
      <c r="I148" s="75">
        <v>1300</v>
      </c>
      <c r="J148" s="78">
        <f>J147</f>
        <v>0.01</v>
      </c>
      <c r="K148" s="79">
        <v>50</v>
      </c>
      <c r="L148" s="39">
        <f>(G148+H148+K148)*$L$5</f>
        <v>93.78</v>
      </c>
      <c r="M148" s="39">
        <f>(G148+H148+K148+L148)*$M$5</f>
        <v>49.7034</v>
      </c>
      <c r="N148" s="67">
        <f t="shared" si="84"/>
        <v>2559.7251</v>
      </c>
      <c r="O148" s="67"/>
      <c r="P148" s="67">
        <f t="shared" si="110"/>
        <v>2559.7251</v>
      </c>
      <c r="Q148" s="82">
        <f t="shared" si="111"/>
        <v>2559.7251</v>
      </c>
      <c r="R148" s="68"/>
      <c r="T148" s="21">
        <f t="shared" si="85"/>
        <v>2559.7251</v>
      </c>
      <c r="U148" s="21">
        <f t="shared" si="86"/>
        <v>1706.4834</v>
      </c>
      <c r="V148" s="21" t="b">
        <f t="shared" si="87"/>
        <v>0</v>
      </c>
      <c r="W148" s="21" t="b">
        <f t="shared" si="88"/>
        <v>1</v>
      </c>
    </row>
    <row r="149" s="21" customFormat="1" ht="81" customHeight="1" outlineLevel="1" spans="1:23">
      <c r="A149" s="68">
        <v>137</v>
      </c>
      <c r="B149" s="68" t="s">
        <v>342</v>
      </c>
      <c r="C149" s="68" t="s">
        <v>527</v>
      </c>
      <c r="D149" s="68" t="s">
        <v>344</v>
      </c>
      <c r="E149" s="68">
        <v>1</v>
      </c>
      <c r="F149" s="57">
        <v>1</v>
      </c>
      <c r="G149" s="66">
        <v>150</v>
      </c>
      <c r="H149" s="67">
        <f t="shared" si="108"/>
        <v>757.5</v>
      </c>
      <c r="I149" s="75">
        <v>750</v>
      </c>
      <c r="J149" s="78">
        <f>J147</f>
        <v>0.01</v>
      </c>
      <c r="K149" s="79">
        <f>K148</f>
        <v>50</v>
      </c>
      <c r="L149" s="39">
        <f>(G149+H149+K149)*$L$5</f>
        <v>57.45</v>
      </c>
      <c r="M149" s="39">
        <f>(G149+H149+K149+L149)*$M$5</f>
        <v>30.4485</v>
      </c>
      <c r="N149" s="67">
        <f t="shared" si="84"/>
        <v>1568.09775</v>
      </c>
      <c r="O149" s="67"/>
      <c r="P149" s="67">
        <f t="shared" si="110"/>
        <v>1568.09775</v>
      </c>
      <c r="Q149" s="82">
        <f t="shared" si="111"/>
        <v>1568.09775</v>
      </c>
      <c r="R149" s="68"/>
      <c r="T149" s="21">
        <f t="shared" si="85"/>
        <v>1568.09775</v>
      </c>
      <c r="U149" s="21">
        <f t="shared" si="86"/>
        <v>1045.3985</v>
      </c>
      <c r="V149" s="21" t="b">
        <f t="shared" si="87"/>
        <v>0</v>
      </c>
      <c r="W149" s="21" t="b">
        <f t="shared" si="88"/>
        <v>1</v>
      </c>
    </row>
    <row r="150" s="21" customFormat="1" ht="54" outlineLevel="1" spans="1:23">
      <c r="A150" s="65">
        <v>138</v>
      </c>
      <c r="B150" s="65" t="s">
        <v>354</v>
      </c>
      <c r="C150" s="65" t="s">
        <v>355</v>
      </c>
      <c r="D150" s="65" t="s">
        <v>111</v>
      </c>
      <c r="E150" s="65">
        <v>273.32</v>
      </c>
      <c r="F150" s="57">
        <v>273.32</v>
      </c>
      <c r="G150" s="65">
        <f t="shared" ref="G150:K150" si="112">G15</f>
        <v>10</v>
      </c>
      <c r="H150" s="67">
        <f t="shared" si="108"/>
        <v>5.665</v>
      </c>
      <c r="I150" s="65">
        <f t="shared" si="112"/>
        <v>5.5</v>
      </c>
      <c r="J150" s="74">
        <f t="shared" si="112"/>
        <v>0.03</v>
      </c>
      <c r="K150" s="58">
        <f t="shared" si="112"/>
        <v>2</v>
      </c>
      <c r="L150" s="39">
        <f>(G150+H150+K150)*$L$5</f>
        <v>1.0599</v>
      </c>
      <c r="M150" s="39">
        <f>(G150+H150+K150+L150)*$M$5</f>
        <v>0.561747</v>
      </c>
      <c r="N150" s="67">
        <f t="shared" si="84"/>
        <v>28.9299705</v>
      </c>
      <c r="O150" s="67"/>
      <c r="P150" s="67">
        <f t="shared" si="110"/>
        <v>7907.13953706</v>
      </c>
      <c r="Q150" s="82">
        <f t="shared" si="111"/>
        <v>7907.13953706</v>
      </c>
      <c r="R150" s="65"/>
      <c r="T150" s="21">
        <f t="shared" si="85"/>
        <v>7907.13953706</v>
      </c>
      <c r="U150" s="21">
        <f t="shared" si="86"/>
        <v>19.286647</v>
      </c>
      <c r="V150" s="21" t="b">
        <f t="shared" si="87"/>
        <v>0</v>
      </c>
      <c r="W150" s="21" t="b">
        <f t="shared" si="88"/>
        <v>1</v>
      </c>
    </row>
    <row r="151" s="21" customFormat="1" ht="54" outlineLevel="1" spans="1:23">
      <c r="A151" s="65">
        <v>139</v>
      </c>
      <c r="B151" s="65" t="s">
        <v>354</v>
      </c>
      <c r="C151" s="65" t="s">
        <v>357</v>
      </c>
      <c r="D151" s="65" t="s">
        <v>111</v>
      </c>
      <c r="E151" s="65">
        <v>174.61</v>
      </c>
      <c r="F151" s="57">
        <v>174.61</v>
      </c>
      <c r="G151" s="65">
        <f t="shared" ref="G151:K151" si="113">G16</f>
        <v>10</v>
      </c>
      <c r="H151" s="67">
        <f t="shared" si="108"/>
        <v>5.665</v>
      </c>
      <c r="I151" s="65">
        <f t="shared" si="113"/>
        <v>5.5</v>
      </c>
      <c r="J151" s="74">
        <f t="shared" si="113"/>
        <v>0.03</v>
      </c>
      <c r="K151" s="58">
        <f t="shared" si="113"/>
        <v>2</v>
      </c>
      <c r="L151" s="39">
        <f>(G151+H151+K151)*$L$5</f>
        <v>1.0599</v>
      </c>
      <c r="M151" s="39">
        <f>(G151+H151+K151+L151)*$M$5</f>
        <v>0.561747</v>
      </c>
      <c r="N151" s="67">
        <f t="shared" si="84"/>
        <v>28.9299705</v>
      </c>
      <c r="O151" s="67"/>
      <c r="P151" s="67">
        <f t="shared" si="110"/>
        <v>5051.462149005</v>
      </c>
      <c r="Q151" s="82">
        <f t="shared" si="111"/>
        <v>5051.462149005</v>
      </c>
      <c r="R151" s="65"/>
      <c r="T151" s="21">
        <f t="shared" si="85"/>
        <v>5051.462149005</v>
      </c>
      <c r="U151" s="21">
        <f t="shared" si="86"/>
        <v>19.286647</v>
      </c>
      <c r="V151" s="21" t="b">
        <f t="shared" si="87"/>
        <v>0</v>
      </c>
      <c r="W151" s="21" t="b">
        <f t="shared" si="88"/>
        <v>1</v>
      </c>
    </row>
    <row r="152" s="21" customFormat="1" ht="54" outlineLevel="1" spans="1:23">
      <c r="A152" s="65">
        <v>140</v>
      </c>
      <c r="B152" s="65" t="s">
        <v>354</v>
      </c>
      <c r="C152" s="65" t="s">
        <v>358</v>
      </c>
      <c r="D152" s="65" t="s">
        <v>111</v>
      </c>
      <c r="E152" s="65">
        <v>19.22</v>
      </c>
      <c r="F152" s="57">
        <v>19.22</v>
      </c>
      <c r="G152" s="65">
        <f t="shared" ref="G152:K152" si="114">G17</f>
        <v>10</v>
      </c>
      <c r="H152" s="67">
        <f t="shared" si="108"/>
        <v>8.858</v>
      </c>
      <c r="I152" s="65">
        <f t="shared" si="114"/>
        <v>8.6</v>
      </c>
      <c r="J152" s="74">
        <f t="shared" si="114"/>
        <v>0.03</v>
      </c>
      <c r="K152" s="58">
        <f t="shared" si="114"/>
        <v>2</v>
      </c>
      <c r="L152" s="39">
        <f>(G152+H152+K152)*$L$5</f>
        <v>1.25148</v>
      </c>
      <c r="M152" s="39">
        <f>(G152+H152+K152+L152)*$M$5</f>
        <v>0.6632844</v>
      </c>
      <c r="N152" s="67">
        <f t="shared" si="84"/>
        <v>34.1591466</v>
      </c>
      <c r="O152" s="67"/>
      <c r="P152" s="67">
        <f t="shared" si="110"/>
        <v>656.538797652</v>
      </c>
      <c r="Q152" s="82">
        <f t="shared" si="111"/>
        <v>656.538797652</v>
      </c>
      <c r="R152" s="65"/>
      <c r="T152" s="21">
        <f t="shared" si="85"/>
        <v>656.538797652</v>
      </c>
      <c r="U152" s="21">
        <f t="shared" si="86"/>
        <v>22.7727644</v>
      </c>
      <c r="V152" s="21" t="b">
        <f t="shared" si="87"/>
        <v>0</v>
      </c>
      <c r="W152" s="21" t="b">
        <f t="shared" si="88"/>
        <v>1</v>
      </c>
    </row>
    <row r="153" s="21" customFormat="1" ht="54" outlineLevel="1" spans="1:23">
      <c r="A153" s="65">
        <v>141</v>
      </c>
      <c r="B153" s="65" t="s">
        <v>354</v>
      </c>
      <c r="C153" s="65" t="s">
        <v>359</v>
      </c>
      <c r="D153" s="65" t="s">
        <v>111</v>
      </c>
      <c r="E153" s="65">
        <v>10.6</v>
      </c>
      <c r="F153" s="57">
        <v>10.6</v>
      </c>
      <c r="G153" s="65">
        <f t="shared" ref="G153:K153" si="115">G18</f>
        <v>10</v>
      </c>
      <c r="H153" s="67">
        <f t="shared" si="108"/>
        <v>8.858</v>
      </c>
      <c r="I153" s="65">
        <f t="shared" si="115"/>
        <v>8.6</v>
      </c>
      <c r="J153" s="74">
        <f t="shared" si="115"/>
        <v>0.03</v>
      </c>
      <c r="K153" s="58">
        <f t="shared" si="115"/>
        <v>2</v>
      </c>
      <c r="L153" s="39">
        <f>(G153+H153+K153)*$L$5</f>
        <v>1.25148</v>
      </c>
      <c r="M153" s="39">
        <f>(G153+H153+K153+L153)*$M$5</f>
        <v>0.6632844</v>
      </c>
      <c r="N153" s="67">
        <f t="shared" si="84"/>
        <v>34.1591466</v>
      </c>
      <c r="O153" s="67"/>
      <c r="P153" s="67">
        <f t="shared" si="110"/>
        <v>362.08695396</v>
      </c>
      <c r="Q153" s="82">
        <f t="shared" si="111"/>
        <v>362.08695396</v>
      </c>
      <c r="R153" s="65"/>
      <c r="T153" s="21">
        <f t="shared" si="85"/>
        <v>362.08695396</v>
      </c>
      <c r="U153" s="21">
        <f t="shared" si="86"/>
        <v>22.7727644</v>
      </c>
      <c r="V153" s="21" t="b">
        <f t="shared" si="87"/>
        <v>0</v>
      </c>
      <c r="W153" s="21" t="b">
        <f t="shared" si="88"/>
        <v>1</v>
      </c>
    </row>
    <row r="154" s="21" customFormat="1" ht="54" outlineLevel="1" spans="1:23">
      <c r="A154" s="68">
        <v>142</v>
      </c>
      <c r="B154" s="68" t="s">
        <v>354</v>
      </c>
      <c r="C154" s="68" t="s">
        <v>528</v>
      </c>
      <c r="D154" s="68" t="s">
        <v>111</v>
      </c>
      <c r="E154" s="68">
        <v>28.99</v>
      </c>
      <c r="F154" s="57">
        <v>28.99</v>
      </c>
      <c r="G154" s="66">
        <v>20</v>
      </c>
      <c r="H154" s="67">
        <f t="shared" si="108"/>
        <v>39.14</v>
      </c>
      <c r="I154" s="75">
        <v>38</v>
      </c>
      <c r="J154" s="76">
        <v>0.03</v>
      </c>
      <c r="K154" s="77">
        <v>5</v>
      </c>
      <c r="L154" s="39">
        <f>(G154+H154+K154)*$L$5</f>
        <v>3.8484</v>
      </c>
      <c r="M154" s="39">
        <f>(G154+H154+K154+L154)*$M$5</f>
        <v>2.039652</v>
      </c>
      <c r="N154" s="67">
        <f t="shared" si="84"/>
        <v>105.042078</v>
      </c>
      <c r="O154" s="67"/>
      <c r="P154" s="67">
        <f t="shared" si="110"/>
        <v>3045.16984122</v>
      </c>
      <c r="Q154" s="82">
        <f t="shared" si="111"/>
        <v>3045.16984122</v>
      </c>
      <c r="R154" s="68"/>
      <c r="T154" s="21">
        <f t="shared" si="85"/>
        <v>3045.16984122</v>
      </c>
      <c r="U154" s="21">
        <f t="shared" si="86"/>
        <v>70.028052</v>
      </c>
      <c r="V154" s="21" t="b">
        <f t="shared" si="87"/>
        <v>0</v>
      </c>
      <c r="W154" s="21" t="b">
        <f t="shared" si="88"/>
        <v>1</v>
      </c>
    </row>
    <row r="155" s="21" customFormat="1" ht="54" outlineLevel="1" spans="1:23">
      <c r="A155" s="68">
        <v>143</v>
      </c>
      <c r="B155" s="68" t="s">
        <v>354</v>
      </c>
      <c r="C155" s="68" t="s">
        <v>529</v>
      </c>
      <c r="D155" s="68" t="s">
        <v>111</v>
      </c>
      <c r="E155" s="68">
        <v>33.02</v>
      </c>
      <c r="F155" s="57">
        <v>33.02</v>
      </c>
      <c r="G155" s="66">
        <f>G154</f>
        <v>20</v>
      </c>
      <c r="H155" s="67">
        <f t="shared" si="108"/>
        <v>49.44</v>
      </c>
      <c r="I155" s="75">
        <v>48</v>
      </c>
      <c r="J155" s="76">
        <v>0.03</v>
      </c>
      <c r="K155" s="77">
        <v>5</v>
      </c>
      <c r="L155" s="39">
        <f>(G155+H155+K155)*$L$5</f>
        <v>4.4664</v>
      </c>
      <c r="M155" s="39">
        <f>(G155+H155+K155+L155)*$M$5</f>
        <v>2.367192</v>
      </c>
      <c r="N155" s="67">
        <f t="shared" si="84"/>
        <v>121.910388</v>
      </c>
      <c r="O155" s="67"/>
      <c r="P155" s="67">
        <f t="shared" si="110"/>
        <v>4025.48101176</v>
      </c>
      <c r="Q155" s="82">
        <f t="shared" si="111"/>
        <v>4025.48101176</v>
      </c>
      <c r="R155" s="68"/>
      <c r="T155" s="21">
        <f t="shared" si="85"/>
        <v>4025.48101176</v>
      </c>
      <c r="U155" s="21">
        <f t="shared" si="86"/>
        <v>81.273592</v>
      </c>
      <c r="V155" s="21" t="b">
        <f t="shared" si="87"/>
        <v>0</v>
      </c>
      <c r="W155" s="21" t="b">
        <f t="shared" si="88"/>
        <v>1</v>
      </c>
    </row>
    <row r="156" s="21" customFormat="1" ht="54" outlineLevel="1" spans="1:23">
      <c r="A156" s="68">
        <v>144</v>
      </c>
      <c r="B156" s="68" t="s">
        <v>354</v>
      </c>
      <c r="C156" s="68" t="s">
        <v>530</v>
      </c>
      <c r="D156" s="68" t="s">
        <v>111</v>
      </c>
      <c r="E156" s="68">
        <v>12.25</v>
      </c>
      <c r="F156" s="57">
        <v>12.25</v>
      </c>
      <c r="G156" s="66">
        <v>38</v>
      </c>
      <c r="H156" s="67">
        <f t="shared" si="108"/>
        <v>66.95</v>
      </c>
      <c r="I156" s="75">
        <v>65</v>
      </c>
      <c r="J156" s="76">
        <v>0.03</v>
      </c>
      <c r="K156" s="77">
        <v>5</v>
      </c>
      <c r="L156" s="39">
        <f>(G156+H156+K156)*$L$5</f>
        <v>6.597</v>
      </c>
      <c r="M156" s="39">
        <f>(G156+H156+K156+L156)*$M$5</f>
        <v>3.49641</v>
      </c>
      <c r="N156" s="67">
        <f t="shared" si="84"/>
        <v>180.065115</v>
      </c>
      <c r="O156" s="67"/>
      <c r="P156" s="67">
        <f t="shared" si="110"/>
        <v>2205.79765875</v>
      </c>
      <c r="Q156" s="82">
        <f t="shared" si="111"/>
        <v>2205.79765875</v>
      </c>
      <c r="R156" s="68"/>
      <c r="T156" s="21">
        <f t="shared" si="85"/>
        <v>2205.79765875</v>
      </c>
      <c r="U156" s="21">
        <f t="shared" si="86"/>
        <v>120.04341</v>
      </c>
      <c r="V156" s="21" t="b">
        <f t="shared" si="87"/>
        <v>0</v>
      </c>
      <c r="W156" s="21" t="b">
        <f t="shared" si="88"/>
        <v>1</v>
      </c>
    </row>
    <row r="157" s="21" customFormat="1" ht="64.8" outlineLevel="1" spans="1:23">
      <c r="A157" s="68">
        <v>145</v>
      </c>
      <c r="B157" s="68" t="s">
        <v>360</v>
      </c>
      <c r="C157" s="68" t="s">
        <v>531</v>
      </c>
      <c r="D157" s="68" t="s">
        <v>111</v>
      </c>
      <c r="E157" s="68">
        <v>51.97</v>
      </c>
      <c r="F157" s="57">
        <v>51.97</v>
      </c>
      <c r="G157" s="70">
        <v>15</v>
      </c>
      <c r="H157" s="67">
        <f t="shared" si="108"/>
        <v>38.11</v>
      </c>
      <c r="I157" s="75">
        <v>37</v>
      </c>
      <c r="J157" s="78">
        <v>0.03</v>
      </c>
      <c r="K157" s="79">
        <v>5</v>
      </c>
      <c r="L157" s="39">
        <f>(G157+H157+K157)*$L$5</f>
        <v>3.4866</v>
      </c>
      <c r="M157" s="39">
        <f>(G157+H157+K157+L157)*$M$5</f>
        <v>1.847898</v>
      </c>
      <c r="N157" s="67">
        <f t="shared" si="84"/>
        <v>95.166747</v>
      </c>
      <c r="O157" s="67"/>
      <c r="P157" s="67">
        <f t="shared" si="110"/>
        <v>4945.81584159</v>
      </c>
      <c r="Q157" s="82">
        <f t="shared" si="111"/>
        <v>4945.81584159</v>
      </c>
      <c r="R157" s="68"/>
      <c r="T157" s="21">
        <f t="shared" si="85"/>
        <v>4945.81584159</v>
      </c>
      <c r="U157" s="21">
        <f t="shared" si="86"/>
        <v>63.444498</v>
      </c>
      <c r="V157" s="21" t="b">
        <f t="shared" si="87"/>
        <v>0</v>
      </c>
      <c r="W157" s="21" t="b">
        <f t="shared" si="88"/>
        <v>1</v>
      </c>
    </row>
    <row r="158" s="21" customFormat="1" ht="64.8" outlineLevel="1" spans="1:23">
      <c r="A158" s="68">
        <v>146</v>
      </c>
      <c r="B158" s="68" t="s">
        <v>360</v>
      </c>
      <c r="C158" s="68" t="s">
        <v>532</v>
      </c>
      <c r="D158" s="68" t="s">
        <v>111</v>
      </c>
      <c r="E158" s="68">
        <v>60.61</v>
      </c>
      <c r="F158" s="57">
        <v>60.61</v>
      </c>
      <c r="G158" s="70">
        <f t="shared" ref="G158:K158" si="116">G157</f>
        <v>15</v>
      </c>
      <c r="H158" s="67">
        <f t="shared" si="108"/>
        <v>60.77</v>
      </c>
      <c r="I158" s="75">
        <v>59</v>
      </c>
      <c r="J158" s="78">
        <f t="shared" si="116"/>
        <v>0.03</v>
      </c>
      <c r="K158" s="79">
        <f t="shared" si="116"/>
        <v>5</v>
      </c>
      <c r="L158" s="39">
        <f>(G158+H158+K158)*$L$5</f>
        <v>4.8462</v>
      </c>
      <c r="M158" s="39">
        <f>(G158+H158+K158+L158)*$M$5</f>
        <v>2.568486</v>
      </c>
      <c r="N158" s="67">
        <f t="shared" si="84"/>
        <v>132.277029</v>
      </c>
      <c r="O158" s="67"/>
      <c r="P158" s="67">
        <f t="shared" si="110"/>
        <v>8017.31072769</v>
      </c>
      <c r="Q158" s="82">
        <f t="shared" si="111"/>
        <v>8017.31072769</v>
      </c>
      <c r="R158" s="68"/>
      <c r="T158" s="21">
        <f t="shared" si="85"/>
        <v>8017.31072769</v>
      </c>
      <c r="U158" s="21">
        <f t="shared" si="86"/>
        <v>88.184686</v>
      </c>
      <c r="V158" s="21" t="b">
        <f t="shared" si="87"/>
        <v>0</v>
      </c>
      <c r="W158" s="21" t="b">
        <f t="shared" si="88"/>
        <v>1</v>
      </c>
    </row>
    <row r="159" s="21" customFormat="1" ht="75.6" outlineLevel="1" spans="1:23">
      <c r="A159" s="68">
        <v>147</v>
      </c>
      <c r="B159" s="68" t="s">
        <v>360</v>
      </c>
      <c r="C159" s="68" t="s">
        <v>533</v>
      </c>
      <c r="D159" s="68" t="s">
        <v>111</v>
      </c>
      <c r="E159" s="68">
        <v>41.93</v>
      </c>
      <c r="F159" s="57">
        <v>41.93</v>
      </c>
      <c r="G159" s="66">
        <v>18</v>
      </c>
      <c r="H159" s="67">
        <f t="shared" si="108"/>
        <v>287.37</v>
      </c>
      <c r="I159" s="75">
        <v>279</v>
      </c>
      <c r="J159" s="78">
        <f>J158</f>
        <v>0.03</v>
      </c>
      <c r="K159" s="79">
        <f>K157</f>
        <v>5</v>
      </c>
      <c r="L159" s="39">
        <f>(G159+H159+K159)*$L$5</f>
        <v>18.6222</v>
      </c>
      <c r="M159" s="39">
        <f>(G159+H159+K159+L159)*$M$5</f>
        <v>9.869766</v>
      </c>
      <c r="N159" s="67">
        <f t="shared" si="84"/>
        <v>508.292949</v>
      </c>
      <c r="O159" s="67"/>
      <c r="P159" s="67">
        <f t="shared" si="110"/>
        <v>21312.72335157</v>
      </c>
      <c r="Q159" s="82">
        <f t="shared" si="111"/>
        <v>21312.72335157</v>
      </c>
      <c r="R159" s="68"/>
      <c r="T159" s="21">
        <f t="shared" si="85"/>
        <v>21312.72335157</v>
      </c>
      <c r="U159" s="21">
        <f t="shared" si="86"/>
        <v>338.861966</v>
      </c>
      <c r="V159" s="21" t="b">
        <f t="shared" si="87"/>
        <v>0</v>
      </c>
      <c r="W159" s="21" t="b">
        <f t="shared" si="88"/>
        <v>1</v>
      </c>
    </row>
    <row r="160" s="21" customFormat="1" ht="64.8" outlineLevel="1" spans="1:23">
      <c r="A160" s="68">
        <v>148</v>
      </c>
      <c r="B160" s="68" t="s">
        <v>362</v>
      </c>
      <c r="C160" s="68" t="s">
        <v>534</v>
      </c>
      <c r="D160" s="68" t="s">
        <v>105</v>
      </c>
      <c r="E160" s="68">
        <v>2</v>
      </c>
      <c r="F160" s="57">
        <v>2</v>
      </c>
      <c r="G160" s="70">
        <f>G20</f>
        <v>50</v>
      </c>
      <c r="H160" s="67">
        <f t="shared" si="108"/>
        <v>8.08</v>
      </c>
      <c r="I160" s="75">
        <v>8</v>
      </c>
      <c r="J160" s="78">
        <v>0.01</v>
      </c>
      <c r="K160" s="79">
        <f>K20</f>
        <v>1</v>
      </c>
      <c r="L160" s="39">
        <f>(G160+H160+K160)*$L$5</f>
        <v>3.5448</v>
      </c>
      <c r="M160" s="39">
        <f>(G160+H160+K160+L160)*$M$5</f>
        <v>1.878744</v>
      </c>
      <c r="N160" s="67">
        <f t="shared" si="84"/>
        <v>96.755316</v>
      </c>
      <c r="O160" s="67"/>
      <c r="P160" s="67">
        <f t="shared" si="110"/>
        <v>193.510632</v>
      </c>
      <c r="Q160" s="82">
        <f t="shared" si="111"/>
        <v>193.510632</v>
      </c>
      <c r="R160" s="68"/>
      <c r="T160" s="21">
        <f t="shared" si="85"/>
        <v>193.510632</v>
      </c>
      <c r="U160" s="21">
        <f t="shared" si="86"/>
        <v>64.503544</v>
      </c>
      <c r="V160" s="21" t="b">
        <f t="shared" si="87"/>
        <v>0</v>
      </c>
      <c r="W160" s="21" t="b">
        <f t="shared" si="88"/>
        <v>1</v>
      </c>
    </row>
    <row r="161" s="21" customFormat="1" ht="64.8" outlineLevel="1" spans="1:23">
      <c r="A161" s="68">
        <v>149</v>
      </c>
      <c r="B161" s="68" t="s">
        <v>362</v>
      </c>
      <c r="C161" s="68" t="s">
        <v>535</v>
      </c>
      <c r="D161" s="68" t="s">
        <v>105</v>
      </c>
      <c r="E161" s="68">
        <v>10</v>
      </c>
      <c r="F161" s="57">
        <v>10</v>
      </c>
      <c r="G161" s="83">
        <f>G20</f>
        <v>50</v>
      </c>
      <c r="H161" s="67">
        <f t="shared" si="108"/>
        <v>12.12</v>
      </c>
      <c r="I161" s="75">
        <v>12</v>
      </c>
      <c r="J161" s="78">
        <f>J160</f>
        <v>0.01</v>
      </c>
      <c r="K161" s="79">
        <f>K20</f>
        <v>1</v>
      </c>
      <c r="L161" s="39">
        <f>(G161+H161+K161)*$L$5</f>
        <v>3.7872</v>
      </c>
      <c r="M161" s="39">
        <f>(G161+H161+K161+L161)*$M$5</f>
        <v>2.007216</v>
      </c>
      <c r="N161" s="67">
        <f t="shared" si="84"/>
        <v>103.371624</v>
      </c>
      <c r="O161" s="67"/>
      <c r="P161" s="67">
        <f t="shared" si="110"/>
        <v>1033.71624</v>
      </c>
      <c r="Q161" s="82">
        <f t="shared" si="111"/>
        <v>1033.71624</v>
      </c>
      <c r="R161" s="68"/>
      <c r="T161" s="21">
        <f t="shared" si="85"/>
        <v>1033.71624</v>
      </c>
      <c r="U161" s="21">
        <f t="shared" si="86"/>
        <v>68.914416</v>
      </c>
      <c r="V161" s="21" t="b">
        <f t="shared" si="87"/>
        <v>0</v>
      </c>
      <c r="W161" s="21" t="b">
        <f t="shared" si="88"/>
        <v>1</v>
      </c>
    </row>
    <row r="162" s="21" customFormat="1" ht="64.8" outlineLevel="1" spans="1:23">
      <c r="A162" s="68">
        <v>150</v>
      </c>
      <c r="B162" s="68" t="s">
        <v>362</v>
      </c>
      <c r="C162" s="68" t="s">
        <v>536</v>
      </c>
      <c r="D162" s="68" t="s">
        <v>105</v>
      </c>
      <c r="E162" s="68">
        <v>2</v>
      </c>
      <c r="F162" s="57">
        <v>2</v>
      </c>
      <c r="G162" s="83">
        <f>G20</f>
        <v>50</v>
      </c>
      <c r="H162" s="67">
        <f t="shared" si="108"/>
        <v>32.32</v>
      </c>
      <c r="I162" s="75">
        <v>32</v>
      </c>
      <c r="J162" s="78">
        <f>J160</f>
        <v>0.01</v>
      </c>
      <c r="K162" s="79">
        <f>K20</f>
        <v>1</v>
      </c>
      <c r="L162" s="39">
        <f>(G162+H162+K162)*$L$5</f>
        <v>4.9992</v>
      </c>
      <c r="M162" s="39">
        <f>(G162+H162+K162+L162)*$M$5</f>
        <v>2.649576</v>
      </c>
      <c r="N162" s="67">
        <f t="shared" si="84"/>
        <v>136.453164</v>
      </c>
      <c r="O162" s="67"/>
      <c r="P162" s="67">
        <f t="shared" si="110"/>
        <v>272.906328</v>
      </c>
      <c r="Q162" s="82">
        <f t="shared" si="111"/>
        <v>272.906328</v>
      </c>
      <c r="R162" s="68"/>
      <c r="T162" s="21">
        <f t="shared" si="85"/>
        <v>272.906328</v>
      </c>
      <c r="U162" s="21">
        <f t="shared" si="86"/>
        <v>90.968776</v>
      </c>
      <c r="V162" s="21" t="b">
        <f t="shared" si="87"/>
        <v>0</v>
      </c>
      <c r="W162" s="21" t="b">
        <f t="shared" si="88"/>
        <v>1</v>
      </c>
    </row>
    <row r="163" s="21" customFormat="1" ht="64.8" outlineLevel="1" spans="1:23">
      <c r="A163" s="65">
        <v>151</v>
      </c>
      <c r="B163" s="65" t="s">
        <v>364</v>
      </c>
      <c r="C163" s="65" t="s">
        <v>365</v>
      </c>
      <c r="D163" s="65" t="s">
        <v>111</v>
      </c>
      <c r="E163" s="65">
        <v>208.74</v>
      </c>
      <c r="F163" s="57">
        <v>208.74</v>
      </c>
      <c r="G163" s="65">
        <f>G21</f>
        <v>3</v>
      </c>
      <c r="H163" s="67">
        <f t="shared" si="108"/>
        <v>4.06</v>
      </c>
      <c r="I163" s="80">
        <f>I59</f>
        <v>3.5</v>
      </c>
      <c r="J163" s="78">
        <f>J53</f>
        <v>0.16</v>
      </c>
      <c r="K163" s="79">
        <f>K53</f>
        <v>0.5</v>
      </c>
      <c r="L163" s="39">
        <f>(G163+H163+K163)*$L$5</f>
        <v>0.4536</v>
      </c>
      <c r="M163" s="39">
        <f>(G163+H163+K163+L163)*$M$5</f>
        <v>0.240408</v>
      </c>
      <c r="N163" s="67">
        <f t="shared" si="84"/>
        <v>12.381012</v>
      </c>
      <c r="O163" s="67"/>
      <c r="P163" s="67">
        <f t="shared" si="110"/>
        <v>2584.41244488</v>
      </c>
      <c r="Q163" s="82">
        <f t="shared" si="111"/>
        <v>2584.41244488</v>
      </c>
      <c r="R163" s="65"/>
      <c r="T163" s="21">
        <f t="shared" si="85"/>
        <v>2584.41244488</v>
      </c>
      <c r="U163" s="21">
        <f t="shared" si="86"/>
        <v>8.254008</v>
      </c>
      <c r="V163" s="21" t="b">
        <f t="shared" si="87"/>
        <v>0</v>
      </c>
      <c r="W163" s="21" t="b">
        <f t="shared" si="88"/>
        <v>1</v>
      </c>
    </row>
    <row r="164" s="21" customFormat="1" ht="64.8" outlineLevel="1" spans="1:23">
      <c r="A164" s="65">
        <v>152</v>
      </c>
      <c r="B164" s="65" t="s">
        <v>364</v>
      </c>
      <c r="C164" s="65" t="s">
        <v>366</v>
      </c>
      <c r="D164" s="65" t="s">
        <v>111</v>
      </c>
      <c r="E164" s="65">
        <v>1003.72</v>
      </c>
      <c r="F164" s="57">
        <v>1003.72</v>
      </c>
      <c r="G164" s="65">
        <f>G21</f>
        <v>3</v>
      </c>
      <c r="H164" s="67">
        <f t="shared" si="108"/>
        <v>3.016</v>
      </c>
      <c r="I164" s="80">
        <f>I22</f>
        <v>2.6</v>
      </c>
      <c r="J164" s="78">
        <f>J53</f>
        <v>0.16</v>
      </c>
      <c r="K164" s="79">
        <f>K53</f>
        <v>0.5</v>
      </c>
      <c r="L164" s="39">
        <f>(G164+H164+K164)*$L$5</f>
        <v>0.39096</v>
      </c>
      <c r="M164" s="39">
        <f>(G164+H164+K164+L164)*$M$5</f>
        <v>0.2072088</v>
      </c>
      <c r="N164" s="67">
        <f t="shared" si="84"/>
        <v>10.6712532</v>
      </c>
      <c r="O164" s="67"/>
      <c r="P164" s="67">
        <f t="shared" si="110"/>
        <v>10710.950261904</v>
      </c>
      <c r="Q164" s="82">
        <f t="shared" si="111"/>
        <v>10710.950261904</v>
      </c>
      <c r="R164" s="65"/>
      <c r="T164" s="21">
        <f t="shared" si="85"/>
        <v>10710.950261904</v>
      </c>
      <c r="U164" s="21">
        <f t="shared" si="86"/>
        <v>7.1141688</v>
      </c>
      <c r="V164" s="21" t="b">
        <f t="shared" si="87"/>
        <v>0</v>
      </c>
      <c r="W164" s="21" t="b">
        <f t="shared" si="88"/>
        <v>1</v>
      </c>
    </row>
    <row r="165" s="21" customFormat="1" ht="54" outlineLevel="1" spans="1:23">
      <c r="A165" s="65">
        <v>153</v>
      </c>
      <c r="B165" s="65" t="s">
        <v>364</v>
      </c>
      <c r="C165" s="65" t="s">
        <v>368</v>
      </c>
      <c r="D165" s="65" t="s">
        <v>111</v>
      </c>
      <c r="E165" s="65">
        <v>373.07</v>
      </c>
      <c r="F165" s="57">
        <v>373.07</v>
      </c>
      <c r="G165" s="65">
        <f>G21</f>
        <v>3</v>
      </c>
      <c r="H165" s="67">
        <f t="shared" si="108"/>
        <v>3.944</v>
      </c>
      <c r="I165" s="80">
        <f>I24</f>
        <v>3.4</v>
      </c>
      <c r="J165" s="78">
        <f>J54</f>
        <v>0.16</v>
      </c>
      <c r="K165" s="79">
        <f>K53</f>
        <v>0.5</v>
      </c>
      <c r="L165" s="39">
        <f>(G165+H165+K165)*$L$5</f>
        <v>0.44664</v>
      </c>
      <c r="M165" s="39">
        <f>(G165+H165+K165+L165)*$M$5</f>
        <v>0.2367192</v>
      </c>
      <c r="N165" s="67">
        <f t="shared" si="84"/>
        <v>12.1910388</v>
      </c>
      <c r="O165" s="67"/>
      <c r="P165" s="67">
        <f t="shared" si="110"/>
        <v>4548.110845116</v>
      </c>
      <c r="Q165" s="82">
        <f t="shared" si="111"/>
        <v>4548.110845116</v>
      </c>
      <c r="R165" s="65"/>
      <c r="T165" s="21">
        <f t="shared" si="85"/>
        <v>4548.110845116</v>
      </c>
      <c r="U165" s="21">
        <f t="shared" si="86"/>
        <v>8.1273592</v>
      </c>
      <c r="V165" s="21" t="b">
        <f t="shared" si="87"/>
        <v>0</v>
      </c>
      <c r="W165" s="21" t="b">
        <f t="shared" si="88"/>
        <v>1</v>
      </c>
    </row>
    <row r="166" s="21" customFormat="1" ht="54" outlineLevel="1" spans="1:23">
      <c r="A166" s="65">
        <v>154</v>
      </c>
      <c r="B166" s="65" t="s">
        <v>370</v>
      </c>
      <c r="C166" s="65" t="s">
        <v>371</v>
      </c>
      <c r="D166" s="65" t="s">
        <v>283</v>
      </c>
      <c r="E166" s="65">
        <v>55</v>
      </c>
      <c r="F166" s="57">
        <v>55</v>
      </c>
      <c r="G166" s="65">
        <f t="shared" ref="G166:K166" si="117">G26</f>
        <v>20</v>
      </c>
      <c r="H166" s="67">
        <f t="shared" si="108"/>
        <v>146.45</v>
      </c>
      <c r="I166" s="80">
        <f t="shared" si="117"/>
        <v>145</v>
      </c>
      <c r="J166" s="74">
        <f t="shared" si="117"/>
        <v>0.01</v>
      </c>
      <c r="K166" s="58">
        <f t="shared" si="117"/>
        <v>5</v>
      </c>
      <c r="L166" s="39">
        <f>(G166+H166+K166)*$L$5</f>
        <v>10.287</v>
      </c>
      <c r="M166" s="39">
        <f>(G166+H166+K166+L166)*$M$5</f>
        <v>5.45211</v>
      </c>
      <c r="N166" s="67">
        <f t="shared" si="84"/>
        <v>280.783665</v>
      </c>
      <c r="O166" s="67"/>
      <c r="P166" s="67">
        <f t="shared" si="110"/>
        <v>15443.101575</v>
      </c>
      <c r="Q166" s="82">
        <f t="shared" si="111"/>
        <v>15443.101575</v>
      </c>
      <c r="R166" s="65"/>
      <c r="T166" s="21">
        <f t="shared" si="85"/>
        <v>15443.101575</v>
      </c>
      <c r="U166" s="21">
        <f t="shared" si="86"/>
        <v>187.18911</v>
      </c>
      <c r="V166" s="21" t="b">
        <f t="shared" si="87"/>
        <v>0</v>
      </c>
      <c r="W166" s="21" t="b">
        <f t="shared" si="88"/>
        <v>1</v>
      </c>
    </row>
    <row r="167" s="21" customFormat="1" ht="54" outlineLevel="1" spans="1:23">
      <c r="A167" s="65">
        <v>155</v>
      </c>
      <c r="B167" s="65" t="s">
        <v>370</v>
      </c>
      <c r="C167" s="65" t="s">
        <v>537</v>
      </c>
      <c r="D167" s="65" t="s">
        <v>283</v>
      </c>
      <c r="E167" s="65">
        <v>17</v>
      </c>
      <c r="F167" s="57">
        <v>17</v>
      </c>
      <c r="G167" s="65">
        <f t="shared" ref="G167:K167" si="118">G26</f>
        <v>20</v>
      </c>
      <c r="H167" s="67">
        <f t="shared" si="108"/>
        <v>267.65</v>
      </c>
      <c r="I167" s="75">
        <v>265</v>
      </c>
      <c r="J167" s="74">
        <f t="shared" si="118"/>
        <v>0.01</v>
      </c>
      <c r="K167" s="58">
        <f t="shared" si="118"/>
        <v>5</v>
      </c>
      <c r="L167" s="39">
        <f>(G167+H167+K167)*$L$5</f>
        <v>17.559</v>
      </c>
      <c r="M167" s="39">
        <f>(G167+H167+K167+L167)*$M$5</f>
        <v>9.30627</v>
      </c>
      <c r="N167" s="67">
        <f t="shared" si="84"/>
        <v>479.272905</v>
      </c>
      <c r="O167" s="67"/>
      <c r="P167" s="67">
        <f t="shared" si="110"/>
        <v>8147.639385</v>
      </c>
      <c r="Q167" s="82">
        <f t="shared" si="111"/>
        <v>8147.639385</v>
      </c>
      <c r="R167" s="65"/>
      <c r="T167" s="21">
        <f t="shared" si="85"/>
        <v>8147.639385</v>
      </c>
      <c r="U167" s="21">
        <f t="shared" si="86"/>
        <v>319.51527</v>
      </c>
      <c r="V167" s="21" t="b">
        <f t="shared" si="87"/>
        <v>0</v>
      </c>
      <c r="W167" s="21" t="b">
        <f t="shared" si="88"/>
        <v>1</v>
      </c>
    </row>
    <row r="168" s="21" customFormat="1" ht="54" outlineLevel="1" spans="1:23">
      <c r="A168" s="65">
        <v>156</v>
      </c>
      <c r="B168" s="65" t="s">
        <v>370</v>
      </c>
      <c r="C168" s="65" t="s">
        <v>374</v>
      </c>
      <c r="D168" s="65" t="s">
        <v>283</v>
      </c>
      <c r="E168" s="65">
        <v>6</v>
      </c>
      <c r="F168" s="57">
        <v>6</v>
      </c>
      <c r="G168" s="65">
        <f t="shared" ref="G168:K168" si="119">G28</f>
        <v>0</v>
      </c>
      <c r="H168" s="67">
        <f t="shared" si="108"/>
        <v>0</v>
      </c>
      <c r="I168" s="65">
        <f t="shared" si="119"/>
        <v>0</v>
      </c>
      <c r="J168" s="74">
        <f t="shared" si="119"/>
        <v>0</v>
      </c>
      <c r="K168" s="58">
        <f t="shared" si="119"/>
        <v>0</v>
      </c>
      <c r="L168" s="39">
        <f>(G168+H168+K168)*$L$5</f>
        <v>0</v>
      </c>
      <c r="M168" s="39">
        <f>(G168+H168+K168+L168)*$M$5</f>
        <v>0</v>
      </c>
      <c r="N168" s="67">
        <f t="shared" si="84"/>
        <v>0</v>
      </c>
      <c r="O168" s="67"/>
      <c r="P168" s="67">
        <f t="shared" si="110"/>
        <v>0</v>
      </c>
      <c r="Q168" s="82">
        <f t="shared" si="111"/>
        <v>0</v>
      </c>
      <c r="R168" s="65" t="s">
        <v>375</v>
      </c>
      <c r="T168" s="21">
        <f t="shared" si="85"/>
        <v>0</v>
      </c>
      <c r="U168" s="21">
        <f t="shared" si="86"/>
        <v>0</v>
      </c>
      <c r="V168" s="21" t="b">
        <f t="shared" si="87"/>
        <v>1</v>
      </c>
      <c r="W168" s="21" t="b">
        <f t="shared" si="88"/>
        <v>1</v>
      </c>
    </row>
    <row r="169" s="21" customFormat="1" ht="54" outlineLevel="1" spans="1:23">
      <c r="A169" s="65">
        <v>157</v>
      </c>
      <c r="B169" s="65" t="s">
        <v>370</v>
      </c>
      <c r="C169" s="65" t="s">
        <v>538</v>
      </c>
      <c r="D169" s="65" t="s">
        <v>111</v>
      </c>
      <c r="E169" s="65">
        <v>27.68</v>
      </c>
      <c r="F169" s="57">
        <v>27.68</v>
      </c>
      <c r="G169" s="65">
        <f t="shared" ref="G169:K169" si="120">G26</f>
        <v>20</v>
      </c>
      <c r="H169" s="67">
        <f t="shared" si="108"/>
        <v>25.25</v>
      </c>
      <c r="I169" s="80">
        <f>I29</f>
        <v>25</v>
      </c>
      <c r="J169" s="74">
        <f t="shared" si="120"/>
        <v>0.01</v>
      </c>
      <c r="K169" s="58">
        <f t="shared" si="120"/>
        <v>5</v>
      </c>
      <c r="L169" s="39">
        <f>(G169+H169+K169)*$L$5</f>
        <v>3.015</v>
      </c>
      <c r="M169" s="39">
        <f>(G169+H169+K169+L169)*$M$5</f>
        <v>1.59795</v>
      </c>
      <c r="N169" s="67">
        <f t="shared" si="84"/>
        <v>82.294425</v>
      </c>
      <c r="O169" s="67"/>
      <c r="P169" s="67">
        <f t="shared" si="110"/>
        <v>2277.909684</v>
      </c>
      <c r="Q169" s="82">
        <f t="shared" si="111"/>
        <v>2277.909684</v>
      </c>
      <c r="R169" s="65"/>
      <c r="T169" s="21">
        <f t="shared" si="85"/>
        <v>2277.909684</v>
      </c>
      <c r="U169" s="21">
        <f t="shared" si="86"/>
        <v>54.86295</v>
      </c>
      <c r="V169" s="21" t="b">
        <f t="shared" si="87"/>
        <v>0</v>
      </c>
      <c r="W169" s="21" t="b">
        <f t="shared" si="88"/>
        <v>1</v>
      </c>
    </row>
    <row r="170" s="21" customFormat="1" ht="32.4" outlineLevel="1" spans="1:23">
      <c r="A170" s="65">
        <v>158</v>
      </c>
      <c r="B170" s="65" t="s">
        <v>379</v>
      </c>
      <c r="C170" s="65" t="s">
        <v>380</v>
      </c>
      <c r="D170" s="65" t="s">
        <v>105</v>
      </c>
      <c r="E170" s="65">
        <v>1</v>
      </c>
      <c r="F170" s="57">
        <v>1</v>
      </c>
      <c r="G170" s="65">
        <f t="shared" ref="G170:K170" si="121">G32</f>
        <v>15</v>
      </c>
      <c r="H170" s="67">
        <f t="shared" si="108"/>
        <v>28.28</v>
      </c>
      <c r="I170" s="80">
        <f t="shared" si="121"/>
        <v>28</v>
      </c>
      <c r="J170" s="78">
        <f t="shared" si="121"/>
        <v>0.01</v>
      </c>
      <c r="K170" s="79">
        <f t="shared" si="121"/>
        <v>5</v>
      </c>
      <c r="L170" s="39">
        <f>(G170+H170+K170)*$L$5</f>
        <v>2.8968</v>
      </c>
      <c r="M170" s="39">
        <f>(G170+H170+K170+L170)*$M$5</f>
        <v>1.535304</v>
      </c>
      <c r="N170" s="67">
        <f t="shared" si="84"/>
        <v>79.068156</v>
      </c>
      <c r="O170" s="67"/>
      <c r="P170" s="67">
        <f t="shared" si="110"/>
        <v>79.068156</v>
      </c>
      <c r="Q170" s="82">
        <f t="shared" si="111"/>
        <v>79.068156</v>
      </c>
      <c r="R170" s="65"/>
      <c r="T170" s="21">
        <f t="shared" si="85"/>
        <v>79.068156</v>
      </c>
      <c r="U170" s="21">
        <f t="shared" si="86"/>
        <v>52.712104</v>
      </c>
      <c r="V170" s="21" t="b">
        <f t="shared" si="87"/>
        <v>0</v>
      </c>
      <c r="W170" s="21" t="b">
        <f t="shared" si="88"/>
        <v>1</v>
      </c>
    </row>
    <row r="171" s="21" customFormat="1" ht="32.4" outlineLevel="1" spans="1:23">
      <c r="A171" s="65">
        <v>159</v>
      </c>
      <c r="B171" s="65" t="s">
        <v>379</v>
      </c>
      <c r="C171" s="65" t="s">
        <v>383</v>
      </c>
      <c r="D171" s="65" t="s">
        <v>105</v>
      </c>
      <c r="E171" s="65">
        <v>5</v>
      </c>
      <c r="F171" s="57">
        <v>5</v>
      </c>
      <c r="G171" s="65">
        <f t="shared" ref="G171:K171" si="122">G32</f>
        <v>15</v>
      </c>
      <c r="H171" s="67">
        <f t="shared" si="108"/>
        <v>61.61</v>
      </c>
      <c r="I171" s="80">
        <f>I34</f>
        <v>61</v>
      </c>
      <c r="J171" s="78">
        <f t="shared" si="122"/>
        <v>0.01</v>
      </c>
      <c r="K171" s="79">
        <f t="shared" si="122"/>
        <v>5</v>
      </c>
      <c r="L171" s="39">
        <f>(G171+H171+K171)*$L$5</f>
        <v>4.8966</v>
      </c>
      <c r="M171" s="39">
        <f>(G171+H171+K171+L171)*$M$5</f>
        <v>2.595198</v>
      </c>
      <c r="N171" s="67">
        <f t="shared" si="84"/>
        <v>133.652697</v>
      </c>
      <c r="O171" s="67"/>
      <c r="P171" s="67">
        <f t="shared" si="110"/>
        <v>668.263485</v>
      </c>
      <c r="Q171" s="82">
        <f t="shared" si="111"/>
        <v>668.263485</v>
      </c>
      <c r="R171" s="65"/>
      <c r="T171" s="21">
        <f t="shared" si="85"/>
        <v>668.263485</v>
      </c>
      <c r="U171" s="21">
        <f t="shared" si="86"/>
        <v>89.101798</v>
      </c>
      <c r="V171" s="21" t="b">
        <f t="shared" si="87"/>
        <v>0</v>
      </c>
      <c r="W171" s="21" t="b">
        <f t="shared" si="88"/>
        <v>1</v>
      </c>
    </row>
    <row r="172" s="21" customFormat="1" ht="32.4" outlineLevel="1" spans="1:23">
      <c r="A172" s="65">
        <v>160</v>
      </c>
      <c r="B172" s="65" t="s">
        <v>379</v>
      </c>
      <c r="C172" s="65" t="s">
        <v>539</v>
      </c>
      <c r="D172" s="65" t="s">
        <v>105</v>
      </c>
      <c r="E172" s="65">
        <v>1</v>
      </c>
      <c r="F172" s="57">
        <v>1</v>
      </c>
      <c r="G172" s="65">
        <f t="shared" ref="G172:K172" si="123">G32</f>
        <v>15</v>
      </c>
      <c r="H172" s="67">
        <f t="shared" si="108"/>
        <v>55.55</v>
      </c>
      <c r="I172" s="75">
        <v>55</v>
      </c>
      <c r="J172" s="78">
        <f t="shared" si="123"/>
        <v>0.01</v>
      </c>
      <c r="K172" s="79">
        <f t="shared" si="123"/>
        <v>5</v>
      </c>
      <c r="L172" s="39">
        <f>(G172+H172+K172)*$L$5</f>
        <v>4.533</v>
      </c>
      <c r="M172" s="39">
        <f>(G172+H172+K172+L172)*$M$5</f>
        <v>2.40249</v>
      </c>
      <c r="N172" s="67">
        <f t="shared" si="84"/>
        <v>123.728235</v>
      </c>
      <c r="O172" s="67"/>
      <c r="P172" s="67">
        <f t="shared" si="110"/>
        <v>123.728235</v>
      </c>
      <c r="Q172" s="82">
        <f t="shared" si="111"/>
        <v>123.728235</v>
      </c>
      <c r="R172" s="65"/>
      <c r="T172" s="21">
        <f t="shared" si="85"/>
        <v>123.728235</v>
      </c>
      <c r="U172" s="21">
        <f t="shared" si="86"/>
        <v>82.48549</v>
      </c>
      <c r="V172" s="21" t="b">
        <f t="shared" si="87"/>
        <v>0</v>
      </c>
      <c r="W172" s="21" t="b">
        <f t="shared" si="88"/>
        <v>1</v>
      </c>
    </row>
    <row r="173" s="21" customFormat="1" ht="32.4" outlineLevel="1" spans="1:23">
      <c r="A173" s="65">
        <v>161</v>
      </c>
      <c r="B173" s="65" t="s">
        <v>379</v>
      </c>
      <c r="C173" s="65" t="s">
        <v>540</v>
      </c>
      <c r="D173" s="65" t="s">
        <v>105</v>
      </c>
      <c r="E173" s="65">
        <v>1</v>
      </c>
      <c r="F173" s="57">
        <v>1</v>
      </c>
      <c r="G173" s="65">
        <f t="shared" ref="G173:K173" si="124">G32</f>
        <v>15</v>
      </c>
      <c r="H173" s="67">
        <f t="shared" si="108"/>
        <v>166.65</v>
      </c>
      <c r="I173" s="75">
        <v>165</v>
      </c>
      <c r="J173" s="78">
        <f t="shared" si="124"/>
        <v>0.01</v>
      </c>
      <c r="K173" s="79">
        <f t="shared" si="124"/>
        <v>5</v>
      </c>
      <c r="L173" s="39">
        <f>(G173+H173+K173)*$L$5</f>
        <v>11.199</v>
      </c>
      <c r="M173" s="39">
        <f>(G173+H173+K173+L173)*$M$5</f>
        <v>5.93547</v>
      </c>
      <c r="N173" s="67">
        <f t="shared" si="84"/>
        <v>305.676705</v>
      </c>
      <c r="O173" s="67"/>
      <c r="P173" s="67">
        <f t="shared" si="110"/>
        <v>305.676705</v>
      </c>
      <c r="Q173" s="82">
        <f t="shared" si="111"/>
        <v>305.676705</v>
      </c>
      <c r="R173" s="65"/>
      <c r="T173" s="21">
        <f t="shared" si="85"/>
        <v>305.676705</v>
      </c>
      <c r="U173" s="21">
        <f t="shared" si="86"/>
        <v>203.78447</v>
      </c>
      <c r="V173" s="21" t="b">
        <f t="shared" si="87"/>
        <v>0</v>
      </c>
      <c r="W173" s="21" t="b">
        <f t="shared" si="88"/>
        <v>1</v>
      </c>
    </row>
    <row r="174" s="21" customFormat="1" ht="32.4" outlineLevel="1" spans="1:23">
      <c r="A174" s="65">
        <v>162</v>
      </c>
      <c r="B174" s="65" t="s">
        <v>385</v>
      </c>
      <c r="C174" s="65" t="s">
        <v>386</v>
      </c>
      <c r="D174" s="65" t="s">
        <v>105</v>
      </c>
      <c r="E174" s="65">
        <v>4</v>
      </c>
      <c r="F174" s="57">
        <v>4</v>
      </c>
      <c r="G174" s="65">
        <f t="shared" ref="G174:K174" si="125">G36</f>
        <v>25</v>
      </c>
      <c r="H174" s="67">
        <f t="shared" si="108"/>
        <v>186.85</v>
      </c>
      <c r="I174" s="80">
        <f t="shared" si="125"/>
        <v>185</v>
      </c>
      <c r="J174" s="78">
        <f t="shared" si="125"/>
        <v>0.01</v>
      </c>
      <c r="K174" s="79">
        <f t="shared" si="125"/>
        <v>5</v>
      </c>
      <c r="L174" s="39">
        <f>(G174+H174+K174)*$L$5</f>
        <v>13.011</v>
      </c>
      <c r="M174" s="39">
        <f>(G174+H174+K174+L174)*$M$5</f>
        <v>6.89583</v>
      </c>
      <c r="N174" s="67">
        <f t="shared" si="84"/>
        <v>355.135245</v>
      </c>
      <c r="O174" s="67"/>
      <c r="P174" s="67">
        <f t="shared" si="110"/>
        <v>1420.54098</v>
      </c>
      <c r="Q174" s="82">
        <f t="shared" si="111"/>
        <v>1420.54098</v>
      </c>
      <c r="R174" s="65"/>
      <c r="T174" s="21">
        <f t="shared" si="85"/>
        <v>1420.54098</v>
      </c>
      <c r="U174" s="21">
        <f t="shared" si="86"/>
        <v>236.75683</v>
      </c>
      <c r="V174" s="21" t="b">
        <f t="shared" si="87"/>
        <v>0</v>
      </c>
      <c r="W174" s="21" t="b">
        <f t="shared" si="88"/>
        <v>1</v>
      </c>
    </row>
    <row r="175" s="21" customFormat="1" ht="32.4" outlineLevel="1" spans="1:23">
      <c r="A175" s="65">
        <v>163</v>
      </c>
      <c r="B175" s="65" t="s">
        <v>387</v>
      </c>
      <c r="C175" s="65" t="s">
        <v>388</v>
      </c>
      <c r="D175" s="65" t="s">
        <v>105</v>
      </c>
      <c r="E175" s="65">
        <v>13</v>
      </c>
      <c r="F175" s="57">
        <v>13</v>
      </c>
      <c r="G175" s="65">
        <f>G37</f>
        <v>15</v>
      </c>
      <c r="H175" s="67">
        <f t="shared" si="108"/>
        <v>28.28</v>
      </c>
      <c r="I175" s="80">
        <f t="shared" ref="I175:I178" si="126">I37</f>
        <v>28</v>
      </c>
      <c r="J175" s="78">
        <f>J32</f>
        <v>0.01</v>
      </c>
      <c r="K175" s="79">
        <f>K32</f>
        <v>5</v>
      </c>
      <c r="L175" s="39">
        <f>(G175+H175+K175)*$L$5</f>
        <v>2.8968</v>
      </c>
      <c r="M175" s="39">
        <f>(G175+H175+K175+L175)*$M$5</f>
        <v>1.535304</v>
      </c>
      <c r="N175" s="67">
        <f t="shared" si="84"/>
        <v>79.068156</v>
      </c>
      <c r="O175" s="67"/>
      <c r="P175" s="67">
        <f t="shared" si="110"/>
        <v>1027.886028</v>
      </c>
      <c r="Q175" s="82">
        <f t="shared" si="111"/>
        <v>1027.886028</v>
      </c>
      <c r="R175" s="65"/>
      <c r="T175" s="21">
        <f t="shared" si="85"/>
        <v>1027.886028</v>
      </c>
      <c r="U175" s="21">
        <f t="shared" si="86"/>
        <v>52.712104</v>
      </c>
      <c r="V175" s="21" t="b">
        <f t="shared" si="87"/>
        <v>0</v>
      </c>
      <c r="W175" s="21" t="b">
        <f t="shared" si="88"/>
        <v>1</v>
      </c>
    </row>
    <row r="176" s="21" customFormat="1" ht="43.2" outlineLevel="1" spans="1:23">
      <c r="A176" s="65">
        <v>164</v>
      </c>
      <c r="B176" s="65" t="s">
        <v>387</v>
      </c>
      <c r="C176" s="65" t="s">
        <v>389</v>
      </c>
      <c r="D176" s="65" t="s">
        <v>105</v>
      </c>
      <c r="E176" s="65">
        <v>3</v>
      </c>
      <c r="F176" s="57">
        <v>3</v>
      </c>
      <c r="G176" s="65">
        <f>G37</f>
        <v>15</v>
      </c>
      <c r="H176" s="67">
        <f t="shared" si="108"/>
        <v>267.65</v>
      </c>
      <c r="I176" s="80">
        <f t="shared" si="126"/>
        <v>265</v>
      </c>
      <c r="J176" s="78">
        <f>J32</f>
        <v>0.01</v>
      </c>
      <c r="K176" s="79">
        <f>K32</f>
        <v>5</v>
      </c>
      <c r="L176" s="39">
        <f>(G176+H176+K176)*$L$5</f>
        <v>17.259</v>
      </c>
      <c r="M176" s="39">
        <f>(G176+H176+K176+L176)*$M$5</f>
        <v>9.14727</v>
      </c>
      <c r="N176" s="67">
        <f t="shared" si="84"/>
        <v>471.084405</v>
      </c>
      <c r="O176" s="67"/>
      <c r="P176" s="67">
        <f t="shared" si="110"/>
        <v>1413.253215</v>
      </c>
      <c r="Q176" s="82">
        <f t="shared" si="111"/>
        <v>1413.253215</v>
      </c>
      <c r="R176" s="65"/>
      <c r="T176" s="21">
        <f t="shared" si="85"/>
        <v>1413.253215</v>
      </c>
      <c r="U176" s="21">
        <f t="shared" si="86"/>
        <v>314.05627</v>
      </c>
      <c r="V176" s="21" t="b">
        <f t="shared" si="87"/>
        <v>0</v>
      </c>
      <c r="W176" s="21" t="b">
        <f t="shared" si="88"/>
        <v>1</v>
      </c>
    </row>
    <row r="177" s="21" customFormat="1" ht="32.4" outlineLevel="1" spans="1:23">
      <c r="A177" s="65">
        <v>165</v>
      </c>
      <c r="B177" s="65" t="s">
        <v>391</v>
      </c>
      <c r="C177" s="65" t="s">
        <v>392</v>
      </c>
      <c r="D177" s="65" t="s">
        <v>105</v>
      </c>
      <c r="E177" s="65">
        <v>28</v>
      </c>
      <c r="F177" s="57">
        <v>28</v>
      </c>
      <c r="G177" s="65">
        <f t="shared" ref="G177:K177" si="127">G40</f>
        <v>5</v>
      </c>
      <c r="H177" s="67">
        <f t="shared" si="108"/>
        <v>3.3128</v>
      </c>
      <c r="I177" s="80">
        <f t="shared" si="127"/>
        <v>3.28</v>
      </c>
      <c r="J177" s="78">
        <f t="shared" si="127"/>
        <v>0.01</v>
      </c>
      <c r="K177" s="79">
        <f t="shared" si="127"/>
        <v>2</v>
      </c>
      <c r="L177" s="39">
        <f>(G177+H177+K177)*$L$5</f>
        <v>0.618768</v>
      </c>
      <c r="M177" s="39">
        <f>(G177+H177+K177+L177)*$M$5</f>
        <v>0.32794704</v>
      </c>
      <c r="N177" s="67">
        <f t="shared" si="84"/>
        <v>16.88927256</v>
      </c>
      <c r="O177" s="67"/>
      <c r="P177" s="67">
        <f t="shared" si="110"/>
        <v>472.89963168</v>
      </c>
      <c r="Q177" s="82">
        <f t="shared" si="111"/>
        <v>472.89963168</v>
      </c>
      <c r="R177" s="65"/>
      <c r="T177" s="21">
        <f t="shared" si="85"/>
        <v>472.89963168</v>
      </c>
      <c r="U177" s="21">
        <f t="shared" si="86"/>
        <v>11.25951504</v>
      </c>
      <c r="V177" s="21" t="b">
        <f t="shared" si="87"/>
        <v>0</v>
      </c>
      <c r="W177" s="21" t="b">
        <f t="shared" si="88"/>
        <v>1</v>
      </c>
    </row>
    <row r="178" s="21" customFormat="1" ht="32.4" outlineLevel="1" spans="1:23">
      <c r="A178" s="68">
        <v>166</v>
      </c>
      <c r="B178" s="68" t="s">
        <v>391</v>
      </c>
      <c r="C178" s="68" t="s">
        <v>393</v>
      </c>
      <c r="D178" s="68" t="s">
        <v>105</v>
      </c>
      <c r="E178" s="68">
        <v>102</v>
      </c>
      <c r="F178" s="57">
        <v>102</v>
      </c>
      <c r="G178" s="68">
        <f t="shared" ref="G178:K178" si="128">G40</f>
        <v>5</v>
      </c>
      <c r="H178" s="67">
        <f t="shared" si="108"/>
        <v>3.3128</v>
      </c>
      <c r="I178" s="80">
        <f t="shared" si="126"/>
        <v>3.28</v>
      </c>
      <c r="J178" s="78">
        <f t="shared" si="128"/>
        <v>0.01</v>
      </c>
      <c r="K178" s="79">
        <f t="shared" si="128"/>
        <v>2</v>
      </c>
      <c r="L178" s="39">
        <f>(G178+H178+K178)*$L$5</f>
        <v>0.618768</v>
      </c>
      <c r="M178" s="39">
        <f>(G178+H178+K178+L178)*$M$5</f>
        <v>0.32794704</v>
      </c>
      <c r="N178" s="67">
        <f t="shared" si="84"/>
        <v>16.88927256</v>
      </c>
      <c r="O178" s="67"/>
      <c r="P178" s="67">
        <f t="shared" si="110"/>
        <v>1722.70580112</v>
      </c>
      <c r="Q178" s="82">
        <f t="shared" si="111"/>
        <v>1722.70580112</v>
      </c>
      <c r="R178" s="68"/>
      <c r="T178" s="21">
        <f t="shared" si="85"/>
        <v>1722.70580112</v>
      </c>
      <c r="U178" s="21">
        <f t="shared" si="86"/>
        <v>11.25951504</v>
      </c>
      <c r="V178" s="21" t="b">
        <f t="shared" si="87"/>
        <v>0</v>
      </c>
      <c r="W178" s="21" t="b">
        <f t="shared" si="88"/>
        <v>1</v>
      </c>
    </row>
    <row r="179" s="21" customFormat="1" spans="1:23">
      <c r="A179" s="65"/>
      <c r="B179" s="65" t="s">
        <v>397</v>
      </c>
      <c r="C179" s="65"/>
      <c r="D179" s="65"/>
      <c r="E179" s="65"/>
      <c r="F179" s="57"/>
      <c r="G179" s="65"/>
      <c r="H179" s="67"/>
      <c r="I179" s="80"/>
      <c r="J179" s="78"/>
      <c r="K179" s="79"/>
      <c r="L179" s="39"/>
      <c r="M179" s="39"/>
      <c r="N179" s="67">
        <f t="shared" si="84"/>
        <v>0</v>
      </c>
      <c r="O179" s="67"/>
      <c r="P179" s="67"/>
      <c r="Q179" s="82"/>
      <c r="R179" s="65"/>
      <c r="T179" s="21">
        <f t="shared" si="85"/>
        <v>0</v>
      </c>
      <c r="U179" s="21">
        <f t="shared" si="86"/>
        <v>0</v>
      </c>
      <c r="V179" s="21" t="b">
        <f t="shared" si="87"/>
        <v>1</v>
      </c>
      <c r="W179" s="21" t="b">
        <f t="shared" si="88"/>
        <v>1</v>
      </c>
    </row>
    <row r="180" s="21" customFormat="1" ht="54" outlineLevel="1" spans="1:23">
      <c r="A180" s="65">
        <v>167</v>
      </c>
      <c r="B180" s="65" t="s">
        <v>354</v>
      </c>
      <c r="C180" s="65" t="s">
        <v>355</v>
      </c>
      <c r="D180" s="65" t="s">
        <v>111</v>
      </c>
      <c r="E180" s="65">
        <v>70.95</v>
      </c>
      <c r="F180" s="57">
        <v>70.95</v>
      </c>
      <c r="G180" s="65">
        <f t="shared" ref="G180:K180" si="129">G150</f>
        <v>10</v>
      </c>
      <c r="H180" s="67">
        <f t="shared" ref="H180:H192" si="130">I180*(1+J180)</f>
        <v>5.665</v>
      </c>
      <c r="I180" s="65">
        <f t="shared" si="129"/>
        <v>5.5</v>
      </c>
      <c r="J180" s="74">
        <f t="shared" si="129"/>
        <v>0.03</v>
      </c>
      <c r="K180" s="58">
        <f t="shared" si="129"/>
        <v>2</v>
      </c>
      <c r="L180" s="39">
        <f>(G180+H180+K180)*$L$5</f>
        <v>1.0599</v>
      </c>
      <c r="M180" s="39">
        <f>(G180+H180+K180+L180)*$M$5</f>
        <v>0.561747</v>
      </c>
      <c r="N180" s="67">
        <f t="shared" si="84"/>
        <v>28.9299705</v>
      </c>
      <c r="O180" s="67"/>
      <c r="P180" s="67">
        <f t="shared" ref="P180:P192" si="131">N180*E180</f>
        <v>2052.581406975</v>
      </c>
      <c r="Q180" s="82">
        <f t="shared" ref="Q180:Q192" si="132">F180*N180</f>
        <v>2052.581406975</v>
      </c>
      <c r="R180" s="65"/>
      <c r="T180" s="21">
        <f t="shared" si="85"/>
        <v>2052.581406975</v>
      </c>
      <c r="U180" s="21">
        <f t="shared" si="86"/>
        <v>19.286647</v>
      </c>
      <c r="V180" s="21" t="b">
        <f t="shared" si="87"/>
        <v>0</v>
      </c>
      <c r="W180" s="21" t="b">
        <f t="shared" si="88"/>
        <v>1</v>
      </c>
    </row>
    <row r="181" s="21" customFormat="1" ht="54" outlineLevel="1" spans="1:23">
      <c r="A181" s="65">
        <v>168</v>
      </c>
      <c r="B181" s="65" t="s">
        <v>354</v>
      </c>
      <c r="C181" s="65" t="s">
        <v>357</v>
      </c>
      <c r="D181" s="65" t="s">
        <v>111</v>
      </c>
      <c r="E181" s="65">
        <v>2.3</v>
      </c>
      <c r="F181" s="57">
        <v>2.3</v>
      </c>
      <c r="G181" s="65">
        <f t="shared" ref="G181:K181" si="133">G151</f>
        <v>10</v>
      </c>
      <c r="H181" s="67">
        <f t="shared" si="130"/>
        <v>5.665</v>
      </c>
      <c r="I181" s="65">
        <f t="shared" si="133"/>
        <v>5.5</v>
      </c>
      <c r="J181" s="74">
        <f t="shared" si="133"/>
        <v>0.03</v>
      </c>
      <c r="K181" s="58">
        <f t="shared" si="133"/>
        <v>2</v>
      </c>
      <c r="L181" s="39">
        <f>(G181+H181+K181)*$L$5</f>
        <v>1.0599</v>
      </c>
      <c r="M181" s="39">
        <f>(G181+H181+K181+L181)*$M$5</f>
        <v>0.561747</v>
      </c>
      <c r="N181" s="67">
        <f t="shared" si="84"/>
        <v>28.9299705</v>
      </c>
      <c r="O181" s="67"/>
      <c r="P181" s="67">
        <f t="shared" si="131"/>
        <v>66.53893215</v>
      </c>
      <c r="Q181" s="82">
        <f t="shared" si="132"/>
        <v>66.53893215</v>
      </c>
      <c r="R181" s="65"/>
      <c r="T181" s="21">
        <f t="shared" si="85"/>
        <v>66.53893215</v>
      </c>
      <c r="U181" s="21">
        <f t="shared" si="86"/>
        <v>19.286647</v>
      </c>
      <c r="V181" s="21" t="b">
        <f t="shared" si="87"/>
        <v>0</v>
      </c>
      <c r="W181" s="21" t="b">
        <f t="shared" si="88"/>
        <v>1</v>
      </c>
    </row>
    <row r="182" s="21" customFormat="1" ht="54" outlineLevel="1" spans="1:23">
      <c r="A182" s="65">
        <v>169</v>
      </c>
      <c r="B182" s="65" t="s">
        <v>354</v>
      </c>
      <c r="C182" s="65" t="s">
        <v>358</v>
      </c>
      <c r="D182" s="65" t="s">
        <v>111</v>
      </c>
      <c r="E182" s="65">
        <v>7.06</v>
      </c>
      <c r="F182" s="57">
        <v>7.06</v>
      </c>
      <c r="G182" s="65">
        <f t="shared" ref="G182:K182" si="134">G152</f>
        <v>10</v>
      </c>
      <c r="H182" s="67">
        <f t="shared" si="130"/>
        <v>8.858</v>
      </c>
      <c r="I182" s="65">
        <f t="shared" si="134"/>
        <v>8.6</v>
      </c>
      <c r="J182" s="74">
        <f t="shared" si="134"/>
        <v>0.03</v>
      </c>
      <c r="K182" s="58">
        <f t="shared" si="134"/>
        <v>2</v>
      </c>
      <c r="L182" s="39">
        <f>(G182+H182+K182)*$L$5</f>
        <v>1.25148</v>
      </c>
      <c r="M182" s="39">
        <f>(G182+H182+K182+L182)*$M$5</f>
        <v>0.6632844</v>
      </c>
      <c r="N182" s="67">
        <f t="shared" si="84"/>
        <v>34.1591466</v>
      </c>
      <c r="O182" s="67"/>
      <c r="P182" s="67">
        <f t="shared" si="131"/>
        <v>241.163574996</v>
      </c>
      <c r="Q182" s="82">
        <f t="shared" si="132"/>
        <v>241.163574996</v>
      </c>
      <c r="R182" s="65"/>
      <c r="T182" s="21">
        <f t="shared" si="85"/>
        <v>241.163574996</v>
      </c>
      <c r="U182" s="21">
        <f t="shared" si="86"/>
        <v>22.7727644</v>
      </c>
      <c r="V182" s="21" t="b">
        <f t="shared" si="87"/>
        <v>0</v>
      </c>
      <c r="W182" s="21" t="b">
        <f t="shared" si="88"/>
        <v>1</v>
      </c>
    </row>
    <row r="183" s="21" customFormat="1" ht="54" outlineLevel="1" spans="1:23">
      <c r="A183" s="65">
        <v>170</v>
      </c>
      <c r="B183" s="65" t="s">
        <v>354</v>
      </c>
      <c r="C183" s="65" t="s">
        <v>359</v>
      </c>
      <c r="D183" s="65" t="s">
        <v>111</v>
      </c>
      <c r="E183" s="65">
        <v>0.3</v>
      </c>
      <c r="F183" s="57">
        <v>0.3</v>
      </c>
      <c r="G183" s="65">
        <f t="shared" ref="G183:K183" si="135">G153</f>
        <v>10</v>
      </c>
      <c r="H183" s="67">
        <f t="shared" si="130"/>
        <v>8.858</v>
      </c>
      <c r="I183" s="65">
        <f t="shared" si="135"/>
        <v>8.6</v>
      </c>
      <c r="J183" s="74">
        <f t="shared" si="135"/>
        <v>0.03</v>
      </c>
      <c r="K183" s="58">
        <f t="shared" si="135"/>
        <v>2</v>
      </c>
      <c r="L183" s="39">
        <f>(G183+H183+K183)*$L$5</f>
        <v>1.25148</v>
      </c>
      <c r="M183" s="39">
        <f>(G183+H183+K183+L183)*$M$5</f>
        <v>0.6632844</v>
      </c>
      <c r="N183" s="67">
        <f t="shared" si="84"/>
        <v>34.1591466</v>
      </c>
      <c r="O183" s="67"/>
      <c r="P183" s="67">
        <f t="shared" si="131"/>
        <v>10.24774398</v>
      </c>
      <c r="Q183" s="82">
        <f t="shared" si="132"/>
        <v>10.24774398</v>
      </c>
      <c r="R183" s="65"/>
      <c r="T183" s="21">
        <f t="shared" si="85"/>
        <v>10.24774398</v>
      </c>
      <c r="U183" s="21">
        <f t="shared" si="86"/>
        <v>22.7727644</v>
      </c>
      <c r="V183" s="21" t="b">
        <f t="shared" si="87"/>
        <v>0</v>
      </c>
      <c r="W183" s="21" t="b">
        <f t="shared" si="88"/>
        <v>1</v>
      </c>
    </row>
    <row r="184" s="21" customFormat="1" ht="54" outlineLevel="1" spans="1:23">
      <c r="A184" s="65">
        <v>171</v>
      </c>
      <c r="B184" s="65" t="s">
        <v>364</v>
      </c>
      <c r="C184" s="65" t="s">
        <v>400</v>
      </c>
      <c r="D184" s="65" t="s">
        <v>111</v>
      </c>
      <c r="E184" s="65">
        <v>17.02</v>
      </c>
      <c r="F184" s="57">
        <v>17.02</v>
      </c>
      <c r="G184" s="80">
        <f t="shared" ref="G184:G186" si="136">G53</f>
        <v>3</v>
      </c>
      <c r="H184" s="67">
        <f t="shared" si="130"/>
        <v>3.248</v>
      </c>
      <c r="I184" s="75">
        <v>2.8</v>
      </c>
      <c r="J184" s="78">
        <f t="shared" ref="J184:J187" si="137">J55</f>
        <v>0.16</v>
      </c>
      <c r="K184" s="79">
        <f t="shared" ref="K184:K186" si="138">K53</f>
        <v>0.5</v>
      </c>
      <c r="L184" s="39">
        <f>(G184+H184+K184)*$L$5</f>
        <v>0.40488</v>
      </c>
      <c r="M184" s="39">
        <f>(G184+H184+K184+L184)*$M$5</f>
        <v>0.2145864</v>
      </c>
      <c r="N184" s="67">
        <f t="shared" si="84"/>
        <v>11.0511996</v>
      </c>
      <c r="O184" s="67"/>
      <c r="P184" s="67">
        <f t="shared" si="131"/>
        <v>188.091417192</v>
      </c>
      <c r="Q184" s="82">
        <f t="shared" si="132"/>
        <v>188.091417192</v>
      </c>
      <c r="R184" s="65"/>
      <c r="T184" s="21">
        <f t="shared" si="85"/>
        <v>188.091417192</v>
      </c>
      <c r="U184" s="21">
        <f t="shared" si="86"/>
        <v>7.3674664</v>
      </c>
      <c r="V184" s="21" t="b">
        <f t="shared" si="87"/>
        <v>0</v>
      </c>
      <c r="W184" s="21" t="b">
        <f t="shared" si="88"/>
        <v>1</v>
      </c>
    </row>
    <row r="185" s="21" customFormat="1" ht="54" outlineLevel="1" spans="1:23">
      <c r="A185" s="65">
        <v>172</v>
      </c>
      <c r="B185" s="65" t="s">
        <v>364</v>
      </c>
      <c r="C185" s="65" t="s">
        <v>401</v>
      </c>
      <c r="D185" s="65" t="s">
        <v>111</v>
      </c>
      <c r="E185" s="65">
        <v>25.25</v>
      </c>
      <c r="F185" s="57">
        <v>25.25</v>
      </c>
      <c r="G185" s="80">
        <f t="shared" si="136"/>
        <v>3</v>
      </c>
      <c r="H185" s="67">
        <f t="shared" si="130"/>
        <v>3.248</v>
      </c>
      <c r="I185" s="80">
        <f>I184</f>
        <v>2.8</v>
      </c>
      <c r="J185" s="78">
        <f t="shared" si="137"/>
        <v>0.16</v>
      </c>
      <c r="K185" s="79">
        <f t="shared" si="138"/>
        <v>0.5</v>
      </c>
      <c r="L185" s="39">
        <f>(G185+H185+K185)*$L$5</f>
        <v>0.40488</v>
      </c>
      <c r="M185" s="39">
        <f>(G185+H185+K185+L185)*$M$5</f>
        <v>0.2145864</v>
      </c>
      <c r="N185" s="67">
        <f t="shared" si="84"/>
        <v>11.0511996</v>
      </c>
      <c r="O185" s="67"/>
      <c r="P185" s="67">
        <f t="shared" si="131"/>
        <v>279.0427899</v>
      </c>
      <c r="Q185" s="82">
        <f t="shared" si="132"/>
        <v>279.0427899</v>
      </c>
      <c r="R185" s="65"/>
      <c r="T185" s="21">
        <f t="shared" si="85"/>
        <v>279.0427899</v>
      </c>
      <c r="U185" s="21">
        <f t="shared" si="86"/>
        <v>7.3674664</v>
      </c>
      <c r="V185" s="21" t="b">
        <f t="shared" si="87"/>
        <v>0</v>
      </c>
      <c r="W185" s="21" t="b">
        <f t="shared" si="88"/>
        <v>1</v>
      </c>
    </row>
    <row r="186" s="21" customFormat="1" ht="54" outlineLevel="1" spans="1:23">
      <c r="A186" s="65">
        <v>173</v>
      </c>
      <c r="B186" s="65" t="s">
        <v>364</v>
      </c>
      <c r="C186" s="65" t="s">
        <v>403</v>
      </c>
      <c r="D186" s="65" t="s">
        <v>111</v>
      </c>
      <c r="E186" s="65">
        <v>24.76</v>
      </c>
      <c r="F186" s="57">
        <v>24.76</v>
      </c>
      <c r="G186" s="80">
        <f t="shared" si="136"/>
        <v>3</v>
      </c>
      <c r="H186" s="67">
        <f t="shared" si="130"/>
        <v>4.06</v>
      </c>
      <c r="I186" s="80">
        <f>I54</f>
        <v>3.5</v>
      </c>
      <c r="J186" s="78">
        <f t="shared" si="137"/>
        <v>0.16</v>
      </c>
      <c r="K186" s="79">
        <f t="shared" si="138"/>
        <v>0.5</v>
      </c>
      <c r="L186" s="39">
        <f>(G186+H186+K186)*$L$5</f>
        <v>0.4536</v>
      </c>
      <c r="M186" s="39">
        <f>(G186+H186+K186+L186)*$M$5</f>
        <v>0.240408</v>
      </c>
      <c r="N186" s="67">
        <f t="shared" si="84"/>
        <v>12.381012</v>
      </c>
      <c r="O186" s="67"/>
      <c r="P186" s="67">
        <f t="shared" si="131"/>
        <v>306.55385712</v>
      </c>
      <c r="Q186" s="82">
        <f t="shared" si="132"/>
        <v>306.55385712</v>
      </c>
      <c r="R186" s="65"/>
      <c r="T186" s="21">
        <f t="shared" si="85"/>
        <v>306.55385712</v>
      </c>
      <c r="U186" s="21">
        <f t="shared" si="86"/>
        <v>8.254008</v>
      </c>
      <c r="V186" s="21" t="b">
        <f t="shared" si="87"/>
        <v>0</v>
      </c>
      <c r="W186" s="21" t="b">
        <f t="shared" si="88"/>
        <v>1</v>
      </c>
    </row>
    <row r="187" s="21" customFormat="1" ht="54" outlineLevel="1" spans="1:23">
      <c r="A187" s="65">
        <v>174</v>
      </c>
      <c r="B187" s="65" t="s">
        <v>407</v>
      </c>
      <c r="C187" s="65" t="s">
        <v>408</v>
      </c>
      <c r="D187" s="65" t="s">
        <v>111</v>
      </c>
      <c r="E187" s="65">
        <v>142.49</v>
      </c>
      <c r="F187" s="57">
        <v>142.49</v>
      </c>
      <c r="G187" s="65">
        <f t="shared" ref="G187:K187" si="139">G58</f>
        <v>3</v>
      </c>
      <c r="H187" s="67">
        <f t="shared" si="130"/>
        <v>4.06</v>
      </c>
      <c r="I187" s="65">
        <f t="shared" si="139"/>
        <v>3.5</v>
      </c>
      <c r="J187" s="74">
        <f t="shared" si="137"/>
        <v>0.16</v>
      </c>
      <c r="K187" s="58">
        <f t="shared" si="139"/>
        <v>0.5</v>
      </c>
      <c r="L187" s="39">
        <f>(G187+H187+K187)*$L$5</f>
        <v>0.4536</v>
      </c>
      <c r="M187" s="39">
        <f>(G187+H187+K187+L187)*$M$5</f>
        <v>0.240408</v>
      </c>
      <c r="N187" s="67">
        <f t="shared" si="84"/>
        <v>12.381012</v>
      </c>
      <c r="O187" s="67"/>
      <c r="P187" s="67">
        <f t="shared" si="131"/>
        <v>1764.17039988</v>
      </c>
      <c r="Q187" s="82">
        <f t="shared" si="132"/>
        <v>1764.17039988</v>
      </c>
      <c r="R187" s="65"/>
      <c r="T187" s="21">
        <f t="shared" ref="T187:T199" si="140">E187*N187</f>
        <v>1764.17039988</v>
      </c>
      <c r="U187" s="21">
        <f t="shared" ref="U187:U199" si="141">G187+H187+K187+L187+M187</f>
        <v>8.254008</v>
      </c>
      <c r="V187" s="21" t="b">
        <f t="shared" ref="V187:V199" si="142">N187=U187</f>
        <v>0</v>
      </c>
      <c r="W187" s="21" t="b">
        <f t="shared" ref="W187:W199" si="143">T187=P187</f>
        <v>1</v>
      </c>
    </row>
    <row r="188" s="21" customFormat="1" ht="54" outlineLevel="1" spans="1:23">
      <c r="A188" s="65">
        <v>175</v>
      </c>
      <c r="B188" s="65" t="s">
        <v>414</v>
      </c>
      <c r="C188" s="65" t="s">
        <v>415</v>
      </c>
      <c r="D188" s="65" t="s">
        <v>344</v>
      </c>
      <c r="E188" s="65">
        <v>1</v>
      </c>
      <c r="F188" s="57">
        <v>1</v>
      </c>
      <c r="G188" s="65">
        <f t="shared" ref="G188:K188" si="144">G62</f>
        <v>35</v>
      </c>
      <c r="H188" s="67">
        <f t="shared" si="130"/>
        <v>166.65</v>
      </c>
      <c r="I188" s="65">
        <f t="shared" si="144"/>
        <v>165</v>
      </c>
      <c r="J188" s="74">
        <f t="shared" si="144"/>
        <v>0.01</v>
      </c>
      <c r="K188" s="58">
        <f t="shared" si="144"/>
        <v>5</v>
      </c>
      <c r="L188" s="39">
        <f>(G188+H188+K188)*$L$5</f>
        <v>12.399</v>
      </c>
      <c r="M188" s="39">
        <f>(G188+H188+K188+L188)*$M$5</f>
        <v>6.57147</v>
      </c>
      <c r="N188" s="67">
        <f t="shared" ref="N188:N199" si="145">(G188+H188+K188+L188+M188)*1.5</f>
        <v>338.430705</v>
      </c>
      <c r="O188" s="67"/>
      <c r="P188" s="67">
        <f t="shared" si="131"/>
        <v>338.430705</v>
      </c>
      <c r="Q188" s="82">
        <f t="shared" si="132"/>
        <v>338.430705</v>
      </c>
      <c r="R188" s="65"/>
      <c r="T188" s="21">
        <f t="shared" si="140"/>
        <v>338.430705</v>
      </c>
      <c r="U188" s="21">
        <f t="shared" si="141"/>
        <v>225.62047</v>
      </c>
      <c r="V188" s="21" t="b">
        <f t="shared" si="142"/>
        <v>0</v>
      </c>
      <c r="W188" s="21" t="b">
        <f t="shared" si="143"/>
        <v>1</v>
      </c>
    </row>
    <row r="189" s="21" customFormat="1" ht="43.2" outlineLevel="1" spans="1:23">
      <c r="A189" s="65">
        <v>176</v>
      </c>
      <c r="B189" s="65" t="s">
        <v>417</v>
      </c>
      <c r="C189" s="65" t="s">
        <v>419</v>
      </c>
      <c r="D189" s="65" t="s">
        <v>105</v>
      </c>
      <c r="E189" s="65">
        <v>2</v>
      </c>
      <c r="F189" s="57">
        <v>2</v>
      </c>
      <c r="G189" s="65">
        <f>G65</f>
        <v>15</v>
      </c>
      <c r="H189" s="67">
        <f t="shared" si="130"/>
        <v>161.6</v>
      </c>
      <c r="I189" s="80">
        <f>I65</f>
        <v>160</v>
      </c>
      <c r="J189" s="78">
        <f>J37</f>
        <v>0.01</v>
      </c>
      <c r="K189" s="79">
        <f>K37</f>
        <v>5</v>
      </c>
      <c r="L189" s="39">
        <f>(G189+H189+K189)*$L$5</f>
        <v>10.896</v>
      </c>
      <c r="M189" s="39">
        <f>(G189+H189+K189+L189)*$M$5</f>
        <v>5.77488</v>
      </c>
      <c r="N189" s="67">
        <f t="shared" si="145"/>
        <v>297.40632</v>
      </c>
      <c r="O189" s="67"/>
      <c r="P189" s="67">
        <f t="shared" si="131"/>
        <v>594.81264</v>
      </c>
      <c r="Q189" s="82">
        <f t="shared" si="132"/>
        <v>594.81264</v>
      </c>
      <c r="R189" s="65"/>
      <c r="T189" s="21">
        <f t="shared" si="140"/>
        <v>594.81264</v>
      </c>
      <c r="U189" s="21">
        <f t="shared" si="141"/>
        <v>198.27088</v>
      </c>
      <c r="V189" s="21" t="b">
        <f t="shared" si="142"/>
        <v>0</v>
      </c>
      <c r="W189" s="21" t="b">
        <f t="shared" si="143"/>
        <v>1</v>
      </c>
    </row>
    <row r="190" s="21" customFormat="1" ht="43.2" outlineLevel="1" spans="1:23">
      <c r="A190" s="65">
        <v>177</v>
      </c>
      <c r="B190" s="65" t="s">
        <v>422</v>
      </c>
      <c r="C190" s="65" t="s">
        <v>423</v>
      </c>
      <c r="D190" s="65" t="s">
        <v>344</v>
      </c>
      <c r="E190" s="65">
        <v>4</v>
      </c>
      <c r="F190" s="57">
        <v>4</v>
      </c>
      <c r="G190" s="65">
        <f t="shared" ref="G190:K190" si="146">G67</f>
        <v>65</v>
      </c>
      <c r="H190" s="67">
        <f t="shared" si="130"/>
        <v>484.8</v>
      </c>
      <c r="I190" s="65">
        <f t="shared" si="146"/>
        <v>480</v>
      </c>
      <c r="J190" s="74">
        <f t="shared" si="146"/>
        <v>0.01</v>
      </c>
      <c r="K190" s="58">
        <f t="shared" si="146"/>
        <v>15</v>
      </c>
      <c r="L190" s="39">
        <f>(G190+H190+K190)*$L$5</f>
        <v>33.888</v>
      </c>
      <c r="M190" s="39">
        <f>(G190+H190+K190+L190)*$M$5</f>
        <v>17.96064</v>
      </c>
      <c r="N190" s="67">
        <f t="shared" si="145"/>
        <v>924.97296</v>
      </c>
      <c r="O190" s="67"/>
      <c r="P190" s="67">
        <f t="shared" si="131"/>
        <v>3699.89184</v>
      </c>
      <c r="Q190" s="82">
        <f t="shared" si="132"/>
        <v>3699.89184</v>
      </c>
      <c r="R190" s="65"/>
      <c r="T190" s="21">
        <f t="shared" si="140"/>
        <v>3699.89184</v>
      </c>
      <c r="U190" s="21">
        <f t="shared" si="141"/>
        <v>616.64864</v>
      </c>
      <c r="V190" s="21" t="b">
        <f t="shared" si="142"/>
        <v>0</v>
      </c>
      <c r="W190" s="21" t="b">
        <f t="shared" si="143"/>
        <v>1</v>
      </c>
    </row>
    <row r="191" s="21" customFormat="1" ht="43.2" outlineLevel="1" spans="1:23">
      <c r="A191" s="65">
        <v>178</v>
      </c>
      <c r="B191" s="65" t="s">
        <v>424</v>
      </c>
      <c r="C191" s="65" t="s">
        <v>425</v>
      </c>
      <c r="D191" s="65" t="s">
        <v>344</v>
      </c>
      <c r="E191" s="65">
        <v>1</v>
      </c>
      <c r="F191" s="57">
        <v>1</v>
      </c>
      <c r="G191" s="65">
        <f t="shared" ref="G191:K191" si="147">G68</f>
        <v>30</v>
      </c>
      <c r="H191" s="67">
        <f t="shared" si="130"/>
        <v>186.85</v>
      </c>
      <c r="I191" s="65">
        <f t="shared" si="147"/>
        <v>185</v>
      </c>
      <c r="J191" s="74">
        <f t="shared" si="147"/>
        <v>0.01</v>
      </c>
      <c r="K191" s="58">
        <f t="shared" si="147"/>
        <v>5</v>
      </c>
      <c r="L191" s="39">
        <f>(G191+H191+K191)*$L$5</f>
        <v>13.311</v>
      </c>
      <c r="M191" s="39">
        <f>(G191+H191+K191+L191)*$M$5</f>
        <v>7.05483</v>
      </c>
      <c r="N191" s="67">
        <f t="shared" si="145"/>
        <v>363.323745</v>
      </c>
      <c r="O191" s="67"/>
      <c r="P191" s="67">
        <f t="shared" si="131"/>
        <v>363.323745</v>
      </c>
      <c r="Q191" s="82">
        <f t="shared" si="132"/>
        <v>363.323745</v>
      </c>
      <c r="R191" s="65"/>
      <c r="T191" s="21">
        <f t="shared" si="140"/>
        <v>363.323745</v>
      </c>
      <c r="U191" s="21">
        <f t="shared" si="141"/>
        <v>242.21583</v>
      </c>
      <c r="V191" s="21" t="b">
        <f t="shared" si="142"/>
        <v>0</v>
      </c>
      <c r="W191" s="21" t="b">
        <f t="shared" si="143"/>
        <v>1</v>
      </c>
    </row>
    <row r="192" s="21" customFormat="1" ht="32.4" outlineLevel="1" spans="1:23">
      <c r="A192" s="65">
        <v>179</v>
      </c>
      <c r="B192" s="65" t="s">
        <v>391</v>
      </c>
      <c r="C192" s="65" t="s">
        <v>393</v>
      </c>
      <c r="D192" s="65" t="s">
        <v>105</v>
      </c>
      <c r="E192" s="65">
        <v>8</v>
      </c>
      <c r="F192" s="57">
        <v>8</v>
      </c>
      <c r="G192" s="65">
        <f t="shared" ref="G192:K192" si="148">G40</f>
        <v>5</v>
      </c>
      <c r="H192" s="67">
        <f t="shared" si="130"/>
        <v>3.3128</v>
      </c>
      <c r="I192" s="80">
        <f t="shared" si="148"/>
        <v>3.28</v>
      </c>
      <c r="J192" s="78">
        <f t="shared" si="148"/>
        <v>0.01</v>
      </c>
      <c r="K192" s="79">
        <f t="shared" si="148"/>
        <v>2</v>
      </c>
      <c r="L192" s="39">
        <f>(G192+H192+K192)*$L$5</f>
        <v>0.618768</v>
      </c>
      <c r="M192" s="39">
        <f>(G192+H192+K192+L192)*$M$5</f>
        <v>0.32794704</v>
      </c>
      <c r="N192" s="67">
        <f t="shared" si="145"/>
        <v>16.88927256</v>
      </c>
      <c r="O192" s="67"/>
      <c r="P192" s="67">
        <f t="shared" si="131"/>
        <v>135.11418048</v>
      </c>
      <c r="Q192" s="82">
        <f t="shared" si="132"/>
        <v>135.11418048</v>
      </c>
      <c r="R192" s="65"/>
      <c r="T192" s="21">
        <f t="shared" si="140"/>
        <v>135.11418048</v>
      </c>
      <c r="U192" s="21">
        <f t="shared" si="141"/>
        <v>11.25951504</v>
      </c>
      <c r="V192" s="21" t="b">
        <f t="shared" si="142"/>
        <v>0</v>
      </c>
      <c r="W192" s="21" t="b">
        <f t="shared" si="143"/>
        <v>1</v>
      </c>
    </row>
    <row r="193" s="21" customFormat="1" spans="1:23">
      <c r="A193" s="65"/>
      <c r="B193" s="65" t="s">
        <v>458</v>
      </c>
      <c r="C193" s="65"/>
      <c r="D193" s="65"/>
      <c r="E193" s="65"/>
      <c r="F193" s="57"/>
      <c r="G193" s="65"/>
      <c r="H193" s="67"/>
      <c r="I193" s="80"/>
      <c r="J193" s="78"/>
      <c r="K193" s="79"/>
      <c r="L193" s="39"/>
      <c r="M193" s="39"/>
      <c r="N193" s="67">
        <f t="shared" si="145"/>
        <v>0</v>
      </c>
      <c r="O193" s="67"/>
      <c r="P193" s="67"/>
      <c r="Q193" s="82"/>
      <c r="R193" s="65"/>
      <c r="T193" s="21">
        <f t="shared" si="140"/>
        <v>0</v>
      </c>
      <c r="U193" s="21">
        <f t="shared" si="141"/>
        <v>0</v>
      </c>
      <c r="V193" s="21" t="b">
        <f t="shared" si="142"/>
        <v>1</v>
      </c>
      <c r="W193" s="21" t="b">
        <f t="shared" si="143"/>
        <v>1</v>
      </c>
    </row>
    <row r="194" s="21" customFormat="1" ht="104" customHeight="1" outlineLevel="1" spans="1:23">
      <c r="A194" s="65">
        <v>180</v>
      </c>
      <c r="B194" s="65" t="s">
        <v>463</v>
      </c>
      <c r="C194" s="65" t="s">
        <v>541</v>
      </c>
      <c r="D194" s="65" t="s">
        <v>344</v>
      </c>
      <c r="E194" s="65">
        <v>1</v>
      </c>
      <c r="F194" s="57">
        <v>1</v>
      </c>
      <c r="G194" s="66">
        <v>3000</v>
      </c>
      <c r="H194" s="67">
        <f t="shared" ref="H194:H199" si="149">I194*(1+J194)</f>
        <v>82820</v>
      </c>
      <c r="I194" s="75">
        <v>82000</v>
      </c>
      <c r="J194" s="76">
        <v>0.01</v>
      </c>
      <c r="K194" s="77">
        <v>550</v>
      </c>
      <c r="L194" s="39">
        <f>(G194+H194+K194)*$L$5</f>
        <v>5182.2</v>
      </c>
      <c r="M194" s="39">
        <f>(G194+H194+K194+L194)*$M$5</f>
        <v>2746.566</v>
      </c>
      <c r="N194" s="67">
        <f t="shared" si="145"/>
        <v>141448.149</v>
      </c>
      <c r="O194" s="67"/>
      <c r="P194" s="67">
        <f t="shared" ref="P194:P199" si="150">N194*E194</f>
        <v>141448.149</v>
      </c>
      <c r="Q194" s="82">
        <f t="shared" ref="Q194:Q199" si="151">F194*N194</f>
        <v>141448.149</v>
      </c>
      <c r="R194" s="94" t="s">
        <v>465</v>
      </c>
      <c r="T194" s="21">
        <f t="shared" si="140"/>
        <v>141448.149</v>
      </c>
      <c r="U194" s="21">
        <f t="shared" si="141"/>
        <v>94298.766</v>
      </c>
      <c r="V194" s="21" t="b">
        <f t="shared" si="142"/>
        <v>0</v>
      </c>
      <c r="W194" s="21" t="b">
        <f t="shared" si="143"/>
        <v>1</v>
      </c>
    </row>
    <row r="195" s="21" customFormat="1" ht="104" customHeight="1" outlineLevel="1" spans="1:23">
      <c r="A195" s="65">
        <v>181</v>
      </c>
      <c r="B195" s="65" t="s">
        <v>463</v>
      </c>
      <c r="C195" s="65" t="s">
        <v>542</v>
      </c>
      <c r="D195" s="65" t="s">
        <v>344</v>
      </c>
      <c r="E195" s="65">
        <v>1</v>
      </c>
      <c r="F195" s="57">
        <v>1</v>
      </c>
      <c r="G195" s="66">
        <v>3000</v>
      </c>
      <c r="H195" s="67">
        <f t="shared" si="149"/>
        <v>42420</v>
      </c>
      <c r="I195" s="75">
        <v>42000</v>
      </c>
      <c r="J195" s="78">
        <f>J194</f>
        <v>0.01</v>
      </c>
      <c r="K195" s="79">
        <f>K194</f>
        <v>550</v>
      </c>
      <c r="L195" s="39">
        <f>(G195+H195+K195)*$L$5</f>
        <v>2758.2</v>
      </c>
      <c r="M195" s="39">
        <f>(G195+H195+K195+L195)*$M$5</f>
        <v>1461.846</v>
      </c>
      <c r="N195" s="67">
        <f t="shared" si="145"/>
        <v>75285.069</v>
      </c>
      <c r="O195" s="67"/>
      <c r="P195" s="67">
        <f t="shared" si="150"/>
        <v>75285.069</v>
      </c>
      <c r="Q195" s="82">
        <f t="shared" si="151"/>
        <v>75285.069</v>
      </c>
      <c r="R195" s="94" t="s">
        <v>465</v>
      </c>
      <c r="T195" s="21">
        <f t="shared" si="140"/>
        <v>75285.069</v>
      </c>
      <c r="U195" s="21">
        <f t="shared" si="141"/>
        <v>50190.046</v>
      </c>
      <c r="V195" s="21" t="b">
        <f t="shared" si="142"/>
        <v>0</v>
      </c>
      <c r="W195" s="21" t="b">
        <f t="shared" si="143"/>
        <v>1</v>
      </c>
    </row>
    <row r="196" s="21" customFormat="1" ht="104" customHeight="1" outlineLevel="1" spans="1:23">
      <c r="A196" s="65">
        <v>182</v>
      </c>
      <c r="B196" s="65" t="s">
        <v>463</v>
      </c>
      <c r="C196" s="65" t="s">
        <v>543</v>
      </c>
      <c r="D196" s="65" t="s">
        <v>344</v>
      </c>
      <c r="E196" s="65">
        <v>1</v>
      </c>
      <c r="F196" s="57">
        <v>1</v>
      </c>
      <c r="G196" s="65">
        <f>G195</f>
        <v>3000</v>
      </c>
      <c r="H196" s="67">
        <f t="shared" si="149"/>
        <v>37875</v>
      </c>
      <c r="I196" s="96">
        <v>37500</v>
      </c>
      <c r="J196" s="78">
        <f>J194</f>
        <v>0.01</v>
      </c>
      <c r="K196" s="79">
        <f>K194</f>
        <v>550</v>
      </c>
      <c r="L196" s="39">
        <f>(G196+H196+K196)*$L$5</f>
        <v>2485.5</v>
      </c>
      <c r="M196" s="39">
        <f>(G196+H196+K196+L196)*$M$5</f>
        <v>1317.315</v>
      </c>
      <c r="N196" s="67">
        <f t="shared" si="145"/>
        <v>67841.7225</v>
      </c>
      <c r="O196" s="67"/>
      <c r="P196" s="67">
        <f t="shared" si="150"/>
        <v>67841.7225</v>
      </c>
      <c r="Q196" s="82">
        <f t="shared" si="151"/>
        <v>67841.7225</v>
      </c>
      <c r="R196" s="94" t="s">
        <v>465</v>
      </c>
      <c r="T196" s="21">
        <f t="shared" si="140"/>
        <v>67841.7225</v>
      </c>
      <c r="U196" s="21">
        <f t="shared" si="141"/>
        <v>45227.815</v>
      </c>
      <c r="V196" s="21" t="b">
        <f t="shared" si="142"/>
        <v>0</v>
      </c>
      <c r="W196" s="21" t="b">
        <f t="shared" si="143"/>
        <v>1</v>
      </c>
    </row>
    <row r="197" s="21" customFormat="1" ht="104" customHeight="1" outlineLevel="1" spans="1:23">
      <c r="A197" s="65">
        <v>183</v>
      </c>
      <c r="B197" s="65" t="s">
        <v>463</v>
      </c>
      <c r="C197" s="65" t="s">
        <v>475</v>
      </c>
      <c r="D197" s="65" t="s">
        <v>344</v>
      </c>
      <c r="E197" s="65">
        <v>4</v>
      </c>
      <c r="F197" s="57">
        <v>4</v>
      </c>
      <c r="G197" s="65">
        <f t="shared" ref="G197:K197" si="152">G103</f>
        <v>550</v>
      </c>
      <c r="H197" s="67">
        <f t="shared" si="149"/>
        <v>4545</v>
      </c>
      <c r="I197" s="65">
        <f t="shared" si="152"/>
        <v>4500</v>
      </c>
      <c r="J197" s="74">
        <f t="shared" si="152"/>
        <v>0.01</v>
      </c>
      <c r="K197" s="58">
        <f t="shared" si="152"/>
        <v>150</v>
      </c>
      <c r="L197" s="39">
        <f>(G197+H197+K197)*$L$5</f>
        <v>314.7</v>
      </c>
      <c r="M197" s="39">
        <f>(G197+H197+K197+L197)*$M$5</f>
        <v>166.791</v>
      </c>
      <c r="N197" s="67">
        <f t="shared" si="145"/>
        <v>8589.7365</v>
      </c>
      <c r="O197" s="67"/>
      <c r="P197" s="67">
        <f t="shared" si="150"/>
        <v>34358.946</v>
      </c>
      <c r="Q197" s="82">
        <f t="shared" si="151"/>
        <v>34358.946</v>
      </c>
      <c r="R197" s="94" t="s">
        <v>465</v>
      </c>
      <c r="T197" s="21">
        <f t="shared" si="140"/>
        <v>34358.946</v>
      </c>
      <c r="U197" s="21">
        <f t="shared" si="141"/>
        <v>5726.491</v>
      </c>
      <c r="V197" s="21" t="b">
        <f t="shared" si="142"/>
        <v>0</v>
      </c>
      <c r="W197" s="21" t="b">
        <f t="shared" si="143"/>
        <v>1</v>
      </c>
    </row>
    <row r="198" s="21" customFormat="1" ht="86.4" outlineLevel="1" spans="1:23">
      <c r="A198" s="65">
        <v>184</v>
      </c>
      <c r="B198" s="65" t="s">
        <v>476</v>
      </c>
      <c r="C198" s="65" t="s">
        <v>477</v>
      </c>
      <c r="D198" s="65" t="s">
        <v>76</v>
      </c>
      <c r="E198" s="65">
        <v>23.62</v>
      </c>
      <c r="F198" s="57">
        <v>23.62</v>
      </c>
      <c r="G198" s="65">
        <f t="shared" ref="G198:K198" si="153">G104</f>
        <v>35</v>
      </c>
      <c r="H198" s="65">
        <f t="shared" si="149"/>
        <v>68.25</v>
      </c>
      <c r="I198" s="65">
        <f t="shared" si="153"/>
        <v>65</v>
      </c>
      <c r="J198" s="74">
        <f t="shared" si="153"/>
        <v>0.05</v>
      </c>
      <c r="K198" s="58">
        <f t="shared" si="153"/>
        <v>15</v>
      </c>
      <c r="L198" s="58">
        <f>(G198+H198+K198)*$L$5</f>
        <v>7.095</v>
      </c>
      <c r="M198" s="58">
        <f>(G198+H198+K198+L198)*$M$5</f>
        <v>3.76035</v>
      </c>
      <c r="N198" s="67">
        <f t="shared" si="145"/>
        <v>193.658025</v>
      </c>
      <c r="O198" s="67"/>
      <c r="P198" s="65">
        <f t="shared" si="150"/>
        <v>4574.2025505</v>
      </c>
      <c r="Q198" s="82">
        <f t="shared" si="151"/>
        <v>4574.2025505</v>
      </c>
      <c r="R198" s="65"/>
      <c r="T198" s="21">
        <f t="shared" si="140"/>
        <v>4574.2025505</v>
      </c>
      <c r="U198" s="21">
        <f t="shared" si="141"/>
        <v>129.10535</v>
      </c>
      <c r="V198" s="21" t="b">
        <f t="shared" si="142"/>
        <v>0</v>
      </c>
      <c r="W198" s="21" t="b">
        <f t="shared" si="143"/>
        <v>1</v>
      </c>
    </row>
    <row r="199" s="21" customFormat="1" ht="86.4" outlineLevel="1" spans="1:23">
      <c r="A199" s="84">
        <v>185</v>
      </c>
      <c r="B199" s="84" t="s">
        <v>476</v>
      </c>
      <c r="C199" s="84" t="s">
        <v>478</v>
      </c>
      <c r="D199" s="84" t="s">
        <v>76</v>
      </c>
      <c r="E199" s="84">
        <v>13.37</v>
      </c>
      <c r="F199" s="85">
        <v>13.37</v>
      </c>
      <c r="G199" s="84">
        <f t="shared" ref="G199:K199" si="154">G104</f>
        <v>35</v>
      </c>
      <c r="H199" s="84">
        <f t="shared" si="149"/>
        <v>68.25</v>
      </c>
      <c r="I199" s="84">
        <f t="shared" si="154"/>
        <v>65</v>
      </c>
      <c r="J199" s="93">
        <f t="shared" si="154"/>
        <v>0.05</v>
      </c>
      <c r="K199" s="92">
        <f t="shared" si="154"/>
        <v>15</v>
      </c>
      <c r="L199" s="92">
        <f>(G199+H199+K199)*$L$5</f>
        <v>7.095</v>
      </c>
      <c r="M199" s="92">
        <f>(G199+H199+K199+L199)*$M$5</f>
        <v>3.76035</v>
      </c>
      <c r="N199" s="67">
        <f t="shared" si="145"/>
        <v>193.658025</v>
      </c>
      <c r="O199" s="67"/>
      <c r="P199" s="84">
        <f t="shared" si="150"/>
        <v>2589.20779425</v>
      </c>
      <c r="Q199" s="82">
        <f t="shared" si="151"/>
        <v>2589.20779425</v>
      </c>
      <c r="R199" s="84"/>
      <c r="T199" s="21">
        <f t="shared" si="140"/>
        <v>2589.20779425</v>
      </c>
      <c r="U199" s="21">
        <f t="shared" si="141"/>
        <v>129.10535</v>
      </c>
      <c r="V199" s="21" t="b">
        <f t="shared" si="142"/>
        <v>0</v>
      </c>
      <c r="W199" s="21" t="b">
        <f t="shared" si="143"/>
        <v>1</v>
      </c>
    </row>
    <row r="200" s="21" customFormat="1" ht="32.4" outlineLevel="1" spans="1:23">
      <c r="A200" s="65">
        <v>186</v>
      </c>
      <c r="B200" s="65" t="s">
        <v>480</v>
      </c>
      <c r="C200" s="65" t="s">
        <v>481</v>
      </c>
      <c r="D200" s="65" t="s">
        <v>76</v>
      </c>
      <c r="E200" s="65">
        <v>5.04</v>
      </c>
      <c r="F200" s="57">
        <v>5.04</v>
      </c>
      <c r="G200" s="65">
        <f t="shared" ref="G200:K200" si="155">G107</f>
        <v>185</v>
      </c>
      <c r="H200" s="67">
        <f t="shared" ref="H200:H210" si="156">I200*(1+J200)</f>
        <v>231</v>
      </c>
      <c r="I200" s="65">
        <f t="shared" si="155"/>
        <v>220</v>
      </c>
      <c r="J200" s="74">
        <f t="shared" si="155"/>
        <v>0.05</v>
      </c>
      <c r="K200" s="58">
        <f t="shared" si="155"/>
        <v>15</v>
      </c>
      <c r="L200" s="39">
        <f>(G200+H200+K200)*$L$5</f>
        <v>25.86</v>
      </c>
      <c r="M200" s="39">
        <f>(G200+H200+K200+L200)*$M$5</f>
        <v>13.7058</v>
      </c>
      <c r="N200" s="67">
        <f t="shared" ref="N200:N221" si="157">(G200+H200+K200+L200+M200)*1.5</f>
        <v>705.8487</v>
      </c>
      <c r="O200" s="67"/>
      <c r="P200" s="67">
        <f t="shared" ref="P200:P210" si="158">N200*E200</f>
        <v>3557.477448</v>
      </c>
      <c r="Q200" s="82">
        <f t="shared" ref="Q200:Q221" si="159">F200*N200</f>
        <v>3557.477448</v>
      </c>
      <c r="R200" s="65"/>
      <c r="T200" s="21">
        <f t="shared" ref="T200:T221" si="160">E200*N200</f>
        <v>3557.477448</v>
      </c>
      <c r="U200" s="21">
        <f t="shared" ref="U200:U221" si="161">G200+H200+K200+L200+M200</f>
        <v>470.5658</v>
      </c>
      <c r="V200" s="21" t="b">
        <f t="shared" ref="V200:V221" si="162">N200=U200</f>
        <v>0</v>
      </c>
      <c r="W200" s="21" t="b">
        <f t="shared" ref="W200:W221" si="163">T200=P200</f>
        <v>1</v>
      </c>
    </row>
    <row r="201" s="21" customFormat="1" ht="75.6" outlineLevel="1" spans="1:23">
      <c r="A201" s="65">
        <v>187</v>
      </c>
      <c r="B201" s="65" t="s">
        <v>482</v>
      </c>
      <c r="C201" s="65" t="s">
        <v>483</v>
      </c>
      <c r="D201" s="65" t="s">
        <v>111</v>
      </c>
      <c r="E201" s="65">
        <v>2.59</v>
      </c>
      <c r="F201" s="57">
        <v>2.59</v>
      </c>
      <c r="G201" s="65">
        <f t="shared" ref="G201:K201" si="164">G108</f>
        <v>15</v>
      </c>
      <c r="H201" s="67">
        <f t="shared" si="156"/>
        <v>78.75</v>
      </c>
      <c r="I201" s="65">
        <f t="shared" si="164"/>
        <v>75</v>
      </c>
      <c r="J201" s="78">
        <f t="shared" si="164"/>
        <v>0.05</v>
      </c>
      <c r="K201" s="79">
        <f t="shared" si="164"/>
        <v>1</v>
      </c>
      <c r="L201" s="39">
        <f>(G201+H201+K201)*$L$5</f>
        <v>5.685</v>
      </c>
      <c r="M201" s="39">
        <f>(G201+H201+K201+L201)*$M$5</f>
        <v>3.01305</v>
      </c>
      <c r="N201" s="67">
        <f t="shared" si="157"/>
        <v>155.172075</v>
      </c>
      <c r="O201" s="67"/>
      <c r="P201" s="67">
        <f t="shared" si="158"/>
        <v>401.89567425</v>
      </c>
      <c r="Q201" s="82">
        <f t="shared" si="159"/>
        <v>401.89567425</v>
      </c>
      <c r="R201" s="65"/>
      <c r="T201" s="21">
        <f t="shared" si="160"/>
        <v>401.89567425</v>
      </c>
      <c r="U201" s="21">
        <f t="shared" si="161"/>
        <v>103.44805</v>
      </c>
      <c r="V201" s="21" t="b">
        <f t="shared" si="162"/>
        <v>0</v>
      </c>
      <c r="W201" s="21" t="b">
        <f t="shared" si="163"/>
        <v>1</v>
      </c>
    </row>
    <row r="202" s="21" customFormat="1" ht="75.6" outlineLevel="1" spans="1:23">
      <c r="A202" s="65">
        <v>188</v>
      </c>
      <c r="B202" s="65" t="s">
        <v>482</v>
      </c>
      <c r="C202" s="65" t="s">
        <v>486</v>
      </c>
      <c r="D202" s="65" t="s">
        <v>111</v>
      </c>
      <c r="E202" s="65">
        <v>4.42</v>
      </c>
      <c r="F202" s="57">
        <v>4.42</v>
      </c>
      <c r="G202" s="65">
        <f>G110</f>
        <v>15</v>
      </c>
      <c r="H202" s="67">
        <f t="shared" si="156"/>
        <v>65.1</v>
      </c>
      <c r="I202" s="65">
        <f>I110</f>
        <v>62</v>
      </c>
      <c r="J202" s="78">
        <f>J108</f>
        <v>0.05</v>
      </c>
      <c r="K202" s="79">
        <f>K108</f>
        <v>1</v>
      </c>
      <c r="L202" s="39">
        <f>(G202+H202+K202)*$L$5</f>
        <v>4.866</v>
      </c>
      <c r="M202" s="39">
        <f>(G202+H202+K202+L202)*$M$5</f>
        <v>2.57898</v>
      </c>
      <c r="N202" s="67">
        <f t="shared" si="157"/>
        <v>132.81747</v>
      </c>
      <c r="O202" s="67"/>
      <c r="P202" s="67">
        <f t="shared" si="158"/>
        <v>587.0532174</v>
      </c>
      <c r="Q202" s="82">
        <f t="shared" si="159"/>
        <v>587.0532174</v>
      </c>
      <c r="R202" s="65"/>
      <c r="T202" s="21">
        <f t="shared" si="160"/>
        <v>587.0532174</v>
      </c>
      <c r="U202" s="21">
        <f t="shared" si="161"/>
        <v>88.54498</v>
      </c>
      <c r="V202" s="21" t="b">
        <f t="shared" si="162"/>
        <v>0</v>
      </c>
      <c r="W202" s="21" t="b">
        <f t="shared" si="163"/>
        <v>1</v>
      </c>
    </row>
    <row r="203" s="21" customFormat="1" ht="75.6" outlineLevel="1" spans="1:23">
      <c r="A203" s="65">
        <v>189</v>
      </c>
      <c r="B203" s="65" t="s">
        <v>482</v>
      </c>
      <c r="C203" s="65" t="s">
        <v>487</v>
      </c>
      <c r="D203" s="65" t="s">
        <v>111</v>
      </c>
      <c r="E203" s="65">
        <v>20.47</v>
      </c>
      <c r="F203" s="57">
        <v>20.47</v>
      </c>
      <c r="G203" s="65">
        <f>G111</f>
        <v>15</v>
      </c>
      <c r="H203" s="67">
        <f t="shared" si="156"/>
        <v>57.75</v>
      </c>
      <c r="I203" s="65">
        <f>I111</f>
        <v>55</v>
      </c>
      <c r="J203" s="78">
        <f>J108</f>
        <v>0.05</v>
      </c>
      <c r="K203" s="79">
        <f>K108</f>
        <v>1</v>
      </c>
      <c r="L203" s="39">
        <f>(G203+H203+K203)*$L$5</f>
        <v>4.425</v>
      </c>
      <c r="M203" s="39">
        <f>(G203+H203+K203+L203)*$M$5</f>
        <v>2.34525</v>
      </c>
      <c r="N203" s="67">
        <f t="shared" si="157"/>
        <v>120.780375</v>
      </c>
      <c r="O203" s="67"/>
      <c r="P203" s="67">
        <f t="shared" si="158"/>
        <v>2472.37427625</v>
      </c>
      <c r="Q203" s="82">
        <f t="shared" si="159"/>
        <v>2472.37427625</v>
      </c>
      <c r="R203" s="65"/>
      <c r="T203" s="21">
        <f t="shared" si="160"/>
        <v>2472.37427625</v>
      </c>
      <c r="U203" s="21">
        <f t="shared" si="161"/>
        <v>80.52025</v>
      </c>
      <c r="V203" s="21" t="b">
        <f t="shared" si="162"/>
        <v>0</v>
      </c>
      <c r="W203" s="21" t="b">
        <f t="shared" si="163"/>
        <v>1</v>
      </c>
    </row>
    <row r="204" s="21" customFormat="1" ht="75.6" outlineLevel="1" spans="1:23">
      <c r="A204" s="65">
        <v>190</v>
      </c>
      <c r="B204" s="65" t="s">
        <v>482</v>
      </c>
      <c r="C204" s="65" t="s">
        <v>489</v>
      </c>
      <c r="D204" s="65" t="s">
        <v>111</v>
      </c>
      <c r="E204" s="65">
        <v>5.01</v>
      </c>
      <c r="F204" s="57">
        <v>5.01</v>
      </c>
      <c r="G204" s="65">
        <f t="shared" ref="G204:G209" si="165">G113</f>
        <v>10</v>
      </c>
      <c r="H204" s="67">
        <f t="shared" si="156"/>
        <v>44.1</v>
      </c>
      <c r="I204" s="65">
        <f t="shared" ref="I204:I208" si="166">I113</f>
        <v>42</v>
      </c>
      <c r="J204" s="78">
        <f>J108</f>
        <v>0.05</v>
      </c>
      <c r="K204" s="79">
        <f>K108</f>
        <v>1</v>
      </c>
      <c r="L204" s="39">
        <f>(G204+H204+K204)*$L$5</f>
        <v>3.306</v>
      </c>
      <c r="M204" s="39">
        <f>(G204+H204+K204+L204)*$M$5</f>
        <v>1.75218</v>
      </c>
      <c r="N204" s="67">
        <f t="shared" si="157"/>
        <v>90.23727</v>
      </c>
      <c r="O204" s="67"/>
      <c r="P204" s="67">
        <f t="shared" si="158"/>
        <v>452.0887227</v>
      </c>
      <c r="Q204" s="82">
        <f t="shared" si="159"/>
        <v>452.0887227</v>
      </c>
      <c r="R204" s="65"/>
      <c r="T204" s="21">
        <f t="shared" si="160"/>
        <v>452.0887227</v>
      </c>
      <c r="U204" s="21">
        <f t="shared" si="161"/>
        <v>60.15818</v>
      </c>
      <c r="V204" s="21" t="b">
        <f t="shared" si="162"/>
        <v>0</v>
      </c>
      <c r="W204" s="21" t="b">
        <f t="shared" si="163"/>
        <v>1</v>
      </c>
    </row>
    <row r="205" s="21" customFormat="1" ht="75.6" outlineLevel="1" spans="1:23">
      <c r="A205" s="65">
        <v>191</v>
      </c>
      <c r="B205" s="65" t="s">
        <v>482</v>
      </c>
      <c r="C205" s="65" t="s">
        <v>490</v>
      </c>
      <c r="D205" s="65" t="s">
        <v>111</v>
      </c>
      <c r="E205" s="65">
        <v>4.42</v>
      </c>
      <c r="F205" s="57">
        <v>4.42</v>
      </c>
      <c r="G205" s="65">
        <f t="shared" si="165"/>
        <v>10</v>
      </c>
      <c r="H205" s="67">
        <f t="shared" si="156"/>
        <v>36.75</v>
      </c>
      <c r="I205" s="65">
        <f t="shared" si="166"/>
        <v>35</v>
      </c>
      <c r="J205" s="78">
        <f>J108</f>
        <v>0.05</v>
      </c>
      <c r="K205" s="79">
        <f>K108</f>
        <v>1</v>
      </c>
      <c r="L205" s="39">
        <f>(G205+H205+K205)*$L$5</f>
        <v>2.865</v>
      </c>
      <c r="M205" s="39">
        <f>(G205+H205+K205+L205)*$M$5</f>
        <v>1.51845</v>
      </c>
      <c r="N205" s="67">
        <f t="shared" si="157"/>
        <v>78.200175</v>
      </c>
      <c r="O205" s="67"/>
      <c r="P205" s="67">
        <f t="shared" si="158"/>
        <v>345.6447735</v>
      </c>
      <c r="Q205" s="82">
        <f t="shared" si="159"/>
        <v>345.6447735</v>
      </c>
      <c r="R205" s="65"/>
      <c r="T205" s="21">
        <f t="shared" si="160"/>
        <v>345.6447735</v>
      </c>
      <c r="U205" s="21">
        <f t="shared" si="161"/>
        <v>52.13345</v>
      </c>
      <c r="V205" s="21" t="b">
        <f t="shared" si="162"/>
        <v>0</v>
      </c>
      <c r="W205" s="21" t="b">
        <f t="shared" si="163"/>
        <v>1</v>
      </c>
    </row>
    <row r="206" s="21" customFormat="1" ht="75.6" outlineLevel="1" spans="1:23">
      <c r="A206" s="65">
        <v>192</v>
      </c>
      <c r="B206" s="65" t="s">
        <v>482</v>
      </c>
      <c r="C206" s="65" t="s">
        <v>491</v>
      </c>
      <c r="D206" s="65" t="s">
        <v>111</v>
      </c>
      <c r="E206" s="65">
        <v>32.39</v>
      </c>
      <c r="F206" s="57">
        <v>32.39</v>
      </c>
      <c r="G206" s="65">
        <f t="shared" si="165"/>
        <v>10</v>
      </c>
      <c r="H206" s="67">
        <f t="shared" si="156"/>
        <v>33.6</v>
      </c>
      <c r="I206" s="65">
        <f t="shared" si="166"/>
        <v>32</v>
      </c>
      <c r="J206" s="78">
        <f>J108</f>
        <v>0.05</v>
      </c>
      <c r="K206" s="79">
        <f>K108</f>
        <v>1</v>
      </c>
      <c r="L206" s="39">
        <f>(G206+H206+K206)*$L$5</f>
        <v>2.676</v>
      </c>
      <c r="M206" s="39">
        <f>(G206+H206+K206+L206)*$M$5</f>
        <v>1.41828</v>
      </c>
      <c r="N206" s="67">
        <f t="shared" si="157"/>
        <v>73.04142</v>
      </c>
      <c r="O206" s="67"/>
      <c r="P206" s="67">
        <f t="shared" si="158"/>
        <v>2365.8115938</v>
      </c>
      <c r="Q206" s="82">
        <f t="shared" si="159"/>
        <v>2365.8115938</v>
      </c>
      <c r="R206" s="65"/>
      <c r="T206" s="21">
        <f t="shared" si="160"/>
        <v>2365.8115938</v>
      </c>
      <c r="U206" s="21">
        <f t="shared" si="161"/>
        <v>48.69428</v>
      </c>
      <c r="V206" s="21" t="b">
        <f t="shared" si="162"/>
        <v>0</v>
      </c>
      <c r="W206" s="21" t="b">
        <f t="shared" si="163"/>
        <v>1</v>
      </c>
    </row>
    <row r="207" s="21" customFormat="1" ht="75.6" outlineLevel="1" spans="1:23">
      <c r="A207" s="65">
        <v>193</v>
      </c>
      <c r="B207" s="65" t="s">
        <v>482</v>
      </c>
      <c r="C207" s="65" t="s">
        <v>492</v>
      </c>
      <c r="D207" s="65" t="s">
        <v>111</v>
      </c>
      <c r="E207" s="65">
        <v>2.47</v>
      </c>
      <c r="F207" s="57">
        <v>2.47</v>
      </c>
      <c r="G207" s="65">
        <f t="shared" si="165"/>
        <v>10</v>
      </c>
      <c r="H207" s="67">
        <f t="shared" si="156"/>
        <v>26.25</v>
      </c>
      <c r="I207" s="65">
        <f t="shared" si="166"/>
        <v>25</v>
      </c>
      <c r="J207" s="78">
        <f>J108</f>
        <v>0.05</v>
      </c>
      <c r="K207" s="79">
        <f>K108</f>
        <v>1</v>
      </c>
      <c r="L207" s="39">
        <f>(G207+H207+K207)*$L$5</f>
        <v>2.235</v>
      </c>
      <c r="M207" s="39">
        <f>(G207+H207+K207+L207)*$M$5</f>
        <v>1.18455</v>
      </c>
      <c r="N207" s="67">
        <f t="shared" si="157"/>
        <v>61.004325</v>
      </c>
      <c r="O207" s="67"/>
      <c r="P207" s="67">
        <f t="shared" si="158"/>
        <v>150.68068275</v>
      </c>
      <c r="Q207" s="82">
        <f t="shared" si="159"/>
        <v>150.68068275</v>
      </c>
      <c r="R207" s="65"/>
      <c r="T207" s="21">
        <f t="shared" si="160"/>
        <v>150.68068275</v>
      </c>
      <c r="U207" s="21">
        <f t="shared" si="161"/>
        <v>40.66955</v>
      </c>
      <c r="V207" s="21" t="b">
        <f t="shared" si="162"/>
        <v>0</v>
      </c>
      <c r="W207" s="21" t="b">
        <f t="shared" si="163"/>
        <v>1</v>
      </c>
    </row>
    <row r="208" s="21" customFormat="1" ht="75.6" outlineLevel="1" spans="1:23">
      <c r="A208" s="65">
        <v>194</v>
      </c>
      <c r="B208" s="65" t="s">
        <v>482</v>
      </c>
      <c r="C208" s="65" t="s">
        <v>493</v>
      </c>
      <c r="D208" s="65" t="s">
        <v>111</v>
      </c>
      <c r="E208" s="65">
        <v>16.82</v>
      </c>
      <c r="F208" s="57">
        <v>16.82</v>
      </c>
      <c r="G208" s="65">
        <f t="shared" si="165"/>
        <v>10</v>
      </c>
      <c r="H208" s="67">
        <f t="shared" si="156"/>
        <v>21</v>
      </c>
      <c r="I208" s="65">
        <f t="shared" si="166"/>
        <v>20</v>
      </c>
      <c r="J208" s="78">
        <f>J108</f>
        <v>0.05</v>
      </c>
      <c r="K208" s="79">
        <f>K108</f>
        <v>1</v>
      </c>
      <c r="L208" s="39">
        <f>(G208+H208+K208)*$L$5</f>
        <v>1.92</v>
      </c>
      <c r="M208" s="39">
        <f>(G208+H208+K208+L208)*$M$5</f>
        <v>1.0176</v>
      </c>
      <c r="N208" s="67">
        <f t="shared" si="157"/>
        <v>52.4064</v>
      </c>
      <c r="O208" s="67"/>
      <c r="P208" s="67">
        <f t="shared" si="158"/>
        <v>881.475648</v>
      </c>
      <c r="Q208" s="82">
        <f t="shared" si="159"/>
        <v>881.475648</v>
      </c>
      <c r="R208" s="65"/>
      <c r="T208" s="21">
        <f t="shared" si="160"/>
        <v>881.475648</v>
      </c>
      <c r="U208" s="21">
        <f t="shared" si="161"/>
        <v>34.9376</v>
      </c>
      <c r="V208" s="21" t="b">
        <f t="shared" si="162"/>
        <v>0</v>
      </c>
      <c r="W208" s="21" t="b">
        <f t="shared" si="163"/>
        <v>1</v>
      </c>
    </row>
    <row r="209" s="21" customFormat="1" ht="86.4" outlineLevel="1" spans="1:23">
      <c r="A209" s="84">
        <v>195</v>
      </c>
      <c r="B209" s="84" t="s">
        <v>447</v>
      </c>
      <c r="C209" s="84" t="s">
        <v>544</v>
      </c>
      <c r="D209" s="84" t="s">
        <v>111</v>
      </c>
      <c r="E209" s="84">
        <v>16.12</v>
      </c>
      <c r="F209" s="85">
        <v>16.12</v>
      </c>
      <c r="G209" s="84">
        <f t="shared" si="165"/>
        <v>15</v>
      </c>
      <c r="H209" s="84">
        <f t="shared" si="156"/>
        <v>23.1</v>
      </c>
      <c r="I209" s="86">
        <v>22</v>
      </c>
      <c r="J209" s="93">
        <f>J118</f>
        <v>0.05</v>
      </c>
      <c r="K209" s="91">
        <v>11</v>
      </c>
      <c r="L209" s="92">
        <f>(G209+H209+K209)*$L$5</f>
        <v>2.946</v>
      </c>
      <c r="M209" s="92">
        <f>(G209+H209+K209+L209)*$M$5</f>
        <v>1.56138</v>
      </c>
      <c r="N209" s="67">
        <f t="shared" si="157"/>
        <v>80.41107</v>
      </c>
      <c r="O209" s="67"/>
      <c r="P209" s="84">
        <f t="shared" si="158"/>
        <v>1296.2264484</v>
      </c>
      <c r="Q209" s="82">
        <f t="shared" si="159"/>
        <v>1296.2264484</v>
      </c>
      <c r="R209" s="92"/>
      <c r="T209" s="21">
        <f t="shared" si="160"/>
        <v>1296.2264484</v>
      </c>
      <c r="U209" s="21">
        <f t="shared" si="161"/>
        <v>53.60738</v>
      </c>
      <c r="V209" s="21" t="b">
        <f t="shared" si="162"/>
        <v>0</v>
      </c>
      <c r="W209" s="21" t="b">
        <f t="shared" si="163"/>
        <v>1</v>
      </c>
    </row>
    <row r="210" s="21" customFormat="1" ht="86.4" outlineLevel="1" spans="1:23">
      <c r="A210" s="84">
        <v>196</v>
      </c>
      <c r="B210" s="84" t="s">
        <v>447</v>
      </c>
      <c r="C210" s="84" t="s">
        <v>495</v>
      </c>
      <c r="D210" s="84" t="s">
        <v>111</v>
      </c>
      <c r="E210" s="84">
        <v>10.35</v>
      </c>
      <c r="F210" s="85">
        <v>10.35</v>
      </c>
      <c r="G210" s="84">
        <f t="shared" ref="G210:K210" si="167">G119</f>
        <v>15</v>
      </c>
      <c r="H210" s="84">
        <f t="shared" si="156"/>
        <v>18.9</v>
      </c>
      <c r="I210" s="84">
        <f t="shared" si="167"/>
        <v>18</v>
      </c>
      <c r="J210" s="93">
        <f t="shared" si="167"/>
        <v>0.05</v>
      </c>
      <c r="K210" s="92">
        <f t="shared" si="167"/>
        <v>8</v>
      </c>
      <c r="L210" s="92">
        <f>(G210+H210+K210)*$L$5</f>
        <v>2.514</v>
      </c>
      <c r="M210" s="92">
        <f>(G210+H210+K210+L210)*$M$5</f>
        <v>1.33242</v>
      </c>
      <c r="N210" s="67">
        <f t="shared" si="157"/>
        <v>68.61963</v>
      </c>
      <c r="O210" s="67"/>
      <c r="P210" s="84">
        <f t="shared" si="158"/>
        <v>710.2131705</v>
      </c>
      <c r="Q210" s="82">
        <f t="shared" si="159"/>
        <v>710.2131705</v>
      </c>
      <c r="R210" s="92"/>
      <c r="T210" s="21">
        <f t="shared" si="160"/>
        <v>710.2131705</v>
      </c>
      <c r="U210" s="21">
        <f t="shared" si="161"/>
        <v>45.74642</v>
      </c>
      <c r="V210" s="21" t="b">
        <f t="shared" si="162"/>
        <v>0</v>
      </c>
      <c r="W210" s="21" t="b">
        <f t="shared" si="163"/>
        <v>1</v>
      </c>
    </row>
    <row r="211" s="21" customFormat="1" ht="54" outlineLevel="1" spans="1:23">
      <c r="A211" s="65">
        <v>197</v>
      </c>
      <c r="B211" s="65" t="s">
        <v>496</v>
      </c>
      <c r="C211" s="65" t="s">
        <v>503</v>
      </c>
      <c r="D211" s="65" t="s">
        <v>105</v>
      </c>
      <c r="E211" s="65">
        <v>1</v>
      </c>
      <c r="F211" s="57">
        <v>1</v>
      </c>
      <c r="G211" s="65">
        <f t="shared" ref="G211:K211" si="168">G126</f>
        <v>35</v>
      </c>
      <c r="H211" s="67">
        <f t="shared" ref="H211:H217" si="169">I211*(1+J211)</f>
        <v>151.5</v>
      </c>
      <c r="I211" s="65">
        <f t="shared" si="168"/>
        <v>150</v>
      </c>
      <c r="J211" s="74">
        <f t="shared" si="168"/>
        <v>0.01</v>
      </c>
      <c r="K211" s="58">
        <f t="shared" si="168"/>
        <v>10</v>
      </c>
      <c r="L211" s="39">
        <f>(G211+H211+K211)*$L$5</f>
        <v>11.79</v>
      </c>
      <c r="M211" s="39">
        <f>(G211+H211+K211+L211)*$M$5</f>
        <v>6.2487</v>
      </c>
      <c r="N211" s="67">
        <f t="shared" si="157"/>
        <v>321.80805</v>
      </c>
      <c r="O211" s="67"/>
      <c r="P211" s="67">
        <f t="shared" ref="P211:P217" si="170">N211*E211</f>
        <v>321.80805</v>
      </c>
      <c r="Q211" s="82">
        <f t="shared" si="159"/>
        <v>321.80805</v>
      </c>
      <c r="R211" s="65"/>
      <c r="T211" s="21">
        <f t="shared" si="160"/>
        <v>321.80805</v>
      </c>
      <c r="U211" s="21">
        <f t="shared" si="161"/>
        <v>214.5387</v>
      </c>
      <c r="V211" s="21" t="b">
        <f t="shared" si="162"/>
        <v>0</v>
      </c>
      <c r="W211" s="21" t="b">
        <f t="shared" si="163"/>
        <v>1</v>
      </c>
    </row>
    <row r="212" s="21" customFormat="1" ht="54" outlineLevel="1" spans="1:23">
      <c r="A212" s="65">
        <v>198</v>
      </c>
      <c r="B212" s="65" t="s">
        <v>496</v>
      </c>
      <c r="C212" s="65" t="s">
        <v>508</v>
      </c>
      <c r="D212" s="65" t="s">
        <v>105</v>
      </c>
      <c r="E212" s="65">
        <v>1</v>
      </c>
      <c r="F212" s="57">
        <v>1</v>
      </c>
      <c r="G212" s="65">
        <f t="shared" ref="G212:K212" si="171">G211</f>
        <v>35</v>
      </c>
      <c r="H212" s="67">
        <f t="shared" si="169"/>
        <v>85.85</v>
      </c>
      <c r="I212" s="80">
        <f>I137</f>
        <v>85</v>
      </c>
      <c r="J212" s="74">
        <f t="shared" si="171"/>
        <v>0.01</v>
      </c>
      <c r="K212" s="58">
        <f t="shared" si="171"/>
        <v>10</v>
      </c>
      <c r="L212" s="39">
        <f>(G212+H212+K212)*$L$5</f>
        <v>7.851</v>
      </c>
      <c r="M212" s="39">
        <f>(G212+H212+K212+L212)*$M$5</f>
        <v>4.16103</v>
      </c>
      <c r="N212" s="67">
        <f t="shared" si="157"/>
        <v>214.293045</v>
      </c>
      <c r="O212" s="67"/>
      <c r="P212" s="67">
        <f t="shared" si="170"/>
        <v>214.293045</v>
      </c>
      <c r="Q212" s="82">
        <f t="shared" si="159"/>
        <v>214.293045</v>
      </c>
      <c r="R212" s="65"/>
      <c r="T212" s="21">
        <f t="shared" si="160"/>
        <v>214.293045</v>
      </c>
      <c r="U212" s="21">
        <f t="shared" si="161"/>
        <v>142.86203</v>
      </c>
      <c r="V212" s="21" t="b">
        <f t="shared" si="162"/>
        <v>0</v>
      </c>
      <c r="W212" s="21" t="b">
        <f t="shared" si="163"/>
        <v>1</v>
      </c>
    </row>
    <row r="213" s="21" customFormat="1" ht="64.8" outlineLevel="1" spans="1:23">
      <c r="A213" s="65">
        <v>199</v>
      </c>
      <c r="B213" s="65" t="s">
        <v>496</v>
      </c>
      <c r="C213" s="65" t="s">
        <v>545</v>
      </c>
      <c r="D213" s="65" t="s">
        <v>105</v>
      </c>
      <c r="E213" s="65">
        <v>1</v>
      </c>
      <c r="F213" s="57">
        <v>1</v>
      </c>
      <c r="G213" s="65">
        <f t="shared" ref="G213:K213" si="172">G211</f>
        <v>35</v>
      </c>
      <c r="H213" s="67">
        <f t="shared" si="169"/>
        <v>85.85</v>
      </c>
      <c r="I213" s="80">
        <f>I212</f>
        <v>85</v>
      </c>
      <c r="J213" s="74">
        <f t="shared" si="172"/>
        <v>0.01</v>
      </c>
      <c r="K213" s="58">
        <f t="shared" si="172"/>
        <v>10</v>
      </c>
      <c r="L213" s="39">
        <f>(G213+H213+K213)*$L$5</f>
        <v>7.851</v>
      </c>
      <c r="M213" s="39">
        <f>(G213+H213+K213+L213)*$M$5</f>
        <v>4.16103</v>
      </c>
      <c r="N213" s="67">
        <f t="shared" si="157"/>
        <v>214.293045</v>
      </c>
      <c r="O213" s="67"/>
      <c r="P213" s="67">
        <f t="shared" si="170"/>
        <v>214.293045</v>
      </c>
      <c r="Q213" s="82">
        <f t="shared" si="159"/>
        <v>214.293045</v>
      </c>
      <c r="R213" s="65"/>
      <c r="T213" s="21">
        <f t="shared" si="160"/>
        <v>214.293045</v>
      </c>
      <c r="U213" s="21">
        <f t="shared" si="161"/>
        <v>142.86203</v>
      </c>
      <c r="V213" s="21" t="b">
        <f t="shared" si="162"/>
        <v>0</v>
      </c>
      <c r="W213" s="21" t="b">
        <f t="shared" si="163"/>
        <v>1</v>
      </c>
    </row>
    <row r="214" s="21" customFormat="1" ht="54" outlineLevel="1" spans="1:23">
      <c r="A214" s="65">
        <v>200</v>
      </c>
      <c r="B214" s="65" t="s">
        <v>496</v>
      </c>
      <c r="C214" s="65" t="s">
        <v>517</v>
      </c>
      <c r="D214" s="65" t="s">
        <v>105</v>
      </c>
      <c r="E214" s="65">
        <v>1</v>
      </c>
      <c r="F214" s="57">
        <v>1</v>
      </c>
      <c r="G214" s="65">
        <f t="shared" ref="G214:K214" si="173">G213</f>
        <v>35</v>
      </c>
      <c r="H214" s="67">
        <f t="shared" si="169"/>
        <v>85.85</v>
      </c>
      <c r="I214" s="65">
        <f t="shared" si="173"/>
        <v>85</v>
      </c>
      <c r="J214" s="74">
        <f t="shared" si="173"/>
        <v>0.01</v>
      </c>
      <c r="K214" s="58">
        <f t="shared" si="173"/>
        <v>10</v>
      </c>
      <c r="L214" s="39">
        <f>(G214+H214+K214)*$L$5</f>
        <v>7.851</v>
      </c>
      <c r="M214" s="39">
        <f>(G214+H214+K214+L214)*$M$5</f>
        <v>4.16103</v>
      </c>
      <c r="N214" s="67">
        <f t="shared" si="157"/>
        <v>214.293045</v>
      </c>
      <c r="O214" s="67"/>
      <c r="P214" s="67">
        <f t="shared" si="170"/>
        <v>214.293045</v>
      </c>
      <c r="Q214" s="82">
        <f t="shared" si="159"/>
        <v>214.293045</v>
      </c>
      <c r="R214" s="65"/>
      <c r="T214" s="21">
        <f t="shared" si="160"/>
        <v>214.293045</v>
      </c>
      <c r="U214" s="21">
        <f t="shared" si="161"/>
        <v>142.86203</v>
      </c>
      <c r="V214" s="21" t="b">
        <f t="shared" si="162"/>
        <v>0</v>
      </c>
      <c r="W214" s="21" t="b">
        <f t="shared" si="163"/>
        <v>1</v>
      </c>
    </row>
    <row r="215" s="21" customFormat="1" ht="54" outlineLevel="1" spans="1:23">
      <c r="A215" s="65">
        <v>201</v>
      </c>
      <c r="B215" s="65" t="s">
        <v>496</v>
      </c>
      <c r="C215" s="65" t="s">
        <v>546</v>
      </c>
      <c r="D215" s="65" t="s">
        <v>105</v>
      </c>
      <c r="E215" s="65">
        <v>2</v>
      </c>
      <c r="F215" s="57">
        <v>2</v>
      </c>
      <c r="G215" s="65">
        <f t="shared" ref="G215:K215" si="174">G213</f>
        <v>35</v>
      </c>
      <c r="H215" s="67">
        <f t="shared" si="169"/>
        <v>85.85</v>
      </c>
      <c r="I215" s="80">
        <f t="shared" si="174"/>
        <v>85</v>
      </c>
      <c r="J215" s="74">
        <f t="shared" si="174"/>
        <v>0.01</v>
      </c>
      <c r="K215" s="58">
        <f t="shared" si="174"/>
        <v>10</v>
      </c>
      <c r="L215" s="39">
        <f>(G215+H215+K215)*$L$5</f>
        <v>7.851</v>
      </c>
      <c r="M215" s="39">
        <f>(G215+H215+K215+L215)*$M$5</f>
        <v>4.16103</v>
      </c>
      <c r="N215" s="67">
        <f t="shared" si="157"/>
        <v>214.293045</v>
      </c>
      <c r="O215" s="67"/>
      <c r="P215" s="67">
        <f t="shared" si="170"/>
        <v>428.58609</v>
      </c>
      <c r="Q215" s="82">
        <f t="shared" si="159"/>
        <v>428.58609</v>
      </c>
      <c r="R215" s="65"/>
      <c r="T215" s="21">
        <f t="shared" si="160"/>
        <v>428.58609</v>
      </c>
      <c r="U215" s="21">
        <f t="shared" si="161"/>
        <v>142.86203</v>
      </c>
      <c r="V215" s="21" t="b">
        <f t="shared" si="162"/>
        <v>0</v>
      </c>
      <c r="W215" s="21" t="b">
        <f t="shared" si="163"/>
        <v>1</v>
      </c>
    </row>
    <row r="216" s="21" customFormat="1" ht="54" outlineLevel="1" spans="1:23">
      <c r="A216" s="65">
        <v>202</v>
      </c>
      <c r="B216" s="65" t="s">
        <v>519</v>
      </c>
      <c r="C216" s="65" t="s">
        <v>520</v>
      </c>
      <c r="D216" s="65" t="s">
        <v>521</v>
      </c>
      <c r="E216" s="65">
        <v>0.05</v>
      </c>
      <c r="F216" s="57">
        <v>0.05</v>
      </c>
      <c r="G216" s="65">
        <f t="shared" ref="G216:K216" si="175">G142</f>
        <v>700</v>
      </c>
      <c r="H216" s="67">
        <f t="shared" si="169"/>
        <v>1545</v>
      </c>
      <c r="I216" s="80">
        <f t="shared" si="175"/>
        <v>1500</v>
      </c>
      <c r="J216" s="78">
        <f t="shared" si="175"/>
        <v>0.03</v>
      </c>
      <c r="K216" s="79">
        <f t="shared" si="175"/>
        <v>160</v>
      </c>
      <c r="L216" s="39">
        <f>(G216+H216+K216)*$L$5</f>
        <v>144.3</v>
      </c>
      <c r="M216" s="39">
        <f>(G216+H216+K216+L216)*$M$5</f>
        <v>76.479</v>
      </c>
      <c r="N216" s="67">
        <f t="shared" si="157"/>
        <v>3938.6685</v>
      </c>
      <c r="O216" s="67"/>
      <c r="P216" s="67">
        <f t="shared" si="170"/>
        <v>196.933425</v>
      </c>
      <c r="Q216" s="82">
        <f t="shared" si="159"/>
        <v>196.933425</v>
      </c>
      <c r="R216" s="65"/>
      <c r="T216" s="21">
        <f t="shared" si="160"/>
        <v>196.933425</v>
      </c>
      <c r="U216" s="21">
        <f t="shared" si="161"/>
        <v>2625.779</v>
      </c>
      <c r="V216" s="21" t="b">
        <f t="shared" si="162"/>
        <v>0</v>
      </c>
      <c r="W216" s="21" t="b">
        <f t="shared" si="163"/>
        <v>1</v>
      </c>
    </row>
    <row r="217" s="21" customFormat="1" ht="54" outlineLevel="1" spans="1:23">
      <c r="A217" s="65">
        <v>203</v>
      </c>
      <c r="B217" s="65" t="s">
        <v>519</v>
      </c>
      <c r="C217" s="65" t="s">
        <v>522</v>
      </c>
      <c r="D217" s="65" t="s">
        <v>521</v>
      </c>
      <c r="E217" s="65">
        <v>0.37</v>
      </c>
      <c r="F217" s="57">
        <v>0.37</v>
      </c>
      <c r="G217" s="65">
        <f t="shared" ref="G217:K217" si="176">G142</f>
        <v>700</v>
      </c>
      <c r="H217" s="67">
        <f t="shared" si="169"/>
        <v>1545</v>
      </c>
      <c r="I217" s="80">
        <f t="shared" si="176"/>
        <v>1500</v>
      </c>
      <c r="J217" s="78">
        <f t="shared" si="176"/>
        <v>0.03</v>
      </c>
      <c r="K217" s="79">
        <f t="shared" si="176"/>
        <v>160</v>
      </c>
      <c r="L217" s="39">
        <f>(G217+H217+K217)*$L$5</f>
        <v>144.3</v>
      </c>
      <c r="M217" s="39">
        <f>(G217+H217+K217+L217)*$M$5</f>
        <v>76.479</v>
      </c>
      <c r="N217" s="67">
        <f t="shared" si="157"/>
        <v>3938.6685</v>
      </c>
      <c r="O217" s="67"/>
      <c r="P217" s="67">
        <f t="shared" si="170"/>
        <v>1457.307345</v>
      </c>
      <c r="Q217" s="82">
        <f t="shared" si="159"/>
        <v>1457.307345</v>
      </c>
      <c r="R217" s="65"/>
      <c r="T217" s="21">
        <f t="shared" si="160"/>
        <v>1457.307345</v>
      </c>
      <c r="U217" s="21">
        <f t="shared" si="161"/>
        <v>2625.779</v>
      </c>
      <c r="V217" s="21" t="b">
        <f t="shared" si="162"/>
        <v>0</v>
      </c>
      <c r="W217" s="21" t="b">
        <f t="shared" si="163"/>
        <v>1</v>
      </c>
    </row>
    <row r="218" s="21" customFormat="1" outlineLevel="1" spans="1:20">
      <c r="A218" s="65"/>
      <c r="B218" s="65"/>
      <c r="C218" s="65"/>
      <c r="D218" s="65"/>
      <c r="E218" s="65"/>
      <c r="F218" s="57"/>
      <c r="G218" s="65"/>
      <c r="H218" s="67"/>
      <c r="I218" s="80"/>
      <c r="J218" s="78"/>
      <c r="K218" s="79"/>
      <c r="L218" s="39"/>
      <c r="M218" s="39"/>
      <c r="N218" s="67"/>
      <c r="O218" s="97">
        <f>SUM(P8:P217)</f>
        <v>1233758.90990285</v>
      </c>
      <c r="P218" s="98"/>
      <c r="Q218" s="99"/>
      <c r="R218" s="65"/>
      <c r="T218" s="21">
        <f>SUM(T8:T217)</f>
        <v>1233758.90990285</v>
      </c>
    </row>
    <row r="219" ht="59" customHeight="1" spans="1:18">
      <c r="A219" s="44" t="s">
        <v>338</v>
      </c>
      <c r="B219" s="45" t="s">
        <v>339</v>
      </c>
      <c r="C219" s="45"/>
      <c r="D219" s="45"/>
      <c r="E219" s="45"/>
      <c r="F219" s="46"/>
      <c r="G219" s="45"/>
      <c r="H219" s="45"/>
      <c r="I219" s="45"/>
      <c r="J219" s="45"/>
      <c r="K219" s="44"/>
      <c r="L219" s="44"/>
      <c r="M219" s="44"/>
      <c r="N219" s="45"/>
      <c r="O219" s="45"/>
      <c r="P219" s="45"/>
      <c r="Q219" s="46"/>
      <c r="R219" s="45"/>
    </row>
  </sheetData>
  <autoFilter ref="A5:R219">
    <extLst/>
  </autoFilter>
  <mergeCells count="231">
    <mergeCell ref="A1:R1"/>
    <mergeCell ref="A2:G2"/>
    <mergeCell ref="H2:N2"/>
    <mergeCell ref="O2:R2"/>
    <mergeCell ref="G3:M3"/>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N39:O39"/>
    <mergeCell ref="N40:O40"/>
    <mergeCell ref="N41:O41"/>
    <mergeCell ref="N42:O42"/>
    <mergeCell ref="N43:O43"/>
    <mergeCell ref="N44:O44"/>
    <mergeCell ref="N45:O45"/>
    <mergeCell ref="N46:O46"/>
    <mergeCell ref="N47:O47"/>
    <mergeCell ref="N48:O48"/>
    <mergeCell ref="N49:O49"/>
    <mergeCell ref="N50:O50"/>
    <mergeCell ref="N51:O51"/>
    <mergeCell ref="N52:O52"/>
    <mergeCell ref="N53:O53"/>
    <mergeCell ref="N54:O54"/>
    <mergeCell ref="N55:O55"/>
    <mergeCell ref="N56:O56"/>
    <mergeCell ref="N57:O57"/>
    <mergeCell ref="N58:O58"/>
    <mergeCell ref="N59:O59"/>
    <mergeCell ref="N60:O60"/>
    <mergeCell ref="N61:O61"/>
    <mergeCell ref="N62:O62"/>
    <mergeCell ref="N63:O63"/>
    <mergeCell ref="N64:O64"/>
    <mergeCell ref="N65:O65"/>
    <mergeCell ref="N66:O66"/>
    <mergeCell ref="N67:O67"/>
    <mergeCell ref="N68:O68"/>
    <mergeCell ref="N69:O69"/>
    <mergeCell ref="N70:O70"/>
    <mergeCell ref="N71:O71"/>
    <mergeCell ref="N72:O72"/>
    <mergeCell ref="N73:O73"/>
    <mergeCell ref="N74:O74"/>
    <mergeCell ref="N75:O75"/>
    <mergeCell ref="N76:O76"/>
    <mergeCell ref="N77:O77"/>
    <mergeCell ref="N78:O78"/>
    <mergeCell ref="N79:O79"/>
    <mergeCell ref="N80:O80"/>
    <mergeCell ref="N81:O81"/>
    <mergeCell ref="N82:O82"/>
    <mergeCell ref="N83:O83"/>
    <mergeCell ref="N84:O84"/>
    <mergeCell ref="N85:O85"/>
    <mergeCell ref="N86:O86"/>
    <mergeCell ref="N87:O87"/>
    <mergeCell ref="N88:O88"/>
    <mergeCell ref="N89:O89"/>
    <mergeCell ref="N90:O90"/>
    <mergeCell ref="N91:O91"/>
    <mergeCell ref="N92:O92"/>
    <mergeCell ref="N93:O93"/>
    <mergeCell ref="N94:O94"/>
    <mergeCell ref="N95:O95"/>
    <mergeCell ref="N96:O96"/>
    <mergeCell ref="N97:O97"/>
    <mergeCell ref="N98:O98"/>
    <mergeCell ref="N99:O99"/>
    <mergeCell ref="N100:O100"/>
    <mergeCell ref="N101:O101"/>
    <mergeCell ref="N102:O102"/>
    <mergeCell ref="N103:O103"/>
    <mergeCell ref="N104:O104"/>
    <mergeCell ref="N105:O105"/>
    <mergeCell ref="N106:O106"/>
    <mergeCell ref="N107:O107"/>
    <mergeCell ref="N108:O108"/>
    <mergeCell ref="N109:O109"/>
    <mergeCell ref="N110:O110"/>
    <mergeCell ref="N111:O111"/>
    <mergeCell ref="N112:O112"/>
    <mergeCell ref="N113:O113"/>
    <mergeCell ref="N114:O114"/>
    <mergeCell ref="N115:O115"/>
    <mergeCell ref="N116:O116"/>
    <mergeCell ref="N117:O117"/>
    <mergeCell ref="N118:O118"/>
    <mergeCell ref="N119:O119"/>
    <mergeCell ref="N120:O120"/>
    <mergeCell ref="N121:O121"/>
    <mergeCell ref="N122:O122"/>
    <mergeCell ref="N123:O123"/>
    <mergeCell ref="N124:O124"/>
    <mergeCell ref="N125:O125"/>
    <mergeCell ref="N126:O126"/>
    <mergeCell ref="N127:O127"/>
    <mergeCell ref="N128:O128"/>
    <mergeCell ref="N129:O129"/>
    <mergeCell ref="N130:O130"/>
    <mergeCell ref="N131:O131"/>
    <mergeCell ref="N132:O132"/>
    <mergeCell ref="N133:O133"/>
    <mergeCell ref="N134:O134"/>
    <mergeCell ref="N135:O135"/>
    <mergeCell ref="N136:O136"/>
    <mergeCell ref="N137:O137"/>
    <mergeCell ref="N138:O138"/>
    <mergeCell ref="N139:O139"/>
    <mergeCell ref="N140:O140"/>
    <mergeCell ref="N141:O141"/>
    <mergeCell ref="N142:O142"/>
    <mergeCell ref="N143:O143"/>
    <mergeCell ref="N144:O144"/>
    <mergeCell ref="N145:O145"/>
    <mergeCell ref="N146:O146"/>
    <mergeCell ref="N147:O147"/>
    <mergeCell ref="N148:O148"/>
    <mergeCell ref="N149:O149"/>
    <mergeCell ref="N150:O150"/>
    <mergeCell ref="N151:O151"/>
    <mergeCell ref="N152:O152"/>
    <mergeCell ref="N153:O153"/>
    <mergeCell ref="N154:O154"/>
    <mergeCell ref="N155:O155"/>
    <mergeCell ref="N156:O156"/>
    <mergeCell ref="N157:O157"/>
    <mergeCell ref="N158:O158"/>
    <mergeCell ref="N159:O159"/>
    <mergeCell ref="N160:O160"/>
    <mergeCell ref="N161:O161"/>
    <mergeCell ref="N162:O162"/>
    <mergeCell ref="N163:O163"/>
    <mergeCell ref="N164:O164"/>
    <mergeCell ref="N165:O165"/>
    <mergeCell ref="N166:O166"/>
    <mergeCell ref="N167:O167"/>
    <mergeCell ref="N168:O168"/>
    <mergeCell ref="N169:O169"/>
    <mergeCell ref="N170:O170"/>
    <mergeCell ref="N171:O171"/>
    <mergeCell ref="N172:O172"/>
    <mergeCell ref="N173:O173"/>
    <mergeCell ref="N174:O174"/>
    <mergeCell ref="N175:O175"/>
    <mergeCell ref="N176:O176"/>
    <mergeCell ref="N177:O177"/>
    <mergeCell ref="N178:O178"/>
    <mergeCell ref="N179:O179"/>
    <mergeCell ref="N180:O180"/>
    <mergeCell ref="N181:O181"/>
    <mergeCell ref="N182:O182"/>
    <mergeCell ref="N183:O183"/>
    <mergeCell ref="N184:O184"/>
    <mergeCell ref="N185:O185"/>
    <mergeCell ref="N186:O186"/>
    <mergeCell ref="N187:O187"/>
    <mergeCell ref="N188:O188"/>
    <mergeCell ref="N189:O189"/>
    <mergeCell ref="N190:O190"/>
    <mergeCell ref="N191:O191"/>
    <mergeCell ref="N192:O192"/>
    <mergeCell ref="N193:O193"/>
    <mergeCell ref="N194:O194"/>
    <mergeCell ref="N195:O195"/>
    <mergeCell ref="N196:O196"/>
    <mergeCell ref="N197:O197"/>
    <mergeCell ref="N198:O198"/>
    <mergeCell ref="N199:O199"/>
    <mergeCell ref="N200:O200"/>
    <mergeCell ref="N201:O201"/>
    <mergeCell ref="N202:O202"/>
    <mergeCell ref="N203:O203"/>
    <mergeCell ref="N204:O204"/>
    <mergeCell ref="N205:O205"/>
    <mergeCell ref="N206:O206"/>
    <mergeCell ref="N207:O207"/>
    <mergeCell ref="N208:O208"/>
    <mergeCell ref="N209:O209"/>
    <mergeCell ref="N210:O210"/>
    <mergeCell ref="N211:O211"/>
    <mergeCell ref="N212:O212"/>
    <mergeCell ref="N213:O213"/>
    <mergeCell ref="N214:O214"/>
    <mergeCell ref="N215:O215"/>
    <mergeCell ref="N216:O216"/>
    <mergeCell ref="N217:O217"/>
    <mergeCell ref="O218:P218"/>
    <mergeCell ref="B219:R219"/>
    <mergeCell ref="A3:A5"/>
    <mergeCell ref="B3:B5"/>
    <mergeCell ref="C3:C5"/>
    <mergeCell ref="D3:D5"/>
    <mergeCell ref="E3:E5"/>
    <mergeCell ref="F3:F5"/>
    <mergeCell ref="G4:G5"/>
    <mergeCell ref="K4:K5"/>
    <mergeCell ref="P3:P5"/>
    <mergeCell ref="Q3:Q5"/>
    <mergeCell ref="R3:R5"/>
    <mergeCell ref="N3:O5"/>
  </mergeCells>
  <pageMargins left="0.751388888888889" right="0.751388888888889" top="1" bottom="1" header="0.5" footer="0.5"/>
  <pageSetup paperSize="9" scale="96" orientation="landscape" horizontalDpi="6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6"/>
  <sheetViews>
    <sheetView view="pageBreakPreview" zoomScaleNormal="100" workbookViewId="0">
      <pane ySplit="5" topLeftCell="A6" activePane="bottomLeft" state="frozen"/>
      <selection/>
      <selection pane="bottomLeft" activeCell="N6" sqref="N6:O24"/>
    </sheetView>
  </sheetViews>
  <sheetFormatPr defaultColWidth="7.71296296296296" defaultRowHeight="10.8"/>
  <cols>
    <col min="1" max="1" width="5.92592592592593" style="22" customWidth="1"/>
    <col min="2" max="2" width="15.287037037037" style="19" customWidth="1"/>
    <col min="3" max="3" width="32.1388888888889" style="19" customWidth="1"/>
    <col min="4" max="4" width="5.0462962962963" style="19" customWidth="1"/>
    <col min="5" max="5" width="12.287037037037" style="23" customWidth="1"/>
    <col min="6" max="6" width="12.287037037037" style="24" customWidth="1"/>
    <col min="7" max="7" width="7.71296296296296" style="23" customWidth="1"/>
    <col min="8" max="8" width="7.42592592592593" style="23" customWidth="1"/>
    <col min="9" max="9" width="9.77777777777778" style="23" customWidth="1"/>
    <col min="10" max="10" width="6.71296296296296" style="25" customWidth="1"/>
    <col min="11" max="11" width="8.42592592592593" style="23" customWidth="1"/>
    <col min="12" max="12" width="10.287037037037" style="23" customWidth="1"/>
    <col min="13" max="13" width="11.712962962963" style="23" customWidth="1"/>
    <col min="14" max="14" width="7" style="23" customWidth="1"/>
    <col min="15" max="15" width="3.73148148148148" style="23" customWidth="1"/>
    <col min="16" max="16" width="11.8611111111111" style="23" customWidth="1"/>
    <col min="17" max="17" width="11.8611111111111" style="24" customWidth="1"/>
    <col min="18" max="18" width="7.25" style="20" customWidth="1"/>
    <col min="19" max="31" width="7.71296296296296" style="19"/>
    <col min="32" max="16384" width="40.1388888888889" style="19"/>
  </cols>
  <sheetData>
    <row r="1" s="19" customFormat="1" ht="25.8" spans="1:18">
      <c r="A1" s="26" t="s">
        <v>547</v>
      </c>
      <c r="B1" s="26"/>
      <c r="C1" s="26"/>
      <c r="D1" s="26"/>
      <c r="E1" s="27"/>
      <c r="F1" s="28"/>
      <c r="G1" s="27"/>
      <c r="H1" s="27"/>
      <c r="I1" s="27"/>
      <c r="J1" s="47"/>
      <c r="K1" s="27"/>
      <c r="L1" s="27"/>
      <c r="M1" s="27"/>
      <c r="N1" s="27"/>
      <c r="O1" s="27"/>
      <c r="P1" s="27"/>
      <c r="Q1" s="28"/>
      <c r="R1" s="26"/>
    </row>
    <row r="2" s="19" customFormat="1" ht="20" customHeight="1" spans="1:18">
      <c r="A2" s="29" t="s">
        <v>548</v>
      </c>
      <c r="B2" s="29"/>
      <c r="C2" s="29"/>
      <c r="D2" s="29"/>
      <c r="E2" s="30"/>
      <c r="F2" s="31"/>
      <c r="G2" s="30"/>
      <c r="H2" s="32"/>
      <c r="I2" s="32"/>
      <c r="J2" s="48"/>
      <c r="K2" s="32"/>
      <c r="L2" s="32"/>
      <c r="M2" s="32"/>
      <c r="N2" s="32"/>
      <c r="O2" s="32"/>
      <c r="P2" s="32"/>
      <c r="Q2" s="55"/>
      <c r="R2" s="56"/>
    </row>
    <row r="3" s="19" customFormat="1" spans="1:18">
      <c r="A3" s="33" t="s">
        <v>9</v>
      </c>
      <c r="B3" s="33" t="s">
        <v>54</v>
      </c>
      <c r="C3" s="33" t="s">
        <v>55</v>
      </c>
      <c r="D3" s="33" t="s">
        <v>31</v>
      </c>
      <c r="E3" s="34" t="s">
        <v>56</v>
      </c>
      <c r="F3" s="35" t="s">
        <v>57</v>
      </c>
      <c r="G3" s="34" t="s">
        <v>58</v>
      </c>
      <c r="H3" s="34"/>
      <c r="I3" s="34"/>
      <c r="J3" s="49"/>
      <c r="K3" s="34"/>
      <c r="L3" s="34"/>
      <c r="M3" s="34"/>
      <c r="N3" s="34" t="s">
        <v>59</v>
      </c>
      <c r="O3" s="34"/>
      <c r="P3" s="34" t="s">
        <v>60</v>
      </c>
      <c r="Q3" s="57" t="s">
        <v>61</v>
      </c>
      <c r="R3" s="33" t="s">
        <v>62</v>
      </c>
    </row>
    <row r="4" s="19" customFormat="1" ht="43.2" spans="1:18">
      <c r="A4" s="33"/>
      <c r="B4" s="33"/>
      <c r="C4" s="33"/>
      <c r="D4" s="33"/>
      <c r="E4" s="34"/>
      <c r="F4" s="35"/>
      <c r="G4" s="34" t="s">
        <v>63</v>
      </c>
      <c r="H4" s="34" t="s">
        <v>64</v>
      </c>
      <c r="I4" s="34" t="s">
        <v>65</v>
      </c>
      <c r="J4" s="49" t="s">
        <v>66</v>
      </c>
      <c r="K4" s="34" t="s">
        <v>67</v>
      </c>
      <c r="L4" s="34" t="s">
        <v>68</v>
      </c>
      <c r="M4" s="34" t="s">
        <v>69</v>
      </c>
      <c r="N4" s="34"/>
      <c r="O4" s="34"/>
      <c r="P4" s="34"/>
      <c r="Q4" s="57"/>
      <c r="R4" s="33"/>
    </row>
    <row r="5" s="19" customFormat="1" ht="21.6" spans="1:18">
      <c r="A5" s="33"/>
      <c r="B5" s="33"/>
      <c r="C5" s="33"/>
      <c r="D5" s="33"/>
      <c r="E5" s="34"/>
      <c r="F5" s="35"/>
      <c r="G5" s="34"/>
      <c r="H5" s="34" t="s">
        <v>70</v>
      </c>
      <c r="I5" s="34" t="s">
        <v>71</v>
      </c>
      <c r="J5" s="49" t="s">
        <v>72</v>
      </c>
      <c r="K5" s="34"/>
      <c r="L5" s="50">
        <f>装饰工程!L5</f>
        <v>0.06</v>
      </c>
      <c r="M5" s="50">
        <f>装饰工程!M5</f>
        <v>0.03</v>
      </c>
      <c r="N5" s="34"/>
      <c r="O5" s="34"/>
      <c r="P5" s="34"/>
      <c r="Q5" s="57"/>
      <c r="R5" s="33"/>
    </row>
    <row r="6" s="19" customFormat="1" ht="43.2" spans="1:18">
      <c r="A6" s="33">
        <v>1</v>
      </c>
      <c r="B6" s="36" t="s">
        <v>422</v>
      </c>
      <c r="C6" s="36" t="s">
        <v>549</v>
      </c>
      <c r="D6" s="36" t="s">
        <v>344</v>
      </c>
      <c r="E6" s="34">
        <v>14</v>
      </c>
      <c r="F6" s="37">
        <v>14</v>
      </c>
      <c r="G6" s="38">
        <v>95</v>
      </c>
      <c r="H6" s="39">
        <f>I6+I6*J6</f>
        <v>336</v>
      </c>
      <c r="I6" s="38">
        <v>320</v>
      </c>
      <c r="J6" s="51">
        <v>0.05</v>
      </c>
      <c r="K6" s="38">
        <v>235</v>
      </c>
      <c r="L6" s="39">
        <f>(G6+H6+K6)*$L$5</f>
        <v>39.96</v>
      </c>
      <c r="M6" s="39">
        <f>(G6+H6+K6+L6)*$M$5</f>
        <v>21.1788</v>
      </c>
      <c r="N6" s="39">
        <f>(M6+L6+K6+H6+G6)*1.5</f>
        <v>1090.7082</v>
      </c>
      <c r="O6" s="39"/>
      <c r="P6" s="39">
        <f>N6*E6</f>
        <v>15269.9148</v>
      </c>
      <c r="Q6" s="37">
        <f t="shared" ref="Q6:Q24" si="0">F6*N6</f>
        <v>15269.9148</v>
      </c>
      <c r="R6" s="58" t="s">
        <v>550</v>
      </c>
    </row>
    <row r="7" s="19" customFormat="1" ht="43.2" spans="1:18">
      <c r="A7" s="33">
        <v>2</v>
      </c>
      <c r="B7" s="36" t="s">
        <v>422</v>
      </c>
      <c r="C7" s="36" t="s">
        <v>551</v>
      </c>
      <c r="D7" s="36" t="s">
        <v>344</v>
      </c>
      <c r="E7" s="34">
        <v>1</v>
      </c>
      <c r="F7" s="37">
        <v>1</v>
      </c>
      <c r="G7" s="39">
        <f t="shared" ref="G7:K7" si="1">G6</f>
        <v>95</v>
      </c>
      <c r="H7" s="39">
        <f t="shared" ref="H7:H24" si="2">I7*J7+I7</f>
        <v>267.75</v>
      </c>
      <c r="I7" s="38">
        <v>255</v>
      </c>
      <c r="J7" s="51">
        <f t="shared" si="1"/>
        <v>0.05</v>
      </c>
      <c r="K7" s="39">
        <f t="shared" si="1"/>
        <v>235</v>
      </c>
      <c r="L7" s="39">
        <f t="shared" ref="L7:L24" si="3">(G7+H7+K7)*$L$5</f>
        <v>35.865</v>
      </c>
      <c r="M7" s="39">
        <f t="shared" ref="M7:M24" si="4">(G7+H7+K7+L7)*$M$5</f>
        <v>19.00845</v>
      </c>
      <c r="N7" s="39">
        <f t="shared" ref="N7:N24" si="5">(M7+L7+K7+H7+G7)*1.5</f>
        <v>978.935175</v>
      </c>
      <c r="O7" s="39"/>
      <c r="P7" s="34">
        <f t="shared" ref="P6:P24" si="6">N7*E7</f>
        <v>978.935175</v>
      </c>
      <c r="Q7" s="37">
        <f t="shared" si="0"/>
        <v>978.935175</v>
      </c>
      <c r="R7" s="58" t="s">
        <v>550</v>
      </c>
    </row>
    <row r="8" s="19" customFormat="1" ht="43.2" spans="1:18">
      <c r="A8" s="33">
        <v>3</v>
      </c>
      <c r="B8" s="36" t="s">
        <v>422</v>
      </c>
      <c r="C8" s="36" t="s">
        <v>552</v>
      </c>
      <c r="D8" s="36" t="s">
        <v>344</v>
      </c>
      <c r="E8" s="34">
        <v>1</v>
      </c>
      <c r="F8" s="37">
        <v>1</v>
      </c>
      <c r="G8" s="39">
        <f>G7</f>
        <v>95</v>
      </c>
      <c r="H8" s="39">
        <f t="shared" si="2"/>
        <v>299.25</v>
      </c>
      <c r="I8" s="38">
        <v>285</v>
      </c>
      <c r="J8" s="51">
        <f t="shared" ref="J8:J24" si="7">J7</f>
        <v>0.05</v>
      </c>
      <c r="K8" s="38">
        <v>35</v>
      </c>
      <c r="L8" s="39">
        <f t="shared" si="3"/>
        <v>25.755</v>
      </c>
      <c r="M8" s="39">
        <f t="shared" si="4"/>
        <v>13.65015</v>
      </c>
      <c r="N8" s="39">
        <f t="shared" si="5"/>
        <v>702.982725</v>
      </c>
      <c r="O8" s="39"/>
      <c r="P8" s="34">
        <f t="shared" si="6"/>
        <v>702.982725</v>
      </c>
      <c r="Q8" s="37">
        <f t="shared" si="0"/>
        <v>702.982725</v>
      </c>
      <c r="R8" s="58" t="s">
        <v>550</v>
      </c>
    </row>
    <row r="9" s="19" customFormat="1" ht="43.2" spans="1:18">
      <c r="A9" s="33">
        <v>4</v>
      </c>
      <c r="B9" s="36" t="s">
        <v>553</v>
      </c>
      <c r="C9" s="36" t="s">
        <v>554</v>
      </c>
      <c r="D9" s="36" t="s">
        <v>283</v>
      </c>
      <c r="E9" s="34">
        <v>8</v>
      </c>
      <c r="F9" s="37">
        <v>8</v>
      </c>
      <c r="G9" s="38">
        <v>50</v>
      </c>
      <c r="H9" s="39">
        <f t="shared" si="2"/>
        <v>577.5</v>
      </c>
      <c r="I9" s="38">
        <v>550</v>
      </c>
      <c r="J9" s="51">
        <f t="shared" si="7"/>
        <v>0.05</v>
      </c>
      <c r="K9" s="38">
        <v>5</v>
      </c>
      <c r="L9" s="39">
        <f t="shared" si="3"/>
        <v>37.95</v>
      </c>
      <c r="M9" s="39">
        <f t="shared" si="4"/>
        <v>20.1135</v>
      </c>
      <c r="N9" s="39">
        <f t="shared" si="5"/>
        <v>1035.84525</v>
      </c>
      <c r="O9" s="39"/>
      <c r="P9" s="34">
        <f t="shared" si="6"/>
        <v>8286.762</v>
      </c>
      <c r="Q9" s="37">
        <f t="shared" si="0"/>
        <v>8286.762</v>
      </c>
      <c r="R9" s="58" t="s">
        <v>555</v>
      </c>
    </row>
    <row r="10" s="19" customFormat="1" ht="64.8" spans="1:18">
      <c r="A10" s="33">
        <v>5</v>
      </c>
      <c r="B10" s="36" t="s">
        <v>410</v>
      </c>
      <c r="C10" s="36" t="s">
        <v>556</v>
      </c>
      <c r="D10" s="36" t="s">
        <v>344</v>
      </c>
      <c r="E10" s="34">
        <v>2</v>
      </c>
      <c r="F10" s="37">
        <v>2</v>
      </c>
      <c r="G10" s="38">
        <v>260</v>
      </c>
      <c r="H10" s="39">
        <f t="shared" si="2"/>
        <v>1417.5</v>
      </c>
      <c r="I10" s="38">
        <v>1350</v>
      </c>
      <c r="J10" s="51">
        <f t="shared" si="7"/>
        <v>0.05</v>
      </c>
      <c r="K10" s="38">
        <v>50</v>
      </c>
      <c r="L10" s="39">
        <f t="shared" si="3"/>
        <v>103.65</v>
      </c>
      <c r="M10" s="39">
        <f t="shared" si="4"/>
        <v>54.9345</v>
      </c>
      <c r="N10" s="39">
        <f t="shared" si="5"/>
        <v>2829.12675</v>
      </c>
      <c r="O10" s="39"/>
      <c r="P10" s="34">
        <f t="shared" si="6"/>
        <v>5658.2535</v>
      </c>
      <c r="Q10" s="37">
        <f t="shared" si="0"/>
        <v>5658.2535</v>
      </c>
      <c r="R10" s="58" t="s">
        <v>557</v>
      </c>
    </row>
    <row r="11" s="19" customFormat="1" ht="64.8" spans="1:18">
      <c r="A11" s="33">
        <v>6</v>
      </c>
      <c r="B11" s="36" t="s">
        <v>414</v>
      </c>
      <c r="C11" s="36" t="s">
        <v>558</v>
      </c>
      <c r="D11" s="36" t="s">
        <v>344</v>
      </c>
      <c r="E11" s="34">
        <v>7</v>
      </c>
      <c r="F11" s="37">
        <v>7</v>
      </c>
      <c r="G11" s="38">
        <v>50</v>
      </c>
      <c r="H11" s="39">
        <f t="shared" si="2"/>
        <v>194.25</v>
      </c>
      <c r="I11" s="38">
        <v>185</v>
      </c>
      <c r="J11" s="51">
        <f t="shared" si="7"/>
        <v>0.05</v>
      </c>
      <c r="K11" s="38">
        <v>20</v>
      </c>
      <c r="L11" s="39">
        <f t="shared" si="3"/>
        <v>15.855</v>
      </c>
      <c r="M11" s="39">
        <f t="shared" si="4"/>
        <v>8.40315</v>
      </c>
      <c r="N11" s="39">
        <f t="shared" si="5"/>
        <v>432.762225</v>
      </c>
      <c r="O11" s="39"/>
      <c r="P11" s="34">
        <f t="shared" si="6"/>
        <v>3029.335575</v>
      </c>
      <c r="Q11" s="37">
        <f t="shared" si="0"/>
        <v>3029.335575</v>
      </c>
      <c r="R11" s="58" t="s">
        <v>559</v>
      </c>
    </row>
    <row r="12" s="19" customFormat="1" ht="43.2" spans="1:18">
      <c r="A12" s="33">
        <v>7</v>
      </c>
      <c r="B12" s="36" t="s">
        <v>560</v>
      </c>
      <c r="C12" s="36" t="s">
        <v>561</v>
      </c>
      <c r="D12" s="36" t="s">
        <v>105</v>
      </c>
      <c r="E12" s="34">
        <v>5</v>
      </c>
      <c r="F12" s="37">
        <v>5</v>
      </c>
      <c r="G12" s="38">
        <v>300</v>
      </c>
      <c r="H12" s="39">
        <f t="shared" si="2"/>
        <v>210</v>
      </c>
      <c r="I12" s="38">
        <v>200</v>
      </c>
      <c r="J12" s="51">
        <f t="shared" si="7"/>
        <v>0.05</v>
      </c>
      <c r="K12" s="38">
        <v>49.9</v>
      </c>
      <c r="L12" s="39">
        <f t="shared" si="3"/>
        <v>33.594</v>
      </c>
      <c r="M12" s="39">
        <f t="shared" si="4"/>
        <v>17.80482</v>
      </c>
      <c r="N12" s="39">
        <f t="shared" si="5"/>
        <v>916.94823</v>
      </c>
      <c r="O12" s="39"/>
      <c r="P12" s="34">
        <f t="shared" si="6"/>
        <v>4584.74115</v>
      </c>
      <c r="Q12" s="37">
        <f t="shared" si="0"/>
        <v>4584.74115</v>
      </c>
      <c r="R12" s="58" t="s">
        <v>555</v>
      </c>
    </row>
    <row r="13" s="19" customFormat="1" ht="43.2" spans="1:18">
      <c r="A13" s="33">
        <v>8</v>
      </c>
      <c r="B13" s="36" t="s">
        <v>560</v>
      </c>
      <c r="C13" s="36" t="s">
        <v>562</v>
      </c>
      <c r="D13" s="36" t="s">
        <v>105</v>
      </c>
      <c r="E13" s="34">
        <v>1</v>
      </c>
      <c r="F13" s="37">
        <v>1</v>
      </c>
      <c r="G13" s="38">
        <v>650</v>
      </c>
      <c r="H13" s="39">
        <f t="shared" si="2"/>
        <v>787.5</v>
      </c>
      <c r="I13" s="38">
        <v>750</v>
      </c>
      <c r="J13" s="51">
        <f t="shared" si="7"/>
        <v>0.05</v>
      </c>
      <c r="K13" s="38">
        <v>120</v>
      </c>
      <c r="L13" s="39">
        <f t="shared" si="3"/>
        <v>93.45</v>
      </c>
      <c r="M13" s="39">
        <f t="shared" si="4"/>
        <v>49.5285</v>
      </c>
      <c r="N13" s="39">
        <f t="shared" si="5"/>
        <v>2550.71775</v>
      </c>
      <c r="O13" s="39"/>
      <c r="P13" s="34">
        <f t="shared" si="6"/>
        <v>2550.71775</v>
      </c>
      <c r="Q13" s="37">
        <f t="shared" si="0"/>
        <v>2550.71775</v>
      </c>
      <c r="R13" s="58" t="str">
        <f>R12</f>
        <v>定制</v>
      </c>
    </row>
    <row r="14" s="19" customFormat="1" ht="54" spans="1:18">
      <c r="A14" s="33">
        <v>9</v>
      </c>
      <c r="B14" s="36" t="s">
        <v>426</v>
      </c>
      <c r="C14" s="36" t="s">
        <v>563</v>
      </c>
      <c r="D14" s="36" t="s">
        <v>344</v>
      </c>
      <c r="E14" s="34">
        <v>1</v>
      </c>
      <c r="F14" s="37">
        <v>1</v>
      </c>
      <c r="G14" s="38">
        <v>260</v>
      </c>
      <c r="H14" s="39">
        <f t="shared" si="2"/>
        <v>1575</v>
      </c>
      <c r="I14" s="38">
        <v>1500</v>
      </c>
      <c r="J14" s="51">
        <f t="shared" si="7"/>
        <v>0.05</v>
      </c>
      <c r="K14" s="38">
        <v>120</v>
      </c>
      <c r="L14" s="39">
        <f t="shared" si="3"/>
        <v>117.3</v>
      </c>
      <c r="M14" s="39">
        <f t="shared" si="4"/>
        <v>62.169</v>
      </c>
      <c r="N14" s="39">
        <f t="shared" si="5"/>
        <v>3201.7035</v>
      </c>
      <c r="O14" s="39"/>
      <c r="P14" s="34">
        <f t="shared" si="6"/>
        <v>3201.7035</v>
      </c>
      <c r="Q14" s="37">
        <f t="shared" si="0"/>
        <v>3201.7035</v>
      </c>
      <c r="R14" s="58" t="s">
        <v>564</v>
      </c>
    </row>
    <row r="15" s="19" customFormat="1" ht="43.2" spans="1:18">
      <c r="A15" s="33">
        <v>10</v>
      </c>
      <c r="B15" s="36" t="s">
        <v>354</v>
      </c>
      <c r="C15" s="36" t="s">
        <v>565</v>
      </c>
      <c r="D15" s="36" t="s">
        <v>111</v>
      </c>
      <c r="E15" s="34">
        <v>344.23</v>
      </c>
      <c r="F15" s="37">
        <v>344.23</v>
      </c>
      <c r="G15" s="38">
        <v>5</v>
      </c>
      <c r="H15" s="39">
        <f t="shared" si="2"/>
        <v>4.725</v>
      </c>
      <c r="I15" s="38">
        <v>4.5</v>
      </c>
      <c r="J15" s="51">
        <f t="shared" si="7"/>
        <v>0.05</v>
      </c>
      <c r="K15" s="38">
        <v>1</v>
      </c>
      <c r="L15" s="39">
        <f t="shared" si="3"/>
        <v>0.6435</v>
      </c>
      <c r="M15" s="39">
        <f t="shared" si="4"/>
        <v>0.341055</v>
      </c>
      <c r="N15" s="39">
        <f t="shared" si="5"/>
        <v>17.5643325</v>
      </c>
      <c r="O15" s="39"/>
      <c r="P15" s="34">
        <f t="shared" si="6"/>
        <v>6046.170176475</v>
      </c>
      <c r="Q15" s="37">
        <f t="shared" si="0"/>
        <v>6046.170176475</v>
      </c>
      <c r="R15" s="58" t="s">
        <v>566</v>
      </c>
    </row>
    <row r="16" s="19" customFormat="1" ht="43.2" spans="1:18">
      <c r="A16" s="33">
        <v>11</v>
      </c>
      <c r="B16" s="36" t="s">
        <v>354</v>
      </c>
      <c r="C16" s="36" t="s">
        <v>567</v>
      </c>
      <c r="D16" s="36" t="s">
        <v>111</v>
      </c>
      <c r="E16" s="34">
        <v>12.97</v>
      </c>
      <c r="F16" s="37">
        <v>12.97</v>
      </c>
      <c r="G16" s="40">
        <f t="shared" ref="G16:G22" si="8">G15</f>
        <v>5</v>
      </c>
      <c r="H16" s="39">
        <f t="shared" si="2"/>
        <v>6.825</v>
      </c>
      <c r="I16" s="38">
        <v>6.5</v>
      </c>
      <c r="J16" s="51">
        <f t="shared" si="7"/>
        <v>0.05</v>
      </c>
      <c r="K16" s="40">
        <v>1</v>
      </c>
      <c r="L16" s="39">
        <f t="shared" si="3"/>
        <v>0.7695</v>
      </c>
      <c r="M16" s="39">
        <f t="shared" si="4"/>
        <v>0.407835</v>
      </c>
      <c r="N16" s="39">
        <f t="shared" si="5"/>
        <v>21.0035025</v>
      </c>
      <c r="O16" s="39"/>
      <c r="P16" s="34">
        <f t="shared" si="6"/>
        <v>272.415427425</v>
      </c>
      <c r="Q16" s="37">
        <f t="shared" si="0"/>
        <v>272.415427425</v>
      </c>
      <c r="R16" s="58" t="str">
        <f>R15</f>
        <v>联塑</v>
      </c>
    </row>
    <row r="17" s="19" customFormat="1" ht="43.2" spans="1:18">
      <c r="A17" s="33">
        <v>12</v>
      </c>
      <c r="B17" s="36" t="s">
        <v>354</v>
      </c>
      <c r="C17" s="36" t="s">
        <v>568</v>
      </c>
      <c r="D17" s="36" t="s">
        <v>111</v>
      </c>
      <c r="E17" s="34">
        <v>370.35</v>
      </c>
      <c r="F17" s="37">
        <v>370.35</v>
      </c>
      <c r="G17" s="38">
        <v>15</v>
      </c>
      <c r="H17" s="39">
        <f t="shared" si="2"/>
        <v>23.1</v>
      </c>
      <c r="I17" s="38">
        <v>22</v>
      </c>
      <c r="J17" s="51">
        <f t="shared" si="7"/>
        <v>0.05</v>
      </c>
      <c r="K17" s="38">
        <v>3</v>
      </c>
      <c r="L17" s="39">
        <f t="shared" si="3"/>
        <v>2.466</v>
      </c>
      <c r="M17" s="39">
        <f t="shared" si="4"/>
        <v>1.30698</v>
      </c>
      <c r="N17" s="39">
        <f t="shared" si="5"/>
        <v>67.30947</v>
      </c>
      <c r="O17" s="39"/>
      <c r="P17" s="34">
        <f t="shared" si="6"/>
        <v>24928.0622145</v>
      </c>
      <c r="Q17" s="37">
        <f t="shared" si="0"/>
        <v>24928.0622145</v>
      </c>
      <c r="R17" s="58"/>
    </row>
    <row r="18" s="19" customFormat="1" ht="43.2" spans="1:18">
      <c r="A18" s="33">
        <v>13</v>
      </c>
      <c r="B18" s="36" t="s">
        <v>364</v>
      </c>
      <c r="C18" s="36" t="s">
        <v>569</v>
      </c>
      <c r="D18" s="36" t="s">
        <v>111</v>
      </c>
      <c r="E18" s="34">
        <v>567.37</v>
      </c>
      <c r="F18" s="37">
        <v>567.37</v>
      </c>
      <c r="G18" s="40">
        <f>G16</f>
        <v>5</v>
      </c>
      <c r="H18" s="39">
        <f t="shared" si="2"/>
        <v>3.36</v>
      </c>
      <c r="I18" s="38">
        <v>3.2</v>
      </c>
      <c r="J18" s="51">
        <f t="shared" si="7"/>
        <v>0.05</v>
      </c>
      <c r="K18" s="38">
        <v>0.2</v>
      </c>
      <c r="L18" s="39">
        <f t="shared" si="3"/>
        <v>0.5136</v>
      </c>
      <c r="M18" s="39">
        <f t="shared" si="4"/>
        <v>0.272208</v>
      </c>
      <c r="N18" s="39">
        <f t="shared" si="5"/>
        <v>14.018712</v>
      </c>
      <c r="O18" s="39"/>
      <c r="P18" s="34">
        <f t="shared" si="6"/>
        <v>7953.79662744</v>
      </c>
      <c r="Q18" s="37">
        <f t="shared" si="0"/>
        <v>7953.79662744</v>
      </c>
      <c r="R18" s="58" t="s">
        <v>356</v>
      </c>
    </row>
    <row r="19" s="19" customFormat="1" ht="43.2" spans="1:18">
      <c r="A19" s="33">
        <v>14</v>
      </c>
      <c r="B19" s="36" t="s">
        <v>364</v>
      </c>
      <c r="C19" s="36" t="s">
        <v>570</v>
      </c>
      <c r="D19" s="36" t="s">
        <v>111</v>
      </c>
      <c r="E19" s="34">
        <v>176.04</v>
      </c>
      <c r="F19" s="37">
        <v>176.04</v>
      </c>
      <c r="G19" s="40">
        <f t="shared" si="8"/>
        <v>5</v>
      </c>
      <c r="H19" s="39">
        <f t="shared" si="2"/>
        <v>3.99</v>
      </c>
      <c r="I19" s="38">
        <v>3.8</v>
      </c>
      <c r="J19" s="51">
        <f t="shared" si="7"/>
        <v>0.05</v>
      </c>
      <c r="K19" s="40">
        <f t="shared" ref="K19:K22" si="9">K18</f>
        <v>0.2</v>
      </c>
      <c r="L19" s="39">
        <f t="shared" si="3"/>
        <v>0.5514</v>
      </c>
      <c r="M19" s="39">
        <f t="shared" si="4"/>
        <v>0.292242</v>
      </c>
      <c r="N19" s="39">
        <f t="shared" si="5"/>
        <v>15.050463</v>
      </c>
      <c r="O19" s="39"/>
      <c r="P19" s="34">
        <f t="shared" si="6"/>
        <v>2649.48350652</v>
      </c>
      <c r="Q19" s="37">
        <f t="shared" si="0"/>
        <v>2649.48350652</v>
      </c>
      <c r="R19" s="58" t="s">
        <v>356</v>
      </c>
    </row>
    <row r="20" s="19" customFormat="1" ht="43.2" spans="1:18">
      <c r="A20" s="33">
        <v>15</v>
      </c>
      <c r="B20" s="36" t="s">
        <v>364</v>
      </c>
      <c r="C20" s="36" t="s">
        <v>571</v>
      </c>
      <c r="D20" s="36" t="s">
        <v>111</v>
      </c>
      <c r="E20" s="34">
        <v>50</v>
      </c>
      <c r="F20" s="37">
        <v>50</v>
      </c>
      <c r="G20" s="40">
        <f t="shared" si="8"/>
        <v>5</v>
      </c>
      <c r="H20" s="39">
        <f t="shared" si="2"/>
        <v>5.775</v>
      </c>
      <c r="I20" s="38">
        <v>5.5</v>
      </c>
      <c r="J20" s="51">
        <f t="shared" si="7"/>
        <v>0.05</v>
      </c>
      <c r="K20" s="40">
        <f t="shared" si="9"/>
        <v>0.2</v>
      </c>
      <c r="L20" s="39">
        <f t="shared" si="3"/>
        <v>0.6585</v>
      </c>
      <c r="M20" s="39">
        <f t="shared" si="4"/>
        <v>0.349005</v>
      </c>
      <c r="N20" s="39">
        <f t="shared" si="5"/>
        <v>17.9737575</v>
      </c>
      <c r="O20" s="39"/>
      <c r="P20" s="34">
        <f t="shared" si="6"/>
        <v>898.687875</v>
      </c>
      <c r="Q20" s="37">
        <f t="shared" si="0"/>
        <v>898.687875</v>
      </c>
      <c r="R20" s="58" t="s">
        <v>356</v>
      </c>
    </row>
    <row r="21" s="19" customFormat="1" ht="43.2" spans="1:18">
      <c r="A21" s="33">
        <v>16</v>
      </c>
      <c r="B21" s="36" t="s">
        <v>407</v>
      </c>
      <c r="C21" s="36" t="s">
        <v>408</v>
      </c>
      <c r="D21" s="36" t="s">
        <v>111</v>
      </c>
      <c r="E21" s="34">
        <v>567.37</v>
      </c>
      <c r="F21" s="37">
        <v>567.37</v>
      </c>
      <c r="G21" s="40">
        <f t="shared" si="8"/>
        <v>5</v>
      </c>
      <c r="H21" s="39">
        <f t="shared" si="2"/>
        <v>5.04</v>
      </c>
      <c r="I21" s="38">
        <v>4.8</v>
      </c>
      <c r="J21" s="51">
        <f t="shared" si="7"/>
        <v>0.05</v>
      </c>
      <c r="K21" s="40">
        <f t="shared" si="9"/>
        <v>0.2</v>
      </c>
      <c r="L21" s="39">
        <f t="shared" si="3"/>
        <v>0.6144</v>
      </c>
      <c r="M21" s="39">
        <f t="shared" si="4"/>
        <v>0.325632</v>
      </c>
      <c r="N21" s="39">
        <f t="shared" si="5"/>
        <v>16.770048</v>
      </c>
      <c r="O21" s="39"/>
      <c r="P21" s="34">
        <f t="shared" si="6"/>
        <v>9514.82213376</v>
      </c>
      <c r="Q21" s="37">
        <f t="shared" si="0"/>
        <v>9514.82213376</v>
      </c>
      <c r="R21" s="58" t="s">
        <v>356</v>
      </c>
    </row>
    <row r="22" s="19" customFormat="1" ht="43.2" spans="1:18">
      <c r="A22" s="33">
        <v>17</v>
      </c>
      <c r="B22" s="36" t="s">
        <v>572</v>
      </c>
      <c r="C22" s="36" t="s">
        <v>573</v>
      </c>
      <c r="D22" s="36" t="s">
        <v>111</v>
      </c>
      <c r="E22" s="34">
        <v>191.53</v>
      </c>
      <c r="F22" s="37">
        <v>191.53</v>
      </c>
      <c r="G22" s="40">
        <f t="shared" si="8"/>
        <v>5</v>
      </c>
      <c r="H22" s="39">
        <f t="shared" si="2"/>
        <v>3.99</v>
      </c>
      <c r="I22" s="38">
        <v>3.8</v>
      </c>
      <c r="J22" s="51">
        <f t="shared" si="7"/>
        <v>0.05</v>
      </c>
      <c r="K22" s="40">
        <f t="shared" si="9"/>
        <v>0.2</v>
      </c>
      <c r="L22" s="39">
        <f t="shared" si="3"/>
        <v>0.5514</v>
      </c>
      <c r="M22" s="39">
        <f t="shared" si="4"/>
        <v>0.292242</v>
      </c>
      <c r="N22" s="39">
        <f t="shared" si="5"/>
        <v>15.050463</v>
      </c>
      <c r="O22" s="39"/>
      <c r="P22" s="34">
        <f t="shared" si="6"/>
        <v>2882.61517839</v>
      </c>
      <c r="Q22" s="37">
        <f t="shared" si="0"/>
        <v>2882.61517839</v>
      </c>
      <c r="R22" s="58" t="s">
        <v>356</v>
      </c>
    </row>
    <row r="23" s="19" customFormat="1" ht="43.2" spans="1:18">
      <c r="A23" s="33">
        <v>18</v>
      </c>
      <c r="B23" s="36" t="s">
        <v>574</v>
      </c>
      <c r="C23" s="36" t="s">
        <v>575</v>
      </c>
      <c r="D23" s="36" t="s">
        <v>521</v>
      </c>
      <c r="E23" s="34">
        <v>218.82</v>
      </c>
      <c r="F23" s="37">
        <v>218.82</v>
      </c>
      <c r="G23" s="38">
        <v>40</v>
      </c>
      <c r="H23" s="39">
        <f t="shared" si="2"/>
        <v>0</v>
      </c>
      <c r="I23" s="38">
        <v>0</v>
      </c>
      <c r="J23" s="51">
        <f t="shared" si="7"/>
        <v>0.05</v>
      </c>
      <c r="K23" s="38">
        <v>1</v>
      </c>
      <c r="L23" s="39">
        <f t="shared" si="3"/>
        <v>2.46</v>
      </c>
      <c r="M23" s="39">
        <f t="shared" si="4"/>
        <v>1.3038</v>
      </c>
      <c r="N23" s="39">
        <f t="shared" si="5"/>
        <v>67.1457</v>
      </c>
      <c r="O23" s="39"/>
      <c r="P23" s="34">
        <f t="shared" si="6"/>
        <v>14692.822074</v>
      </c>
      <c r="Q23" s="37">
        <f t="shared" si="0"/>
        <v>14692.822074</v>
      </c>
      <c r="R23" s="58"/>
    </row>
    <row r="24" s="19" customFormat="1" ht="43.2" spans="1:18">
      <c r="A24" s="33">
        <v>19</v>
      </c>
      <c r="B24" s="36" t="s">
        <v>576</v>
      </c>
      <c r="C24" s="36" t="s">
        <v>577</v>
      </c>
      <c r="D24" s="36" t="s">
        <v>521</v>
      </c>
      <c r="E24" s="34">
        <v>218.82</v>
      </c>
      <c r="F24" s="37">
        <v>218.82</v>
      </c>
      <c r="G24" s="38">
        <v>35</v>
      </c>
      <c r="H24" s="39">
        <f t="shared" si="2"/>
        <v>0</v>
      </c>
      <c r="I24" s="38">
        <v>0</v>
      </c>
      <c r="J24" s="51">
        <f t="shared" si="7"/>
        <v>0.05</v>
      </c>
      <c r="K24" s="38">
        <v>1</v>
      </c>
      <c r="L24" s="39">
        <f t="shared" si="3"/>
        <v>2.16</v>
      </c>
      <c r="M24" s="39">
        <f t="shared" si="4"/>
        <v>1.1448</v>
      </c>
      <c r="N24" s="39">
        <f t="shared" si="5"/>
        <v>58.9572</v>
      </c>
      <c r="O24" s="39"/>
      <c r="P24" s="34">
        <f t="shared" si="6"/>
        <v>12901.014504</v>
      </c>
      <c r="Q24" s="37">
        <f t="shared" si="0"/>
        <v>12901.014504</v>
      </c>
      <c r="R24" s="33"/>
    </row>
    <row r="25" s="20" customFormat="1" ht="26" customHeight="1" spans="1:18">
      <c r="A25" s="41">
        <v>20</v>
      </c>
      <c r="B25" s="41" t="s">
        <v>7</v>
      </c>
      <c r="C25" s="41"/>
      <c r="D25" s="41"/>
      <c r="E25" s="42"/>
      <c r="F25" s="43"/>
      <c r="G25" s="42"/>
      <c r="H25" s="42"/>
      <c r="I25" s="42"/>
      <c r="J25" s="52"/>
      <c r="K25" s="42"/>
      <c r="L25" s="42"/>
      <c r="M25" s="42"/>
      <c r="N25" s="53"/>
      <c r="O25" s="54"/>
      <c r="P25" s="42">
        <f>P24+P23+P22+P21+P20+P19+P18+P17+P16+P15+P14+P13+P12+P11+P10+P9+P8+P7+P6</f>
        <v>127003.23589251</v>
      </c>
      <c r="Q25" s="43">
        <f>SUM(Q6:Q24)</f>
        <v>127003.23589251</v>
      </c>
      <c r="R25" s="33"/>
    </row>
    <row r="26" s="21" customFormat="1" ht="40" customHeight="1" spans="1:19">
      <c r="A26" s="44" t="s">
        <v>338</v>
      </c>
      <c r="B26" s="45" t="s">
        <v>339</v>
      </c>
      <c r="C26" s="45"/>
      <c r="D26" s="45"/>
      <c r="E26" s="45"/>
      <c r="F26" s="46"/>
      <c r="G26" s="45"/>
      <c r="H26" s="45"/>
      <c r="I26" s="45"/>
      <c r="J26" s="45"/>
      <c r="K26" s="45"/>
      <c r="L26" s="45"/>
      <c r="M26" s="45"/>
      <c r="N26" s="45"/>
      <c r="O26" s="45"/>
      <c r="P26" s="45"/>
      <c r="Q26" s="46"/>
      <c r="R26" s="45"/>
      <c r="S26" s="59"/>
    </row>
  </sheetData>
  <mergeCells count="38">
    <mergeCell ref="A1:R1"/>
    <mergeCell ref="A2:G2"/>
    <mergeCell ref="H2:N2"/>
    <mergeCell ref="O2:R2"/>
    <mergeCell ref="G3:M3"/>
    <mergeCell ref="N6:O6"/>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4:O24"/>
    <mergeCell ref="N25:O25"/>
    <mergeCell ref="B26:R26"/>
    <mergeCell ref="A3:A5"/>
    <mergeCell ref="B3:B5"/>
    <mergeCell ref="C3:C5"/>
    <mergeCell ref="D3:D5"/>
    <mergeCell ref="E3:E5"/>
    <mergeCell ref="F3:F5"/>
    <mergeCell ref="G4:G5"/>
    <mergeCell ref="K4:K5"/>
    <mergeCell ref="P3:P5"/>
    <mergeCell ref="Q3:Q5"/>
    <mergeCell ref="R3:R5"/>
    <mergeCell ref="N3:O5"/>
  </mergeCells>
  <pageMargins left="0.751388888888889" right="0.751388888888889" top="1" bottom="1" header="0.5" footer="0.5"/>
  <pageSetup paperSize="9" scale="80"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3888888888889" defaultRowHeight="13.2"/>
  <cols>
    <col min="1" max="1" width="8" style="3" customWidth="1"/>
    <col min="2" max="2" width="27.1388888888889" style="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5" t="s">
        <v>578</v>
      </c>
      <c r="B1" s="6"/>
      <c r="C1" s="5"/>
      <c r="D1" s="5"/>
      <c r="E1" s="5"/>
      <c r="F1" s="5"/>
      <c r="G1" s="5"/>
      <c r="I1" s="18" t="s">
        <v>579</v>
      </c>
      <c r="J1" s="6"/>
      <c r="K1" s="5"/>
      <c r="L1" s="5"/>
      <c r="M1" s="5"/>
      <c r="N1" s="5"/>
      <c r="O1" s="5"/>
      <c r="Q1" s="18" t="s">
        <v>580</v>
      </c>
      <c r="R1" s="6"/>
      <c r="S1" s="5"/>
      <c r="T1" s="5"/>
      <c r="U1" s="5"/>
      <c r="V1" s="5"/>
      <c r="W1" s="5"/>
      <c r="Y1" s="18" t="s">
        <v>581</v>
      </c>
      <c r="Z1" s="6"/>
      <c r="AA1" s="5"/>
      <c r="AB1" s="5"/>
      <c r="AC1" s="5"/>
      <c r="AD1" s="5"/>
      <c r="AE1" s="5"/>
    </row>
    <row r="2" s="1" customFormat="1" ht="38.1" customHeight="1" spans="1:31">
      <c r="A2" s="7" t="s">
        <v>9</v>
      </c>
      <c r="B2" s="8" t="s">
        <v>2</v>
      </c>
      <c r="C2" s="7" t="s">
        <v>31</v>
      </c>
      <c r="D2" s="7" t="s">
        <v>582</v>
      </c>
      <c r="E2" s="7" t="s">
        <v>583</v>
      </c>
      <c r="F2" s="7" t="s">
        <v>7</v>
      </c>
      <c r="G2" s="7" t="s">
        <v>4</v>
      </c>
      <c r="I2" s="7" t="s">
        <v>9</v>
      </c>
      <c r="J2" s="8" t="s">
        <v>2</v>
      </c>
      <c r="K2" s="7" t="s">
        <v>31</v>
      </c>
      <c r="L2" s="7" t="s">
        <v>582</v>
      </c>
      <c r="M2" s="7" t="s">
        <v>583</v>
      </c>
      <c r="N2" s="7" t="s">
        <v>7</v>
      </c>
      <c r="O2" s="7" t="s">
        <v>4</v>
      </c>
      <c r="Q2" s="7" t="s">
        <v>9</v>
      </c>
      <c r="R2" s="8" t="s">
        <v>2</v>
      </c>
      <c r="S2" s="7" t="s">
        <v>31</v>
      </c>
      <c r="T2" s="7" t="s">
        <v>582</v>
      </c>
      <c r="U2" s="7" t="s">
        <v>583</v>
      </c>
      <c r="V2" s="7" t="s">
        <v>7</v>
      </c>
      <c r="W2" s="7" t="s">
        <v>4</v>
      </c>
      <c r="Y2" s="7" t="s">
        <v>9</v>
      </c>
      <c r="Z2" s="8" t="s">
        <v>2</v>
      </c>
      <c r="AA2" s="7" t="s">
        <v>31</v>
      </c>
      <c r="AB2" s="7" t="s">
        <v>582</v>
      </c>
      <c r="AC2" s="7" t="s">
        <v>583</v>
      </c>
      <c r="AD2" s="7" t="s">
        <v>7</v>
      </c>
      <c r="AE2" s="7" t="s">
        <v>4</v>
      </c>
    </row>
    <row r="3" s="2" customFormat="1" ht="38.1" customHeight="1" spans="1:31">
      <c r="A3" s="7"/>
      <c r="B3" s="9" t="s">
        <v>584</v>
      </c>
      <c r="C3" s="10"/>
      <c r="D3" s="10"/>
      <c r="E3" s="10"/>
      <c r="F3" s="10"/>
      <c r="G3" s="10"/>
      <c r="I3" s="7"/>
      <c r="J3" s="9" t="s">
        <v>584</v>
      </c>
      <c r="K3" s="10"/>
      <c r="L3" s="10"/>
      <c r="M3" s="10"/>
      <c r="N3" s="10"/>
      <c r="O3" s="10"/>
      <c r="Q3" s="7"/>
      <c r="R3" s="9" t="s">
        <v>584</v>
      </c>
      <c r="S3" s="10"/>
      <c r="T3" s="10"/>
      <c r="U3" s="10"/>
      <c r="V3" s="10"/>
      <c r="W3" s="10"/>
      <c r="Y3" s="7"/>
      <c r="Z3" s="9" t="s">
        <v>584</v>
      </c>
      <c r="AA3" s="10"/>
      <c r="AB3" s="10"/>
      <c r="AC3" s="10"/>
      <c r="AD3" s="10"/>
      <c r="AE3" s="10"/>
    </row>
    <row r="4" ht="48.95" customHeight="1" spans="1:31">
      <c r="A4" s="11">
        <v>1</v>
      </c>
      <c r="B4" s="12" t="s">
        <v>585</v>
      </c>
      <c r="C4" s="13" t="s">
        <v>586</v>
      </c>
      <c r="D4" s="14">
        <v>2</v>
      </c>
      <c r="E4" s="14"/>
      <c r="F4" s="14"/>
      <c r="G4" s="14"/>
      <c r="I4" s="11">
        <v>1</v>
      </c>
      <c r="J4" s="12" t="s">
        <v>585</v>
      </c>
      <c r="K4" s="13" t="s">
        <v>586</v>
      </c>
      <c r="L4" s="14">
        <v>2</v>
      </c>
      <c r="M4" s="14"/>
      <c r="N4" s="14"/>
      <c r="O4" s="14"/>
      <c r="Q4" s="11">
        <v>1</v>
      </c>
      <c r="R4" s="12" t="s">
        <v>585</v>
      </c>
      <c r="S4" s="13" t="s">
        <v>586</v>
      </c>
      <c r="T4" s="14">
        <v>2</v>
      </c>
      <c r="U4" s="14"/>
      <c r="V4" s="14"/>
      <c r="W4" s="14"/>
      <c r="Y4" s="11">
        <v>1</v>
      </c>
      <c r="Z4" s="12" t="s">
        <v>585</v>
      </c>
      <c r="AA4" s="13" t="s">
        <v>586</v>
      </c>
      <c r="AB4" s="14">
        <v>2</v>
      </c>
      <c r="AC4" s="14"/>
      <c r="AD4" s="14"/>
      <c r="AE4" s="14"/>
    </row>
    <row r="5" ht="48.95" customHeight="1" spans="1:31">
      <c r="A5" s="11">
        <v>3</v>
      </c>
      <c r="B5" s="15" t="s">
        <v>587</v>
      </c>
      <c r="C5" s="14" t="s">
        <v>111</v>
      </c>
      <c r="D5" s="14">
        <f>5.17*2</f>
        <v>10.34</v>
      </c>
      <c r="E5" s="14">
        <v>30.62</v>
      </c>
      <c r="F5" s="14">
        <f>E5*D5</f>
        <v>316.6108</v>
      </c>
      <c r="G5" s="14"/>
      <c r="I5" s="11">
        <v>3</v>
      </c>
      <c r="J5" s="15" t="s">
        <v>587</v>
      </c>
      <c r="K5" s="14" t="s">
        <v>111</v>
      </c>
      <c r="L5" s="14">
        <f>5.17*2</f>
        <v>10.34</v>
      </c>
      <c r="M5" s="14">
        <v>30.62</v>
      </c>
      <c r="N5" s="14">
        <f>M5*L5</f>
        <v>316.6108</v>
      </c>
      <c r="O5" s="14"/>
      <c r="Q5" s="11">
        <v>3</v>
      </c>
      <c r="R5" s="15" t="s">
        <v>587</v>
      </c>
      <c r="S5" s="14" t="s">
        <v>111</v>
      </c>
      <c r="T5" s="14">
        <f>5.17*2</f>
        <v>10.34</v>
      </c>
      <c r="U5" s="14">
        <v>30.62</v>
      </c>
      <c r="V5" s="14">
        <f>U5*T5</f>
        <v>316.6108</v>
      </c>
      <c r="W5" s="14"/>
      <c r="Y5" s="11">
        <v>3</v>
      </c>
      <c r="Z5" s="15" t="s">
        <v>587</v>
      </c>
      <c r="AA5" s="14" t="s">
        <v>111</v>
      </c>
      <c r="AB5" s="14">
        <f>5.17*2</f>
        <v>10.34</v>
      </c>
      <c r="AC5" s="14">
        <v>30.62</v>
      </c>
      <c r="AD5" s="14">
        <f>AC5*AB5</f>
        <v>316.6108</v>
      </c>
      <c r="AE5" s="14"/>
    </row>
    <row r="6" ht="48.95" customHeight="1" spans="1:31">
      <c r="A6" s="11">
        <v>4</v>
      </c>
      <c r="B6" s="15" t="s">
        <v>588</v>
      </c>
      <c r="C6" s="14" t="s">
        <v>111</v>
      </c>
      <c r="D6" s="14">
        <f>5.17*8</f>
        <v>41.36</v>
      </c>
      <c r="E6" s="14">
        <v>8</v>
      </c>
      <c r="F6" s="14">
        <f>E6*D6</f>
        <v>330.88</v>
      </c>
      <c r="G6" s="14"/>
      <c r="I6" s="11">
        <v>4</v>
      </c>
      <c r="J6" s="15" t="s">
        <v>588</v>
      </c>
      <c r="K6" s="14" t="s">
        <v>111</v>
      </c>
      <c r="L6" s="14">
        <f>5.17*8</f>
        <v>41.36</v>
      </c>
      <c r="M6" s="14">
        <v>8</v>
      </c>
      <c r="N6" s="14">
        <f>M6*L6</f>
        <v>330.88</v>
      </c>
      <c r="O6" s="14"/>
      <c r="Q6" s="11">
        <v>4</v>
      </c>
      <c r="R6" s="15" t="s">
        <v>588</v>
      </c>
      <c r="S6" s="14" t="s">
        <v>111</v>
      </c>
      <c r="T6" s="14">
        <f>5.17*8</f>
        <v>41.36</v>
      </c>
      <c r="U6" s="14">
        <v>8</v>
      </c>
      <c r="V6" s="14">
        <f>U6*T6</f>
        <v>330.88</v>
      </c>
      <c r="W6" s="14"/>
      <c r="Y6" s="11">
        <v>4</v>
      </c>
      <c r="Z6" s="15" t="s">
        <v>588</v>
      </c>
      <c r="AA6" s="14" t="s">
        <v>111</v>
      </c>
      <c r="AB6" s="14">
        <f>5.17*8</f>
        <v>41.36</v>
      </c>
      <c r="AC6" s="14">
        <v>8</v>
      </c>
      <c r="AD6" s="14">
        <f>AC6*AB6</f>
        <v>330.88</v>
      </c>
      <c r="AE6" s="14"/>
    </row>
    <row r="7" ht="48.95" customHeight="1" spans="1:31">
      <c r="A7" s="11">
        <v>5</v>
      </c>
      <c r="B7" s="15" t="s">
        <v>589</v>
      </c>
      <c r="C7" s="14" t="s">
        <v>111</v>
      </c>
      <c r="D7" s="14">
        <f>(0.575+0.495+0.858+0.11+0.19+0.787+0.148+0.148+0.475+0.675+0.495+0.855)*6</f>
        <v>34.866</v>
      </c>
      <c r="E7" s="14">
        <v>3.06</v>
      </c>
      <c r="F7" s="14">
        <f t="shared" ref="F7:F21" si="0">E7*D7</f>
        <v>106.68996</v>
      </c>
      <c r="G7" s="14"/>
      <c r="I7" s="11">
        <v>5</v>
      </c>
      <c r="J7" s="15" t="s">
        <v>589</v>
      </c>
      <c r="K7" s="14" t="s">
        <v>111</v>
      </c>
      <c r="L7" s="14">
        <f>(0.575+0.495+0.858+0.11+0.19+0.787+0.148+0.148+0.475+0.675+0.495+0.855)*6</f>
        <v>34.866</v>
      </c>
      <c r="M7" s="14">
        <v>3.06</v>
      </c>
      <c r="N7" s="14">
        <f t="shared" ref="N7:N16" si="1">M7*L7</f>
        <v>106.68996</v>
      </c>
      <c r="O7" s="14"/>
      <c r="Q7" s="11">
        <v>5</v>
      </c>
      <c r="R7" s="15" t="s">
        <v>589</v>
      </c>
      <c r="S7" s="14" t="s">
        <v>111</v>
      </c>
      <c r="T7" s="14">
        <f>(0.575+0.495+0.858+0.11+0.19+0.787+0.148+0.148+0.475+0.675+0.495+0.855)*6</f>
        <v>34.866</v>
      </c>
      <c r="U7" s="14">
        <v>3.06</v>
      </c>
      <c r="V7" s="14">
        <f t="shared" ref="V7:V16" si="2">U7*T7</f>
        <v>106.68996</v>
      </c>
      <c r="W7" s="14"/>
      <c r="Y7" s="11">
        <v>5</v>
      </c>
      <c r="Z7" s="15" t="s">
        <v>589</v>
      </c>
      <c r="AA7" s="14" t="s">
        <v>111</v>
      </c>
      <c r="AB7" s="14">
        <f>(0.575+0.495+0.858+0.11+0.19+0.787+0.148+0.148+0.475+0.675+0.495+0.855)*6</f>
        <v>34.866</v>
      </c>
      <c r="AC7" s="14">
        <v>3.06</v>
      </c>
      <c r="AD7" s="14">
        <f t="shared" ref="AD7:AD16" si="3">AC7*AB7</f>
        <v>106.68996</v>
      </c>
      <c r="AE7" s="14"/>
    </row>
    <row r="8" ht="48.95" customHeight="1" spans="1:31">
      <c r="A8" s="11">
        <v>6</v>
      </c>
      <c r="B8" s="15" t="s">
        <v>590</v>
      </c>
      <c r="C8" s="14" t="s">
        <v>111</v>
      </c>
      <c r="D8" s="14">
        <f>(0.185*2+0.085*2+0.11*2+0.135+0.11*2+0.185*2+0.085*2+0.135)*6</f>
        <v>10.74</v>
      </c>
      <c r="E8" s="14">
        <v>10</v>
      </c>
      <c r="F8" s="14">
        <f t="shared" si="0"/>
        <v>107.4</v>
      </c>
      <c r="G8" s="14"/>
      <c r="I8" s="11">
        <v>6</v>
      </c>
      <c r="J8" s="15" t="s">
        <v>590</v>
      </c>
      <c r="K8" s="14" t="s">
        <v>111</v>
      </c>
      <c r="L8" s="14">
        <f>(0.185*2+0.085*2+0.11*2+0.135+0.11*2+0.185*2+0.085*2+0.135)*6</f>
        <v>10.74</v>
      </c>
      <c r="M8" s="14">
        <v>10</v>
      </c>
      <c r="N8" s="14">
        <f t="shared" si="1"/>
        <v>107.4</v>
      </c>
      <c r="O8" s="14"/>
      <c r="Q8" s="11">
        <v>6</v>
      </c>
      <c r="R8" s="15" t="s">
        <v>590</v>
      </c>
      <c r="S8" s="14" t="s">
        <v>111</v>
      </c>
      <c r="T8" s="14">
        <f>(0.185*2+0.085*2+0.11*2+0.135+0.11*2+0.185*2+0.085*2+0.135)*6</f>
        <v>10.74</v>
      </c>
      <c r="U8" s="14">
        <v>10</v>
      </c>
      <c r="V8" s="14">
        <f t="shared" si="2"/>
        <v>107.4</v>
      </c>
      <c r="W8" s="14"/>
      <c r="Y8" s="11">
        <v>6</v>
      </c>
      <c r="Z8" s="15" t="s">
        <v>590</v>
      </c>
      <c r="AA8" s="14" t="s">
        <v>111</v>
      </c>
      <c r="AB8" s="14">
        <f>(0.185*2+0.085*2+0.11*2+0.135+0.11*2+0.185*2+0.085*2+0.135)*6</f>
        <v>10.74</v>
      </c>
      <c r="AC8" s="14">
        <v>10</v>
      </c>
      <c r="AD8" s="14">
        <f t="shared" si="3"/>
        <v>107.4</v>
      </c>
      <c r="AE8" s="14"/>
    </row>
    <row r="9" ht="78" customHeight="1" spans="1:31">
      <c r="A9" s="11">
        <v>7</v>
      </c>
      <c r="B9" s="12" t="s">
        <v>591</v>
      </c>
      <c r="C9" s="13" t="s">
        <v>586</v>
      </c>
      <c r="D9" s="14">
        <f>6*6</f>
        <v>36</v>
      </c>
      <c r="E9" s="14"/>
      <c r="F9" s="14">
        <f t="shared" si="0"/>
        <v>0</v>
      </c>
      <c r="G9" s="14"/>
      <c r="I9" s="11">
        <v>7</v>
      </c>
      <c r="J9" s="12" t="s">
        <v>591</v>
      </c>
      <c r="K9" s="13" t="s">
        <v>586</v>
      </c>
      <c r="L9" s="14">
        <f>6*6</f>
        <v>36</v>
      </c>
      <c r="M9" s="14"/>
      <c r="N9" s="14">
        <f t="shared" si="1"/>
        <v>0</v>
      </c>
      <c r="O9" s="14"/>
      <c r="Q9" s="11">
        <v>7</v>
      </c>
      <c r="R9" s="12" t="s">
        <v>591</v>
      </c>
      <c r="S9" s="13" t="s">
        <v>586</v>
      </c>
      <c r="T9" s="14">
        <f>6*6</f>
        <v>36</v>
      </c>
      <c r="U9" s="14"/>
      <c r="V9" s="14">
        <f t="shared" si="2"/>
        <v>0</v>
      </c>
      <c r="W9" s="14"/>
      <c r="Y9" s="11">
        <v>7</v>
      </c>
      <c r="Z9" s="12" t="s">
        <v>591</v>
      </c>
      <c r="AA9" s="13" t="s">
        <v>586</v>
      </c>
      <c r="AB9" s="14">
        <f>6*6</f>
        <v>36</v>
      </c>
      <c r="AC9" s="14"/>
      <c r="AD9" s="14">
        <f t="shared" si="3"/>
        <v>0</v>
      </c>
      <c r="AE9" s="14"/>
    </row>
    <row r="10" ht="78" customHeight="1" spans="1:31">
      <c r="A10" s="11"/>
      <c r="B10" s="12" t="s">
        <v>592</v>
      </c>
      <c r="C10" s="13"/>
      <c r="D10" s="14">
        <f>0.21*7</f>
        <v>1.47</v>
      </c>
      <c r="E10" s="14">
        <v>3.06</v>
      </c>
      <c r="F10" s="14">
        <f t="shared" si="0"/>
        <v>4.4982</v>
      </c>
      <c r="G10" s="14"/>
      <c r="I10" s="11"/>
      <c r="J10" s="12" t="s">
        <v>592</v>
      </c>
      <c r="K10" s="13"/>
      <c r="L10" s="14">
        <f>0.21*7</f>
        <v>1.47</v>
      </c>
      <c r="M10" s="14">
        <v>3.06</v>
      </c>
      <c r="N10" s="14">
        <f t="shared" si="1"/>
        <v>4.4982</v>
      </c>
      <c r="O10" s="14"/>
      <c r="Q10" s="11"/>
      <c r="R10" s="12" t="s">
        <v>592</v>
      </c>
      <c r="S10" s="13"/>
      <c r="T10" s="14">
        <f>0.21*7</f>
        <v>1.47</v>
      </c>
      <c r="U10" s="14">
        <v>3.06</v>
      </c>
      <c r="V10" s="14">
        <f t="shared" si="2"/>
        <v>4.4982</v>
      </c>
      <c r="W10" s="14"/>
      <c r="Y10" s="11"/>
      <c r="Z10" s="12" t="s">
        <v>592</v>
      </c>
      <c r="AA10" s="13"/>
      <c r="AB10" s="14">
        <f>0.21*7</f>
        <v>1.47</v>
      </c>
      <c r="AC10" s="14">
        <v>3.06</v>
      </c>
      <c r="AD10" s="14">
        <f t="shared" si="3"/>
        <v>4.4982</v>
      </c>
      <c r="AE10" s="14"/>
    </row>
    <row r="11" ht="42" customHeight="1" spans="1:31">
      <c r="A11" s="11"/>
      <c r="B11" s="16" t="s">
        <v>593</v>
      </c>
      <c r="C11" s="13"/>
      <c r="D11" s="14"/>
      <c r="E11" s="14"/>
      <c r="F11" s="14">
        <f t="shared" si="0"/>
        <v>0</v>
      </c>
      <c r="G11" s="14"/>
      <c r="I11" s="11"/>
      <c r="J11" s="16" t="s">
        <v>593</v>
      </c>
      <c r="K11" s="13"/>
      <c r="L11" s="14"/>
      <c r="M11" s="14"/>
      <c r="N11" s="14">
        <f t="shared" si="1"/>
        <v>0</v>
      </c>
      <c r="O11" s="14"/>
      <c r="Q11" s="11"/>
      <c r="R11" s="16" t="s">
        <v>593</v>
      </c>
      <c r="S11" s="13"/>
      <c r="T11" s="14"/>
      <c r="U11" s="14"/>
      <c r="V11" s="14">
        <f t="shared" si="2"/>
        <v>0</v>
      </c>
      <c r="W11" s="14"/>
      <c r="Y11" s="11"/>
      <c r="Z11" s="16" t="s">
        <v>593</v>
      </c>
      <c r="AA11" s="13"/>
      <c r="AB11" s="14"/>
      <c r="AC11" s="14"/>
      <c r="AD11" s="14">
        <f t="shared" si="3"/>
        <v>0</v>
      </c>
      <c r="AE11" s="14"/>
    </row>
    <row r="12" ht="48.95" customHeight="1" spans="1:31">
      <c r="A12" s="11">
        <v>1</v>
      </c>
      <c r="B12" s="15" t="s">
        <v>589</v>
      </c>
      <c r="C12" s="14" t="s">
        <v>111</v>
      </c>
      <c r="D12" s="14">
        <f>(0.547+0.156+0.686+1.112+1.137)*2+1.13*4+(0.547+0.156+0.686)*3*2+(1.55+1.7+1.055)*3</f>
        <v>33.045</v>
      </c>
      <c r="E12" s="14"/>
      <c r="F12" s="14">
        <f t="shared" si="0"/>
        <v>0</v>
      </c>
      <c r="G12" s="14"/>
      <c r="I12" s="11">
        <v>1</v>
      </c>
      <c r="J12" s="15" t="s">
        <v>589</v>
      </c>
      <c r="K12" s="14" t="s">
        <v>111</v>
      </c>
      <c r="L12" s="14">
        <f>(0.547+0.156+0.686+1.112+1.137)*2+1.13*4+(0.547+0.156+0.686)*3*2+(1.55+1.7+1.055)*3</f>
        <v>33.045</v>
      </c>
      <c r="M12" s="14">
        <f>M10</f>
        <v>3.06</v>
      </c>
      <c r="N12" s="14">
        <f t="shared" si="1"/>
        <v>101.1177</v>
      </c>
      <c r="O12" s="14"/>
      <c r="Q12" s="11">
        <v>1</v>
      </c>
      <c r="R12" s="15" t="s">
        <v>589</v>
      </c>
      <c r="S12" s="14" t="s">
        <v>111</v>
      </c>
      <c r="T12" s="14">
        <f>(0.547+0.156+0.686+1.112+1.137)*2+1.13*4+(0.547+0.156+0.686)*3*2+(1.55+1.7+1.055)*3</f>
        <v>33.045</v>
      </c>
      <c r="U12" s="14">
        <f>U10</f>
        <v>3.06</v>
      </c>
      <c r="V12" s="14">
        <f t="shared" si="2"/>
        <v>101.1177</v>
      </c>
      <c r="W12" s="14"/>
      <c r="Y12" s="11">
        <v>1</v>
      </c>
      <c r="Z12" s="15" t="s">
        <v>589</v>
      </c>
      <c r="AA12" s="14" t="s">
        <v>111</v>
      </c>
      <c r="AB12" s="14">
        <f>(0.547+0.156+0.686+1.112)*2+(0.547+0.156+0.686)*3*2+(1.55+1.055)*3</f>
        <v>21.151</v>
      </c>
      <c r="AC12" s="14">
        <f>AC10</f>
        <v>3.06</v>
      </c>
      <c r="AD12" s="14">
        <f t="shared" si="3"/>
        <v>64.72206</v>
      </c>
      <c r="AE12" s="14"/>
    </row>
    <row r="13" ht="48.95" customHeight="1" spans="1:31">
      <c r="A13" s="11"/>
      <c r="B13" s="12" t="s">
        <v>594</v>
      </c>
      <c r="C13" s="13" t="s">
        <v>586</v>
      </c>
      <c r="D13" s="14">
        <f>3*2</f>
        <v>6</v>
      </c>
      <c r="E13" s="14"/>
      <c r="F13" s="14">
        <f t="shared" si="0"/>
        <v>0</v>
      </c>
      <c r="G13" s="14"/>
      <c r="I13" s="11"/>
      <c r="J13" s="12" t="s">
        <v>594</v>
      </c>
      <c r="K13" s="13" t="s">
        <v>586</v>
      </c>
      <c r="L13" s="14">
        <f>3*2</f>
        <v>6</v>
      </c>
      <c r="M13" s="14"/>
      <c r="N13" s="14">
        <f t="shared" si="1"/>
        <v>0</v>
      </c>
      <c r="O13" s="14"/>
      <c r="Q13" s="11"/>
      <c r="R13" s="12" t="s">
        <v>594</v>
      </c>
      <c r="S13" s="13" t="s">
        <v>586</v>
      </c>
      <c r="T13" s="14">
        <f>3*2</f>
        <v>6</v>
      </c>
      <c r="U13" s="14"/>
      <c r="V13" s="14">
        <f t="shared" si="2"/>
        <v>0</v>
      </c>
      <c r="W13" s="14"/>
      <c r="Y13" s="11"/>
      <c r="Z13" s="12" t="s">
        <v>594</v>
      </c>
      <c r="AA13" s="13" t="s">
        <v>586</v>
      </c>
      <c r="AB13" s="14">
        <f>3*2</f>
        <v>6</v>
      </c>
      <c r="AC13" s="14"/>
      <c r="AD13" s="14">
        <f t="shared" si="3"/>
        <v>0</v>
      </c>
      <c r="AE13" s="14"/>
    </row>
    <row r="14" ht="48.95" customHeight="1" spans="1:31">
      <c r="A14" s="11"/>
      <c r="B14" s="16" t="s">
        <v>595</v>
      </c>
      <c r="C14" s="14"/>
      <c r="D14" s="14"/>
      <c r="E14" s="14"/>
      <c r="F14" s="14">
        <f t="shared" si="0"/>
        <v>0</v>
      </c>
      <c r="G14" s="14"/>
      <c r="I14" s="11"/>
      <c r="J14" s="16" t="s">
        <v>595</v>
      </c>
      <c r="K14" s="14"/>
      <c r="L14" s="14"/>
      <c r="M14" s="14"/>
      <c r="N14" s="14">
        <f t="shared" si="1"/>
        <v>0</v>
      </c>
      <c r="O14" s="14"/>
      <c r="Q14" s="11"/>
      <c r="R14" s="16" t="s">
        <v>595</v>
      </c>
      <c r="S14" s="14"/>
      <c r="T14" s="14"/>
      <c r="U14" s="14"/>
      <c r="V14" s="14">
        <f t="shared" si="2"/>
        <v>0</v>
      </c>
      <c r="W14" s="14"/>
      <c r="Y14" s="11"/>
      <c r="Z14" s="16" t="s">
        <v>595</v>
      </c>
      <c r="AA14" s="14"/>
      <c r="AB14" s="14"/>
      <c r="AC14" s="14"/>
      <c r="AD14" s="14">
        <f t="shared" si="3"/>
        <v>0</v>
      </c>
      <c r="AE14" s="14"/>
    </row>
    <row r="15" ht="48.95" customHeight="1" spans="1:31">
      <c r="A15" s="11"/>
      <c r="B15" s="15" t="s">
        <v>589</v>
      </c>
      <c r="C15" s="14" t="s">
        <v>111</v>
      </c>
      <c r="D15" s="14">
        <f>(0.543+0.156+0.686+1.112+1.133*2+0.296*3)*3+3.98*3+(1.55+1.7+1.055)*3</f>
        <v>41.808</v>
      </c>
      <c r="E15" s="14">
        <v>3.06</v>
      </c>
      <c r="F15" s="14">
        <f t="shared" si="0"/>
        <v>127.93248</v>
      </c>
      <c r="G15" s="14"/>
      <c r="I15" s="11"/>
      <c r="J15" s="15" t="s">
        <v>589</v>
      </c>
      <c r="K15" s="14" t="s">
        <v>111</v>
      </c>
      <c r="L15" s="14">
        <f>(0.543+0.156+0.686+1.112+1.133*2+0.296*3)*3+3.98*3+(1.55+1.7+1.055)*3</f>
        <v>41.808</v>
      </c>
      <c r="M15" s="14">
        <v>3.06</v>
      </c>
      <c r="N15" s="14">
        <f t="shared" si="1"/>
        <v>127.93248</v>
      </c>
      <c r="O15" s="14"/>
      <c r="Q15" s="11"/>
      <c r="R15" s="15" t="s">
        <v>589</v>
      </c>
      <c r="S15" s="14" t="s">
        <v>111</v>
      </c>
      <c r="T15" s="14">
        <f>(0.543+0.156+0.686+1.112+1.133*2+0.296*3)*3+3.98*3+(1.55+1.7+1.055)*3</f>
        <v>41.808</v>
      </c>
      <c r="U15" s="14">
        <v>3.06</v>
      </c>
      <c r="V15" s="14">
        <f t="shared" si="2"/>
        <v>127.93248</v>
      </c>
      <c r="W15" s="14"/>
      <c r="Y15" s="11"/>
      <c r="Z15" s="15" t="s">
        <v>589</v>
      </c>
      <c r="AA15" s="14" t="s">
        <v>111</v>
      </c>
      <c r="AB15" s="14">
        <f>(0.543+0.156+0.686+1.112+1.133*2+0.296*3)*3+3.98*3+(1.55+1.7+1.055)*3</f>
        <v>41.808</v>
      </c>
      <c r="AC15" s="14">
        <v>3.06</v>
      </c>
      <c r="AD15" s="14">
        <f t="shared" si="3"/>
        <v>127.93248</v>
      </c>
      <c r="AE15" s="14"/>
    </row>
    <row r="16" ht="48.95" customHeight="1" spans="1:31">
      <c r="A16" s="11"/>
      <c r="B16" s="12" t="s">
        <v>596</v>
      </c>
      <c r="C16" s="13" t="s">
        <v>586</v>
      </c>
      <c r="D16" s="14">
        <f>5*3</f>
        <v>15</v>
      </c>
      <c r="E16" s="14"/>
      <c r="F16" s="14">
        <f t="shared" si="0"/>
        <v>0</v>
      </c>
      <c r="G16" s="14"/>
      <c r="I16" s="11"/>
      <c r="J16" s="12" t="s">
        <v>596</v>
      </c>
      <c r="K16" s="13" t="s">
        <v>586</v>
      </c>
      <c r="L16" s="14">
        <f>5*3</f>
        <v>15</v>
      </c>
      <c r="M16" s="14"/>
      <c r="N16" s="14">
        <f t="shared" si="1"/>
        <v>0</v>
      </c>
      <c r="O16" s="14"/>
      <c r="Q16" s="11"/>
      <c r="R16" s="12" t="s">
        <v>596</v>
      </c>
      <c r="S16" s="13" t="s">
        <v>586</v>
      </c>
      <c r="T16" s="14">
        <f>5*3</f>
        <v>15</v>
      </c>
      <c r="U16" s="14"/>
      <c r="V16" s="14">
        <f t="shared" si="2"/>
        <v>0</v>
      </c>
      <c r="W16" s="14"/>
      <c r="Y16" s="11"/>
      <c r="Z16" s="12" t="s">
        <v>596</v>
      </c>
      <c r="AA16" s="13" t="s">
        <v>586</v>
      </c>
      <c r="AB16" s="14">
        <f>5*3</f>
        <v>15</v>
      </c>
      <c r="AC16" s="14"/>
      <c r="AD16" s="14">
        <f t="shared" si="3"/>
        <v>0</v>
      </c>
      <c r="AE16" s="14"/>
    </row>
    <row r="17" ht="48.95" customHeight="1" spans="1:31">
      <c r="A17" s="11"/>
      <c r="B17" s="17" t="s">
        <v>597</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598</v>
      </c>
      <c r="C18" s="14" t="s">
        <v>111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599</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600</v>
      </c>
      <c r="C20" s="13" t="s">
        <v>586</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601</v>
      </c>
      <c r="C21" s="14" t="s">
        <v>111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7</v>
      </c>
      <c r="C22" s="14" t="s">
        <v>353</v>
      </c>
      <c r="D22" s="14"/>
      <c r="E22" s="14"/>
      <c r="F22" s="14">
        <f>SUM(F3:F21)</f>
        <v>1343.13132</v>
      </c>
      <c r="G22" s="14"/>
      <c r="I22" s="11"/>
      <c r="J22" s="17" t="s">
        <v>7</v>
      </c>
      <c r="K22" s="14" t="s">
        <v>353</v>
      </c>
      <c r="L22" s="14"/>
      <c r="M22" s="14"/>
      <c r="N22" s="14">
        <f>SUM(N3:N21)</f>
        <v>1095.12914</v>
      </c>
      <c r="O22" s="14"/>
      <c r="Q22" s="11"/>
      <c r="R22" s="17" t="s">
        <v>7</v>
      </c>
      <c r="S22" s="14" t="s">
        <v>353</v>
      </c>
      <c r="T22" s="14"/>
      <c r="U22" s="14"/>
      <c r="V22" s="14">
        <f>SUM(V3:V21)</f>
        <v>1095.12914</v>
      </c>
      <c r="W22" s="14"/>
      <c r="Y22" s="11"/>
      <c r="Z22" s="17" t="s">
        <v>7</v>
      </c>
      <c r="AA22" s="14" t="s">
        <v>353</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9</vt:i4>
      </vt:variant>
    </vt:vector>
  </HeadingPairs>
  <TitlesOfParts>
    <vt:vector size="9" baseType="lpstr">
      <vt:lpstr>汇总表0</vt:lpstr>
      <vt:lpstr>Sheet2</vt:lpstr>
      <vt:lpstr>第二次进度款支付</vt:lpstr>
      <vt:lpstr>汇总表</vt:lpstr>
      <vt:lpstr>Sheet1</vt:lpstr>
      <vt:lpstr>装饰工程</vt:lpstr>
      <vt:lpstr>安装工程</vt:lpstr>
      <vt:lpstr>增加示范区弱电工程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杏儿</cp:lastModifiedBy>
  <dcterms:created xsi:type="dcterms:W3CDTF">2020-11-19T09:45:00Z</dcterms:created>
  <dcterms:modified xsi:type="dcterms:W3CDTF">2023-06-16T07:23:27Z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6E6C9B90E10C4F6B9186329517679289_13</vt:lpwstr>
  </property>
  <property fmtid="{D5CDD505-2E9C-101B-9397-08002B2CF9AE}" pid="4" name="KSOReadingLayout">
    <vt:bool>true</vt:bool>
  </property>
</Properties>
</file>