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png" ContentType="image/p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8975" tabRatio="907" firstSheet="3" activeTab="4"/>
  </bookViews>
  <sheets>
    <sheet name="目录" sheetId="36" state="hidden" r:id="rId1"/>
    <sheet name="项目测算对比分析" sheetId="48" state="hidden" r:id="rId2"/>
    <sheet name="项目概况" sheetId="37" state="hidden" r:id="rId3"/>
    <sheet name="经济指标" sheetId="22" r:id="rId4"/>
    <sheet name="成本测算明细" sheetId="33" r:id="rId5"/>
    <sheet name="税率" sheetId="27" state="hidden" r:id="rId6"/>
    <sheet name="收入及土地测算" sheetId="25" state="hidden" r:id="rId7"/>
    <sheet name="预计销售收入及费用情况表" sheetId="31" r:id="rId8"/>
    <sheet name="项目资金筹措" sheetId="39" r:id="rId9"/>
    <sheet name="税金计算表" sheetId="41" r:id="rId10"/>
    <sheet name="项目利润情况表" sheetId="42" r:id="rId11"/>
    <sheet name="销售计划表" sheetId="43" state="hidden" r:id="rId12"/>
    <sheet name="工程及开发计划" sheetId="44" state="hidden" r:id="rId13"/>
    <sheet name="管理费用" sheetId="46" state="hidden" r:id="rId14"/>
    <sheet name="数据源（不可删除）" sheetId="38" state="hidden" r:id="rId15"/>
    <sheet name="Sheet1" sheetId="53" r:id="rId16"/>
    <sheet name="成本变化对比" sheetId="52" r:id="rId17"/>
    <sheet name="推售计划" sheetId="49" r:id="rId18"/>
    <sheet name="监管资金节点" sheetId="51" r:id="rId19"/>
    <sheet name="现金流" sheetId="50" r:id="rId20"/>
    <sheet name="1" sheetId="47" r:id="rId21"/>
  </sheets>
  <externalReferences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</externalReferences>
  <definedNames>
    <definedName name="_xlnm._FilterDatabase" localSheetId="3" hidden="1">经济指标!$A$1:$Q$37</definedName>
    <definedName name="_xlnm._FilterDatabase" localSheetId="4" hidden="1">成本测算明细!$A$8:$AX$197</definedName>
    <definedName name="\P">#REF!</definedName>
    <definedName name="_??????">#REF!</definedName>
    <definedName name="____APr44">#REF!</definedName>
    <definedName name="____DAT1">#REF!</definedName>
    <definedName name="____DAT10">#REF!</definedName>
    <definedName name="____DAT11">#REF!</definedName>
    <definedName name="____DAT12">#REF!</definedName>
    <definedName name="____DAT13">#REF!</definedName>
    <definedName name="____DAT14">#REF!</definedName>
    <definedName name="____DAT15">#REF!</definedName>
    <definedName name="____DAT16">#REF!</definedName>
    <definedName name="____DAT17">#REF!</definedName>
    <definedName name="____DAT18">#REF!</definedName>
    <definedName name="____DAT19">#REF!</definedName>
    <definedName name="____DAT2">#REF!</definedName>
    <definedName name="____DAT20">#REF!</definedName>
    <definedName name="____DAT21">#REF!</definedName>
    <definedName name="____DAT22">#REF!</definedName>
    <definedName name="____DAT23">#REF!</definedName>
    <definedName name="____DAT24">#REF!</definedName>
    <definedName name="____DAT25">#REF!</definedName>
    <definedName name="____DAT26">#REF!</definedName>
    <definedName name="____DAT27">#REF!</definedName>
    <definedName name="____DAT28">#REF!</definedName>
    <definedName name="____DAT29">#REF!</definedName>
    <definedName name="____DAT3">#REF!</definedName>
    <definedName name="____DAT4">#REF!</definedName>
    <definedName name="____DAT5">#REF!</definedName>
    <definedName name="____DAT6">#REF!</definedName>
    <definedName name="____DAT7">#REF!</definedName>
    <definedName name="____DAT8">#REF!</definedName>
    <definedName name="____DAT9">#REF!</definedName>
    <definedName name="___APr44">#REF!</definedName>
    <definedName name="___DAT1">#REF!</definedName>
    <definedName name="___DAT10">#REF!</definedName>
    <definedName name="___DAT11">#REF!</definedName>
    <definedName name="___DAT12">#REF!</definedName>
    <definedName name="___DAT13">#REF!</definedName>
    <definedName name="___DAT14">#REF!</definedName>
    <definedName name="___DAT15">#REF!</definedName>
    <definedName name="___DAT16">#REF!</definedName>
    <definedName name="___DAT17">#REF!</definedName>
    <definedName name="___DAT18">#REF!</definedName>
    <definedName name="___DAT19">#REF!</definedName>
    <definedName name="___DAT2">#REF!</definedName>
    <definedName name="___DAT20">#REF!</definedName>
    <definedName name="___DAT21">#REF!</definedName>
    <definedName name="___DAT22">#REF!</definedName>
    <definedName name="___DAT23">#REF!</definedName>
    <definedName name="___DAT24">#REF!</definedName>
    <definedName name="___DAT25">#REF!</definedName>
    <definedName name="___DAT26">#REF!</definedName>
    <definedName name="___DAT27">#REF!</definedName>
    <definedName name="___DAT28">#REF!</definedName>
    <definedName name="___DAT29">#REF!</definedName>
    <definedName name="___DAT3">#REF!</definedName>
    <definedName name="___DAT4">#REF!</definedName>
    <definedName name="___DAT5">#REF!</definedName>
    <definedName name="___DAT6">#REF!</definedName>
    <definedName name="___DAT7">#REF!</definedName>
    <definedName name="___DAT8">#REF!</definedName>
    <definedName name="___DAT9">#REF!</definedName>
    <definedName name="__APr44">#REF!</definedName>
    <definedName name="__DAT1">#REF!</definedName>
    <definedName name="__DAT10">#REF!</definedName>
    <definedName name="__DAT11">#REF!</definedName>
    <definedName name="__DAT12">#REF!</definedName>
    <definedName name="__DAT13">#REF!</definedName>
    <definedName name="__DAT14">#REF!</definedName>
    <definedName name="__DAT15">#REF!</definedName>
    <definedName name="__DAT16">#REF!</definedName>
    <definedName name="__DAT17">#REF!</definedName>
    <definedName name="__DAT18">#REF!</definedName>
    <definedName name="__DAT19">#REF!</definedName>
    <definedName name="__DAT2">#REF!</definedName>
    <definedName name="__DAT20">#REF!</definedName>
    <definedName name="__DAT21">#REF!</definedName>
    <definedName name="__DAT22">#REF!</definedName>
    <definedName name="__DAT23">#REF!</definedName>
    <definedName name="__DAT24">#REF!</definedName>
    <definedName name="__DAT25">#REF!</definedName>
    <definedName name="__DAT26">#REF!</definedName>
    <definedName name="__DAT27">#REF!</definedName>
    <definedName name="__DAT28">#REF!</definedName>
    <definedName name="__DAT29">#REF!</definedName>
    <definedName name="__DAT3">#REF!</definedName>
    <definedName name="__DAT4">#REF!</definedName>
    <definedName name="__DAT5">#REF!</definedName>
    <definedName name="__DAT6">#REF!</definedName>
    <definedName name="__DAT7">#REF!</definedName>
    <definedName name="__DAT8">#REF!</definedName>
    <definedName name="__DAT9">#REF!</definedName>
    <definedName name="__FDS_HYPERLINK_TOGGLE_STATE__" hidden="1">"ON"</definedName>
    <definedName name="_13_?">#REF!</definedName>
    <definedName name="_26_??????">#REF!</definedName>
    <definedName name="_APr44">#REF!</definedName>
    <definedName name="_c">#REF!</definedName>
    <definedName name="_DAT1">#REF!</definedName>
    <definedName name="_DAT10">#REF!</definedName>
    <definedName name="_DAT11">#REF!</definedName>
    <definedName name="_DAT12">#REF!</definedName>
    <definedName name="_DAT13">#REF!</definedName>
    <definedName name="_DAT14">#REF!</definedName>
    <definedName name="_DAT15">#REF!</definedName>
    <definedName name="_DAT16">#REF!</definedName>
    <definedName name="_DAT17">#REF!</definedName>
    <definedName name="_DAT18">#REF!</definedName>
    <definedName name="_DAT19">#REF!</definedName>
    <definedName name="_DAT2">#REF!</definedName>
    <definedName name="_DAT20">#REF!</definedName>
    <definedName name="_DAT21">#REF!</definedName>
    <definedName name="_DAT22">#REF!</definedName>
    <definedName name="_DAT23">#REF!</definedName>
    <definedName name="_DAT24">#REF!</definedName>
    <definedName name="_DAT25">#REF!</definedName>
    <definedName name="_DAT26">#REF!</definedName>
    <definedName name="_DAT27">#REF!</definedName>
    <definedName name="_DAT28">#REF!</definedName>
    <definedName name="_DAT29">#REF!</definedName>
    <definedName name="_DAT3">#REF!</definedName>
    <definedName name="_DAT4">#REF!</definedName>
    <definedName name="_DAT5">#REF!</definedName>
    <definedName name="_DAT6">#REF!</definedName>
    <definedName name="_DAT7">#REF!</definedName>
    <definedName name="_DAT8">#REF!</definedName>
    <definedName name="_DAT9">#REF!</definedName>
    <definedName name="_Order1" hidden="1">255</definedName>
    <definedName name="_sun2">#REF!</definedName>
    <definedName name="AAAA">#REF!</definedName>
    <definedName name="AAAAAAAA">#REF!</definedName>
    <definedName name="AAAAAAAAAAAA">#REF!</definedName>
    <definedName name="BudgetYear">#REF!</definedName>
    <definedName name="BudgetYearRange">#REF!</definedName>
    <definedName name="CO">#REF!</definedName>
    <definedName name="d">#REF!</definedName>
    <definedName name="data">#REF!</definedName>
    <definedName name="dd">#REF!</definedName>
    <definedName name="doorwindow">#REF!</definedName>
    <definedName name="e">#REF!</definedName>
    <definedName name="f">#REF!</definedName>
    <definedName name="G">#REF!</definedName>
    <definedName name="HiddenStaffAveGP">#REF!</definedName>
    <definedName name="HiddenStaffAveOPBITDA">#REF!</definedName>
    <definedName name="HiddenStaffAveOpProfit">#REF!</definedName>
    <definedName name="HTML_OS" hidden="1">0</definedName>
    <definedName name="HTML_PathFile" hidden="1">"\\Dyckb002\c\刘凌2001\月会报告\MyHTML.htm"</definedName>
    <definedName name="HTML_Title" hidden="1">"2001-12月报-1"</definedName>
    <definedName name="HWSheet">1</definedName>
    <definedName name="J">#REF!</definedName>
    <definedName name="K">#REF!</definedName>
    <definedName name="l">#REF!</definedName>
    <definedName name="mj_1">#REF!</definedName>
    <definedName name="mj_2">#REF!</definedName>
    <definedName name="Module.Prix_SMC">#N/A</definedName>
    <definedName name="N">#REF!</definedName>
    <definedName name="OPBITDAConsol">#REF!</definedName>
    <definedName name="OPDetailsReportName">#REF!</definedName>
    <definedName name="P">#REF!</definedName>
    <definedName name="P_L_FinancingExp">#REF!</definedName>
    <definedName name="P_L_GAExp">#REF!</definedName>
    <definedName name="P_L_InterestIncome">#REF!</definedName>
    <definedName name="P_L_OpCost">#REF!</definedName>
    <definedName name="P_L_OtherNonOpExp">#REF!</definedName>
    <definedName name="P_L_OtherNonOpIncome">#REF!</definedName>
    <definedName name="P_L_OtherOpExp">#REF!</definedName>
    <definedName name="P_L_OtherOpIncome">#REF!</definedName>
    <definedName name="P_L_SalesExp">#REF!</definedName>
    <definedName name="P_L2_Depreciation">#REF!</definedName>
    <definedName name="P_L2_FinancingExp">#REF!</definedName>
    <definedName name="P_L2_GAExp">#REF!</definedName>
    <definedName name="P_L2_InterestIncome">#REF!</definedName>
    <definedName name="P_L2_OpCost">#REF!</definedName>
    <definedName name="P_L2_OtherNonOpExp">#REF!</definedName>
    <definedName name="P_L2_OtherNonOpIncome">#REF!</definedName>
    <definedName name="P_L2_OtherOpExp">#REF!</definedName>
    <definedName name="P_L2_OtherOpIncome">#REF!</definedName>
    <definedName name="P_L2_SalesExp">#REF!</definedName>
    <definedName name="pnl">#REF!</definedName>
    <definedName name="pnl_property">#REF!</definedName>
    <definedName name="Prix_SMC">#N/A</definedName>
    <definedName name="q">#REF!</definedName>
    <definedName name="RentalPaymentToCRCProp">#REF!</definedName>
    <definedName name="RentalPaymentToCRCProp_5_2">#REF!</definedName>
    <definedName name="S">#REF!</definedName>
    <definedName name="SAPBEXrevision" hidden="1">4</definedName>
    <definedName name="SAPBEXsysID" hidden="1">"BW1"</definedName>
    <definedName name="SAPBEXwbID" hidden="1">"8DZFG4M4NA6MVVGNLO7J4SRAY"</definedName>
    <definedName name="sheet1">#REF!</definedName>
    <definedName name="StaffTotalNo">#REF!</definedName>
    <definedName name="SUN">#REF!</definedName>
    <definedName name="T">#REF!</definedName>
    <definedName name="TEST0">#REF!</definedName>
    <definedName name="TESTHKEY">#REF!</definedName>
    <definedName name="TESTKEYS">#REF!</definedName>
    <definedName name="TESTVKEY">#REF!</definedName>
    <definedName name="V">#REF!</definedName>
    <definedName name="ValidityCode">#REF!</definedName>
    <definedName name="W">#REF!</definedName>
    <definedName name="wrn.打印整个资料." hidden="1">{"打印N01基本指标表V1",#N/A,TRUE,"基本指标＆成本预测";"打印NO2成本预测表",#N/A,TRUE,"贷款还款付息表";"打印N03工程进度表V1",#N/A,TRUE,"工程进度表";"打印NO4工程成本支出表",#N/A,TRUE,"贷款还款付息表";"打印NO5销售收入表",#N/A,TRUE,"贷款还款付息表";"打印NO6资金平衡表",#N/A,TRUE,"贷款还款付息表";"打印NO7贷款还本付息表",#N/A,TRUE,"贷款还款付息表";#N/A,#N/A,TRUE,"成本对比(第一次董事会)"}</definedName>
    <definedName name="x">#REF!</definedName>
    <definedName name="xin">#REF!</definedName>
    <definedName name="zzz">#REF!</definedName>
    <definedName name="比例">#REF!</definedName>
    <definedName name="不可售公建">#REF!</definedName>
    <definedName name="产品成本分摊表">#REF!</definedName>
    <definedName name="成本">#REF!</definedName>
    <definedName name="成本明细表">#REF!</definedName>
    <definedName name="待发生成本预测">#REF!</definedName>
    <definedName name="地上建面">#REF!</definedName>
    <definedName name="动态成本.动态预算明细科目">#N/A</definedName>
    <definedName name="动态成本分析1">#REF!</definedName>
    <definedName name="饿">#REF!</definedName>
    <definedName name="二层平面图">#REF!</definedName>
    <definedName name="管理费用">{"Client Name or Project Name"}</definedName>
    <definedName name="管理费用_1">{"Client Name or Project Name"}</definedName>
    <definedName name="管理费用_2">{"Client Name or Project Name"}</definedName>
    <definedName name="管理费用_3">{"Client Name or Project Name"}</definedName>
    <definedName name="管理费用_4">{"Client Name or Project Name"}</definedName>
    <definedName name="管理费用_5">{"Client Name or Project Name"}</definedName>
    <definedName name="号">#REF!</definedName>
    <definedName name="合同编号" localSheetId="9">[1]合同台帐!#REF!</definedName>
    <definedName name="合同编号">[1]合同台帐!#REF!</definedName>
    <definedName name="合同编号2">[1]合同台帐!#REF!</definedName>
    <definedName name="合同台账区域1">#N/A</definedName>
    <definedName name="核算项目明细账_1133_06_00">#REF!</definedName>
    <definedName name="华置曙协字_2003_170号">#REF!</definedName>
    <definedName name="汇报" hidden="1">{"打印N01基本指标表V1",#N/A,TRUE,"基本指标＆成本预测";"打印NO2成本预测表",#N/A,TRUE,"贷款还款付息表";"打印N03工程进度表V1",#N/A,TRUE,"工程进度表";"打印NO4工程成本支出表",#N/A,TRUE,"贷款还款付息表";"打印NO5销售收入表",#N/A,TRUE,"贷款还款付息表";"打印NO6资金平衡表",#N/A,TRUE,"贷款还款付息表";"打印NO7贷款还本付息表",#N/A,TRUE,"贷款还款付息表";#N/A,#N/A,TRUE,"成本对比(第一次董事会)"}</definedName>
    <definedName name="基准收益率">#REF!</definedName>
    <definedName name="计算方式">#REF!</definedName>
    <definedName name="监控">#N/A</definedName>
    <definedName name="开发成本">#REF!</definedName>
    <definedName name="开间费">#REF!</definedName>
    <definedName name="科目余额表">#REF!</definedName>
    <definedName name="可售房屋总建面">#REF!</definedName>
    <definedName name="利息总额">#REF!</definedName>
    <definedName name="面积">#REF!</definedName>
    <definedName name="内部收益率">#REF!</definedName>
    <definedName name="全项目动态成本表">#REF!</definedName>
    <definedName name="停车场系统">#N/A</definedName>
    <definedName name="物业用房及居委会">#REF!</definedName>
    <definedName name="现金流量表">#REF!</definedName>
    <definedName name="小区道路">#REF!</definedName>
    <definedName name="总分类账">#REF!</definedName>
  </definedNames>
  <calcPr calcId="144525"/>
</workbook>
</file>

<file path=xl/comments1.xml><?xml version="1.0" encoding="utf-8"?>
<comments xmlns="http://schemas.openxmlformats.org/spreadsheetml/2006/main">
  <authors>
    <author>86135</author>
  </authors>
  <commentList>
    <comment ref="I32" authorId="0">
      <text>
        <r>
          <rPr>
            <b/>
            <sz val="9"/>
            <rFont val="宋体"/>
            <charset val="134"/>
          </rPr>
          <t>86135:
增加</t>
        </r>
        <r>
          <rPr>
            <sz val="9"/>
            <rFont val="宋体"/>
            <charset val="134"/>
          </rPr>
          <t>100万精装设计费</t>
        </r>
      </text>
    </comment>
  </commentList>
</comments>
</file>

<file path=xl/comments2.xml><?xml version="1.0" encoding="utf-8"?>
<comments xmlns="http://schemas.openxmlformats.org/spreadsheetml/2006/main">
  <authors>
    <author>Administrator</author>
  </authors>
  <commentList>
    <comment ref="C1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含税金额</t>
        </r>
      </text>
    </comment>
  </commentList>
</comments>
</file>

<file path=xl/comments3.xml><?xml version="1.0" encoding="utf-8"?>
<comments xmlns="http://schemas.openxmlformats.org/spreadsheetml/2006/main">
  <authors>
    <author>dccwb</author>
  </authors>
  <commentList>
    <comment ref="AF23" authorId="0">
      <text>
        <r>
          <rPr>
            <sz val="20"/>
            <rFont val="宋体"/>
            <charset val="134"/>
          </rPr>
          <t>竣工备案</t>
        </r>
      </text>
    </comment>
  </commentList>
</comments>
</file>

<file path=xl/comments4.xml><?xml version="1.0" encoding="utf-8"?>
<comments xmlns="http://schemas.openxmlformats.org/spreadsheetml/2006/main">
  <authors>
    <author>刘丽娜</author>
    <author>dccwb</author>
  </authors>
  <commentList>
    <comment ref="C4" authorId="0">
      <text>
        <r>
          <rPr>
            <sz val="24"/>
            <rFont val="宋体"/>
            <charset val="134"/>
          </rPr>
          <t>拿地</t>
        </r>
      </text>
    </comment>
    <comment ref="I11" authorId="1">
      <text>
        <r>
          <rPr>
            <sz val="16"/>
            <rFont val="宋体"/>
            <charset val="134"/>
          </rPr>
          <t>城市配套费900万</t>
        </r>
      </text>
    </comment>
    <comment ref="I14" authorId="1">
      <text>
        <r>
          <rPr>
            <sz val="16"/>
            <rFont val="宋体"/>
            <charset val="134"/>
          </rPr>
          <t>逾期缴纳土地款滞纳金</t>
        </r>
      </text>
    </comment>
    <comment ref="L14" authorId="1">
      <text>
        <r>
          <rPr>
            <sz val="16"/>
            <rFont val="宋体"/>
            <charset val="134"/>
          </rPr>
          <t>剩余土地50%款支付半年利息</t>
        </r>
      </text>
    </comment>
    <comment ref="AN14" authorId="1">
      <text>
        <r>
          <rPr>
            <b/>
            <sz val="16"/>
            <rFont val="宋体"/>
            <charset val="134"/>
          </rPr>
          <t>资金使用费，不牵涉现金流</t>
        </r>
      </text>
    </comment>
    <comment ref="M17" authorId="1">
      <text>
        <r>
          <rPr>
            <b/>
            <sz val="14"/>
            <rFont val="宋体"/>
            <charset val="134"/>
          </rPr>
          <t>1、团购部分首付9900万入监管资金；2、对外销售首付部分入监管资金</t>
        </r>
      </text>
    </comment>
    <comment ref="M18" authorId="0">
      <text>
        <r>
          <rPr>
            <sz val="16"/>
            <rFont val="宋体"/>
            <charset val="134"/>
          </rPr>
          <t>1批次团购封顶账户余45%</t>
        </r>
      </text>
    </comment>
    <comment ref="N18" authorId="0">
      <text>
        <r>
          <rPr>
            <sz val="16"/>
            <rFont val="宋体"/>
            <charset val="134"/>
          </rPr>
          <t>3#、5#楼封顶留45%，2#楼未达到预售预留20%</t>
        </r>
      </text>
    </comment>
    <comment ref="O18" authorId="0">
      <text>
        <r>
          <rPr>
            <sz val="14"/>
            <rFont val="宋体"/>
            <charset val="134"/>
          </rPr>
          <t>1、2#楼达到预售出款20%，留80%</t>
        </r>
      </text>
    </comment>
    <comment ref="P18" authorId="1">
      <text>
        <r>
          <rPr>
            <sz val="14"/>
            <rFont val="宋体"/>
            <charset val="134"/>
          </rPr>
          <t>一批次二次结构可再出10%</t>
        </r>
      </text>
    </comment>
    <comment ref="S18" authorId="1">
      <text>
        <r>
          <rPr>
            <sz val="14"/>
            <rFont val="宋体"/>
            <charset val="134"/>
          </rPr>
          <t>1、2#楼封顶留45%，可再出35%</t>
        </r>
      </text>
    </comment>
    <comment ref="T18" authorId="0">
      <text>
        <r>
          <rPr>
            <sz val="9"/>
            <rFont val="宋体"/>
            <charset val="134"/>
          </rPr>
          <t xml:space="preserve">
</t>
        </r>
        <r>
          <rPr>
            <sz val="20"/>
            <rFont val="宋体"/>
            <charset val="134"/>
          </rPr>
          <t>一批次8栋窗框完成留30%，可再出5%；</t>
        </r>
      </text>
    </comment>
    <comment ref="U18" authorId="1">
      <text>
        <r>
          <rPr>
            <sz val="16"/>
            <rFont val="宋体"/>
            <charset val="134"/>
          </rPr>
          <t xml:space="preserve">加推1#楼封顶留45%
</t>
        </r>
      </text>
    </comment>
    <comment ref="V18" authorId="0">
      <text>
        <r>
          <rPr>
            <b/>
            <sz val="18"/>
            <rFont val="宋体"/>
            <charset val="134"/>
          </rPr>
          <t>1、一批次8栋外墙完成留20%，可出10%。</t>
        </r>
        <r>
          <rPr>
            <b/>
            <sz val="18"/>
            <color rgb="FF000000"/>
            <rFont val="宋体"/>
            <charset val="134"/>
          </rPr>
          <t xml:space="preserve">
2、2批次2#、1#、11#二次结构完成留35%，可再出10%
</t>
        </r>
      </text>
    </comment>
    <comment ref="W18" authorId="1">
      <text>
        <r>
          <rPr>
            <b/>
            <sz val="16"/>
            <rFont val="宋体"/>
            <charset val="134"/>
          </rPr>
          <t xml:space="preserve">13#楼二批次二次结构完成留35%
</t>
        </r>
      </text>
    </comment>
    <comment ref="X18" authorId="0">
      <text>
        <r>
          <rPr>
            <b/>
            <sz val="16"/>
            <rFont val="宋体"/>
            <charset val="134"/>
          </rPr>
          <t xml:space="preserve">1、2批次窗框完成留30%，可出5%。其中：2#、1#、11#、13#楼可再出5%
</t>
        </r>
      </text>
    </comment>
    <comment ref="Z18" authorId="0">
      <text>
        <r>
          <rPr>
            <b/>
            <sz val="14"/>
            <rFont val="宋体"/>
            <charset val="134"/>
          </rPr>
          <t>1、2批4栋外墙完成留20%，可再出10%</t>
        </r>
      </text>
    </comment>
    <comment ref="AC18" authorId="0">
      <text>
        <r>
          <rPr>
            <b/>
            <sz val="16"/>
            <rFont val="宋体"/>
            <charset val="134"/>
          </rPr>
          <t>1、全部12栋水电暖完成留10%，可再出10%</t>
        </r>
      </text>
    </comment>
    <comment ref="AE18" authorId="1">
      <text>
        <r>
          <rPr>
            <sz val="18"/>
            <rFont val="宋体"/>
            <charset val="134"/>
          </rPr>
          <t>五方验收，12栋监管资金沉淀剩余5%，可再出5%</t>
        </r>
      </text>
    </comment>
    <comment ref="AG18" authorId="1">
      <text>
        <r>
          <rPr>
            <sz val="18"/>
            <rFont val="宋体"/>
            <charset val="134"/>
          </rPr>
          <t>五方验收，12栋监管资金沉淀剩余5%，可再出5%</t>
        </r>
      </text>
    </comment>
    <comment ref="AK18" authorId="0">
      <text>
        <r>
          <rPr>
            <sz val="16"/>
            <rFont val="宋体"/>
            <charset val="134"/>
          </rPr>
          <t>全部交付留3%</t>
        </r>
      </text>
    </comment>
  </commentList>
</comments>
</file>

<file path=xl/sharedStrings.xml><?xml version="1.0" encoding="utf-8"?>
<sst xmlns="http://schemas.openxmlformats.org/spreadsheetml/2006/main" count="1677" uniqueCount="979">
  <si>
    <t>序号</t>
  </si>
  <si>
    <t>名称</t>
  </si>
  <si>
    <t>部门</t>
  </si>
  <si>
    <t>编制人</t>
  </si>
  <si>
    <t>更新日期</t>
  </si>
  <si>
    <t>备注</t>
  </si>
  <si>
    <t>项目概况</t>
  </si>
  <si>
    <t>投拓中心</t>
  </si>
  <si>
    <t>李阳</t>
  </si>
  <si>
    <t>2022.10.31</t>
  </si>
  <si>
    <t>经济指标</t>
  </si>
  <si>
    <t>设计研发中心</t>
  </si>
  <si>
    <t>王振</t>
  </si>
  <si>
    <t>成本测算明细表</t>
  </si>
  <si>
    <t>成本中心</t>
  </si>
  <si>
    <t>陈海民</t>
  </si>
  <si>
    <t>预计销售收入及费用情况表</t>
  </si>
  <si>
    <t>销售中心</t>
  </si>
  <si>
    <t>赵瑞波</t>
  </si>
  <si>
    <t>项目资金筹措</t>
  </si>
  <si>
    <t>财务中心</t>
  </si>
  <si>
    <t>王晓莉</t>
  </si>
  <si>
    <t>税金计算表</t>
  </si>
  <si>
    <t>利润情况</t>
  </si>
  <si>
    <t>销售及回款计划明细</t>
  </si>
  <si>
    <t>人员编制及管理费用计划表</t>
  </si>
  <si>
    <t>财务费用计划明细</t>
  </si>
  <si>
    <t>工程及开发计划明细</t>
  </si>
  <si>
    <t>项目现金流明细</t>
  </si>
  <si>
    <t>定稿日期</t>
  </si>
  <si>
    <t>建设用地面积</t>
  </si>
  <si>
    <t>地上计容建筑面积</t>
  </si>
  <si>
    <t>地下建筑面积</t>
  </si>
  <si>
    <t>销售收款</t>
  </si>
  <si>
    <t>土地成本</t>
  </si>
  <si>
    <t>建安成本</t>
  </si>
  <si>
    <t>净利润</t>
  </si>
  <si>
    <t>利润率</t>
  </si>
  <si>
    <t>编制部门</t>
  </si>
  <si>
    <t>返回目录</t>
  </si>
  <si>
    <t>类别</t>
  </si>
  <si>
    <t>内容</t>
  </si>
  <si>
    <t>其他地块情况说明</t>
  </si>
  <si>
    <t>核对</t>
  </si>
  <si>
    <t>项目名称：</t>
  </si>
  <si>
    <t>洛龙区八里堂地块（挂牌）</t>
  </si>
  <si>
    <t>地址：</t>
  </si>
  <si>
    <t>土地面积：</t>
  </si>
  <si>
    <t>亩</t>
  </si>
  <si>
    <t>容积率：</t>
  </si>
  <si>
    <t>无</t>
  </si>
  <si>
    <t>限高：</t>
  </si>
  <si>
    <t>米</t>
  </si>
  <si>
    <t>预计成交单价格：</t>
  </si>
  <si>
    <t>万元/亩，直接拨动控制条</t>
  </si>
  <si>
    <t>预计成交总价</t>
  </si>
  <si>
    <t>万元</t>
  </si>
  <si>
    <t>项目位置截图：</t>
  </si>
  <si>
    <t>地块儿及周边情况图片：</t>
  </si>
  <si>
    <t>基础信息资料图片：</t>
  </si>
  <si>
    <t>地质及水位情况</t>
  </si>
  <si>
    <t>临水临电情况</t>
  </si>
  <si>
    <t>其他重要情况</t>
  </si>
  <si>
    <t>总指标</t>
  </si>
  <si>
    <t>业态</t>
  </si>
  <si>
    <t>单位</t>
  </si>
  <si>
    <t>建筑面积</t>
  </si>
  <si>
    <t>自持（不可售面积）</t>
  </si>
  <si>
    <t>可售面积</t>
  </si>
  <si>
    <t>亩及户数</t>
  </si>
  <si>
    <t xml:space="preserve">建设用地面积
</t>
  </si>
  <si>
    <t>m2</t>
  </si>
  <si>
    <t>装配式 30%</t>
  </si>
  <si>
    <t>总建筑面积</t>
  </si>
  <si>
    <t>地上建筑面积</t>
  </si>
  <si>
    <t>容积率</t>
  </si>
  <si>
    <t>加上物业管理用房285平计容不可售，容积率1.3</t>
  </si>
  <si>
    <t>地上建筑面积少了310平</t>
  </si>
  <si>
    <t>地上部分1</t>
  </si>
  <si>
    <t>洋房</t>
  </si>
  <si>
    <t>户</t>
  </si>
  <si>
    <t>8层15单元</t>
  </si>
  <si>
    <t>地上业态</t>
  </si>
  <si>
    <t xml:space="preserve"> 地下业态</t>
  </si>
  <si>
    <t>洋房面积少了732平，住宅少了33.17平</t>
  </si>
  <si>
    <t>地上部分2</t>
  </si>
  <si>
    <t>别墅</t>
  </si>
  <si>
    <t>6层11个单元</t>
  </si>
  <si>
    <t>高层</t>
  </si>
  <si>
    <t>储藏室</t>
  </si>
  <si>
    <t>别墅多了699欧宁</t>
  </si>
  <si>
    <t>地上部分3</t>
  </si>
  <si>
    <t>小高层</t>
  </si>
  <si>
    <t>人防车位</t>
  </si>
  <si>
    <t>地上部分4</t>
  </si>
  <si>
    <t>公寓</t>
  </si>
  <si>
    <t>非人防车位</t>
  </si>
  <si>
    <t>地上部分5</t>
  </si>
  <si>
    <t>商业</t>
  </si>
  <si>
    <t>地上部分6</t>
  </si>
  <si>
    <t>办公</t>
  </si>
  <si>
    <t>地上部分7</t>
  </si>
  <si>
    <t>装配式</t>
  </si>
  <si>
    <t>地上部分8</t>
  </si>
  <si>
    <t>物业用房及消防控制室</t>
  </si>
  <si>
    <t>地上部分9</t>
  </si>
  <si>
    <t>公共厕所及开闭所</t>
  </si>
  <si>
    <t>社区服务中心</t>
  </si>
  <si>
    <t>地上部分10</t>
  </si>
  <si>
    <t>社区服务站</t>
  </si>
  <si>
    <t>总建面2万内80平；2-20万4‰；超20万3‰</t>
  </si>
  <si>
    <t>幼儿园</t>
  </si>
  <si>
    <t>地上部分11</t>
  </si>
  <si>
    <t>老年日间照料</t>
  </si>
  <si>
    <t>物业用房</t>
  </si>
  <si>
    <r>
      <rPr>
        <sz val="12"/>
        <color theme="1"/>
        <rFont val="宋体"/>
        <charset val="134"/>
      </rPr>
      <t>地下占总车位的1</t>
    </r>
    <r>
      <rPr>
        <sz val="12"/>
        <color theme="1"/>
        <rFont val="宋体"/>
        <charset val="134"/>
      </rPr>
      <t>0</t>
    </r>
    <r>
      <rPr>
        <sz val="12"/>
        <color theme="1"/>
        <rFont val="宋体"/>
        <charset val="134"/>
      </rPr>
      <t>0%</t>
    </r>
  </si>
  <si>
    <t>文化活动站</t>
  </si>
  <si>
    <t>地下部分1</t>
  </si>
  <si>
    <t>社区卫生服务站</t>
  </si>
  <si>
    <t>地下部分2</t>
  </si>
  <si>
    <t>个</t>
  </si>
  <si>
    <r>
      <rPr>
        <sz val="12"/>
        <color theme="1"/>
        <rFont val="宋体"/>
        <charset val="134"/>
      </rPr>
      <t>人防面积为地上总建筑的8%
人防车位按照</t>
    </r>
    <r>
      <rPr>
        <sz val="12"/>
        <color theme="1"/>
        <rFont val="宋体"/>
        <charset val="134"/>
      </rPr>
      <t>38</t>
    </r>
    <r>
      <rPr>
        <sz val="12"/>
        <color theme="1"/>
        <rFont val="宋体"/>
        <charset val="134"/>
      </rPr>
      <t>平</t>
    </r>
  </si>
  <si>
    <t>老年日间照料中心</t>
  </si>
  <si>
    <t>地下部分3</t>
  </si>
  <si>
    <t>建筑密度</t>
  </si>
  <si>
    <t>%</t>
  </si>
  <si>
    <t>绿地率</t>
  </si>
  <si>
    <t>合计</t>
  </si>
  <si>
    <t>单元数</t>
  </si>
  <si>
    <t>基地面积</t>
  </si>
  <si>
    <t>高层2</t>
  </si>
  <si>
    <t>高层2-1（装配式）</t>
  </si>
  <si>
    <t>其他配套</t>
  </si>
  <si>
    <t>项     目</t>
  </si>
  <si>
    <t>综合</t>
  </si>
  <si>
    <t>备  注</t>
  </si>
  <si>
    <t>核对量</t>
  </si>
  <si>
    <t>计算总量</t>
  </si>
  <si>
    <t>类型</t>
  </si>
  <si>
    <t>产品业态</t>
  </si>
  <si>
    <t>万M3（销面）</t>
  </si>
  <si>
    <t>万M2（销面）</t>
  </si>
  <si>
    <t>万M4（销面）</t>
  </si>
  <si>
    <t>万M5（销面）</t>
  </si>
  <si>
    <t>万M6（销面）</t>
  </si>
  <si>
    <t>万M7（销面）</t>
  </si>
  <si>
    <t>万M8（销面）</t>
  </si>
  <si>
    <t>万M9（销面）</t>
  </si>
  <si>
    <t>指标</t>
  </si>
  <si>
    <r>
      <rPr>
        <b/>
        <sz val="8"/>
        <rFont val="宋体"/>
        <charset val="134"/>
      </rPr>
      <t>控制指标</t>
    </r>
    <r>
      <rPr>
        <b/>
        <sz val="8"/>
        <rFont val="Times New Roman"/>
        <charset val="134"/>
      </rPr>
      <t xml:space="preserve">                  </t>
    </r>
    <r>
      <rPr>
        <b/>
        <sz val="8"/>
        <rFont val="宋体"/>
        <charset val="134"/>
      </rPr>
      <t>（元</t>
    </r>
    <r>
      <rPr>
        <b/>
        <sz val="8"/>
        <rFont val="Times New Roman"/>
        <charset val="134"/>
      </rPr>
      <t>/m</t>
    </r>
    <r>
      <rPr>
        <b/>
        <vertAlign val="superscript"/>
        <sz val="8"/>
        <rFont val="Times New Roman"/>
        <charset val="134"/>
      </rPr>
      <t>2</t>
    </r>
    <r>
      <rPr>
        <b/>
        <sz val="8"/>
        <rFont val="宋体"/>
        <charset val="134"/>
      </rPr>
      <t>）</t>
    </r>
  </si>
  <si>
    <r>
      <rPr>
        <b/>
        <sz val="8"/>
        <rFont val="宋体"/>
        <charset val="134"/>
      </rPr>
      <t>总投资</t>
    </r>
    <r>
      <rPr>
        <b/>
        <sz val="8"/>
        <rFont val="Times New Roman"/>
        <charset val="134"/>
      </rPr>
      <t xml:space="preserve">                     </t>
    </r>
    <r>
      <rPr>
        <b/>
        <sz val="8"/>
        <rFont val="宋体"/>
        <charset val="134"/>
      </rPr>
      <t>（万元）</t>
    </r>
  </si>
  <si>
    <r>
      <rPr>
        <b/>
        <sz val="8"/>
        <rFont val="宋体"/>
        <charset val="134"/>
      </rPr>
      <t>控制指标</t>
    </r>
    <r>
      <rPr>
        <b/>
        <sz val="8"/>
        <rFont val="Times New Roman"/>
        <charset val="134"/>
      </rPr>
      <t xml:space="preserve">                  </t>
    </r>
    <r>
      <rPr>
        <b/>
        <sz val="8"/>
        <rFont val="宋体"/>
        <charset val="134"/>
      </rPr>
      <t>（元</t>
    </r>
    <r>
      <rPr>
        <b/>
        <sz val="8"/>
        <rFont val="Times New Roman"/>
        <charset val="134"/>
      </rPr>
      <t>/m</t>
    </r>
    <r>
      <rPr>
        <b/>
        <vertAlign val="superscript"/>
        <sz val="8"/>
        <rFont val="Times New Roman"/>
        <charset val="134"/>
      </rPr>
      <t>1）</t>
    </r>
  </si>
  <si>
    <r>
      <rPr>
        <b/>
        <sz val="8"/>
        <rFont val="宋体"/>
        <charset val="134"/>
      </rPr>
      <t>总投资</t>
    </r>
    <r>
      <rPr>
        <b/>
        <sz val="8"/>
        <rFont val="Times New Roman"/>
        <charset val="134"/>
      </rPr>
      <t xml:space="preserve">                                  </t>
    </r>
    <r>
      <rPr>
        <b/>
        <sz val="8"/>
        <rFont val="宋体"/>
        <charset val="134"/>
      </rPr>
      <t>（万元）</t>
    </r>
  </si>
  <si>
    <r>
      <rPr>
        <b/>
        <sz val="8"/>
        <rFont val="宋体"/>
        <charset val="134"/>
      </rPr>
      <t>控制指标</t>
    </r>
    <r>
      <rPr>
        <b/>
        <sz val="8"/>
        <rFont val="Times New Roman"/>
        <charset val="134"/>
      </rPr>
      <t xml:space="preserve">                  </t>
    </r>
    <r>
      <rPr>
        <b/>
        <sz val="8"/>
        <rFont val="宋体"/>
        <charset val="134"/>
      </rPr>
      <t>（元</t>
    </r>
    <r>
      <rPr>
        <b/>
        <sz val="8"/>
        <rFont val="Times New Roman"/>
        <charset val="134"/>
      </rPr>
      <t>/m</t>
    </r>
    <r>
      <rPr>
        <b/>
        <vertAlign val="superscript"/>
        <sz val="8"/>
        <rFont val="Times New Roman"/>
        <charset val="134"/>
      </rPr>
      <t>3）</t>
    </r>
  </si>
  <si>
    <r>
      <rPr>
        <b/>
        <sz val="8"/>
        <rFont val="宋体"/>
        <charset val="134"/>
      </rPr>
      <t>控制指标</t>
    </r>
    <r>
      <rPr>
        <b/>
        <sz val="8"/>
        <rFont val="Times New Roman"/>
        <charset val="134"/>
      </rPr>
      <t xml:space="preserve">                  </t>
    </r>
    <r>
      <rPr>
        <b/>
        <sz val="8"/>
        <rFont val="宋体"/>
        <charset val="134"/>
      </rPr>
      <t>（元</t>
    </r>
    <r>
      <rPr>
        <b/>
        <sz val="8"/>
        <rFont val="Times New Roman"/>
        <charset val="134"/>
      </rPr>
      <t>/m</t>
    </r>
    <r>
      <rPr>
        <b/>
        <vertAlign val="superscript"/>
        <sz val="8"/>
        <rFont val="Times New Roman"/>
        <charset val="134"/>
      </rPr>
      <t>4）</t>
    </r>
  </si>
  <si>
    <r>
      <rPr>
        <b/>
        <sz val="8"/>
        <rFont val="宋体"/>
        <charset val="134"/>
      </rPr>
      <t>控制指标</t>
    </r>
    <r>
      <rPr>
        <b/>
        <sz val="8"/>
        <rFont val="Times New Roman"/>
        <charset val="134"/>
      </rPr>
      <t xml:space="preserve">                  </t>
    </r>
    <r>
      <rPr>
        <b/>
        <sz val="8"/>
        <rFont val="宋体"/>
        <charset val="134"/>
      </rPr>
      <t>（元</t>
    </r>
    <r>
      <rPr>
        <b/>
        <sz val="8"/>
        <rFont val="Times New Roman"/>
        <charset val="134"/>
      </rPr>
      <t>/m</t>
    </r>
    <r>
      <rPr>
        <b/>
        <vertAlign val="superscript"/>
        <sz val="8"/>
        <rFont val="Times New Roman"/>
        <charset val="134"/>
      </rPr>
      <t>5）</t>
    </r>
  </si>
  <si>
    <r>
      <rPr>
        <b/>
        <sz val="8"/>
        <rFont val="宋体"/>
        <charset val="134"/>
      </rPr>
      <t>控制指标</t>
    </r>
    <r>
      <rPr>
        <b/>
        <sz val="8"/>
        <rFont val="Times New Roman"/>
        <charset val="134"/>
      </rPr>
      <t xml:space="preserve">                  </t>
    </r>
    <r>
      <rPr>
        <b/>
        <sz val="8"/>
        <rFont val="宋体"/>
        <charset val="134"/>
      </rPr>
      <t>（元</t>
    </r>
    <r>
      <rPr>
        <b/>
        <sz val="8"/>
        <rFont val="Times New Roman"/>
        <charset val="134"/>
      </rPr>
      <t>/m</t>
    </r>
    <r>
      <rPr>
        <b/>
        <vertAlign val="superscript"/>
        <sz val="8"/>
        <rFont val="Times New Roman"/>
        <charset val="134"/>
      </rPr>
      <t>6）</t>
    </r>
  </si>
  <si>
    <r>
      <rPr>
        <b/>
        <sz val="8"/>
        <rFont val="宋体"/>
        <charset val="134"/>
      </rPr>
      <t>控制指标</t>
    </r>
    <r>
      <rPr>
        <b/>
        <sz val="8"/>
        <rFont val="Times New Roman"/>
        <charset val="134"/>
      </rPr>
      <t xml:space="preserve">                  </t>
    </r>
    <r>
      <rPr>
        <b/>
        <sz val="8"/>
        <rFont val="宋体"/>
        <charset val="134"/>
      </rPr>
      <t>（元</t>
    </r>
    <r>
      <rPr>
        <b/>
        <sz val="8"/>
        <rFont val="Times New Roman"/>
        <charset val="134"/>
      </rPr>
      <t>/m</t>
    </r>
    <r>
      <rPr>
        <b/>
        <vertAlign val="superscript"/>
        <sz val="8"/>
        <rFont val="Times New Roman"/>
        <charset val="134"/>
      </rPr>
      <t>7）</t>
    </r>
  </si>
  <si>
    <r>
      <rPr>
        <b/>
        <sz val="8"/>
        <rFont val="宋体"/>
        <charset val="134"/>
      </rPr>
      <t>控制指标</t>
    </r>
    <r>
      <rPr>
        <b/>
        <sz val="8"/>
        <rFont val="Times New Roman"/>
        <charset val="134"/>
      </rPr>
      <t xml:space="preserve">                  </t>
    </r>
    <r>
      <rPr>
        <b/>
        <sz val="8"/>
        <rFont val="宋体"/>
        <charset val="134"/>
      </rPr>
      <t>（元</t>
    </r>
    <r>
      <rPr>
        <b/>
        <sz val="8"/>
        <rFont val="Times New Roman"/>
        <charset val="134"/>
      </rPr>
      <t>/m</t>
    </r>
    <r>
      <rPr>
        <b/>
        <vertAlign val="superscript"/>
        <sz val="8"/>
        <rFont val="Times New Roman"/>
        <charset val="134"/>
      </rPr>
      <t>8）</t>
    </r>
  </si>
  <si>
    <t>土地款及土地相关费用</t>
  </si>
  <si>
    <t>土地款</t>
  </si>
  <si>
    <t>土地契税</t>
  </si>
  <si>
    <t>补偿对价</t>
  </si>
  <si>
    <t>土地交易费</t>
  </si>
  <si>
    <t>其他土地类支出</t>
  </si>
  <si>
    <t>耕地占用税</t>
  </si>
  <si>
    <t>用地面积22元/m</t>
  </si>
  <si>
    <t>土地使用税</t>
  </si>
  <si>
    <t>印花税</t>
  </si>
  <si>
    <r>
      <rPr>
        <sz val="8"/>
        <rFont val="宋体"/>
        <charset val="134"/>
      </rPr>
      <t>印花税（土地款*</t>
    </r>
    <r>
      <rPr>
        <sz val="8"/>
        <rFont val="宋体"/>
        <charset val="134"/>
      </rPr>
      <t>0.05%）</t>
    </r>
  </si>
  <si>
    <t>前期费用</t>
  </si>
  <si>
    <t>三通一平费</t>
  </si>
  <si>
    <t>2.1.1</t>
  </si>
  <si>
    <t>临电工程费</t>
  </si>
  <si>
    <t>折相应建筑面为5元/m2</t>
  </si>
  <si>
    <t>2.1.2</t>
  </si>
  <si>
    <t>临水工程费</t>
  </si>
  <si>
    <t>相应建筑面为3元/m3</t>
  </si>
  <si>
    <t>2.1.3</t>
  </si>
  <si>
    <t>临路工程费</t>
  </si>
  <si>
    <t>暂按6m路宽考虑,1000米长</t>
  </si>
  <si>
    <t>2.1.4</t>
  </si>
  <si>
    <t>土地清表费</t>
  </si>
  <si>
    <t>暂按0.5元/m2考虑</t>
  </si>
  <si>
    <t>临时设施</t>
  </si>
  <si>
    <t>2.2.1</t>
  </si>
  <si>
    <t>临时围墙/大门</t>
  </si>
  <si>
    <t>5.5围挡，暂按1100元/m考虑，3m围挡（300元/m）一般安全文明施工费中，围墙政府收款39.7万</t>
  </si>
  <si>
    <t>2.2.2</t>
  </si>
  <si>
    <t>临时办公室</t>
  </si>
  <si>
    <t>2.2.3</t>
  </si>
  <si>
    <t>临时场地租赁费</t>
  </si>
  <si>
    <t>设计费</t>
  </si>
  <si>
    <t>2.3.1</t>
  </si>
  <si>
    <t>方案规划设计费</t>
  </si>
  <si>
    <t>方案+施工图30元/㎡，装配式另加8元/m2</t>
  </si>
  <si>
    <t>2.3.2</t>
  </si>
  <si>
    <t>建筑施工图设计费</t>
  </si>
  <si>
    <t>2.3.3</t>
  </si>
  <si>
    <t>装修设计费</t>
  </si>
  <si>
    <t>大堂设计费用15万元、公区走廊费用15万元,增加团购户型66套设计费100万元。</t>
  </si>
  <si>
    <t>2.3.4</t>
  </si>
  <si>
    <t>环境设计费</t>
  </si>
  <si>
    <t>按照绿化面积25元/M2考虑，</t>
  </si>
  <si>
    <t>2.3.5</t>
  </si>
  <si>
    <t>人防设计费</t>
  </si>
  <si>
    <t>按4元/考虑，含电力设计、给水、燃气设计</t>
  </si>
  <si>
    <t>2.3.6</t>
  </si>
  <si>
    <t>综合管网设计费</t>
  </si>
  <si>
    <t>施工设计中已经包含</t>
  </si>
  <si>
    <t>2.3.7</t>
  </si>
  <si>
    <t>设计咨询费</t>
  </si>
  <si>
    <t>其他</t>
  </si>
  <si>
    <t>服务咨询费</t>
  </si>
  <si>
    <t>2.4.1</t>
  </si>
  <si>
    <t>可研编制费</t>
  </si>
  <si>
    <r>
      <rPr>
        <sz val="8"/>
        <rFont val="宋体"/>
        <charset val="134"/>
      </rPr>
      <t>按建筑面积折算1.50元/m2考虑</t>
    </r>
    <r>
      <rPr>
        <sz val="8"/>
        <rFont val="宋体"/>
        <charset val="134"/>
      </rPr>
      <t>。</t>
    </r>
  </si>
  <si>
    <t>2.4.2</t>
  </si>
  <si>
    <t>招投标费</t>
  </si>
  <si>
    <t>100万以下1%，100-500万0.7%，500-1000万0.55%1000-5000万0.35%。中标价1000--5000万 （共2次，物业、施工），招标造价咨询服务费3万元/批次，经与施工单位协商此部分费用由施工单位承担，但物业招标服务费用由甲方承担，暂按1元/m2考虑</t>
  </si>
  <si>
    <t>2.4.3</t>
  </si>
  <si>
    <t>环境评估费</t>
  </si>
  <si>
    <t>土地证环评费按4万元计</t>
  </si>
  <si>
    <t>2.4.4</t>
  </si>
  <si>
    <t>交通评估费</t>
  </si>
  <si>
    <t>暂时不考虑</t>
  </si>
  <si>
    <t>2.4.5</t>
  </si>
  <si>
    <t>施工图审查费、抗震审查服务费</t>
  </si>
  <si>
    <t>按建筑面积1.4元/m2考虑</t>
  </si>
  <si>
    <t>2.4.6</t>
  </si>
  <si>
    <t>合同审查费</t>
  </si>
  <si>
    <t>2.4.7</t>
  </si>
  <si>
    <t>文物勘探</t>
  </si>
  <si>
    <t>文物勘探按用地15元/m2</t>
  </si>
  <si>
    <t>2.4.8</t>
  </si>
  <si>
    <t>地质勘查</t>
  </si>
  <si>
    <t>地质勘查折算建筑面积单方为5.5元。</t>
  </si>
  <si>
    <t>2.4.9</t>
  </si>
  <si>
    <t>测绘费</t>
  </si>
  <si>
    <t>土地落宗，地形、</t>
  </si>
  <si>
    <t>2.4.10</t>
  </si>
  <si>
    <t>工程造价咨询费</t>
  </si>
  <si>
    <t>按全过程10元/M2预估</t>
  </si>
  <si>
    <t>2.4.11</t>
  </si>
  <si>
    <t>工程监理费</t>
  </si>
  <si>
    <t>暂按10元/m2预估</t>
  </si>
  <si>
    <t>2.4.12</t>
  </si>
  <si>
    <t>工程建设咨询服务费</t>
  </si>
  <si>
    <t>1.5/m2</t>
  </si>
  <si>
    <t>2.4.13</t>
  </si>
  <si>
    <t>定额外专项检测费</t>
  </si>
  <si>
    <t>定额外专项检测费2元/m2</t>
  </si>
  <si>
    <t>行政收费</t>
  </si>
  <si>
    <t>2.5.1</t>
  </si>
  <si>
    <t>规划管理费</t>
  </si>
  <si>
    <t>含办理规划许可证所需要全部费用如：规划测绘、现场定位，竣工测量，日照分析、规划公示、规划验收等费用，综合按15元/m2</t>
  </si>
  <si>
    <t>2.5.2</t>
  </si>
  <si>
    <t>墙改费</t>
  </si>
  <si>
    <t>2.5.3</t>
  </si>
  <si>
    <t>地名费</t>
  </si>
  <si>
    <t>暂时按0.3元/m2考虑</t>
  </si>
  <si>
    <t>2.5.4</t>
  </si>
  <si>
    <t>产权登记费</t>
  </si>
  <si>
    <t>房屋登记费成套住房80元/套,商业房按宗计取550元/户.</t>
  </si>
  <si>
    <t>2.5.5</t>
  </si>
  <si>
    <t>销售许可证及面积测量</t>
  </si>
  <si>
    <t>销售面积预测、实测2.6元/M2，物业备案10元/户</t>
  </si>
  <si>
    <t>2.5.6</t>
  </si>
  <si>
    <t>分户土地登记费</t>
  </si>
  <si>
    <t>不征收了</t>
  </si>
  <si>
    <t>2.5.7</t>
  </si>
  <si>
    <t>地籍地形图、核地</t>
  </si>
  <si>
    <t>按洛阳市标准：400元/点。根据地块情况，每栋楼4个点、车库4点，共计36点。折算建筑单方：0.2元。</t>
  </si>
  <si>
    <t>2.5.8</t>
  </si>
  <si>
    <t>水土保持补偿费、技术咨询服务费、土地评估咨询服务费</t>
  </si>
  <si>
    <t>水土保持补偿费1.2元/m2（土地面积），水土保持技术咨询服务费（方案）6万元、土地评估咨询服务费1.1元/m2</t>
  </si>
  <si>
    <t>2.5.9</t>
  </si>
  <si>
    <t>公告费</t>
  </si>
  <si>
    <t>规划公示费3万元</t>
  </si>
  <si>
    <t>2.5.10</t>
  </si>
  <si>
    <t>质量监督费</t>
  </si>
  <si>
    <t>2.5.11</t>
  </si>
  <si>
    <t>氡气检测费等检测费</t>
  </si>
  <si>
    <t>按建筑面积1.6元/m2</t>
  </si>
  <si>
    <t>2.5.12</t>
  </si>
  <si>
    <t>档案费</t>
  </si>
  <si>
    <t>档案费暂估0.1元/M2，档案扫描费用1元/m2</t>
  </si>
  <si>
    <t>2.5.13</t>
  </si>
  <si>
    <t>证照费</t>
  </si>
  <si>
    <t>取得各种证照缴纳的费用，暂按1元/m2</t>
  </si>
  <si>
    <t>2.5.14</t>
  </si>
  <si>
    <t>养老保险费</t>
  </si>
  <si>
    <t>综合在建安成本</t>
  </si>
  <si>
    <t>2.5.15</t>
  </si>
  <si>
    <t>农民工工资保障金</t>
  </si>
  <si>
    <t>2.5.16</t>
  </si>
  <si>
    <t>建筑垃圾管理费</t>
  </si>
  <si>
    <t>垃圾处置费5元/t</t>
  </si>
  <si>
    <t>2.5.17</t>
  </si>
  <si>
    <t>其它规费</t>
  </si>
  <si>
    <t>开口费用考虑30万元，按两个口</t>
  </si>
  <si>
    <t>工程保险费</t>
  </si>
  <si>
    <t>暂按2元/M2预估</t>
  </si>
  <si>
    <t>大市政配套费</t>
  </si>
  <si>
    <t>配套费120元/m2</t>
  </si>
  <si>
    <t>其他前期费用</t>
  </si>
  <si>
    <t>建安工程费</t>
  </si>
  <si>
    <t>地基处理</t>
  </si>
  <si>
    <t>3.1.1</t>
  </si>
  <si>
    <t>桩基工程费</t>
  </si>
  <si>
    <t>按CFG桩考虑，130元/m</t>
  </si>
  <si>
    <t>3.1.2</t>
  </si>
  <si>
    <t>地基检测费</t>
  </si>
  <si>
    <t>地基静载实验，车库按500m2一个点，主楼按3点/栋。依据二期高层合同4500元/点。</t>
  </si>
  <si>
    <t>3.1.3</t>
  </si>
  <si>
    <t>地基处理工程费</t>
  </si>
  <si>
    <t>地基处理按100万考虑，局部换填</t>
  </si>
  <si>
    <t>3.1.4</t>
  </si>
  <si>
    <t>基坑开挖及边坡支护、降水</t>
  </si>
  <si>
    <t>土方挖运单价35元/M3，基坑支护360元/M2，降水100万不考虑，回填土方20元/m3</t>
  </si>
  <si>
    <t>土方</t>
  </si>
  <si>
    <t>支护</t>
  </si>
  <si>
    <t>降水</t>
  </si>
  <si>
    <t>建筑工程费</t>
  </si>
  <si>
    <t>3.2.1</t>
  </si>
  <si>
    <t>土建、安装施工费</t>
  </si>
  <si>
    <t>3.2.1.1</t>
  </si>
  <si>
    <t>土建</t>
  </si>
  <si>
    <t>保温</t>
  </si>
  <si>
    <t>3.2.1.2</t>
  </si>
  <si>
    <t>安装</t>
  </si>
  <si>
    <t>3.2.1.3</t>
  </si>
  <si>
    <t>门窗工程、幕墙</t>
  </si>
  <si>
    <t>3.2.1.4</t>
  </si>
  <si>
    <t>防火门</t>
  </si>
  <si>
    <t>高层住宅防火门面积0.044M2/M2预估，洋房按0.02M2/M2预估，2每平米按照350元/M2预估，</t>
  </si>
  <si>
    <t>3.2.1.5</t>
  </si>
  <si>
    <t>入户门</t>
  </si>
  <si>
    <t>高层住宅暂按1000元/樘预估，洋房按1500元/堂  配指纹锁1000元/把，储藏间门按450元/樘。地下部分含人防门人防设备</t>
  </si>
  <si>
    <t>3.2.1.6</t>
  </si>
  <si>
    <t>外墙石材</t>
  </si>
  <si>
    <t>考虑门头石材，按600元/m2计算，</t>
  </si>
  <si>
    <t>3.2.1.7</t>
  </si>
  <si>
    <t>外檐涂料</t>
  </si>
  <si>
    <t>住宅外墙涂料面积0.9-1.2M2/M2，按70元/M2。</t>
  </si>
  <si>
    <t>3.2.1.8</t>
  </si>
  <si>
    <t>配电箱</t>
  </si>
  <si>
    <t>3.2.1.9</t>
  </si>
  <si>
    <t>散热器</t>
  </si>
  <si>
    <t>3.2.1.10</t>
  </si>
  <si>
    <t>栏杆</t>
  </si>
  <si>
    <t>3.2.1.11</t>
  </si>
  <si>
    <t>百叶窗</t>
  </si>
  <si>
    <t>3.2.2</t>
  </si>
  <si>
    <t>电梯</t>
  </si>
  <si>
    <t>洋房电梯按16万/台，18层电梯按23万/台，</t>
  </si>
  <si>
    <t>3.2.3</t>
  </si>
  <si>
    <t>消防报警、消防水、喷淋</t>
  </si>
  <si>
    <t>3.2.4</t>
  </si>
  <si>
    <t>空调、新风</t>
  </si>
  <si>
    <t>精装修工程</t>
  </si>
  <si>
    <t>3.3.1</t>
  </si>
  <si>
    <t>楼内公共部位装修</t>
  </si>
  <si>
    <t>精装大堂暂按2000元平米预估，一层大堂精装60m2，洋房45m2</t>
  </si>
  <si>
    <t>3.3.2</t>
  </si>
  <si>
    <t>室内精装修</t>
  </si>
  <si>
    <t>按简单装修400元/m2考虑</t>
  </si>
  <si>
    <t>3.3.3</t>
  </si>
  <si>
    <t>售楼处装修</t>
  </si>
  <si>
    <t>3.3.4</t>
  </si>
  <si>
    <t>实楼样板间装修</t>
  </si>
  <si>
    <t>3.3.5</t>
  </si>
  <si>
    <t>会所装修</t>
  </si>
  <si>
    <t>建筑工程检测费用</t>
  </si>
  <si>
    <t>3.4.1</t>
  </si>
  <si>
    <t>沉降观测费</t>
  </si>
  <si>
    <t>按1元/m2</t>
  </si>
  <si>
    <t>3.4.2</t>
  </si>
  <si>
    <t>消防检测费</t>
  </si>
  <si>
    <t>含在消防中</t>
  </si>
  <si>
    <t>3.4.3</t>
  </si>
  <si>
    <t>电气安全检测费</t>
  </si>
  <si>
    <t>暂时未征收</t>
  </si>
  <si>
    <t>3.4.4</t>
  </si>
  <si>
    <t>环境检测费</t>
  </si>
  <si>
    <t>3.4.5</t>
  </si>
  <si>
    <t>避雷监测费</t>
  </si>
  <si>
    <t>建面1元/M2</t>
  </si>
  <si>
    <t>其他建安费用</t>
  </si>
  <si>
    <r>
      <rPr>
        <sz val="8"/>
        <rFont val="宋体"/>
        <charset val="134"/>
      </rPr>
      <t>暂时按1</t>
    </r>
    <r>
      <rPr>
        <sz val="8"/>
        <rFont val="宋体"/>
        <charset val="134"/>
      </rPr>
      <t>0</t>
    </r>
    <r>
      <rPr>
        <sz val="8"/>
        <rFont val="宋体"/>
        <charset val="134"/>
      </rPr>
      <t>元/m2考虑</t>
    </r>
  </si>
  <si>
    <t>市政基础设施费</t>
  </si>
  <si>
    <t>电力基础设施费</t>
  </si>
  <si>
    <t>4.1.1</t>
  </si>
  <si>
    <t>红线外电力工程费</t>
  </si>
  <si>
    <t>已经含在配套费用中</t>
  </si>
  <si>
    <t>4.1.2</t>
  </si>
  <si>
    <t>红线内电力工程费</t>
  </si>
  <si>
    <t>电力配套费按建筑面积86元/m2计入</t>
  </si>
  <si>
    <t>4.1.3</t>
  </si>
  <si>
    <t>土建站、箱式站</t>
  </si>
  <si>
    <t>4.1.4</t>
  </si>
  <si>
    <t>一户一表费</t>
  </si>
  <si>
    <t>4.1.5</t>
  </si>
  <si>
    <t>发电机组及安装费用</t>
  </si>
  <si>
    <t>给水基础设施费</t>
  </si>
  <si>
    <t>4.2.1</t>
  </si>
  <si>
    <t>红线外自来水工程费</t>
  </si>
  <si>
    <t>4.2.2</t>
  </si>
  <si>
    <t>红线内自来水工程费</t>
  </si>
  <si>
    <t>按照地上建面62元/M2预估.</t>
  </si>
  <si>
    <t>4.2.3</t>
  </si>
  <si>
    <t>水表费（自来水系统）</t>
  </si>
  <si>
    <t>中水基础设施费</t>
  </si>
  <si>
    <t>4.3.1</t>
  </si>
  <si>
    <t>红线外中水系统工程费</t>
  </si>
  <si>
    <t>4.3.2</t>
  </si>
  <si>
    <t>红线内中水系统工程费</t>
  </si>
  <si>
    <t>4.3.3</t>
  </si>
  <si>
    <t>水表费（中水系统）</t>
  </si>
  <si>
    <t>消防给水基础设施费</t>
  </si>
  <si>
    <t>4.4.1</t>
  </si>
  <si>
    <t>消防给水工程费</t>
  </si>
  <si>
    <t>热水基础设施</t>
  </si>
  <si>
    <t>4.5.1</t>
  </si>
  <si>
    <t>热水工程费</t>
  </si>
  <si>
    <t>4.5.2</t>
  </si>
  <si>
    <r>
      <rPr>
        <sz val="8"/>
        <rFont val="宋体"/>
        <charset val="134"/>
      </rPr>
      <t>设备费</t>
    </r>
    <r>
      <rPr>
        <sz val="8"/>
        <rFont val="Times New Roman"/>
        <charset val="134"/>
      </rPr>
      <t xml:space="preserve"> </t>
    </r>
  </si>
  <si>
    <t>纯净水基础设非</t>
  </si>
  <si>
    <t>排水基础设施费</t>
  </si>
  <si>
    <t>4.7.1</t>
  </si>
  <si>
    <t>雨水、污水排水工程</t>
  </si>
  <si>
    <t>按10元/M2预估</t>
  </si>
  <si>
    <t>4.7.2</t>
  </si>
  <si>
    <t>红线外排水（排水开口费）</t>
  </si>
  <si>
    <t>燃气基础设施费</t>
  </si>
  <si>
    <t>4.8.1</t>
  </si>
  <si>
    <t>红线外煤气工程费</t>
  </si>
  <si>
    <t>4.8.2</t>
  </si>
  <si>
    <t>红线内煤气工程费</t>
  </si>
  <si>
    <t>按5500元/户</t>
  </si>
  <si>
    <t>4.8.3</t>
  </si>
  <si>
    <r>
      <rPr>
        <sz val="8"/>
        <rFont val="宋体"/>
        <charset val="134"/>
      </rPr>
      <t>通气费</t>
    </r>
    <r>
      <rPr>
        <sz val="8"/>
        <rFont val="Times New Roman"/>
        <charset val="134"/>
      </rPr>
      <t>(</t>
    </r>
    <r>
      <rPr>
        <sz val="8"/>
        <rFont val="宋体"/>
        <charset val="134"/>
      </rPr>
      <t>点火费</t>
    </r>
    <r>
      <rPr>
        <sz val="8"/>
        <rFont val="Times New Roman"/>
        <charset val="134"/>
      </rPr>
      <t>)</t>
    </r>
  </si>
  <si>
    <t>4.8.4</t>
  </si>
  <si>
    <t>气源发展基金</t>
  </si>
  <si>
    <t>4.8.5</t>
  </si>
  <si>
    <t>表灶费</t>
  </si>
  <si>
    <t>电视</t>
  </si>
  <si>
    <t>4.9.1</t>
  </si>
  <si>
    <t>电视线路安装费</t>
  </si>
  <si>
    <t>按240元/户</t>
  </si>
  <si>
    <t>4.9.2</t>
  </si>
  <si>
    <t>电视外网工程费</t>
  </si>
  <si>
    <t>4.9.3</t>
  </si>
  <si>
    <t>卫星电视</t>
  </si>
  <si>
    <t>4.10</t>
  </si>
  <si>
    <t>通讯线路安装</t>
  </si>
  <si>
    <t>智能化系统</t>
  </si>
  <si>
    <t>按照建面25元/M2预估</t>
  </si>
  <si>
    <t>供热基础设施费</t>
  </si>
  <si>
    <t>根据合同签订金额1297.24万元，不含一次网，一次网预留14万元</t>
  </si>
  <si>
    <t>4.12.1</t>
  </si>
  <si>
    <t>热源费</t>
  </si>
  <si>
    <t>4.12.2</t>
  </si>
  <si>
    <t>内网费</t>
  </si>
  <si>
    <t>4.12.3</t>
  </si>
  <si>
    <t>换热站</t>
  </si>
  <si>
    <t>4.12.4</t>
  </si>
  <si>
    <t>热计量表</t>
  </si>
  <si>
    <t>环境工程</t>
  </si>
  <si>
    <t>4.13.1</t>
  </si>
  <si>
    <t>绿化工程费</t>
  </si>
  <si>
    <t>按大区综合面积考虑500元/m2</t>
  </si>
  <si>
    <t>4.13.1.1</t>
  </si>
  <si>
    <t>园林建筑工程</t>
  </si>
  <si>
    <t>4.13.1.2</t>
  </si>
  <si>
    <t>园林绿化工程</t>
  </si>
  <si>
    <t>4.13.1.3</t>
  </si>
  <si>
    <t>园林安装工程</t>
  </si>
  <si>
    <t>4.13.2</t>
  </si>
  <si>
    <t>区内道路</t>
  </si>
  <si>
    <t>4.13.3</t>
  </si>
  <si>
    <t>区内路灯</t>
  </si>
  <si>
    <t>4.13.4</t>
  </si>
  <si>
    <t>围墙大门</t>
  </si>
  <si>
    <t>4.13.5</t>
  </si>
  <si>
    <t>车棚</t>
  </si>
  <si>
    <t>环卫</t>
  </si>
  <si>
    <t>暂按50万考虑</t>
  </si>
  <si>
    <t>邮政</t>
  </si>
  <si>
    <t>其他市政基础工程费</t>
  </si>
  <si>
    <t>公用配套设施</t>
  </si>
  <si>
    <t>公建</t>
  </si>
  <si>
    <t>5.1.1</t>
  </si>
  <si>
    <t>公厕、开闭所</t>
  </si>
  <si>
    <t>5.1.2</t>
  </si>
  <si>
    <t>样板间、艺术馆（不可售）</t>
  </si>
  <si>
    <t>5.1.3</t>
  </si>
  <si>
    <t>独立车库</t>
  </si>
  <si>
    <t>金刚砂地坪</t>
  </si>
  <si>
    <t>人防地库</t>
  </si>
  <si>
    <t>小配套费</t>
  </si>
  <si>
    <t>物业费用</t>
  </si>
  <si>
    <t>5.5.1</t>
  </si>
  <si>
    <t>前期开办费</t>
  </si>
  <si>
    <t>5.5.2</t>
  </si>
  <si>
    <t>验房费</t>
  </si>
  <si>
    <t>5.5.3</t>
  </si>
  <si>
    <t>前期组建筹备费</t>
  </si>
  <si>
    <t>5.5.4</t>
  </si>
  <si>
    <t>空房管理费</t>
  </si>
  <si>
    <t>空房采暖费</t>
  </si>
  <si>
    <t>公共设施维修基金</t>
  </si>
  <si>
    <t>停车场、体育及游乐场设施</t>
  </si>
  <si>
    <t>其他公用配套设施</t>
  </si>
  <si>
    <t>不可预见费</t>
  </si>
  <si>
    <t>小业主赔付</t>
  </si>
  <si>
    <t>质保金外维修费用</t>
  </si>
  <si>
    <t>临时水、电费（入住后未接通正式水电）</t>
  </si>
  <si>
    <t>一</t>
  </si>
  <si>
    <t>直接成本小计（含土地）</t>
  </si>
  <si>
    <t>财务费用</t>
  </si>
  <si>
    <t>销售费用</t>
  </si>
  <si>
    <t>管理费用</t>
  </si>
  <si>
    <t>二</t>
  </si>
  <si>
    <t>期间费用</t>
  </si>
  <si>
    <t>楼面价</t>
  </si>
  <si>
    <t>3.21%版本三费</t>
  </si>
  <si>
    <t>与现测算差异</t>
  </si>
  <si>
    <t>项目</t>
  </si>
  <si>
    <r>
      <rPr>
        <sz val="12"/>
        <rFont val="宋体"/>
        <charset val="134"/>
      </rPr>
      <t>L</t>
    </r>
    <r>
      <rPr>
        <sz val="12"/>
        <rFont val="宋体"/>
        <charset val="134"/>
      </rPr>
      <t>YTD-2018-19</t>
    </r>
  </si>
  <si>
    <r>
      <rPr>
        <sz val="12"/>
        <rFont val="宋体"/>
        <charset val="134"/>
      </rPr>
      <t>LYTD-2018-2</t>
    </r>
    <r>
      <rPr>
        <sz val="12"/>
        <rFont val="宋体"/>
        <charset val="134"/>
      </rPr>
      <t>1</t>
    </r>
  </si>
  <si>
    <t>规划指标</t>
  </si>
  <si>
    <t>面积</t>
  </si>
  <si>
    <t>单价万元</t>
  </si>
  <si>
    <t>总价万元</t>
  </si>
  <si>
    <t>第1季度</t>
  </si>
  <si>
    <t>第2季度</t>
  </si>
  <si>
    <t>第3季度</t>
  </si>
  <si>
    <t>第4季度</t>
  </si>
  <si>
    <t>第5季度</t>
  </si>
  <si>
    <t>第6季度</t>
  </si>
  <si>
    <t>第7季度</t>
  </si>
  <si>
    <t>第8季度</t>
  </si>
  <si>
    <t>第9季度</t>
  </si>
  <si>
    <t>第10季度</t>
  </si>
  <si>
    <t>第11季度</t>
  </si>
  <si>
    <t>第12季度</t>
  </si>
  <si>
    <t>单价</t>
  </si>
  <si>
    <t>土地面积（亩）</t>
  </si>
  <si>
    <t>土地面积（平方米）</t>
  </si>
  <si>
    <t>住宅</t>
  </si>
  <si>
    <t>公租房</t>
  </si>
  <si>
    <t>其它（配套）</t>
  </si>
  <si>
    <t>地下建筑面积（㎡）</t>
  </si>
  <si>
    <t>总建筑面积（㎡）</t>
  </si>
  <si>
    <t>车位数</t>
  </si>
  <si>
    <t>收入</t>
  </si>
  <si>
    <t>费用控制指标</t>
  </si>
  <si>
    <t>实际管理费用比例</t>
  </si>
  <si>
    <t>地上/地下</t>
  </si>
  <si>
    <t>均价</t>
  </si>
  <si>
    <t>总价（万元）</t>
  </si>
  <si>
    <t>收入占比</t>
  </si>
  <si>
    <t>单价控制条</t>
  </si>
  <si>
    <t xml:space="preserve"> 管理费用</t>
  </si>
  <si>
    <t>别墅-叠拼42套</t>
  </si>
  <si>
    <t>别墅-平层24套</t>
  </si>
  <si>
    <t>原测算收入3.21%</t>
  </si>
  <si>
    <t>差异</t>
  </si>
  <si>
    <t>洋房时候了989万</t>
  </si>
  <si>
    <t>叠拼多了804万</t>
  </si>
  <si>
    <t>销售额</t>
  </si>
  <si>
    <r>
      <rPr>
        <b/>
        <sz val="11"/>
        <rFont val="宋体"/>
        <charset val="134"/>
      </rPr>
      <t>原6</t>
    </r>
    <r>
      <rPr>
        <b/>
        <sz val="11"/>
        <rFont val="宋体"/>
        <charset val="134"/>
      </rPr>
      <t>%利润下的</t>
    </r>
    <r>
      <rPr>
        <b/>
        <sz val="11"/>
        <rFont val="宋体"/>
        <charset val="134"/>
      </rPr>
      <t>团购价</t>
    </r>
  </si>
  <si>
    <t>差价</t>
  </si>
  <si>
    <t>不可售，计容</t>
  </si>
  <si>
    <t>地上小计</t>
  </si>
  <si>
    <t>车位少了</t>
  </si>
  <si>
    <t>对外销售车位销售费用</t>
  </si>
  <si>
    <t>地下小计</t>
  </si>
  <si>
    <t>备注：预计销售价格请通过数据控制条选择。</t>
  </si>
  <si>
    <t>金额</t>
  </si>
  <si>
    <t>其他备注说明</t>
  </si>
  <si>
    <t>项目投资总额</t>
  </si>
  <si>
    <t>土地投资（含契税）</t>
  </si>
  <si>
    <t>运营资金</t>
  </si>
  <si>
    <t>2+3</t>
  </si>
  <si>
    <t>资金峰值</t>
  </si>
  <si>
    <t>自有资金投入</t>
  </si>
  <si>
    <t>前期配资</t>
  </si>
  <si>
    <t>配资利率</t>
  </si>
  <si>
    <t>年利率</t>
  </si>
  <si>
    <t>配资期限</t>
  </si>
  <si>
    <t>月</t>
  </si>
  <si>
    <t>配资成本</t>
  </si>
  <si>
    <t>后期融资</t>
  </si>
  <si>
    <t>融资利率</t>
  </si>
  <si>
    <t>使用期限</t>
  </si>
  <si>
    <t>融资成本</t>
  </si>
  <si>
    <t>项目财务费用合计</t>
  </si>
  <si>
    <t>投资回报率</t>
  </si>
  <si>
    <t>现金流回正时间</t>
  </si>
  <si>
    <t>年投资回报率</t>
  </si>
  <si>
    <t>土地及建安得票率</t>
  </si>
  <si>
    <t>2022年普标标准</t>
  </si>
  <si>
    <t>期间费用得票</t>
  </si>
  <si>
    <t>销项税率</t>
  </si>
  <si>
    <t>销售单价</t>
  </si>
  <si>
    <t>土地及
建安成本</t>
  </si>
  <si>
    <t>增值税</t>
  </si>
  <si>
    <t>增值税预交</t>
  </si>
  <si>
    <t>清算补</t>
  </si>
  <si>
    <t>附加税</t>
  </si>
  <si>
    <t>土增可扣除金额</t>
  </si>
  <si>
    <t>增值额</t>
  </si>
  <si>
    <t>增值率</t>
  </si>
  <si>
    <t>土地增值税</t>
  </si>
  <si>
    <t>预交</t>
  </si>
  <si>
    <t>清算</t>
  </si>
  <si>
    <t>流转税合计</t>
  </si>
  <si>
    <t>收款总额（万）</t>
  </si>
  <si>
    <t>土地及
建安成本（万）</t>
  </si>
  <si>
    <t>土增+附加</t>
  </si>
  <si>
    <t>扣除项目</t>
  </si>
  <si>
    <t>清算金额+公式</t>
  </si>
  <si>
    <t>清算金额+手动</t>
  </si>
  <si>
    <t>普通住宅部分</t>
  </si>
  <si>
    <t>非普通住宅部分</t>
  </si>
  <si>
    <t>非住宅</t>
  </si>
  <si>
    <t>原3.21%利润率数据</t>
  </si>
  <si>
    <t>调整后与原测算差异</t>
  </si>
  <si>
    <t>差异原因</t>
  </si>
  <si>
    <t>1、整体建筑面积多了1056.67平；其中住宅310.47平（洋房面积减少806.39平，叠屏面积增加766.35平），公配少了270.43平，车位多了1367.74平</t>
  </si>
  <si>
    <t>可售面积多了1327.1平；其中住宅少了310.47平，车位多了1367.74平</t>
  </si>
  <si>
    <t>销售单价降低了230.56元</t>
  </si>
  <si>
    <t>整体收入降低367.32万元；其中：住宅减少207.32万元（洋房因面积减少总销售额减少1088.63万元，叠拼销售额增加881.3万元），车位少了20个销售额少了160万）</t>
  </si>
  <si>
    <t>总收入</t>
  </si>
  <si>
    <t>土地成本未变，分摊方式改变，叠拼部分增加4885.66万元，单方增加</t>
  </si>
  <si>
    <t>建安成本增加313,15万元，明细见附表</t>
  </si>
  <si>
    <t>毛利</t>
  </si>
  <si>
    <t>1、管销费用同比减少40万元；财务费用增加676万元：其中：延期支付土地款滞纳金576万，综合利息影响约100万（影响因素：团购延期利息增加、团购总额增加回款增加减少利息、土地延期支付减少利息）</t>
  </si>
  <si>
    <t>土地增值税金及附加</t>
  </si>
  <si>
    <t>收入降低，税费降低21.1万元</t>
  </si>
  <si>
    <t>利润</t>
  </si>
  <si>
    <t>利润总额减少1224万元</t>
  </si>
  <si>
    <t>所得税</t>
  </si>
  <si>
    <t>利润总额降低，所得税降低</t>
  </si>
  <si>
    <t>项目净利润</t>
  </si>
  <si>
    <t>净利润降低918.03万元</t>
  </si>
  <si>
    <t>项目利润率</t>
  </si>
  <si>
    <t>ROIC投资回报率(不含利息）</t>
  </si>
  <si>
    <t>ROIC投资回报率(含利息）</t>
  </si>
  <si>
    <r>
      <rPr>
        <b/>
        <sz val="12"/>
        <rFont val="宋体"/>
        <charset val="134"/>
      </rPr>
      <t>ROE</t>
    </r>
    <r>
      <rPr>
        <b/>
        <sz val="12"/>
        <rFont val="宋体"/>
        <charset val="134"/>
      </rPr>
      <t>(权益收益率）</t>
    </r>
  </si>
  <si>
    <t>利润收回周期</t>
  </si>
  <si>
    <t xml:space="preserve">年均ROE </t>
  </si>
  <si>
    <t>自有ROIC投资回报率(不含利息）</t>
  </si>
  <si>
    <t>自有ROE(权益收益率）</t>
  </si>
  <si>
    <t>项目总税额</t>
  </si>
  <si>
    <t>项目税负</t>
  </si>
  <si>
    <t>套数（套）</t>
  </si>
  <si>
    <t>土地楼面价</t>
  </si>
  <si>
    <t>单方土地成本</t>
  </si>
  <si>
    <t>单方建安</t>
  </si>
  <si>
    <t>单方毛利</t>
  </si>
  <si>
    <t>套数</t>
  </si>
  <si>
    <t>车位面积占比</t>
  </si>
  <si>
    <t>配车位个数</t>
  </si>
  <si>
    <t>地下面积</t>
  </si>
  <si>
    <t>车位个数占比</t>
  </si>
  <si>
    <t>单位车位面积</t>
  </si>
  <si>
    <t>地单价（万元/亩）</t>
  </si>
  <si>
    <t>楼面地价（元/㎡）</t>
  </si>
  <si>
    <t>住宅分摊车位成本及收入</t>
  </si>
  <si>
    <t>叠拼</t>
  </si>
  <si>
    <t>洋房+2车位</t>
  </si>
  <si>
    <t>叠拼+2车位</t>
  </si>
  <si>
    <t>洋房不含税</t>
  </si>
  <si>
    <t>叠拼不含税</t>
  </si>
  <si>
    <t>洋房含车位</t>
  </si>
  <si>
    <t>别墅含车位</t>
  </si>
  <si>
    <r>
      <rPr>
        <b/>
        <sz val="12"/>
        <rFont val="宋体"/>
        <charset val="134"/>
      </rPr>
      <t>其中：洋房/</t>
    </r>
    <r>
      <rPr>
        <b/>
        <sz val="12"/>
        <rFont val="SimSun"/>
        <charset val="134"/>
      </rPr>
      <t>㎡</t>
    </r>
  </si>
  <si>
    <t>其中：车位/个</t>
  </si>
  <si>
    <r>
      <rPr>
        <b/>
        <sz val="12"/>
        <rFont val="宋体"/>
        <charset val="134"/>
      </rPr>
      <t>其中：别墅/</t>
    </r>
    <r>
      <rPr>
        <b/>
        <sz val="12"/>
        <rFont val="SimSun"/>
        <charset val="134"/>
      </rPr>
      <t>㎡</t>
    </r>
  </si>
  <si>
    <t>销售单价含税</t>
  </si>
  <si>
    <t>销售单价（不含车位）</t>
  </si>
  <si>
    <t>一、土地成本含税</t>
  </si>
  <si>
    <t>销售单价（含车位）</t>
  </si>
  <si>
    <t>元</t>
  </si>
  <si>
    <t>二、建安成本含税</t>
  </si>
  <si>
    <t>一、土地成本</t>
  </si>
  <si>
    <t>土地成本按照占地面积分摊，其中叠拼占地面积55%</t>
  </si>
  <si>
    <t>2.1 大市政配套等前期费用</t>
  </si>
  <si>
    <t>二、建安成本</t>
  </si>
  <si>
    <t>2.2 建安工程费</t>
  </si>
  <si>
    <t>2.1 前期费用</t>
  </si>
  <si>
    <t>按照车位实际个数分摊成本</t>
  </si>
  <si>
    <t>2.3 市政基础设施、公配费</t>
  </si>
  <si>
    <t>三、期间费用</t>
  </si>
  <si>
    <t>四、土地增值税及附加</t>
  </si>
  <si>
    <t>团购首期款预计在办理施工证以后收取</t>
  </si>
  <si>
    <t>五、所得税</t>
  </si>
  <si>
    <t>其中：管理费用</t>
  </si>
  <si>
    <t>单方综合成本</t>
  </si>
  <si>
    <t xml:space="preserve">     销售费用</t>
  </si>
  <si>
    <t>溢价+增值税</t>
  </si>
  <si>
    <t xml:space="preserve">     财务费用</t>
  </si>
  <si>
    <t>溢价（不含增值税）</t>
  </si>
  <si>
    <t>单方净利润+增值税</t>
  </si>
  <si>
    <t>期间费用合计（重新分摊）</t>
  </si>
  <si>
    <t>车位按8万/个售价的成本</t>
  </si>
  <si>
    <t>单方净利润（不含增值税）</t>
  </si>
  <si>
    <t>增值税额</t>
  </si>
  <si>
    <t>总净利润（万元）</t>
  </si>
  <si>
    <t>检验</t>
  </si>
  <si>
    <t>综合利润</t>
  </si>
  <si>
    <t>单方利润</t>
  </si>
  <si>
    <t>单方综合成本（重新分配）</t>
  </si>
  <si>
    <t>销项税额</t>
  </si>
  <si>
    <t>成本进项</t>
  </si>
  <si>
    <t>费用进项</t>
  </si>
  <si>
    <t>增值税单方</t>
  </si>
  <si>
    <t>财务费用总计</t>
  </si>
  <si>
    <t>其中：因团购延期收款利息+滞纳金</t>
  </si>
  <si>
    <t>公共部分利息</t>
  </si>
  <si>
    <t>占比</t>
  </si>
  <si>
    <t>公共部分利息应分摊</t>
  </si>
  <si>
    <t>直接利息归属</t>
  </si>
  <si>
    <t>各业态利息总额</t>
  </si>
  <si>
    <t>直接成本总额</t>
  </si>
  <si>
    <t>其中：洋房成本</t>
  </si>
  <si>
    <t>叠拼成本</t>
  </si>
  <si>
    <t>地下车位</t>
  </si>
  <si>
    <t>单位：万元</t>
  </si>
  <si>
    <t>其中：车位</t>
  </si>
  <si>
    <t>其中：别墅</t>
  </si>
  <si>
    <t>一、销售收入（含车位）</t>
  </si>
  <si>
    <t>二、直接成本</t>
  </si>
  <si>
    <t>1、土地成本</t>
  </si>
  <si>
    <t>2、建安成本</t>
  </si>
  <si>
    <t>净利润+增值税</t>
  </si>
  <si>
    <t>净利润（不含增值税）</t>
  </si>
  <si>
    <t>产品类型</t>
  </si>
  <si>
    <t>时间</t>
  </si>
  <si>
    <t>第1月</t>
  </si>
  <si>
    <t>第2月</t>
  </si>
  <si>
    <t>第3月</t>
  </si>
  <si>
    <t>第4月</t>
  </si>
  <si>
    <t>第5月</t>
  </si>
  <si>
    <t>第6月</t>
  </si>
  <si>
    <t>第7月</t>
  </si>
  <si>
    <t>第8月</t>
  </si>
  <si>
    <t>第9月</t>
  </si>
  <si>
    <t>第10月</t>
  </si>
  <si>
    <t>第11月</t>
  </si>
  <si>
    <t>第12月</t>
  </si>
  <si>
    <t>第13月</t>
  </si>
  <si>
    <t>第14月</t>
  </si>
  <si>
    <t>第15月</t>
  </si>
  <si>
    <t>第16月</t>
  </si>
  <si>
    <t>第17月</t>
  </si>
  <si>
    <t>第18月</t>
  </si>
  <si>
    <t>第19月</t>
  </si>
  <si>
    <t>第20月</t>
  </si>
  <si>
    <t>第21月</t>
  </si>
  <si>
    <t>第22月</t>
  </si>
  <si>
    <t>第23月</t>
  </si>
  <si>
    <t>第24月</t>
  </si>
  <si>
    <t>第25月</t>
  </si>
  <si>
    <t>第26月</t>
  </si>
  <si>
    <t>第27月</t>
  </si>
  <si>
    <t>第28月</t>
  </si>
  <si>
    <t>第29月</t>
  </si>
  <si>
    <t>第30月</t>
  </si>
  <si>
    <t>第31月</t>
  </si>
  <si>
    <t>第32月</t>
  </si>
  <si>
    <t>第33月</t>
  </si>
  <si>
    <t>第34月</t>
  </si>
  <si>
    <t>第35月</t>
  </si>
  <si>
    <t>第36月</t>
  </si>
  <si>
    <t>推盘套数</t>
  </si>
  <si>
    <t>推盘面积</t>
  </si>
  <si>
    <t>推盘均价</t>
  </si>
  <si>
    <t>推盘总金额</t>
  </si>
  <si>
    <t>销售金额</t>
  </si>
  <si>
    <t>销售套数</t>
  </si>
  <si>
    <t>现场回款</t>
  </si>
  <si>
    <t>按揭回款</t>
  </si>
  <si>
    <t>回款合计</t>
  </si>
  <si>
    <t>剩余金额</t>
  </si>
  <si>
    <t>税款</t>
  </si>
  <si>
    <t>费用支出</t>
  </si>
  <si>
    <t>工资</t>
  </si>
  <si>
    <t>sss</t>
  </si>
  <si>
    <t>节点</t>
  </si>
  <si>
    <t>土增税税率</t>
  </si>
  <si>
    <t>公寓酒店</t>
  </si>
  <si>
    <t>行政人力</t>
  </si>
  <si>
    <t>自动生成</t>
  </si>
  <si>
    <t>酒店</t>
  </si>
  <si>
    <t>配套用房</t>
  </si>
  <si>
    <t>目前综合</t>
  </si>
  <si>
    <t>1、整体建筑面积多了1056.67平；其中住宅减少310.47平（洋房面积减少806.39平，叠屏面积增加766.35平），公配少了270.43平，车位多了1367.74平</t>
  </si>
  <si>
    <t>一、销售收款</t>
  </si>
  <si>
    <t>二、土地成本</t>
  </si>
  <si>
    <t>土地成本未变</t>
  </si>
  <si>
    <t>三、建安成本</t>
  </si>
  <si>
    <t>建安成本增加313.15万元</t>
  </si>
  <si>
    <t>四、期间费用</t>
  </si>
  <si>
    <t>1、管销费用同比减少40万元；综合利息影响约53.62万（影响因素：团购延期利息增加、团购总额增加回款增加减少利息、土地延期支付减少利息）</t>
  </si>
  <si>
    <t>五、税金</t>
  </si>
  <si>
    <t>收入及利润总额降低，税金减少228.25万元</t>
  </si>
  <si>
    <t>六、项目净利润</t>
  </si>
  <si>
    <t>净利润降低465.84万元</t>
  </si>
  <si>
    <t>利润率降低0.75%</t>
  </si>
  <si>
    <t>2022-11-30数据A</t>
  </si>
  <si>
    <t>2023.3.6数据A</t>
  </si>
  <si>
    <t>2023.3.9最新数据C</t>
  </si>
  <si>
    <r>
      <rPr>
        <sz val="11"/>
        <color theme="1"/>
        <rFont val="宋体"/>
        <charset val="134"/>
        <scheme val="minor"/>
      </rPr>
      <t>差异=C</t>
    </r>
    <r>
      <rPr>
        <sz val="11"/>
        <color theme="1"/>
        <rFont val="宋体"/>
        <charset val="134"/>
        <scheme val="minor"/>
      </rPr>
      <t>-</t>
    </r>
    <r>
      <rPr>
        <sz val="11"/>
        <color theme="1"/>
        <rFont val="宋体"/>
        <charset val="134"/>
        <scheme val="minor"/>
      </rPr>
      <t>A</t>
    </r>
  </si>
  <si>
    <t>设计经济指标</t>
  </si>
  <si>
    <t>总建筑面积(M2)</t>
  </si>
  <si>
    <t>总户数减少8户，总建筑面积增加946.73m2。</t>
  </si>
  <si>
    <t>地上面积(M2)</t>
  </si>
  <si>
    <t>洋房：</t>
  </si>
  <si>
    <t>地上洋房面积减少600m2，团购面积增加567m2，公建面积减少277m2。</t>
  </si>
  <si>
    <t>团购：</t>
  </si>
  <si>
    <t>配套（其中不计容500平米）：</t>
  </si>
  <si>
    <t>配套（其中不计容202平米）：</t>
  </si>
  <si>
    <t>地下面积(M2)</t>
  </si>
  <si>
    <t>地下面积增加1257m2</t>
  </si>
  <si>
    <t>车位（个）</t>
  </si>
  <si>
    <t>不含土地目标成本差异</t>
  </si>
  <si>
    <t>目标成本共增加约62.91万元。</t>
  </si>
  <si>
    <t>1、前期相关合同的签订，临路临电费用调减106万。
2、因设计合同的签订，设计费用调增46.87万元。（团购户型增加精装修设计费100万元。）
3、监理、地勘、文勘合同的签订，相关费用调减31.4万。
4、调整房产测绘及垃圾排放费，相关费用调减40万。
5、其他差异金额受面积的变化，影响各项费用。</t>
  </si>
  <si>
    <t xml:space="preserve">1、因地勘的初步结果，不考虑降水费用、基坑支护费用调减，共调减费用123万。
2、因地上地下面积及户型调整：相关工程费用调增375万。（门窗、涂料、防火门、地暖、空调、电梯）
</t>
  </si>
  <si>
    <t>1、因市政自来水管网距离较远，自来水费用调增38万。
2、电力基础设施费用团购房单方调增18元/m2，共调增费用25万。
2、燃气费用每户调增1500元/户，共调增33万。
3、暖气费用单方调增5元/m2，共调增23万。
4、景观面积的减少，调减成本119万。</t>
  </si>
  <si>
    <t>因公建面积减少277.1m2，调减成本81.08万。</t>
  </si>
  <si>
    <t>八里堂地块整案推售计划一览表"</t>
  </si>
  <si>
    <t>单位：万元，套</t>
  </si>
  <si>
    <t>产品分类</t>
  </si>
  <si>
    <t>2022年</t>
  </si>
  <si>
    <t>2023年</t>
  </si>
  <si>
    <t>2024年</t>
  </si>
  <si>
    <t>2025年</t>
  </si>
  <si>
    <t>月份</t>
  </si>
  <si>
    <t>11月</t>
  </si>
  <si>
    <t>12月</t>
  </si>
  <si>
    <t>1月</t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</si>
  <si>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</si>
  <si>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</si>
  <si>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</si>
  <si>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</si>
  <si>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</si>
  <si>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</si>
  <si>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</si>
  <si>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</si>
  <si>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</si>
  <si>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销售面积</t>
  </si>
  <si>
    <t>销售合同金额</t>
  </si>
  <si>
    <t>案场回款金额</t>
  </si>
  <si>
    <t>按揭回款金额</t>
  </si>
  <si>
    <t>车位</t>
  </si>
  <si>
    <t>销售总金额</t>
  </si>
  <si>
    <t>案场回款总金额</t>
  </si>
  <si>
    <t>按揭金额</t>
  </si>
  <si>
    <t>回款总金额</t>
  </si>
  <si>
    <t>八里堂项目房源货值表</t>
  </si>
  <si>
    <t>楼号</t>
  </si>
  <si>
    <t>层数</t>
  </si>
  <si>
    <t>套数合计</t>
  </si>
  <si>
    <t>户型</t>
  </si>
  <si>
    <t>是否抵押</t>
  </si>
  <si>
    <t>总价</t>
  </si>
  <si>
    <t>推售计划</t>
  </si>
  <si>
    <t>开发批次</t>
  </si>
  <si>
    <t>平均面积</t>
  </si>
  <si>
    <t>总面积</t>
  </si>
  <si>
    <t>建设资金</t>
  </si>
  <si>
    <t>评估值</t>
  </si>
  <si>
    <t>别墅总额</t>
  </si>
  <si>
    <t>剩余比例</t>
  </si>
  <si>
    <t>可以出款金额</t>
  </si>
  <si>
    <t>洋房总额</t>
  </si>
  <si>
    <t>1#</t>
  </si>
  <si>
    <t>8F</t>
  </si>
  <si>
    <t>二批次</t>
  </si>
  <si>
    <t>重点监管资金</t>
  </si>
  <si>
    <t>监管资金余额-需剩余金额</t>
  </si>
  <si>
    <t>2#</t>
  </si>
  <si>
    <t>办理预售需剩余</t>
  </si>
  <si>
    <t>3#</t>
  </si>
  <si>
    <t>抵押</t>
  </si>
  <si>
    <t>一批次</t>
  </si>
  <si>
    <t>主体50%需剩余</t>
  </si>
  <si>
    <t>5#</t>
  </si>
  <si>
    <t>主体70%需剩余</t>
  </si>
  <si>
    <t>6#</t>
  </si>
  <si>
    <t>叠墅</t>
  </si>
  <si>
    <t>6F</t>
  </si>
  <si>
    <t>团购</t>
  </si>
  <si>
    <t>主体80%需剩余</t>
  </si>
  <si>
    <t>7#</t>
  </si>
  <si>
    <t>主体100%剩余</t>
  </si>
  <si>
    <t>8#</t>
  </si>
  <si>
    <t>完成二次结构</t>
  </si>
  <si>
    <t>9#</t>
  </si>
  <si>
    <t>完成窗框安装</t>
  </si>
  <si>
    <t>10#</t>
  </si>
  <si>
    <t>大平层</t>
  </si>
  <si>
    <t>完成外保温及外立面</t>
  </si>
  <si>
    <t>11#</t>
  </si>
  <si>
    <t>水电暖等配套完成</t>
  </si>
  <si>
    <t>12#</t>
  </si>
  <si>
    <t>联合验收</t>
  </si>
  <si>
    <t>13#</t>
  </si>
  <si>
    <t>不动产大证前</t>
  </si>
  <si>
    <t>—</t>
  </si>
  <si>
    <t>办完大证</t>
  </si>
  <si>
    <t>其中：团购合计</t>
  </si>
  <si>
    <t>对外合计</t>
  </si>
  <si>
    <t>一批次合计</t>
  </si>
  <si>
    <t>预售</t>
  </si>
  <si>
    <t>封顶</t>
  </si>
  <si>
    <t>二次结构</t>
  </si>
  <si>
    <t>窗框</t>
  </si>
  <si>
    <t>外墙</t>
  </si>
  <si>
    <t>配套完成</t>
  </si>
  <si>
    <t>验收</t>
  </si>
  <si>
    <t>办证</t>
  </si>
  <si>
    <t>累计可出比例</t>
  </si>
  <si>
    <t>本次可出比例</t>
  </si>
  <si>
    <t>团购6栋</t>
  </si>
  <si>
    <t>3#、5#楼</t>
  </si>
  <si>
    <t>2#楼</t>
  </si>
  <si>
    <t>1#楼</t>
  </si>
  <si>
    <t>11#楼</t>
  </si>
  <si>
    <t>13#楼</t>
  </si>
  <si>
    <t>八里堂项目全周期现金流</t>
  </si>
  <si>
    <t>开发节点</t>
  </si>
  <si>
    <t>摘地</t>
  </si>
  <si>
    <t>办理施工证5.15/支付土地款30%</t>
  </si>
  <si>
    <t>1批次达到预售8.3</t>
  </si>
  <si>
    <r>
      <rPr>
        <b/>
        <sz val="14"/>
        <color rgb="FFFF0000"/>
        <rFont val="宋体"/>
        <charset val="134"/>
      </rPr>
      <t>1批次预售9.1日；
1批封顶9.13日；</t>
    </r>
    <r>
      <rPr>
        <b/>
        <sz val="14"/>
        <rFont val="宋体"/>
        <charset val="134"/>
      </rPr>
      <t xml:space="preserve">
2#达到预售；</t>
    </r>
  </si>
  <si>
    <t>1批二次结构完成2023.12.15</t>
  </si>
  <si>
    <t>2批预售证</t>
  </si>
  <si>
    <t>2批封顶2024.3.10</t>
  </si>
  <si>
    <t>1批次窗框完成2024.4.10</t>
  </si>
  <si>
    <r>
      <rPr>
        <b/>
        <sz val="14"/>
        <color rgb="FFFF0000"/>
        <rFont val="宋体"/>
        <charset val="134"/>
      </rPr>
      <t>1批次外墙完成2024.6.24</t>
    </r>
    <r>
      <rPr>
        <b/>
        <sz val="14"/>
        <rFont val="宋体"/>
        <charset val="134"/>
      </rPr>
      <t xml:space="preserve">
2批次二次结构完成</t>
    </r>
  </si>
  <si>
    <t>2批次窗框完成</t>
  </si>
  <si>
    <t>2批次外墙完成</t>
  </si>
  <si>
    <t>1、2批水电暖完成</t>
  </si>
  <si>
    <t>五方验收</t>
  </si>
  <si>
    <t>交付9.25</t>
  </si>
  <si>
    <t>办理大证</t>
  </si>
  <si>
    <t>大证完成</t>
  </si>
  <si>
    <t>推售节点</t>
  </si>
  <si>
    <t>团购一次性收150万/户</t>
  </si>
  <si>
    <t>开盘团购+2#、3#、5#</t>
  </si>
  <si>
    <t>加推1#</t>
  </si>
  <si>
    <t>加推11#</t>
  </si>
  <si>
    <t>加推13#楼</t>
  </si>
  <si>
    <t>期初余额</t>
  </si>
  <si>
    <t>现金流入</t>
  </si>
  <si>
    <t>其中：住宅流入</t>
  </si>
  <si>
    <t>流出合计</t>
  </si>
  <si>
    <t>按揭保证金</t>
  </si>
  <si>
    <t>监管资金进款</t>
  </si>
  <si>
    <t>监管资金出款</t>
  </si>
  <si>
    <t>期末余额</t>
  </si>
  <si>
    <t>当期净现金流</t>
  </si>
  <si>
    <t xml:space="preserve">IRR </t>
  </si>
  <si>
    <t>实际经营回正</t>
  </si>
  <si>
    <t>开发周期</t>
  </si>
  <si>
    <t>利息合计</t>
  </si>
  <si>
    <t>利息支出</t>
  </si>
  <si>
    <t>资金使用周期</t>
  </si>
  <si>
    <t>利率</t>
  </si>
  <si>
    <t>销售收入</t>
  </si>
  <si>
    <t>增值税附加</t>
  </si>
  <si>
    <t>税金合计</t>
  </si>
  <si>
    <t>综合税负</t>
  </si>
</sst>
</file>

<file path=xl/styles.xml><?xml version="1.0" encoding="utf-8"?>
<styleSheet xmlns="http://schemas.openxmlformats.org/spreadsheetml/2006/main">
  <numFmts count="22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  <numFmt numFmtId="177" formatCode="0_ "/>
    <numFmt numFmtId="178" formatCode="[$-F800]dddd\,\ mmmm\ dd\,\ yyyy"/>
    <numFmt numFmtId="179" formatCode="#,##0.00_ "/>
    <numFmt numFmtId="180" formatCode="0.00_ "/>
    <numFmt numFmtId="181" formatCode="#&quot;个&quot;"/>
    <numFmt numFmtId="182" formatCode="0_);\(0\)"/>
    <numFmt numFmtId="183" formatCode="#,##0_ "/>
    <numFmt numFmtId="184" formatCode="0.0_ "/>
    <numFmt numFmtId="185" formatCode="yyyy&quot;年&quot;m&quot;月&quot;d&quot;日&quot;;@"/>
    <numFmt numFmtId="186" formatCode="0.0"/>
    <numFmt numFmtId="187" formatCode="_ * #,##0_ ;_ * \-#,##0_ ;_ * &quot;-&quot;??_ ;_ @_ "/>
    <numFmt numFmtId="188" formatCode="0.0%"/>
    <numFmt numFmtId="189" formatCode="0.00_);[Red]\(0.00\)"/>
    <numFmt numFmtId="190" formatCode="#.0&quot;万&quot;&quot;元&quot;"/>
    <numFmt numFmtId="191" formatCode="0.0000_ "/>
    <numFmt numFmtId="192" formatCode="0.000_ "/>
    <numFmt numFmtId="193" formatCode="_ * #,##0.000_ ;_ * \-#,##0.000_ ;_ * &quot;-&quot;??_ ;_ @_ "/>
  </numFmts>
  <fonts count="95">
    <font>
      <sz val="12"/>
      <name val="宋体"/>
      <charset val="134"/>
    </font>
    <font>
      <b/>
      <sz val="14"/>
      <name val="宋体"/>
      <charset val="134"/>
    </font>
    <font>
      <b/>
      <sz val="12"/>
      <name val="宋体"/>
      <charset val="134"/>
    </font>
    <font>
      <sz val="16"/>
      <name val="宋体"/>
      <charset val="134"/>
    </font>
    <font>
      <b/>
      <sz val="20"/>
      <name val="宋体"/>
      <charset val="134"/>
    </font>
    <font>
      <b/>
      <sz val="14"/>
      <color rgb="FFFF0000"/>
      <name val="宋体"/>
      <charset val="134"/>
    </font>
    <font>
      <sz val="12"/>
      <color theme="1"/>
      <name val="宋体"/>
      <charset val="134"/>
    </font>
    <font>
      <b/>
      <sz val="16"/>
      <name val="宋体"/>
      <charset val="134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</font>
    <font>
      <b/>
      <sz val="10"/>
      <color theme="1"/>
      <name val="宋体"/>
      <charset val="134"/>
      <scheme val="minor"/>
    </font>
    <font>
      <b/>
      <sz val="16"/>
      <color indexed="8"/>
      <name val="微软雅黑"/>
      <charset val="134"/>
    </font>
    <font>
      <b/>
      <sz val="11"/>
      <color indexed="8"/>
      <name val="微软雅黑"/>
      <charset val="134"/>
    </font>
    <font>
      <sz val="11"/>
      <name val="微软雅黑"/>
      <charset val="134"/>
    </font>
    <font>
      <sz val="11"/>
      <color rgb="FFFF0000"/>
      <name val="微软雅黑"/>
      <charset val="134"/>
    </font>
    <font>
      <sz val="11"/>
      <name val="宋体"/>
      <charset val="134"/>
    </font>
    <font>
      <b/>
      <sz val="10"/>
      <color rgb="FF000000"/>
      <name val="宋体"/>
      <charset val="134"/>
    </font>
    <font>
      <sz val="10"/>
      <color rgb="FF000000"/>
      <name val="宋体"/>
      <charset val="134"/>
    </font>
    <font>
      <sz val="10"/>
      <color rgb="FFFF0000"/>
      <name val="宋体"/>
      <charset val="134"/>
    </font>
    <font>
      <u/>
      <sz val="12"/>
      <color theme="10"/>
      <name val="宋体"/>
      <charset val="134"/>
    </font>
    <font>
      <b/>
      <sz val="12"/>
      <color rgb="FFFF0000"/>
      <name val="宋体"/>
      <charset val="134"/>
    </font>
    <font>
      <sz val="12"/>
      <color rgb="FFFF0000"/>
      <name val="宋体"/>
      <charset val="134"/>
    </font>
    <font>
      <b/>
      <sz val="11"/>
      <name val="宋体"/>
      <charset val="134"/>
    </font>
    <font>
      <b/>
      <sz val="11"/>
      <color rgb="FFFF0000"/>
      <name val="宋体"/>
      <charset val="134"/>
    </font>
    <font>
      <sz val="12"/>
      <color theme="1"/>
      <name val="仿宋"/>
      <charset val="134"/>
    </font>
    <font>
      <b/>
      <sz val="12"/>
      <color theme="1"/>
      <name val="仿宋"/>
      <charset val="134"/>
    </font>
    <font>
      <sz val="12"/>
      <name val="仿宋"/>
      <charset val="134"/>
    </font>
    <font>
      <b/>
      <sz val="12"/>
      <name val="仿宋"/>
      <charset val="134"/>
    </font>
    <font>
      <sz val="8"/>
      <name val="宋体"/>
      <charset val="134"/>
    </font>
    <font>
      <b/>
      <sz val="8"/>
      <name val="宋体"/>
      <charset val="134"/>
    </font>
    <font>
      <b/>
      <sz val="8"/>
      <color rgb="FFFF0000"/>
      <name val="宋体"/>
      <charset val="134"/>
    </font>
    <font>
      <b/>
      <sz val="8"/>
      <name val="Times New Roman"/>
      <charset val="134"/>
    </font>
    <font>
      <sz val="8"/>
      <color rgb="FFFF0000"/>
      <name val="宋体"/>
      <charset val="134"/>
    </font>
    <font>
      <sz val="8"/>
      <name val="Times New Roman"/>
      <charset val="134"/>
    </font>
    <font>
      <sz val="8"/>
      <color indexed="8"/>
      <name val="宋体"/>
      <charset val="134"/>
    </font>
    <font>
      <sz val="8"/>
      <color theme="1"/>
      <name val="宋体"/>
      <charset val="134"/>
    </font>
    <font>
      <sz val="14"/>
      <color rgb="FF0000FF"/>
      <name val="Microsoft YaHei"/>
      <charset val="134"/>
    </font>
    <font>
      <b/>
      <sz val="8"/>
      <color indexed="8"/>
      <name val="宋体"/>
      <charset val="134"/>
    </font>
    <font>
      <b/>
      <sz val="8"/>
      <color theme="1"/>
      <name val="宋体"/>
      <charset val="134"/>
    </font>
    <font>
      <u/>
      <sz val="12"/>
      <color rgb="FF800080"/>
      <name val="宋体"/>
      <charset val="134"/>
    </font>
    <font>
      <b/>
      <sz val="12"/>
      <color theme="1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indexed="52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sz val="10"/>
      <name val="Arial"/>
      <charset val="134"/>
    </font>
    <font>
      <sz val="11"/>
      <color indexed="9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sz val="11"/>
      <color indexed="20"/>
      <name val="宋体"/>
      <charset val="134"/>
    </font>
    <font>
      <u/>
      <sz val="12"/>
      <color indexed="12"/>
      <name val="宋体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62"/>
      <name val="宋体"/>
      <charset val="134"/>
    </font>
    <font>
      <b/>
      <sz val="12"/>
      <name val="SimSun"/>
      <charset val="134"/>
    </font>
    <font>
      <b/>
      <vertAlign val="superscript"/>
      <sz val="8"/>
      <name val="Times New Roman"/>
      <charset val="134"/>
    </font>
    <font>
      <b/>
      <sz val="18"/>
      <color rgb="FF000000"/>
      <name val="宋体"/>
      <charset val="134"/>
    </font>
    <font>
      <sz val="20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sz val="24"/>
      <name val="宋体"/>
      <charset val="134"/>
    </font>
    <font>
      <sz val="16"/>
      <name val="宋体"/>
      <charset val="134"/>
    </font>
    <font>
      <b/>
      <sz val="18"/>
      <name val="宋体"/>
      <charset val="134"/>
    </font>
    <font>
      <b/>
      <sz val="14"/>
      <name val="宋体"/>
      <charset val="134"/>
    </font>
    <font>
      <b/>
      <sz val="16"/>
      <name val="宋体"/>
      <charset val="134"/>
    </font>
    <font>
      <sz val="14"/>
      <name val="宋体"/>
      <charset val="134"/>
    </font>
    <font>
      <sz val="18"/>
      <name val="宋体"/>
      <charset val="134"/>
    </font>
  </fonts>
  <fills count="93">
    <fill>
      <patternFill patternType="none"/>
    </fill>
    <fill>
      <patternFill patternType="gray125"/>
    </fill>
    <fill>
      <patternFill patternType="solid">
        <fgColor theme="3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5" tint="0.39909054841761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090548417615"/>
        <bgColor indexed="64"/>
      </patternFill>
    </fill>
    <fill>
      <patternFill patternType="solid">
        <fgColor theme="3" tint="0.599993896298105"/>
        <bgColor indexed="64"/>
      </patternFill>
    </fill>
    <fill>
      <patternFill patternType="solid">
        <fgColor theme="0" tint="-0.149113437299722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0.0999786370433668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3" tint="0.7998596148564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8" tint="0.7993408001953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340800195319"/>
        <bgColor indexed="64"/>
      </patternFill>
    </fill>
    <fill>
      <patternFill patternType="solid">
        <fgColor theme="9" tint="0.79934080019531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3" tint="0.399151585436567"/>
        <bgColor indexed="64"/>
      </patternFill>
    </fill>
    <fill>
      <patternFill patternType="solid">
        <fgColor theme="3" tint="0.399090548417615"/>
        <bgColor indexed="64"/>
      </patternFill>
    </fill>
    <fill>
      <patternFill patternType="solid">
        <fgColor theme="5" tint="0.398693807794427"/>
        <bgColor indexed="64"/>
      </patternFill>
    </fill>
    <fill>
      <patternFill patternType="solid">
        <fgColor theme="7" tint="0.39869380779442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39909054841761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4" tint="0.399090548417615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9" tint="0.398876918851283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theme="0" tint="-0.149143955809198"/>
        <bgColor indexed="64"/>
      </patternFill>
    </fill>
    <fill>
      <patternFill patternType="solid">
        <fgColor theme="6" tint="0.399121066927091"/>
        <bgColor indexed="64"/>
      </patternFill>
    </fill>
    <fill>
      <patternFill patternType="solid">
        <fgColor theme="0" tint="-0.149723807489242"/>
        <bgColor indexed="64"/>
      </patternFill>
    </fill>
    <fill>
      <patternFill patternType="solid">
        <fgColor theme="7" tint="0.399121066927091"/>
        <bgColor indexed="64"/>
      </patternFill>
    </fill>
    <fill>
      <patternFill patternType="solid">
        <fgColor theme="3" tint="0.39912106692709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6"/>
        <bgColor indexed="64"/>
      </patternFill>
    </fill>
  </fills>
  <borders count="3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14">
    <xf numFmtId="0" fontId="0" fillId="0" borderId="0"/>
    <xf numFmtId="42" fontId="8" fillId="0" borderId="0" applyFont="0" applyFill="0" applyBorder="0" applyAlignment="0" applyProtection="0">
      <alignment vertical="center"/>
    </xf>
    <xf numFmtId="0" fontId="45" fillId="46" borderId="0" applyNumberFormat="0" applyBorder="0" applyAlignment="0" applyProtection="0">
      <alignment vertical="center"/>
    </xf>
    <xf numFmtId="0" fontId="46" fillId="47" borderId="0" applyNumberFormat="0" applyBorder="0" applyAlignment="0" applyProtection="0">
      <alignment vertical="center"/>
    </xf>
    <xf numFmtId="0" fontId="47" fillId="48" borderId="21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0" fillId="0" borderId="0"/>
    <xf numFmtId="0" fontId="46" fillId="23" borderId="0" applyNumberFormat="0" applyBorder="0" applyAlignment="0" applyProtection="0">
      <alignment vertical="center"/>
    </xf>
    <xf numFmtId="0" fontId="48" fillId="49" borderId="22" applyNumberFormat="0" applyAlignment="0" applyProtection="0">
      <alignment vertical="center"/>
    </xf>
    <xf numFmtId="0" fontId="49" fillId="5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0" fillId="51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/>
    <xf numFmtId="9" fontId="0" fillId="0" borderId="0" applyFon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8" fillId="52" borderId="23" applyNumberFormat="0" applyFont="0" applyAlignment="0" applyProtection="0">
      <alignment vertical="center"/>
    </xf>
    <xf numFmtId="0" fontId="50" fillId="53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0" borderId="24" applyNumberFormat="0" applyFill="0" applyAlignment="0" applyProtection="0">
      <alignment vertical="center"/>
    </xf>
    <xf numFmtId="9" fontId="0" fillId="0" borderId="0" applyProtection="0"/>
    <xf numFmtId="0" fontId="57" fillId="0" borderId="24" applyNumberFormat="0" applyFill="0" applyAlignment="0" applyProtection="0">
      <alignment vertical="center"/>
    </xf>
    <xf numFmtId="0" fontId="50" fillId="54" borderId="0" applyNumberFormat="0" applyBorder="0" applyAlignment="0" applyProtection="0">
      <alignment vertical="center"/>
    </xf>
    <xf numFmtId="0" fontId="52" fillId="0" borderId="25" applyNumberFormat="0" applyFill="0" applyAlignment="0" applyProtection="0">
      <alignment vertical="center"/>
    </xf>
    <xf numFmtId="0" fontId="50" fillId="55" borderId="0" applyNumberFormat="0" applyBorder="0" applyAlignment="0" applyProtection="0">
      <alignment vertical="center"/>
    </xf>
    <xf numFmtId="0" fontId="58" fillId="56" borderId="26" applyNumberFormat="0" applyAlignment="0" applyProtection="0">
      <alignment vertical="center"/>
    </xf>
    <xf numFmtId="0" fontId="0" fillId="0" borderId="0"/>
    <xf numFmtId="0" fontId="59" fillId="56" borderId="21" applyNumberFormat="0" applyAlignment="0" applyProtection="0">
      <alignment vertical="center"/>
    </xf>
    <xf numFmtId="0" fontId="60" fillId="57" borderId="27" applyNumberFormat="0" applyAlignment="0" applyProtection="0">
      <alignment vertical="center"/>
    </xf>
    <xf numFmtId="0" fontId="45" fillId="58" borderId="0" applyNumberFormat="0" applyBorder="0" applyAlignment="0" applyProtection="0">
      <alignment vertical="center"/>
    </xf>
    <xf numFmtId="0" fontId="46" fillId="59" borderId="0" applyNumberFormat="0" applyBorder="0" applyAlignment="0" applyProtection="0">
      <alignment vertical="center"/>
    </xf>
    <xf numFmtId="0" fontId="50" fillId="60" borderId="0" applyNumberFormat="0" applyBorder="0" applyAlignment="0" applyProtection="0">
      <alignment vertical="center"/>
    </xf>
    <xf numFmtId="0" fontId="61" fillId="0" borderId="28" applyNumberFormat="0" applyFill="0" applyAlignment="0" applyProtection="0">
      <alignment vertical="center"/>
    </xf>
    <xf numFmtId="0" fontId="45" fillId="34" borderId="0" applyNumberFormat="0" applyBorder="0" applyAlignment="0" applyProtection="0">
      <alignment vertical="center"/>
    </xf>
    <xf numFmtId="0" fontId="62" fillId="0" borderId="29" applyNumberFormat="0" applyFill="0" applyAlignment="0" applyProtection="0">
      <alignment vertical="center"/>
    </xf>
    <xf numFmtId="0" fontId="0" fillId="0" borderId="0"/>
    <xf numFmtId="0" fontId="63" fillId="61" borderId="0" applyNumberFormat="0" applyBorder="0" applyAlignment="0" applyProtection="0">
      <alignment vertical="center"/>
    </xf>
    <xf numFmtId="0" fontId="45" fillId="62" borderId="0" applyNumberFormat="0" applyBorder="0" applyAlignment="0" applyProtection="0">
      <alignment vertical="center"/>
    </xf>
    <xf numFmtId="0" fontId="64" fillId="63" borderId="0" applyNumberFormat="0" applyBorder="0" applyAlignment="0" applyProtection="0">
      <alignment vertical="center"/>
    </xf>
    <xf numFmtId="0" fontId="46" fillId="64" borderId="0" applyNumberFormat="0" applyBorder="0" applyAlignment="0" applyProtection="0">
      <alignment vertical="center"/>
    </xf>
    <xf numFmtId="0" fontId="50" fillId="65" borderId="0" applyNumberFormat="0" applyBorder="0" applyAlignment="0" applyProtection="0">
      <alignment vertical="center"/>
    </xf>
    <xf numFmtId="0" fontId="46" fillId="66" borderId="0" applyNumberFormat="0" applyBorder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46" fillId="67" borderId="0" applyNumberFormat="0" applyBorder="0" applyAlignment="0" applyProtection="0">
      <alignment vertical="center"/>
    </xf>
    <xf numFmtId="0" fontId="65" fillId="49" borderId="30" applyNumberFormat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50" fillId="68" borderId="0" applyNumberFormat="0" applyBorder="0" applyAlignment="0" applyProtection="0">
      <alignment vertical="center"/>
    </xf>
    <xf numFmtId="0" fontId="50" fillId="69" borderId="0" applyNumberFormat="0" applyBorder="0" applyAlignment="0" applyProtection="0">
      <alignment vertical="center"/>
    </xf>
    <xf numFmtId="0" fontId="46" fillId="70" borderId="0" applyNumberFormat="0" applyBorder="0" applyAlignment="0" applyProtection="0">
      <alignment vertical="center"/>
    </xf>
    <xf numFmtId="178" fontId="0" fillId="0" borderId="0" applyProtection="0"/>
    <xf numFmtId="0" fontId="46" fillId="27" borderId="0" applyNumberFormat="0" applyBorder="0" applyAlignment="0" applyProtection="0">
      <alignment vertical="center"/>
    </xf>
    <xf numFmtId="0" fontId="50" fillId="71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50" fillId="72" borderId="0" applyNumberFormat="0" applyBorder="0" applyAlignment="0" applyProtection="0">
      <alignment vertical="center"/>
    </xf>
    <xf numFmtId="0" fontId="50" fillId="73" borderId="0" applyNumberFormat="0" applyBorder="0" applyAlignment="0" applyProtection="0">
      <alignment vertical="center"/>
    </xf>
    <xf numFmtId="0" fontId="46" fillId="74" borderId="0" applyNumberFormat="0" applyBorder="0" applyAlignment="0" applyProtection="0">
      <alignment vertical="center"/>
    </xf>
    <xf numFmtId="0" fontId="66" fillId="75" borderId="0" applyNumberFormat="0" applyBorder="0" applyAlignment="0" applyProtection="0">
      <alignment vertical="center"/>
    </xf>
    <xf numFmtId="0" fontId="50" fillId="76" borderId="0" applyNumberFormat="0" applyBorder="0" applyAlignment="0" applyProtection="0">
      <alignment vertical="center"/>
    </xf>
    <xf numFmtId="0" fontId="45" fillId="77" borderId="0" applyNumberFormat="0" applyBorder="0" applyAlignment="0" applyProtection="0">
      <alignment vertical="center"/>
    </xf>
    <xf numFmtId="0" fontId="45" fillId="78" borderId="0" applyNumberFormat="0" applyBorder="0" applyAlignment="0" applyProtection="0">
      <alignment vertical="center"/>
    </xf>
    <xf numFmtId="178" fontId="0" fillId="0" borderId="0"/>
    <xf numFmtId="0" fontId="45" fillId="58" borderId="0" applyNumberFormat="0" applyBorder="0" applyAlignment="0" applyProtection="0">
      <alignment vertical="center"/>
    </xf>
    <xf numFmtId="178" fontId="67" fillId="0" borderId="0" applyProtection="0"/>
    <xf numFmtId="0" fontId="45" fillId="79" borderId="0" applyNumberFormat="0" applyBorder="0" applyAlignment="0" applyProtection="0">
      <alignment vertical="center"/>
    </xf>
    <xf numFmtId="0" fontId="45" fillId="80" borderId="0" applyNumberFormat="0" applyBorder="0" applyAlignment="0" applyProtection="0">
      <alignment vertical="center"/>
    </xf>
    <xf numFmtId="0" fontId="0" fillId="0" borderId="0"/>
    <xf numFmtId="0" fontId="45" fillId="81" borderId="0" applyNumberFormat="0" applyBorder="0" applyAlignment="0" applyProtection="0">
      <alignment vertical="center"/>
    </xf>
    <xf numFmtId="0" fontId="45" fillId="34" borderId="0" applyNumberFormat="0" applyBorder="0" applyAlignment="0" applyProtection="0">
      <alignment vertical="center"/>
    </xf>
    <xf numFmtId="0" fontId="45" fillId="82" borderId="0" applyNumberFormat="0" applyBorder="0" applyAlignment="0" applyProtection="0">
      <alignment vertical="center"/>
    </xf>
    <xf numFmtId="0" fontId="68" fillId="83" borderId="0" applyNumberFormat="0" applyBorder="0" applyAlignment="0" applyProtection="0">
      <alignment vertical="center"/>
    </xf>
    <xf numFmtId="0" fontId="68" fillId="62" borderId="0" applyNumberFormat="0" applyBorder="0" applyAlignment="0" applyProtection="0">
      <alignment vertical="center"/>
    </xf>
    <xf numFmtId="0" fontId="68" fillId="81" borderId="0" applyNumberFormat="0" applyBorder="0" applyAlignment="0" applyProtection="0">
      <alignment vertical="center"/>
    </xf>
    <xf numFmtId="0" fontId="68" fillId="84" borderId="0" applyNumberFormat="0" applyBorder="0" applyAlignment="0" applyProtection="0">
      <alignment vertical="center"/>
    </xf>
    <xf numFmtId="0" fontId="68" fillId="85" borderId="0" applyNumberFormat="0" applyBorder="0" applyAlignment="0" applyProtection="0">
      <alignment vertical="center"/>
    </xf>
    <xf numFmtId="0" fontId="68" fillId="86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69" fillId="0" borderId="31" applyNumberFormat="0" applyFill="0" applyAlignment="0" applyProtection="0">
      <alignment vertical="center"/>
    </xf>
    <xf numFmtId="0" fontId="70" fillId="0" borderId="32" applyNumberFormat="0" applyFill="0" applyAlignment="0" applyProtection="0">
      <alignment vertical="center"/>
    </xf>
    <xf numFmtId="0" fontId="71" fillId="0" borderId="33" applyNumberFormat="0" applyFill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73" fillId="77" borderId="0" applyNumberFormat="0" applyBorder="0" applyAlignment="0" applyProtection="0">
      <alignment vertical="center"/>
    </xf>
    <xf numFmtId="178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68" fillId="84" borderId="0" applyNumberFormat="0" applyBorder="0" applyAlignment="0" applyProtection="0">
      <alignment vertical="center"/>
    </xf>
    <xf numFmtId="0" fontId="45" fillId="0" borderId="0">
      <alignment vertical="center"/>
    </xf>
    <xf numFmtId="0" fontId="0" fillId="0" borderId="0"/>
    <xf numFmtId="0" fontId="74" fillId="0" borderId="0" applyNumberFormat="0" applyFill="0" applyBorder="0" applyAlignment="0" applyProtection="0">
      <alignment vertical="top"/>
      <protection locked="0"/>
    </xf>
    <xf numFmtId="0" fontId="75" fillId="78" borderId="0" applyNumberFormat="0" applyBorder="0" applyAlignment="0" applyProtection="0">
      <alignment vertical="center"/>
    </xf>
    <xf numFmtId="0" fontId="76" fillId="0" borderId="34" applyNumberFormat="0" applyFill="0" applyAlignment="0" applyProtection="0">
      <alignment vertical="center"/>
    </xf>
    <xf numFmtId="43" fontId="0" fillId="0" borderId="0" applyProtection="0"/>
    <xf numFmtId="0" fontId="77" fillId="87" borderId="35" applyNumberFormat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9" fillId="0" borderId="0" applyNumberFormat="0" applyFill="0" applyBorder="0" applyAlignment="0" applyProtection="0">
      <alignment vertical="center"/>
    </xf>
    <xf numFmtId="0" fontId="80" fillId="0" borderId="36" applyNumberFormat="0" applyFill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0" fontId="68" fillId="88" borderId="0" applyNumberFormat="0" applyBorder="0" applyAlignment="0" applyProtection="0">
      <alignment vertical="center"/>
    </xf>
    <xf numFmtId="0" fontId="68" fillId="89" borderId="0" applyNumberFormat="0" applyBorder="0" applyAlignment="0" applyProtection="0">
      <alignment vertical="center"/>
    </xf>
    <xf numFmtId="0" fontId="68" fillId="90" borderId="0" applyNumberFormat="0" applyBorder="0" applyAlignment="0" applyProtection="0">
      <alignment vertical="center"/>
    </xf>
    <xf numFmtId="0" fontId="68" fillId="85" borderId="0" applyNumberFormat="0" applyBorder="0" applyAlignment="0" applyProtection="0">
      <alignment vertical="center"/>
    </xf>
    <xf numFmtId="0" fontId="68" fillId="91" borderId="0" applyNumberFormat="0" applyBorder="0" applyAlignment="0" applyProtection="0">
      <alignment vertical="center"/>
    </xf>
    <xf numFmtId="0" fontId="81" fillId="80" borderId="22" applyNumberFormat="0" applyAlignment="0" applyProtection="0">
      <alignment vertical="center"/>
    </xf>
    <xf numFmtId="0" fontId="0" fillId="92" borderId="37" applyNumberFormat="0" applyFont="0" applyAlignment="0" applyProtection="0">
      <alignment vertical="center"/>
    </xf>
  </cellStyleXfs>
  <cellXfs count="737">
    <xf numFmtId="0" fontId="0" fillId="0" borderId="0" xfId="0" applyAlignment="1">
      <alignment vertical="center"/>
    </xf>
    <xf numFmtId="0" fontId="0" fillId="0" borderId="0" xfId="89" applyAlignment="1">
      <alignment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176" fontId="2" fillId="2" borderId="1" xfId="11" applyNumberFormat="1" applyFont="1" applyFill="1" applyBorder="1" applyAlignment="1">
      <alignment horizontal="center" vertical="center"/>
    </xf>
    <xf numFmtId="43" fontId="2" fillId="2" borderId="1" xfId="11" applyFont="1" applyFill="1" applyBorder="1" applyAlignment="1">
      <alignment horizontal="center" vertical="center"/>
    </xf>
    <xf numFmtId="43" fontId="0" fillId="3" borderId="1" xfId="11" applyFont="1" applyFill="1" applyBorder="1" applyAlignment="1">
      <alignment horizontal="center" vertical="center"/>
    </xf>
    <xf numFmtId="43" fontId="0" fillId="0" borderId="1" xfId="11" applyFont="1" applyFill="1" applyBorder="1" applyAlignment="1">
      <alignment horizontal="center" vertical="center"/>
    </xf>
    <xf numFmtId="43" fontId="0" fillId="0" borderId="1" xfId="11" applyFont="1" applyBorder="1" applyAlignment="1">
      <alignment horizontal="center" vertical="center"/>
    </xf>
    <xf numFmtId="43" fontId="2" fillId="0" borderId="1" xfId="11" applyFont="1" applyBorder="1" applyAlignment="1">
      <alignment horizontal="center" vertical="center"/>
    </xf>
    <xf numFmtId="9" fontId="0" fillId="0" borderId="1" xfId="14" applyNumberFormat="1" applyFont="1" applyBorder="1" applyAlignment="1">
      <alignment horizontal="center" vertical="center"/>
    </xf>
    <xf numFmtId="0" fontId="0" fillId="0" borderId="1" xfId="11" applyNumberFormat="1" applyFont="1" applyBorder="1" applyAlignment="1">
      <alignment horizontal="center" vertical="center"/>
    </xf>
    <xf numFmtId="179" fontId="3" fillId="0" borderId="0" xfId="0" applyNumberFormat="1" applyFont="1" applyFill="1" applyAlignment="1">
      <alignment horizontal="center" vertical="center"/>
    </xf>
    <xf numFmtId="10" fontId="3" fillId="0" borderId="0" xfId="14" applyNumberFormat="1" applyFont="1" applyAlignment="1">
      <alignment horizontal="center" vertical="center"/>
    </xf>
    <xf numFmtId="0" fontId="3" fillId="0" borderId="0" xfId="0" applyNumberFormat="1" applyFont="1" applyFill="1" applyAlignment="1">
      <alignment horizontal="center" vertical="center"/>
    </xf>
    <xf numFmtId="179" fontId="0" fillId="0" borderId="0" xfId="0" applyNumberFormat="1" applyFont="1" applyFill="1" applyAlignment="1">
      <alignment horizontal="center" vertical="center"/>
    </xf>
    <xf numFmtId="180" fontId="0" fillId="0" borderId="0" xfId="0" applyNumberFormat="1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43" fontId="6" fillId="4" borderId="1" xfId="11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10" fontId="0" fillId="0" borderId="0" xfId="14" applyNumberFormat="1" applyFont="1" applyAlignment="1">
      <alignment horizontal="center" vertical="center"/>
    </xf>
    <xf numFmtId="0" fontId="0" fillId="4" borderId="0" xfId="0" applyFont="1" applyFill="1" applyAlignment="1">
      <alignment horizontal="center" vertical="center"/>
    </xf>
    <xf numFmtId="179" fontId="0" fillId="4" borderId="0" xfId="0" applyNumberFormat="1" applyFont="1" applyFill="1" applyAlignment="1">
      <alignment horizontal="center" vertical="center"/>
    </xf>
    <xf numFmtId="10" fontId="0" fillId="4" borderId="0" xfId="14" applyNumberFormat="1" applyFont="1" applyFill="1" applyAlignment="1">
      <alignment horizontal="center" vertical="center"/>
    </xf>
    <xf numFmtId="180" fontId="0" fillId="4" borderId="0" xfId="0" applyNumberFormat="1" applyFont="1" applyFill="1" applyAlignment="1">
      <alignment horizontal="center" vertical="center"/>
    </xf>
    <xf numFmtId="180" fontId="0" fillId="0" borderId="1" xfId="11" applyNumberFormat="1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3" fontId="2" fillId="0" borderId="1" xfId="11" applyFont="1" applyFill="1" applyBorder="1" applyAlignment="1">
      <alignment horizontal="center" vertical="center"/>
    </xf>
    <xf numFmtId="43" fontId="2" fillId="4" borderId="1" xfId="11" applyFont="1" applyFill="1" applyBorder="1" applyAlignment="1">
      <alignment horizontal="center" vertical="center"/>
    </xf>
    <xf numFmtId="0" fontId="0" fillId="0" borderId="1" xfId="11" applyNumberFormat="1" applyFont="1" applyFill="1" applyBorder="1" applyAlignment="1">
      <alignment horizontal="center" vertical="center"/>
    </xf>
    <xf numFmtId="177" fontId="3" fillId="0" borderId="0" xfId="0" applyNumberFormat="1" applyFont="1" applyFill="1" applyAlignment="1">
      <alignment horizontal="center" vertical="center"/>
    </xf>
    <xf numFmtId="43" fontId="0" fillId="5" borderId="1" xfId="11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vertical="center" wrapText="1"/>
    </xf>
    <xf numFmtId="0" fontId="9" fillId="0" borderId="0" xfId="0" applyFont="1" applyFill="1" applyAlignment="1">
      <alignment vertical="center" wrapText="1"/>
    </xf>
    <xf numFmtId="179" fontId="8" fillId="0" borderId="0" xfId="0" applyNumberFormat="1" applyFont="1" applyFill="1" applyAlignment="1">
      <alignment horizontal="center" vertical="center"/>
    </xf>
    <xf numFmtId="0" fontId="10" fillId="0" borderId="0" xfId="0" applyFont="1" applyFill="1" applyAlignment="1">
      <alignment vertical="center"/>
    </xf>
    <xf numFmtId="0" fontId="10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 wrapText="1"/>
    </xf>
    <xf numFmtId="0" fontId="11" fillId="0" borderId="0" xfId="0" applyFont="1" applyFill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left" vertical="center"/>
    </xf>
    <xf numFmtId="0" fontId="9" fillId="4" borderId="4" xfId="0" applyFont="1" applyFill="1" applyBorder="1" applyAlignment="1">
      <alignment horizontal="left" vertical="center"/>
    </xf>
    <xf numFmtId="0" fontId="9" fillId="4" borderId="1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/>
    </xf>
    <xf numFmtId="179" fontId="11" fillId="0" borderId="0" xfId="0" applyNumberFormat="1" applyFont="1" applyFill="1" applyAlignment="1">
      <alignment horizontal="center" vertical="center"/>
    </xf>
    <xf numFmtId="179" fontId="9" fillId="0" borderId="1" xfId="0" applyNumberFormat="1" applyFont="1" applyFill="1" applyBorder="1" applyAlignment="1">
      <alignment horizontal="center" vertical="center"/>
    </xf>
    <xf numFmtId="179" fontId="8" fillId="3" borderId="1" xfId="0" applyNumberFormat="1" applyFont="1" applyFill="1" applyBorder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179" fontId="8" fillId="5" borderId="1" xfId="0" applyNumberFormat="1" applyFont="1" applyFill="1" applyBorder="1" applyAlignment="1">
      <alignment horizontal="center" vertical="center"/>
    </xf>
    <xf numFmtId="179" fontId="8" fillId="0" borderId="1" xfId="0" applyNumberFormat="1" applyFont="1" applyFill="1" applyBorder="1" applyAlignment="1">
      <alignment horizontal="center" vertical="center"/>
    </xf>
    <xf numFmtId="179" fontId="8" fillId="0" borderId="1" xfId="0" applyNumberFormat="1" applyFont="1" applyFill="1" applyBorder="1" applyAlignment="1">
      <alignment vertical="center" wrapText="1"/>
    </xf>
    <xf numFmtId="179" fontId="9" fillId="4" borderId="1" xfId="0" applyNumberFormat="1" applyFont="1" applyFill="1" applyBorder="1" applyAlignment="1">
      <alignment horizontal="center" vertical="center"/>
    </xf>
    <xf numFmtId="179" fontId="9" fillId="0" borderId="0" xfId="0" applyNumberFormat="1" applyFont="1" applyFill="1" applyBorder="1" applyAlignment="1">
      <alignment horizontal="center" vertical="center"/>
    </xf>
    <xf numFmtId="179" fontId="8" fillId="4" borderId="1" xfId="0" applyNumberFormat="1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9" fontId="8" fillId="0" borderId="1" xfId="14" applyFont="1" applyFill="1" applyBorder="1" applyAlignment="1">
      <alignment horizontal="center" vertical="center"/>
    </xf>
    <xf numFmtId="9" fontId="8" fillId="0" borderId="1" xfId="14" applyNumberFormat="1" applyFont="1" applyFill="1" applyBorder="1" applyAlignment="1">
      <alignment horizontal="center" vertical="center"/>
    </xf>
    <xf numFmtId="9" fontId="8" fillId="3" borderId="1" xfId="0" applyNumberFormat="1" applyFont="1" applyFill="1" applyBorder="1" applyAlignment="1">
      <alignment horizontal="center" vertical="center"/>
    </xf>
    <xf numFmtId="9" fontId="8" fillId="3" borderId="1" xfId="14" applyNumberFormat="1" applyFont="1" applyFill="1" applyBorder="1" applyAlignment="1">
      <alignment horizontal="center" vertical="center"/>
    </xf>
    <xf numFmtId="9" fontId="8" fillId="0" borderId="1" xfId="0" applyNumberFormat="1" applyFont="1" applyFill="1" applyBorder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 wrapText="1"/>
    </xf>
    <xf numFmtId="179" fontId="8" fillId="3" borderId="1" xfId="0" applyNumberFormat="1" applyFont="1" applyFill="1" applyBorder="1" applyAlignment="1">
      <alignment vertical="center" wrapText="1"/>
    </xf>
    <xf numFmtId="180" fontId="13" fillId="0" borderId="0" xfId="0" applyNumberFormat="1" applyFont="1" applyFill="1" applyAlignment="1">
      <alignment horizontal="center" vertical="center"/>
    </xf>
    <xf numFmtId="179" fontId="13" fillId="0" borderId="0" xfId="0" applyNumberFormat="1" applyFont="1" applyFill="1" applyAlignment="1">
      <alignment horizontal="center" vertical="center"/>
    </xf>
    <xf numFmtId="10" fontId="13" fillId="0" borderId="0" xfId="14" applyNumberFormat="1" applyFont="1" applyAlignment="1">
      <alignment horizontal="center" vertical="center"/>
    </xf>
    <xf numFmtId="180" fontId="13" fillId="0" borderId="0" xfId="0" applyNumberFormat="1" applyFont="1" applyFill="1" applyAlignment="1">
      <alignment horizontal="center" vertical="center" wrapText="1"/>
    </xf>
    <xf numFmtId="0" fontId="13" fillId="4" borderId="0" xfId="0" applyFont="1" applyFill="1" applyAlignment="1">
      <alignment horizontal="center" vertical="center"/>
    </xf>
    <xf numFmtId="179" fontId="13" fillId="4" borderId="0" xfId="0" applyNumberFormat="1" applyFont="1" applyFill="1" applyAlignment="1">
      <alignment horizontal="center" vertical="center"/>
    </xf>
    <xf numFmtId="10" fontId="13" fillId="4" borderId="0" xfId="14" applyNumberFormat="1" applyFont="1" applyFill="1" applyAlignment="1">
      <alignment horizontal="center" vertical="center"/>
    </xf>
    <xf numFmtId="0" fontId="13" fillId="4" borderId="0" xfId="0" applyFont="1" applyFill="1" applyAlignment="1">
      <alignment horizontal="center" vertical="center" wrapText="1"/>
    </xf>
    <xf numFmtId="0" fontId="13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center" vertical="center" wrapText="1"/>
    </xf>
    <xf numFmtId="179" fontId="8" fillId="5" borderId="1" xfId="0" applyNumberFormat="1" applyFont="1" applyFill="1" applyBorder="1" applyAlignment="1">
      <alignment vertical="center" wrapText="1"/>
    </xf>
    <xf numFmtId="180" fontId="13" fillId="4" borderId="0" xfId="0" applyNumberFormat="1" applyFont="1" applyFill="1" applyAlignment="1">
      <alignment horizontal="center" vertical="center"/>
    </xf>
    <xf numFmtId="180" fontId="13" fillId="4" borderId="0" xfId="0" applyNumberFormat="1" applyFont="1" applyFill="1" applyAlignment="1">
      <alignment horizontal="center" vertical="center" wrapText="1"/>
    </xf>
    <xf numFmtId="0" fontId="14" fillId="0" borderId="0" xfId="0" applyFont="1" applyFill="1" applyAlignment="1">
      <alignment vertical="center" wrapText="1"/>
    </xf>
    <xf numFmtId="179" fontId="14" fillId="0" borderId="0" xfId="0" applyNumberFormat="1" applyFont="1" applyFill="1" applyAlignment="1">
      <alignment vertical="center" wrapText="1"/>
    </xf>
    <xf numFmtId="0" fontId="14" fillId="0" borderId="0" xfId="0" applyFont="1" applyFill="1" applyAlignment="1">
      <alignment horizontal="center" vertical="center"/>
    </xf>
    <xf numFmtId="179" fontId="14" fillId="0" borderId="0" xfId="0" applyNumberFormat="1" applyFont="1" applyFill="1" applyAlignment="1">
      <alignment horizontal="center" vertical="center"/>
    </xf>
    <xf numFmtId="0" fontId="14" fillId="0" borderId="0" xfId="0" applyFont="1" applyFill="1" applyAlignment="1">
      <alignment horizontal="center" vertical="center" wrapText="1"/>
    </xf>
    <xf numFmtId="179" fontId="9" fillId="0" borderId="0" xfId="0" applyNumberFormat="1" applyFont="1" applyFill="1" applyAlignment="1">
      <alignment horizontal="center" vertical="center"/>
    </xf>
    <xf numFmtId="179" fontId="8" fillId="0" borderId="0" xfId="0" applyNumberFormat="1" applyFont="1" applyFill="1" applyAlignment="1">
      <alignment vertical="center" wrapText="1"/>
    </xf>
    <xf numFmtId="179" fontId="9" fillId="0" borderId="0" xfId="0" applyNumberFormat="1" applyFont="1" applyFill="1" applyAlignment="1">
      <alignment vertical="center" wrapText="1"/>
    </xf>
    <xf numFmtId="0" fontId="15" fillId="4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182" fontId="17" fillId="6" borderId="1" xfId="94" applyNumberFormat="1" applyFont="1" applyFill="1" applyBorder="1" applyAlignment="1">
      <alignment horizontal="center" vertical="center" wrapText="1"/>
    </xf>
    <xf numFmtId="182" fontId="17" fillId="6" borderId="3" xfId="94" applyNumberFormat="1" applyFont="1" applyFill="1" applyBorder="1" applyAlignment="1">
      <alignment horizontal="center" vertical="center" wrapText="1"/>
    </xf>
    <xf numFmtId="182" fontId="17" fillId="6" borderId="4" xfId="94" applyNumberFormat="1" applyFont="1" applyFill="1" applyBorder="1" applyAlignment="1">
      <alignment horizontal="center" vertical="center" wrapText="1"/>
    </xf>
    <xf numFmtId="182" fontId="17" fillId="0" borderId="1" xfId="94" applyNumberFormat="1" applyFont="1" applyFill="1" applyBorder="1" applyAlignment="1">
      <alignment horizontal="center" vertical="center" wrapText="1"/>
    </xf>
    <xf numFmtId="182" fontId="17" fillId="5" borderId="1" xfId="94" applyNumberFormat="1" applyFont="1" applyFill="1" applyBorder="1" applyAlignment="1">
      <alignment horizontal="center" vertical="center" wrapText="1"/>
    </xf>
    <xf numFmtId="183" fontId="17" fillId="5" borderId="1" xfId="11" applyNumberFormat="1" applyFont="1" applyFill="1" applyBorder="1" applyAlignment="1">
      <alignment horizontal="center" vertical="center" wrapText="1"/>
    </xf>
    <xf numFmtId="183" fontId="17" fillId="0" borderId="1" xfId="11" applyNumberFormat="1" applyFont="1" applyFill="1" applyBorder="1" applyAlignment="1">
      <alignment horizontal="center" vertical="center" wrapText="1"/>
    </xf>
    <xf numFmtId="182" fontId="17" fillId="3" borderId="1" xfId="94" applyNumberFormat="1" applyFont="1" applyFill="1" applyBorder="1" applyAlignment="1">
      <alignment horizontal="center" vertical="center" wrapText="1"/>
    </xf>
    <xf numFmtId="183" fontId="17" fillId="3" borderId="1" xfId="11" applyNumberFormat="1" applyFont="1" applyFill="1" applyBorder="1" applyAlignment="1">
      <alignment horizontal="center" vertical="center" wrapText="1"/>
    </xf>
    <xf numFmtId="0" fontId="17" fillId="6" borderId="1" xfId="0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center" vertical="center" wrapText="1"/>
    </xf>
    <xf numFmtId="183" fontId="18" fillId="3" borderId="1" xfId="11" applyNumberFormat="1" applyFont="1" applyFill="1" applyBorder="1" applyAlignment="1">
      <alignment horizontal="center" vertical="center" wrapText="1"/>
    </xf>
    <xf numFmtId="182" fontId="17" fillId="4" borderId="1" xfId="94" applyNumberFormat="1" applyFont="1" applyFill="1" applyBorder="1" applyAlignment="1">
      <alignment horizontal="center" vertical="center" wrapText="1"/>
    </xf>
    <xf numFmtId="183" fontId="17" fillId="6" borderId="1" xfId="11" applyNumberFormat="1" applyFont="1" applyFill="1" applyBorder="1" applyAlignment="1">
      <alignment horizontal="center" vertical="center" wrapText="1"/>
    </xf>
    <xf numFmtId="179" fontId="17" fillId="0" borderId="1" xfId="11" applyNumberFormat="1" applyFont="1" applyFill="1" applyBorder="1" applyAlignment="1">
      <alignment horizontal="center" vertical="center" wrapText="1"/>
    </xf>
    <xf numFmtId="179" fontId="17" fillId="0" borderId="1" xfId="94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vertical="center"/>
    </xf>
    <xf numFmtId="0" fontId="8" fillId="0" borderId="5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/>
    </xf>
    <xf numFmtId="0" fontId="8" fillId="0" borderId="6" xfId="0" applyFont="1" applyFill="1" applyBorder="1" applyAlignment="1">
      <alignment horizontal="left"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/>
    </xf>
    <xf numFmtId="0" fontId="8" fillId="0" borderId="7" xfId="0" applyFont="1" applyFill="1" applyBorder="1" applyAlignment="1">
      <alignment horizontal="left" vertical="center"/>
    </xf>
    <xf numFmtId="0" fontId="8" fillId="0" borderId="7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left" vertical="center" wrapText="1"/>
    </xf>
    <xf numFmtId="180" fontId="8" fillId="0" borderId="1" xfId="0" applyNumberFormat="1" applyFont="1" applyFill="1" applyBorder="1" applyAlignment="1">
      <alignment vertical="center"/>
    </xf>
    <xf numFmtId="0" fontId="19" fillId="0" borderId="1" xfId="95" applyNumberFormat="1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vertical="center" wrapText="1"/>
    </xf>
    <xf numFmtId="0" fontId="8" fillId="0" borderId="6" xfId="0" applyFont="1" applyFill="1" applyBorder="1" applyAlignment="1">
      <alignment horizontal="left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 wrapText="1"/>
    </xf>
    <xf numFmtId="180" fontId="8" fillId="3" borderId="1" xfId="0" applyNumberFormat="1" applyFont="1" applyFill="1" applyBorder="1" applyAlignment="1">
      <alignment vertical="center"/>
    </xf>
    <xf numFmtId="0" fontId="20" fillId="7" borderId="8" xfId="0" applyFont="1" applyFill="1" applyBorder="1" applyAlignment="1">
      <alignment vertical="center" wrapText="1"/>
    </xf>
    <xf numFmtId="0" fontId="21" fillId="0" borderId="8" xfId="0" applyFont="1" applyBorder="1" applyAlignment="1">
      <alignment vertical="center" wrapText="1"/>
    </xf>
    <xf numFmtId="4" fontId="21" fillId="0" borderId="8" xfId="0" applyNumberFormat="1" applyFont="1" applyBorder="1" applyAlignment="1">
      <alignment vertical="center" wrapText="1"/>
    </xf>
    <xf numFmtId="0" fontId="20" fillId="0" borderId="8" xfId="0" applyFont="1" applyBorder="1" applyAlignment="1">
      <alignment vertical="center" wrapText="1"/>
    </xf>
    <xf numFmtId="10" fontId="22" fillId="0" borderId="8" xfId="0" applyNumberFormat="1" applyFont="1" applyBorder="1" applyAlignment="1">
      <alignment vertical="center" wrapText="1"/>
    </xf>
    <xf numFmtId="10" fontId="21" fillId="0" borderId="8" xfId="0" applyNumberFormat="1" applyFont="1" applyBorder="1" applyAlignment="1">
      <alignment vertical="center" wrapText="1"/>
    </xf>
    <xf numFmtId="10" fontId="21" fillId="0" borderId="8" xfId="14" applyNumberFormat="1" applyFont="1" applyBorder="1" applyAlignment="1">
      <alignment vertical="center" wrapText="1"/>
    </xf>
    <xf numFmtId="179" fontId="0" fillId="0" borderId="0" xfId="0" applyNumberFormat="1" applyAlignme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vertical="center"/>
    </xf>
    <xf numFmtId="0" fontId="0" fillId="8" borderId="1" xfId="0" applyFont="1" applyFill="1" applyBorder="1" applyAlignment="1">
      <alignment horizontal="center" vertical="center"/>
    </xf>
    <xf numFmtId="0" fontId="0" fillId="9" borderId="1" xfId="0" applyFont="1" applyFill="1" applyBorder="1" applyAlignment="1">
      <alignment horizontal="center" vertical="center"/>
    </xf>
    <xf numFmtId="0" fontId="0" fillId="9" borderId="0" xfId="0" applyFont="1" applyFill="1" applyAlignment="1">
      <alignment horizontal="center" vertical="center"/>
    </xf>
    <xf numFmtId="0" fontId="0" fillId="0" borderId="1" xfId="0" applyFont="1" applyBorder="1" applyAlignment="1">
      <alignment vertical="center"/>
    </xf>
    <xf numFmtId="0" fontId="0" fillId="8" borderId="1" xfId="0" applyFill="1" applyBorder="1" applyAlignment="1">
      <alignment vertical="center"/>
    </xf>
    <xf numFmtId="0" fontId="2" fillId="9" borderId="1" xfId="0" applyFont="1" applyFill="1" applyBorder="1" applyAlignment="1">
      <alignment horizontal="center" vertical="center"/>
    </xf>
    <xf numFmtId="0" fontId="0" fillId="9" borderId="0" xfId="0" applyFill="1" applyAlignment="1">
      <alignment vertical="center"/>
    </xf>
    <xf numFmtId="0" fontId="0" fillId="9" borderId="1" xfId="0" applyFill="1" applyBorder="1" applyAlignment="1">
      <alignment horizontal="center" vertical="center"/>
    </xf>
    <xf numFmtId="0" fontId="0" fillId="9" borderId="0" xfId="0" applyFill="1" applyAlignment="1">
      <alignment horizontal="center" vertical="center"/>
    </xf>
    <xf numFmtId="43" fontId="0" fillId="0" borderId="0" xfId="11" applyFont="1" applyAlignment="1">
      <alignment vertical="center"/>
    </xf>
    <xf numFmtId="43" fontId="0" fillId="0" borderId="1" xfId="11" applyFont="1" applyBorder="1" applyAlignment="1">
      <alignment vertical="center"/>
    </xf>
    <xf numFmtId="43" fontId="0" fillId="6" borderId="6" xfId="11" applyFont="1" applyFill="1" applyBorder="1" applyAlignment="1">
      <alignment horizontal="center" vertical="center"/>
    </xf>
    <xf numFmtId="43" fontId="0" fillId="6" borderId="1" xfId="11" applyFont="1" applyFill="1" applyBorder="1" applyAlignment="1">
      <alignment vertical="center"/>
    </xf>
    <xf numFmtId="43" fontId="0" fillId="3" borderId="1" xfId="11" applyFont="1" applyFill="1" applyBorder="1" applyAlignment="1">
      <alignment vertical="center"/>
    </xf>
    <xf numFmtId="43" fontId="0" fillId="6" borderId="7" xfId="11" applyFont="1" applyFill="1" applyBorder="1" applyAlignment="1">
      <alignment horizontal="center" vertical="center"/>
    </xf>
    <xf numFmtId="43" fontId="0" fillId="6" borderId="2" xfId="11" applyFont="1" applyFill="1" applyBorder="1" applyAlignment="1">
      <alignment horizontal="center" vertical="center"/>
    </xf>
    <xf numFmtId="43" fontId="0" fillId="10" borderId="6" xfId="11" applyFont="1" applyFill="1" applyBorder="1" applyAlignment="1">
      <alignment horizontal="center" vertical="center"/>
    </xf>
    <xf numFmtId="43" fontId="0" fillId="10" borderId="1" xfId="11" applyFont="1" applyFill="1" applyBorder="1" applyAlignment="1">
      <alignment vertical="center"/>
    </xf>
    <xf numFmtId="43" fontId="0" fillId="10" borderId="7" xfId="11" applyFont="1" applyFill="1" applyBorder="1" applyAlignment="1">
      <alignment horizontal="center" vertical="center"/>
    </xf>
    <xf numFmtId="43" fontId="0" fillId="10" borderId="2" xfId="11" applyFont="1" applyFill="1" applyBorder="1" applyAlignment="1">
      <alignment horizontal="center" vertical="center"/>
    </xf>
    <xf numFmtId="43" fontId="0" fillId="11" borderId="6" xfId="11" applyFont="1" applyFill="1" applyBorder="1" applyAlignment="1">
      <alignment horizontal="center" vertical="center"/>
    </xf>
    <xf numFmtId="43" fontId="0" fillId="11" borderId="1" xfId="11" applyFont="1" applyFill="1" applyBorder="1" applyAlignment="1">
      <alignment vertical="center"/>
    </xf>
    <xf numFmtId="43" fontId="0" fillId="11" borderId="7" xfId="11" applyFont="1" applyFill="1" applyBorder="1" applyAlignment="1">
      <alignment horizontal="center" vertical="center"/>
    </xf>
    <xf numFmtId="43" fontId="0" fillId="11" borderId="2" xfId="11" applyFont="1" applyFill="1" applyBorder="1" applyAlignment="1">
      <alignment horizontal="center" vertical="center"/>
    </xf>
    <xf numFmtId="43" fontId="0" fillId="9" borderId="6" xfId="11" applyFont="1" applyFill="1" applyBorder="1" applyAlignment="1">
      <alignment horizontal="center" vertical="center"/>
    </xf>
    <xf numFmtId="43" fontId="0" fillId="9" borderId="1" xfId="11" applyFont="1" applyFill="1" applyBorder="1" applyAlignment="1">
      <alignment vertical="center"/>
    </xf>
    <xf numFmtId="43" fontId="0" fillId="9" borderId="7" xfId="11" applyFont="1" applyFill="1" applyBorder="1" applyAlignment="1">
      <alignment horizontal="center" vertical="center"/>
    </xf>
    <xf numFmtId="43" fontId="0" fillId="9" borderId="2" xfId="11" applyFont="1" applyFill="1" applyBorder="1" applyAlignment="1">
      <alignment horizontal="center" vertical="center"/>
    </xf>
    <xf numFmtId="43" fontId="0" fillId="0" borderId="7" xfId="11" applyFont="1" applyBorder="1" applyAlignment="1">
      <alignment horizontal="center" vertical="center"/>
    </xf>
    <xf numFmtId="43" fontId="0" fillId="0" borderId="2" xfId="11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Font="1" applyAlignment="1">
      <alignment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43" fontId="0" fillId="0" borderId="0" xfId="11" applyFont="1" applyAlignment="1">
      <alignment horizontal="center" vertical="center"/>
    </xf>
    <xf numFmtId="0" fontId="0" fillId="11" borderId="1" xfId="0" applyFont="1" applyFill="1" applyBorder="1" applyAlignment="1">
      <alignment horizontal="center" vertical="center"/>
    </xf>
    <xf numFmtId="0" fontId="0" fillId="11" borderId="1" xfId="0" applyFill="1" applyBorder="1" applyAlignment="1">
      <alignment horizontal="center" vertical="center"/>
    </xf>
    <xf numFmtId="0" fontId="23" fillId="0" borderId="1" xfId="13" applyBorder="1" applyAlignment="1">
      <alignment horizontal="center" vertical="center"/>
    </xf>
    <xf numFmtId="185" fontId="0" fillId="11" borderId="1" xfId="0" applyNumberForma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  <xf numFmtId="185" fontId="0" fillId="0" borderId="9" xfId="0" applyNumberFormat="1" applyFill="1" applyBorder="1" applyAlignment="1">
      <alignment horizontal="center" vertical="center"/>
    </xf>
    <xf numFmtId="0" fontId="23" fillId="0" borderId="9" xfId="13" applyFill="1" applyBorder="1" applyAlignment="1">
      <alignment horizontal="center" vertical="center"/>
    </xf>
    <xf numFmtId="0" fontId="2" fillId="12" borderId="5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13" borderId="1" xfId="13" applyFont="1" applyFill="1" applyBorder="1" applyAlignment="1">
      <alignment horizontal="center" vertical="center"/>
    </xf>
    <xf numFmtId="0" fontId="2" fillId="13" borderId="1" xfId="0" applyFont="1" applyFill="1" applyBorder="1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0" fontId="2" fillId="13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43" fontId="2" fillId="3" borderId="1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43" fontId="2" fillId="3" borderId="1" xfId="11" applyFont="1" applyFill="1" applyBorder="1" applyAlignment="1">
      <alignment vertical="center"/>
    </xf>
    <xf numFmtId="10" fontId="2" fillId="3" borderId="1" xfId="14" applyNumberFormat="1" applyFont="1" applyFill="1" applyBorder="1" applyAlignment="1">
      <alignment vertical="center"/>
    </xf>
    <xf numFmtId="179" fontId="2" fillId="14" borderId="1" xfId="0" applyNumberFormat="1" applyFont="1" applyFill="1" applyBorder="1" applyAlignment="1">
      <alignment vertical="center"/>
    </xf>
    <xf numFmtId="43" fontId="2" fillId="0" borderId="1" xfId="11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43" fontId="24" fillId="3" borderId="1" xfId="0" applyNumberFormat="1" applyFont="1" applyFill="1" applyBorder="1" applyAlignment="1">
      <alignment vertical="center"/>
    </xf>
    <xf numFmtId="10" fontId="24" fillId="3" borderId="1" xfId="14" applyNumberFormat="1" applyFont="1" applyFill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180" fontId="2" fillId="3" borderId="1" xfId="14" applyNumberFormat="1" applyFont="1" applyFill="1" applyBorder="1" applyAlignment="1">
      <alignment vertical="center"/>
    </xf>
    <xf numFmtId="0" fontId="2" fillId="3" borderId="1" xfId="0" applyFont="1" applyFill="1" applyBorder="1" applyAlignment="1">
      <alignment vertical="center"/>
    </xf>
    <xf numFmtId="0" fontId="2" fillId="12" borderId="1" xfId="0" applyFont="1" applyFill="1" applyBorder="1" applyAlignment="1">
      <alignment vertical="center"/>
    </xf>
    <xf numFmtId="43" fontId="2" fillId="12" borderId="1" xfId="14" applyNumberFormat="1" applyFont="1" applyFill="1" applyBorder="1" applyAlignment="1">
      <alignment vertical="center"/>
    </xf>
    <xf numFmtId="43" fontId="2" fillId="12" borderId="1" xfId="11" applyFont="1" applyFill="1" applyBorder="1" applyAlignment="1">
      <alignment vertical="center"/>
    </xf>
    <xf numFmtId="0" fontId="2" fillId="12" borderId="1" xfId="0" applyFont="1" applyFill="1" applyBorder="1" applyAlignment="1">
      <alignment vertical="center" wrapText="1"/>
    </xf>
    <xf numFmtId="0" fontId="12" fillId="0" borderId="0" xfId="0" applyFont="1" applyFill="1" applyBorder="1" applyAlignment="1">
      <alignment vertical="center"/>
    </xf>
    <xf numFmtId="43" fontId="12" fillId="0" borderId="0" xfId="11" applyFont="1" applyFill="1" applyBorder="1" applyAlignment="1">
      <alignment vertical="center"/>
    </xf>
    <xf numFmtId="43" fontId="0" fillId="0" borderId="0" xfId="0" applyNumberFormat="1" applyFill="1" applyAlignment="1">
      <alignment horizontal="center" vertical="center"/>
    </xf>
    <xf numFmtId="43" fontId="2" fillId="15" borderId="1" xfId="0" applyNumberFormat="1" applyFont="1" applyFill="1" applyBorder="1" applyAlignment="1">
      <alignment horizontal="center" vertical="center"/>
    </xf>
    <xf numFmtId="43" fontId="2" fillId="15" borderId="1" xfId="0" applyNumberFormat="1" applyFont="1" applyFill="1" applyBorder="1" applyAlignment="1">
      <alignment horizontal="left" vertical="center"/>
    </xf>
    <xf numFmtId="0" fontId="2" fillId="15" borderId="1" xfId="0" applyFont="1" applyFill="1" applyBorder="1" applyAlignment="1">
      <alignment horizontal="center" vertical="center"/>
    </xf>
    <xf numFmtId="179" fontId="2" fillId="15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9" fontId="0" fillId="0" borderId="1" xfId="0" applyNumberFormat="1" applyBorder="1" applyAlignment="1">
      <alignment horizontal="center" vertical="center"/>
    </xf>
    <xf numFmtId="183" fontId="0" fillId="0" borderId="1" xfId="0" applyNumberForma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179" fontId="0" fillId="3" borderId="1" xfId="0" applyNumberFormat="1" applyFill="1" applyBorder="1" applyAlignment="1">
      <alignment horizontal="center" vertical="center"/>
    </xf>
    <xf numFmtId="179" fontId="0" fillId="0" borderId="1" xfId="0" applyNumberForma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43" fontId="0" fillId="0" borderId="0" xfId="0" applyNumberFormat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2" fillId="16" borderId="1" xfId="0" applyFont="1" applyFill="1" applyBorder="1" applyAlignment="1">
      <alignment vertical="center"/>
    </xf>
    <xf numFmtId="0" fontId="2" fillId="16" borderId="1" xfId="0" applyFont="1" applyFill="1" applyBorder="1" applyAlignment="1">
      <alignment vertical="center" wrapText="1"/>
    </xf>
    <xf numFmtId="186" fontId="0" fillId="0" borderId="0" xfId="0" applyNumberFormat="1" applyFont="1" applyFill="1" applyAlignment="1">
      <alignment horizontal="center" vertical="center"/>
    </xf>
    <xf numFmtId="186" fontId="0" fillId="0" borderId="0" xfId="0" applyNumberFormat="1" applyFill="1" applyAlignment="1">
      <alignment horizontal="center" vertical="center"/>
    </xf>
    <xf numFmtId="179" fontId="0" fillId="0" borderId="0" xfId="0" applyNumberFormat="1" applyBorder="1" applyAlignment="1">
      <alignment vertical="center"/>
    </xf>
    <xf numFmtId="0" fontId="0" fillId="0" borderId="0" xfId="0" applyBorder="1" applyAlignment="1">
      <alignment horizontal="center" vertical="center"/>
    </xf>
    <xf numFmtId="43" fontId="0" fillId="0" borderId="0" xfId="11" applyFont="1" applyBorder="1" applyAlignment="1">
      <alignment horizontal="center" vertical="center"/>
    </xf>
    <xf numFmtId="179" fontId="0" fillId="0" borderId="0" xfId="0" applyNumberFormat="1" applyFill="1" applyAlignment="1">
      <alignment vertical="center"/>
    </xf>
    <xf numFmtId="43" fontId="0" fillId="0" borderId="0" xfId="11" applyFont="1" applyFill="1" applyAlignment="1">
      <alignment horizontal="center" vertical="center"/>
    </xf>
    <xf numFmtId="0" fontId="0" fillId="17" borderId="0" xfId="0" applyFont="1" applyFill="1" applyAlignment="1">
      <alignment vertical="center" wrapText="1"/>
    </xf>
    <xf numFmtId="179" fontId="0" fillId="0" borderId="0" xfId="0" applyNumberFormat="1" applyAlignment="1">
      <alignment vertical="center" wrapText="1"/>
    </xf>
    <xf numFmtId="0" fontId="0" fillId="0" borderId="0" xfId="0" applyAlignment="1">
      <alignment horizontal="center" vertical="center" wrapText="1"/>
    </xf>
    <xf numFmtId="179" fontId="0" fillId="0" borderId="0" xfId="0" applyNumberFormat="1" applyAlignment="1">
      <alignment horizontal="center" vertical="center" wrapText="1"/>
    </xf>
    <xf numFmtId="179" fontId="0" fillId="0" borderId="0" xfId="11" applyNumberFormat="1" applyFont="1" applyAlignment="1">
      <alignment horizontal="center" vertical="center" wrapText="1"/>
    </xf>
    <xf numFmtId="43" fontId="0" fillId="17" borderId="0" xfId="0" applyNumberFormat="1" applyFill="1" applyAlignment="1">
      <alignment vertical="center"/>
    </xf>
    <xf numFmtId="179" fontId="0" fillId="0" borderId="0" xfId="0" applyNumberFormat="1" applyAlignment="1">
      <alignment horizontal="center" vertical="center"/>
    </xf>
    <xf numFmtId="179" fontId="0" fillId="0" borderId="0" xfId="11" applyNumberFormat="1" applyFont="1" applyAlignment="1">
      <alignment horizontal="center" vertical="center"/>
    </xf>
    <xf numFmtId="179" fontId="0" fillId="0" borderId="0" xfId="0" applyNumberFormat="1" applyFill="1" applyAlignment="1">
      <alignment horizontal="center" vertical="center"/>
    </xf>
    <xf numFmtId="179" fontId="0" fillId="0" borderId="0" xfId="11" applyNumberFormat="1" applyFont="1" applyFill="1" applyAlignment="1">
      <alignment horizontal="center" vertical="center"/>
    </xf>
    <xf numFmtId="179" fontId="0" fillId="4" borderId="0" xfId="0" applyNumberFormat="1" applyFill="1" applyAlignment="1">
      <alignment vertical="center"/>
    </xf>
    <xf numFmtId="10" fontId="0" fillId="0" borderId="0" xfId="14" applyNumberFormat="1" applyAlignment="1">
      <alignment horizontal="center" vertical="center"/>
    </xf>
    <xf numFmtId="43" fontId="0" fillId="17" borderId="0" xfId="11" applyNumberFormat="1" applyFont="1" applyFill="1" applyAlignment="1">
      <alignment vertical="center"/>
    </xf>
    <xf numFmtId="179" fontId="0" fillId="0" borderId="0" xfId="11" applyNumberFormat="1" applyFont="1" applyAlignment="1">
      <alignment vertical="center"/>
    </xf>
    <xf numFmtId="179" fontId="0" fillId="5" borderId="0" xfId="0" applyNumberFormat="1" applyFill="1" applyAlignment="1">
      <alignment vertical="center"/>
    </xf>
    <xf numFmtId="187" fontId="0" fillId="17" borderId="0" xfId="11" applyNumberFormat="1" applyFont="1" applyFill="1" applyAlignment="1">
      <alignment vertical="center"/>
    </xf>
    <xf numFmtId="10" fontId="0" fillId="0" borderId="0" xfId="14" applyNumberFormat="1" applyAlignment="1">
      <alignment vertical="center"/>
    </xf>
    <xf numFmtId="179" fontId="0" fillId="0" borderId="0" xfId="0" applyNumberFormat="1" applyFont="1" applyAlignment="1">
      <alignment vertical="center"/>
    </xf>
    <xf numFmtId="179" fontId="0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43" fontId="0" fillId="0" borderId="0" xfId="0" applyNumberFormat="1" applyFont="1" applyAlignment="1">
      <alignment vertical="center"/>
    </xf>
    <xf numFmtId="0" fontId="0" fillId="4" borderId="1" xfId="0" applyFill="1" applyBorder="1" applyAlignment="1">
      <alignment horizontal="center" vertical="center"/>
    </xf>
    <xf numFmtId="43" fontId="0" fillId="4" borderId="1" xfId="11" applyFont="1" applyFill="1" applyBorder="1" applyAlignment="1">
      <alignment horizontal="center" vertical="center"/>
    </xf>
    <xf numFmtId="10" fontId="0" fillId="4" borderId="1" xfId="14" applyNumberFormat="1" applyFont="1" applyFill="1" applyBorder="1" applyAlignment="1">
      <alignment horizontal="center" vertical="center"/>
    </xf>
    <xf numFmtId="179" fontId="7" fillId="18" borderId="0" xfId="0" applyNumberFormat="1" applyFont="1" applyFill="1" applyAlignment="1">
      <alignment horizontal="center" vertical="center"/>
    </xf>
    <xf numFmtId="179" fontId="2" fillId="19" borderId="1" xfId="0" applyNumberFormat="1" applyFont="1" applyFill="1" applyBorder="1" applyAlignment="1">
      <alignment horizontal="center" vertical="center"/>
    </xf>
    <xf numFmtId="179" fontId="2" fillId="20" borderId="1" xfId="0" applyNumberFormat="1" applyFont="1" applyFill="1" applyBorder="1" applyAlignment="1">
      <alignment horizontal="center" vertical="center"/>
    </xf>
    <xf numFmtId="0" fontId="2" fillId="18" borderId="1" xfId="0" applyFont="1" applyFill="1" applyBorder="1" applyAlignment="1">
      <alignment horizontal="left" vertical="center" wrapText="1"/>
    </xf>
    <xf numFmtId="179" fontId="2" fillId="18" borderId="1" xfId="0" applyNumberFormat="1" applyFont="1" applyFill="1" applyBorder="1" applyAlignment="1">
      <alignment horizontal="center" vertical="center" wrapText="1"/>
    </xf>
    <xf numFmtId="179" fontId="2" fillId="18" borderId="1" xfId="11" applyNumberFormat="1" applyFont="1" applyFill="1" applyBorder="1" applyAlignment="1">
      <alignment horizontal="center" vertical="center" wrapText="1"/>
    </xf>
    <xf numFmtId="179" fontId="0" fillId="20" borderId="1" xfId="0" applyNumberFormat="1" applyFill="1" applyBorder="1" applyAlignment="1">
      <alignment horizontal="center" vertical="center"/>
    </xf>
    <xf numFmtId="179" fontId="0" fillId="0" borderId="1" xfId="11" applyNumberFormat="1" applyFont="1" applyBorder="1" applyAlignment="1">
      <alignment horizontal="center" vertical="center"/>
    </xf>
    <xf numFmtId="183" fontId="0" fillId="20" borderId="1" xfId="0" applyNumberFormat="1" applyFill="1" applyBorder="1" applyAlignment="1">
      <alignment horizontal="center" vertical="center"/>
    </xf>
    <xf numFmtId="179" fontId="0" fillId="0" borderId="1" xfId="0" applyNumberFormat="1" applyFont="1" applyBorder="1" applyAlignment="1">
      <alignment horizontal="center" vertical="center"/>
    </xf>
    <xf numFmtId="179" fontId="2" fillId="0" borderId="1" xfId="0" applyNumberFormat="1" applyFont="1" applyBorder="1" applyAlignment="1">
      <alignment horizontal="left" vertical="center" indent="1"/>
    </xf>
    <xf numFmtId="0" fontId="0" fillId="0" borderId="1" xfId="0" applyFont="1" applyFill="1" applyBorder="1" applyAlignment="1">
      <alignment horizontal="left" vertical="center" indent="2"/>
    </xf>
    <xf numFmtId="0" fontId="19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center" indent="1"/>
    </xf>
    <xf numFmtId="179" fontId="0" fillId="20" borderId="0" xfId="0" applyNumberFormat="1" applyFill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9" fontId="0" fillId="0" borderId="1" xfId="14" applyNumberFormat="1" applyBorder="1" applyAlignment="1">
      <alignment horizontal="center" vertical="center"/>
    </xf>
    <xf numFmtId="179" fontId="0" fillId="3" borderId="1" xfId="14" applyNumberFormat="1" applyFill="1" applyBorder="1" applyAlignment="1">
      <alignment horizontal="center" vertical="center"/>
    </xf>
    <xf numFmtId="10" fontId="0" fillId="3" borderId="1" xfId="14" applyNumberForma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10" fontId="0" fillId="0" borderId="0" xfId="14" applyNumberFormat="1" applyFill="1" applyBorder="1" applyAlignment="1">
      <alignment horizontal="center" vertical="center"/>
    </xf>
    <xf numFmtId="179" fontId="0" fillId="0" borderId="0" xfId="14" applyNumberFormat="1" applyAlignment="1">
      <alignment horizontal="center" vertical="center"/>
    </xf>
    <xf numFmtId="179" fontId="0" fillId="4" borderId="1" xfId="0" applyNumberFormat="1" applyFill="1" applyBorder="1" applyAlignment="1">
      <alignment horizontal="center" vertical="center"/>
    </xf>
    <xf numFmtId="0" fontId="0" fillId="4" borderId="1" xfId="0" applyFont="1" applyFill="1" applyBorder="1" applyAlignment="1">
      <alignment horizontal="center" vertical="center"/>
    </xf>
    <xf numFmtId="179" fontId="0" fillId="4" borderId="1" xfId="0" applyNumberFormat="1" applyFont="1" applyFill="1" applyBorder="1" applyAlignment="1">
      <alignment horizontal="center" vertical="center"/>
    </xf>
    <xf numFmtId="179" fontId="7" fillId="0" borderId="0" xfId="0" applyNumberFormat="1" applyFont="1" applyFill="1" applyAlignment="1">
      <alignment horizontal="center" vertical="center"/>
    </xf>
    <xf numFmtId="0" fontId="2" fillId="18" borderId="1" xfId="0" applyFont="1" applyFill="1" applyBorder="1" applyAlignment="1">
      <alignment horizontal="center" vertical="center"/>
    </xf>
    <xf numFmtId="179" fontId="7" fillId="18" borderId="1" xfId="0" applyNumberFormat="1" applyFont="1" applyFill="1" applyBorder="1" applyAlignment="1">
      <alignment horizontal="center" vertical="center"/>
    </xf>
    <xf numFmtId="179" fontId="7" fillId="18" borderId="3" xfId="0" applyNumberFormat="1" applyFont="1" applyFill="1" applyBorder="1" applyAlignment="1">
      <alignment horizontal="center" vertical="center"/>
    </xf>
    <xf numFmtId="179" fontId="7" fillId="18" borderId="10" xfId="0" applyNumberFormat="1" applyFont="1" applyFill="1" applyBorder="1" applyAlignment="1">
      <alignment horizontal="center" vertical="center"/>
    </xf>
    <xf numFmtId="179" fontId="7" fillId="18" borderId="4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79" fontId="0" fillId="0" borderId="0" xfId="0" applyNumberFormat="1" applyFill="1" applyBorder="1" applyAlignment="1">
      <alignment horizontal="center" vertical="center"/>
    </xf>
    <xf numFmtId="179" fontId="0" fillId="0" borderId="1" xfId="14" applyNumberFormat="1" applyFont="1" applyFill="1" applyBorder="1" applyAlignment="1">
      <alignment horizontal="center" vertical="center"/>
    </xf>
    <xf numFmtId="179" fontId="0" fillId="3" borderId="1" xfId="14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left" vertical="center" indent="1"/>
    </xf>
    <xf numFmtId="179" fontId="0" fillId="0" borderId="0" xfId="14" applyNumberFormat="1" applyFont="1" applyFill="1" applyBorder="1" applyAlignment="1">
      <alignment horizontal="center" vertical="center"/>
    </xf>
    <xf numFmtId="0" fontId="0" fillId="0" borderId="0" xfId="0" applyBorder="1" applyAlignment="1">
      <alignment vertical="center" wrapText="1"/>
    </xf>
    <xf numFmtId="0" fontId="0" fillId="0" borderId="0" xfId="0" applyFill="1" applyAlignment="1">
      <alignment vertical="center" wrapText="1"/>
    </xf>
    <xf numFmtId="43" fontId="0" fillId="0" borderId="0" xfId="11" applyFont="1" applyAlignment="1">
      <alignment vertical="center" wrapText="1"/>
    </xf>
    <xf numFmtId="0" fontId="0" fillId="0" borderId="0" xfId="0" applyFont="1" applyAlignment="1">
      <alignment vertical="center" wrapText="1"/>
    </xf>
    <xf numFmtId="0" fontId="0" fillId="0" borderId="0" xfId="0" applyFill="1" applyAlignment="1">
      <alignment horizontal="center" vertical="center" wrapText="1"/>
    </xf>
    <xf numFmtId="179" fontId="7" fillId="18" borderId="1" xfId="0" applyNumberFormat="1" applyFont="1" applyFill="1" applyBorder="1" applyAlignment="1">
      <alignment horizontal="center" vertical="center" wrapText="1"/>
    </xf>
    <xf numFmtId="0" fontId="2" fillId="18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79" fontId="0" fillId="0" borderId="1" xfId="11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179" fontId="0" fillId="0" borderId="1" xfId="14" applyNumberFormat="1" applyFont="1" applyFill="1" applyBorder="1" applyAlignment="1">
      <alignment horizontal="left" vertical="center" wrapText="1"/>
    </xf>
    <xf numFmtId="179" fontId="0" fillId="0" borderId="1" xfId="14" applyNumberFormat="1" applyFont="1" applyFill="1" applyBorder="1" applyAlignment="1">
      <alignment horizontal="center" vertical="center" wrapText="1"/>
    </xf>
    <xf numFmtId="179" fontId="0" fillId="4" borderId="1" xfId="14" applyNumberFormat="1" applyFont="1" applyFill="1" applyBorder="1" applyAlignment="1">
      <alignment horizontal="left" vertical="center" wrapText="1"/>
    </xf>
    <xf numFmtId="179" fontId="0" fillId="3" borderId="1" xfId="14" applyNumberFormat="1" applyFont="1" applyFill="1" applyBorder="1" applyAlignment="1">
      <alignment horizontal="center" vertical="center" wrapText="1"/>
    </xf>
    <xf numFmtId="188" fontId="0" fillId="0" borderId="0" xfId="0" applyNumberFormat="1" applyAlignment="1">
      <alignment vertical="center"/>
    </xf>
    <xf numFmtId="43" fontId="0" fillId="0" borderId="0" xfId="0" applyNumberFormat="1" applyAlignment="1">
      <alignment vertical="center"/>
    </xf>
    <xf numFmtId="9" fontId="0" fillId="0" borderId="0" xfId="0" applyNumberFormat="1" applyAlignment="1">
      <alignment vertical="center"/>
    </xf>
    <xf numFmtId="10" fontId="0" fillId="0" borderId="0" xfId="14" applyNumberFormat="1" applyFont="1" applyAlignment="1">
      <alignment vertical="center"/>
    </xf>
    <xf numFmtId="1" fontId="0" fillId="0" borderId="0" xfId="0" applyNumberFormat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7" fillId="0" borderId="0" xfId="0" applyFont="1" applyAlignment="1">
      <alignment horizontal="center" vertical="center"/>
    </xf>
    <xf numFmtId="179" fontId="25" fillId="3" borderId="1" xfId="14" applyNumberFormat="1" applyFont="1" applyFill="1" applyBorder="1" applyAlignment="1">
      <alignment horizontal="center" vertical="center"/>
    </xf>
    <xf numFmtId="10" fontId="25" fillId="3" borderId="1" xfId="14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179" fontId="2" fillId="4" borderId="1" xfId="0" applyNumberFormat="1" applyFont="1" applyFill="1" applyBorder="1" applyAlignment="1">
      <alignment horizontal="center" vertical="center"/>
    </xf>
    <xf numFmtId="179" fontId="2" fillId="4" borderId="1" xfId="0" applyNumberFormat="1" applyFont="1" applyFill="1" applyBorder="1" applyAlignment="1">
      <alignment vertical="center"/>
    </xf>
    <xf numFmtId="10" fontId="2" fillId="4" borderId="1" xfId="14" applyNumberFormat="1" applyFont="1" applyFill="1" applyBorder="1" applyAlignment="1">
      <alignment horizontal="center" vertical="center"/>
    </xf>
    <xf numFmtId="179" fontId="0" fillId="0" borderId="1" xfId="0" applyNumberFormat="1" applyBorder="1" applyAlignment="1">
      <alignment vertical="center"/>
    </xf>
    <xf numFmtId="10" fontId="0" fillId="0" borderId="1" xfId="14" applyNumberFormat="1" applyBorder="1" applyAlignment="1">
      <alignment horizontal="center" vertical="center"/>
    </xf>
    <xf numFmtId="179" fontId="2" fillId="0" borderId="1" xfId="0" applyNumberFormat="1" applyFont="1" applyBorder="1" applyAlignment="1">
      <alignment horizontal="left" vertical="center"/>
    </xf>
    <xf numFmtId="179" fontId="2" fillId="0" borderId="1" xfId="0" applyNumberFormat="1" applyFont="1" applyBorder="1" applyAlignment="1">
      <alignment vertical="center"/>
    </xf>
    <xf numFmtId="0" fontId="0" fillId="0" borderId="1" xfId="0" applyFont="1" applyFill="1" applyBorder="1" applyAlignment="1">
      <alignment vertical="center"/>
    </xf>
    <xf numFmtId="0" fontId="2" fillId="4" borderId="1" xfId="0" applyFont="1" applyFill="1" applyBorder="1" applyAlignment="1">
      <alignment horizontal="center" vertical="center" wrapText="1"/>
    </xf>
    <xf numFmtId="179" fontId="2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43" fontId="13" fillId="0" borderId="0" xfId="11" applyFont="1" applyAlignment="1">
      <alignment horizontal="center" vertical="center"/>
    </xf>
    <xf numFmtId="0" fontId="13" fillId="17" borderId="0" xfId="0" applyFont="1" applyFill="1" applyAlignment="1">
      <alignment horizontal="center" vertical="center"/>
    </xf>
    <xf numFmtId="0" fontId="13" fillId="0" borderId="0" xfId="0" applyFont="1" applyAlignment="1">
      <alignment horizontal="center" vertical="center"/>
    </xf>
    <xf numFmtId="189" fontId="13" fillId="0" borderId="0" xfId="0" applyNumberFormat="1" applyFont="1" applyAlignment="1">
      <alignment horizontal="center" vertical="center"/>
    </xf>
    <xf numFmtId="179" fontId="13" fillId="0" borderId="0" xfId="0" applyNumberFormat="1" applyFont="1" applyAlignment="1">
      <alignment horizontal="center" vertical="center"/>
    </xf>
    <xf numFmtId="0" fontId="12" fillId="0" borderId="1" xfId="0" applyFont="1" applyBorder="1" applyAlignment="1">
      <alignment vertical="center"/>
    </xf>
    <xf numFmtId="9" fontId="12" fillId="0" borderId="1" xfId="0" applyNumberFormat="1" applyFont="1" applyBorder="1" applyAlignment="1">
      <alignment vertical="center"/>
    </xf>
    <xf numFmtId="9" fontId="0" fillId="0" borderId="1" xfId="14" applyFont="1" applyBorder="1" applyAlignment="1">
      <alignment vertical="center"/>
    </xf>
    <xf numFmtId="9" fontId="0" fillId="0" borderId="0" xfId="14" applyFont="1" applyBorder="1" applyAlignment="1">
      <alignment vertical="center"/>
    </xf>
    <xf numFmtId="0" fontId="26" fillId="9" borderId="1" xfId="0" applyFont="1" applyFill="1" applyBorder="1" applyAlignment="1">
      <alignment horizontal="center" vertical="center"/>
    </xf>
    <xf numFmtId="43" fontId="26" fillId="9" borderId="1" xfId="11" applyFont="1" applyFill="1" applyBorder="1" applyAlignment="1">
      <alignment horizontal="center" vertical="center" wrapText="1"/>
    </xf>
    <xf numFmtId="0" fontId="12" fillId="9" borderId="1" xfId="0" applyFont="1" applyFill="1" applyBorder="1" applyAlignment="1">
      <alignment horizontal="center" vertical="center"/>
    </xf>
    <xf numFmtId="0" fontId="12" fillId="21" borderId="1" xfId="0" applyFont="1" applyFill="1" applyBorder="1" applyAlignment="1">
      <alignment horizontal="center" vertical="center"/>
    </xf>
    <xf numFmtId="0" fontId="26" fillId="9" borderId="1" xfId="0" applyFont="1" applyFill="1" applyBorder="1" applyAlignment="1">
      <alignment horizontal="center" vertical="center" wrapText="1"/>
    </xf>
    <xf numFmtId="43" fontId="26" fillId="9" borderId="1" xfId="0" applyNumberFormat="1" applyFont="1" applyFill="1" applyBorder="1" applyAlignment="1">
      <alignment horizontal="center" vertical="center" wrapText="1"/>
    </xf>
    <xf numFmtId="43" fontId="26" fillId="9" borderId="1" xfId="11" applyFont="1" applyFill="1" applyBorder="1" applyAlignment="1">
      <alignment horizontal="center" vertical="center"/>
    </xf>
    <xf numFmtId="43" fontId="12" fillId="9" borderId="1" xfId="11" applyFont="1" applyFill="1" applyBorder="1" applyAlignment="1">
      <alignment horizontal="center" vertical="center"/>
    </xf>
    <xf numFmtId="180" fontId="12" fillId="21" borderId="1" xfId="0" applyNumberFormat="1" applyFont="1" applyFill="1" applyBorder="1" applyAlignment="1">
      <alignment horizontal="center" vertical="center"/>
    </xf>
    <xf numFmtId="43" fontId="26" fillId="9" borderId="1" xfId="11" applyNumberFormat="1" applyFont="1" applyFill="1" applyBorder="1" applyAlignment="1">
      <alignment horizontal="center" vertical="center"/>
    </xf>
    <xf numFmtId="0" fontId="12" fillId="22" borderId="1" xfId="0" applyFont="1" applyFill="1" applyBorder="1" applyAlignment="1">
      <alignment horizontal="center" vertical="center"/>
    </xf>
    <xf numFmtId="43" fontId="12" fillId="22" borderId="1" xfId="11" applyFont="1" applyFill="1" applyBorder="1" applyAlignment="1">
      <alignment horizontal="center" vertical="center"/>
    </xf>
    <xf numFmtId="0" fontId="26" fillId="23" borderId="1" xfId="0" applyFont="1" applyFill="1" applyBorder="1" applyAlignment="1">
      <alignment horizontal="center" vertical="center"/>
    </xf>
    <xf numFmtId="43" fontId="26" fillId="23" borderId="1" xfId="0" applyNumberFormat="1" applyFont="1" applyFill="1" applyBorder="1" applyAlignment="1">
      <alignment horizontal="center" vertical="center"/>
    </xf>
    <xf numFmtId="43" fontId="13" fillId="3" borderId="0" xfId="11" applyFont="1" applyFill="1" applyAlignment="1">
      <alignment horizontal="center" vertical="center"/>
    </xf>
    <xf numFmtId="43" fontId="13" fillId="17" borderId="0" xfId="0" applyNumberFormat="1" applyFont="1" applyFill="1" applyAlignment="1">
      <alignment horizontal="center" vertical="center"/>
    </xf>
    <xf numFmtId="43" fontId="13" fillId="0" borderId="0" xfId="0" applyNumberFormat="1" applyFont="1" applyAlignment="1">
      <alignment horizontal="center" vertical="center"/>
    </xf>
    <xf numFmtId="189" fontId="0" fillId="0" borderId="0" xfId="0" applyNumberFormat="1" applyAlignment="1">
      <alignment vertical="center"/>
    </xf>
    <xf numFmtId="43" fontId="19" fillId="21" borderId="1" xfId="11" applyFont="1" applyFill="1" applyBorder="1" applyAlignment="1">
      <alignment horizontal="center" vertical="center" wrapText="1"/>
    </xf>
    <xf numFmtId="0" fontId="13" fillId="21" borderId="1" xfId="0" applyFont="1" applyFill="1" applyBorder="1" applyAlignment="1">
      <alignment horizontal="center" vertical="center"/>
    </xf>
    <xf numFmtId="0" fontId="13" fillId="24" borderId="1" xfId="0" applyFont="1" applyFill="1" applyBorder="1" applyAlignment="1">
      <alignment horizontal="center" vertical="center"/>
    </xf>
    <xf numFmtId="0" fontId="13" fillId="25" borderId="1" xfId="0" applyFont="1" applyFill="1" applyBorder="1" applyAlignment="1">
      <alignment horizontal="center" vertical="center" wrapText="1"/>
    </xf>
    <xf numFmtId="0" fontId="13" fillId="25" borderId="1" xfId="0" applyFont="1" applyFill="1" applyBorder="1" applyAlignment="1">
      <alignment horizontal="center" vertical="center"/>
    </xf>
    <xf numFmtId="0" fontId="12" fillId="25" borderId="1" xfId="0" applyFont="1" applyFill="1" applyBorder="1" applyAlignment="1">
      <alignment horizontal="center" vertical="center"/>
    </xf>
    <xf numFmtId="189" fontId="13" fillId="25" borderId="1" xfId="0" applyNumberFormat="1" applyFont="1" applyFill="1" applyBorder="1" applyAlignment="1">
      <alignment horizontal="center" vertical="center"/>
    </xf>
    <xf numFmtId="180" fontId="13" fillId="21" borderId="1" xfId="0" applyNumberFormat="1" applyFont="1" applyFill="1" applyBorder="1" applyAlignment="1">
      <alignment horizontal="center" vertical="center"/>
    </xf>
    <xf numFmtId="43" fontId="13" fillId="21" borderId="1" xfId="0" applyNumberFormat="1" applyFont="1" applyFill="1" applyBorder="1" applyAlignment="1">
      <alignment horizontal="center" vertical="center"/>
    </xf>
    <xf numFmtId="43" fontId="13" fillId="24" borderId="1" xfId="0" applyNumberFormat="1" applyFont="1" applyFill="1" applyBorder="1" applyAlignment="1">
      <alignment horizontal="center" vertical="center"/>
    </xf>
    <xf numFmtId="43" fontId="13" fillId="25" borderId="1" xfId="0" applyNumberFormat="1" applyFont="1" applyFill="1" applyBorder="1" applyAlignment="1">
      <alignment horizontal="center" vertical="center"/>
    </xf>
    <xf numFmtId="10" fontId="13" fillId="25" borderId="1" xfId="14" applyNumberFormat="1" applyFont="1" applyFill="1" applyBorder="1" applyAlignment="1">
      <alignment horizontal="center" vertical="center"/>
    </xf>
    <xf numFmtId="180" fontId="12" fillId="25" borderId="1" xfId="0" applyNumberFormat="1" applyFont="1" applyFill="1" applyBorder="1" applyAlignment="1">
      <alignment horizontal="center" vertical="center"/>
    </xf>
    <xf numFmtId="189" fontId="13" fillId="3" borderId="1" xfId="0" applyNumberFormat="1" applyFont="1" applyFill="1" applyBorder="1" applyAlignment="1">
      <alignment horizontal="center" vertical="center"/>
    </xf>
    <xf numFmtId="0" fontId="12" fillId="24" borderId="1" xfId="0" applyFont="1" applyFill="1" applyBorder="1" applyAlignment="1">
      <alignment horizontal="center" vertical="center"/>
    </xf>
    <xf numFmtId="43" fontId="26" fillId="25" borderId="1" xfId="11" applyFont="1" applyFill="1" applyBorder="1" applyAlignment="1">
      <alignment horizontal="center" vertical="center" wrapText="1"/>
    </xf>
    <xf numFmtId="43" fontId="12" fillId="24" borderId="1" xfId="11" applyFont="1" applyFill="1" applyBorder="1" applyAlignment="1">
      <alignment horizontal="center" vertical="center"/>
    </xf>
    <xf numFmtId="43" fontId="12" fillId="3" borderId="1" xfId="11" applyFont="1" applyFill="1" applyBorder="1" applyAlignment="1">
      <alignment horizontal="center" vertical="center"/>
    </xf>
    <xf numFmtId="43" fontId="12" fillId="25" borderId="1" xfId="11" applyFont="1" applyFill="1" applyBorder="1" applyAlignment="1">
      <alignment horizontal="center" vertical="center"/>
    </xf>
    <xf numFmtId="189" fontId="12" fillId="25" borderId="1" xfId="11" applyNumberFormat="1" applyFont="1" applyFill="1" applyBorder="1" applyAlignment="1">
      <alignment horizontal="center" vertical="center"/>
    </xf>
    <xf numFmtId="10" fontId="26" fillId="23" borderId="1" xfId="14" applyNumberFormat="1" applyFont="1" applyFill="1" applyBorder="1" applyAlignment="1">
      <alignment horizontal="center" vertical="center"/>
    </xf>
    <xf numFmtId="43" fontId="26" fillId="26" borderId="1" xfId="0" applyNumberFormat="1" applyFont="1" applyFill="1" applyBorder="1" applyAlignment="1">
      <alignment horizontal="center" vertical="center"/>
    </xf>
    <xf numFmtId="43" fontId="13" fillId="0" borderId="0" xfId="11" applyFont="1" applyFill="1" applyAlignment="1">
      <alignment horizontal="center" vertical="center"/>
    </xf>
    <xf numFmtId="189" fontId="13" fillId="17" borderId="0" xfId="0" applyNumberFormat="1" applyFont="1" applyFill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6" borderId="1" xfId="0" applyFont="1" applyFill="1" applyBorder="1" applyAlignment="1">
      <alignment horizontal="center" vertical="center"/>
    </xf>
    <xf numFmtId="43" fontId="12" fillId="6" borderId="1" xfId="0" applyNumberFormat="1" applyFont="1" applyFill="1" applyBorder="1" applyAlignment="1">
      <alignment horizontal="center" vertical="center"/>
    </xf>
    <xf numFmtId="10" fontId="12" fillId="6" borderId="1" xfId="14" applyNumberFormat="1" applyFont="1" applyFill="1" applyBorder="1" applyAlignment="1">
      <alignment horizontal="center" vertical="center"/>
    </xf>
    <xf numFmtId="189" fontId="12" fillId="6" borderId="1" xfId="0" applyNumberFormat="1" applyFont="1" applyFill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43" fontId="12" fillId="0" borderId="1" xfId="0" applyNumberFormat="1" applyFont="1" applyBorder="1" applyAlignment="1">
      <alignment horizontal="center" vertical="center"/>
    </xf>
    <xf numFmtId="179" fontId="12" fillId="0" borderId="1" xfId="0" applyNumberFormat="1" applyFont="1" applyBorder="1" applyAlignment="1">
      <alignment horizontal="center" vertical="center"/>
    </xf>
    <xf numFmtId="10" fontId="12" fillId="0" borderId="1" xfId="14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179" fontId="12" fillId="0" borderId="1" xfId="11" applyNumberFormat="1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179" fontId="1" fillId="0" borderId="0" xfId="0" applyNumberFormat="1" applyFont="1" applyBorder="1" applyAlignment="1">
      <alignment vertical="center"/>
    </xf>
    <xf numFmtId="0" fontId="12" fillId="27" borderId="1" xfId="0" applyFont="1" applyFill="1" applyBorder="1" applyAlignment="1">
      <alignment horizontal="center" vertical="center"/>
    </xf>
    <xf numFmtId="43" fontId="13" fillId="17" borderId="11" xfId="11" applyFont="1" applyFill="1" applyBorder="1" applyAlignment="1">
      <alignment horizontal="center" vertical="center"/>
    </xf>
    <xf numFmtId="180" fontId="13" fillId="25" borderId="1" xfId="0" applyNumberFormat="1" applyFont="1" applyFill="1" applyBorder="1" applyAlignment="1">
      <alignment horizontal="center" vertical="center"/>
    </xf>
    <xf numFmtId="43" fontId="12" fillId="27" borderId="1" xfId="0" applyNumberFormat="1" applyFont="1" applyFill="1" applyBorder="1" applyAlignment="1">
      <alignment horizontal="center" vertical="center"/>
    </xf>
    <xf numFmtId="43" fontId="13" fillId="17" borderId="0" xfId="11" applyFont="1" applyFill="1" applyAlignment="1">
      <alignment horizontal="center" vertical="center"/>
    </xf>
    <xf numFmtId="179" fontId="13" fillId="17" borderId="0" xfId="0" applyNumberFormat="1" applyFont="1" applyFill="1" applyAlignment="1">
      <alignment horizontal="center" vertical="center"/>
    </xf>
    <xf numFmtId="0" fontId="13" fillId="27" borderId="1" xfId="0" applyFont="1" applyFill="1" applyBorder="1" applyAlignment="1">
      <alignment horizontal="center" vertical="center"/>
    </xf>
    <xf numFmtId="43" fontId="12" fillId="27" borderId="1" xfId="11" applyFont="1" applyFill="1" applyBorder="1" applyAlignment="1">
      <alignment horizontal="center" vertical="center"/>
    </xf>
    <xf numFmtId="179" fontId="13" fillId="0" borderId="0" xfId="11" applyNumberFormat="1" applyFont="1" applyAlignment="1">
      <alignment horizontal="center" vertical="center"/>
    </xf>
    <xf numFmtId="180" fontId="0" fillId="0" borderId="0" xfId="68" applyNumberFormat="1" applyFont="1"/>
    <xf numFmtId="0" fontId="2" fillId="9" borderId="1" xfId="0" applyFont="1" applyFill="1" applyBorder="1" applyAlignment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9" fontId="2" fillId="0" borderId="1" xfId="14" applyFont="1" applyBorder="1" applyAlignment="1">
      <alignment vertical="center"/>
    </xf>
    <xf numFmtId="9" fontId="2" fillId="0" borderId="1" xfId="14" applyNumberFormat="1" applyFont="1" applyBorder="1" applyAlignment="1">
      <alignment vertical="center"/>
    </xf>
    <xf numFmtId="179" fontId="2" fillId="3" borderId="1" xfId="0" applyNumberFormat="1" applyFont="1" applyFill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0" fillId="12" borderId="1" xfId="0" applyFill="1" applyBorder="1" applyAlignment="1">
      <alignment horizontal="center" vertical="center"/>
    </xf>
    <xf numFmtId="0" fontId="0" fillId="12" borderId="1" xfId="0" applyFont="1" applyFill="1" applyBorder="1" applyAlignment="1">
      <alignment vertical="center"/>
    </xf>
    <xf numFmtId="188" fontId="0" fillId="3" borderId="1" xfId="14" applyNumberFormat="1" applyFont="1" applyFill="1" applyBorder="1" applyAlignment="1">
      <alignment vertical="center"/>
    </xf>
    <xf numFmtId="9" fontId="0" fillId="3" borderId="1" xfId="14" applyFont="1" applyFill="1" applyBorder="1" applyAlignment="1">
      <alignment vertical="center"/>
    </xf>
    <xf numFmtId="180" fontId="0" fillId="6" borderId="0" xfId="68" applyNumberFormat="1" applyFont="1" applyFill="1"/>
    <xf numFmtId="0" fontId="12" fillId="0" borderId="12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0" fillId="9" borderId="1" xfId="0" applyFont="1" applyFill="1" applyBorder="1" applyAlignment="1">
      <alignment vertical="center"/>
    </xf>
    <xf numFmtId="10" fontId="0" fillId="9" borderId="1" xfId="14" applyNumberFormat="1" applyFont="1" applyFill="1" applyBorder="1" applyAlignment="1">
      <alignment vertical="center"/>
    </xf>
    <xf numFmtId="0" fontId="0" fillId="0" borderId="5" xfId="0" applyFont="1" applyFill="1" applyBorder="1" applyAlignment="1">
      <alignment horizontal="center" vertical="center"/>
    </xf>
    <xf numFmtId="185" fontId="0" fillId="0" borderId="5" xfId="0" applyNumberFormat="1" applyFill="1" applyBorder="1" applyAlignment="1">
      <alignment horizontal="center" vertical="center"/>
    </xf>
    <xf numFmtId="0" fontId="23" fillId="0" borderId="5" xfId="13" applyFill="1" applyBorder="1" applyAlignment="1">
      <alignment horizontal="center" vertical="center"/>
    </xf>
    <xf numFmtId="0" fontId="0" fillId="0" borderId="5" xfId="0" applyFont="1" applyFill="1" applyBorder="1" applyAlignment="1">
      <alignment vertical="center"/>
    </xf>
    <xf numFmtId="10" fontId="0" fillId="0" borderId="5" xfId="14" applyNumberFormat="1" applyFont="1" applyFill="1" applyBorder="1" applyAlignment="1">
      <alignment vertical="center"/>
    </xf>
    <xf numFmtId="0" fontId="0" fillId="0" borderId="5" xfId="0" applyFill="1" applyBorder="1" applyAlignment="1">
      <alignment vertical="center"/>
    </xf>
    <xf numFmtId="0" fontId="2" fillId="28" borderId="5" xfId="0" applyFont="1" applyFill="1" applyBorder="1" applyAlignment="1">
      <alignment horizontal="center" vertical="center"/>
    </xf>
    <xf numFmtId="43" fontId="27" fillId="9" borderId="1" xfId="11" applyFont="1" applyFill="1" applyBorder="1" applyAlignment="1">
      <alignment horizontal="center" vertical="center"/>
    </xf>
    <xf numFmtId="10" fontId="12" fillId="9" borderId="1" xfId="14" applyNumberFormat="1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43" fontId="26" fillId="3" borderId="1" xfId="11" applyFont="1" applyFill="1" applyBorder="1" applyAlignment="1">
      <alignment horizontal="center" vertical="center"/>
    </xf>
    <xf numFmtId="0" fontId="12" fillId="29" borderId="10" xfId="0" applyFont="1" applyFill="1" applyBorder="1" applyAlignment="1">
      <alignment horizontal="center" vertical="center"/>
    </xf>
    <xf numFmtId="0" fontId="12" fillId="29" borderId="4" xfId="0" applyFont="1" applyFill="1" applyBorder="1" applyAlignment="1">
      <alignment horizontal="center" vertical="center"/>
    </xf>
    <xf numFmtId="43" fontId="12" fillId="29" borderId="1" xfId="0" applyNumberFormat="1" applyFont="1" applyFill="1" applyBorder="1" applyAlignment="1">
      <alignment horizontal="center" vertical="center"/>
    </xf>
    <xf numFmtId="43" fontId="26" fillId="29" borderId="1" xfId="11" applyFont="1" applyFill="1" applyBorder="1" applyAlignment="1">
      <alignment horizontal="center" vertical="center"/>
    </xf>
    <xf numFmtId="10" fontId="12" fillId="29" borderId="1" xfId="14" applyNumberFormat="1" applyFont="1" applyFill="1" applyBorder="1" applyAlignment="1">
      <alignment horizontal="center" vertical="center"/>
    </xf>
    <xf numFmtId="181" fontId="12" fillId="9" borderId="1" xfId="11" applyNumberFormat="1" applyFont="1" applyFill="1" applyBorder="1" applyAlignment="1">
      <alignment horizontal="center" vertical="center"/>
    </xf>
    <xf numFmtId="190" fontId="12" fillId="9" borderId="1" xfId="11" applyNumberFormat="1" applyFont="1" applyFill="1" applyBorder="1" applyAlignment="1">
      <alignment horizontal="center" vertical="center"/>
    </xf>
    <xf numFmtId="0" fontId="12" fillId="29" borderId="9" xfId="0" applyFont="1" applyFill="1" applyBorder="1" applyAlignment="1">
      <alignment horizontal="center" vertical="center"/>
    </xf>
    <xf numFmtId="0" fontId="12" fillId="29" borderId="13" xfId="0" applyFont="1" applyFill="1" applyBorder="1" applyAlignment="1">
      <alignment horizontal="center" vertical="center"/>
    </xf>
    <xf numFmtId="43" fontId="12" fillId="29" borderId="1" xfId="11" applyFont="1" applyFill="1" applyBorder="1" applyAlignment="1">
      <alignment horizontal="center" vertical="center"/>
    </xf>
    <xf numFmtId="0" fontId="12" fillId="29" borderId="1" xfId="0" applyFont="1" applyFill="1" applyBorder="1" applyAlignment="1">
      <alignment horizontal="center" vertical="center"/>
    </xf>
    <xf numFmtId="0" fontId="12" fillId="11" borderId="5" xfId="0" applyFont="1" applyFill="1" applyBorder="1" applyAlignment="1">
      <alignment horizontal="center" vertical="center"/>
    </xf>
    <xf numFmtId="0" fontId="12" fillId="11" borderId="14" xfId="0" applyFont="1" applyFill="1" applyBorder="1" applyAlignment="1">
      <alignment horizontal="center" vertical="center"/>
    </xf>
    <xf numFmtId="43" fontId="12" fillId="11" borderId="1" xfId="0" applyNumberFormat="1" applyFont="1" applyFill="1" applyBorder="1" applyAlignment="1">
      <alignment horizontal="center" vertical="center"/>
    </xf>
    <xf numFmtId="43" fontId="12" fillId="11" borderId="1" xfId="11" applyFont="1" applyFill="1" applyBorder="1" applyAlignment="1">
      <alignment horizontal="center" vertical="center"/>
    </xf>
    <xf numFmtId="10" fontId="12" fillId="11" borderId="1" xfId="14" applyNumberFormat="1" applyFont="1" applyFill="1" applyBorder="1" applyAlignment="1">
      <alignment horizontal="center" vertical="center"/>
    </xf>
    <xf numFmtId="0" fontId="12" fillId="11" borderId="1" xfId="0" applyFont="1" applyFill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179" fontId="13" fillId="0" borderId="1" xfId="0" applyNumberFormat="1" applyFont="1" applyFill="1" applyBorder="1" applyAlignment="1">
      <alignment horizontal="center" vertical="center"/>
    </xf>
    <xf numFmtId="43" fontId="26" fillId="0" borderId="1" xfId="11" applyFont="1" applyFill="1" applyBorder="1" applyAlignment="1">
      <alignment horizontal="center" vertical="center"/>
    </xf>
    <xf numFmtId="179" fontId="13" fillId="3" borderId="1" xfId="0" applyNumberFormat="1" applyFont="1" applyFill="1" applyBorder="1" applyAlignment="1">
      <alignment horizontal="center" vertical="center"/>
    </xf>
    <xf numFmtId="179" fontId="13" fillId="0" borderId="0" xfId="0" applyNumberFormat="1" applyFont="1" applyAlignment="1">
      <alignment horizontal="left" vertical="center"/>
    </xf>
    <xf numFmtId="187" fontId="12" fillId="29" borderId="1" xfId="0" applyNumberFormat="1" applyFont="1" applyFill="1" applyBorder="1" applyAlignment="1">
      <alignment horizontal="center" vertical="center"/>
    </xf>
    <xf numFmtId="187" fontId="12" fillId="11" borderId="1" xfId="11" applyNumberFormat="1" applyFont="1" applyFill="1" applyBorder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0" fillId="6" borderId="0" xfId="0" applyFill="1" applyAlignment="1">
      <alignment vertical="center"/>
    </xf>
    <xf numFmtId="0" fontId="0" fillId="12" borderId="1" xfId="0" applyFill="1" applyBorder="1" applyAlignment="1">
      <alignment vertical="center"/>
    </xf>
    <xf numFmtId="0" fontId="0" fillId="12" borderId="12" xfId="0" applyFill="1" applyBorder="1" applyAlignment="1">
      <alignment horizontal="center" vertical="center"/>
    </xf>
    <xf numFmtId="0" fontId="0" fillId="12" borderId="5" xfId="0" applyFill="1" applyBorder="1" applyAlignment="1">
      <alignment horizontal="center" vertical="center"/>
    </xf>
    <xf numFmtId="43" fontId="28" fillId="12" borderId="1" xfId="11" applyFont="1" applyFill="1" applyBorder="1">
      <alignment vertical="center"/>
    </xf>
    <xf numFmtId="43" fontId="28" fillId="3" borderId="1" xfId="11" applyFont="1" applyFill="1" applyBorder="1" applyAlignment="1"/>
    <xf numFmtId="43" fontId="28" fillId="3" borderId="1" xfId="11" applyFont="1" applyFill="1" applyBorder="1" applyAlignment="1">
      <alignment horizontal="right"/>
    </xf>
    <xf numFmtId="43" fontId="29" fillId="3" borderId="1" xfId="11" applyFont="1" applyFill="1" applyBorder="1" applyAlignment="1"/>
    <xf numFmtId="43" fontId="28" fillId="3" borderId="1" xfId="11" applyFont="1" applyFill="1" applyBorder="1" applyAlignment="1">
      <alignment horizontal="center" vertical="center"/>
    </xf>
    <xf numFmtId="43" fontId="29" fillId="3" borderId="1" xfId="11" applyFont="1" applyFill="1" applyBorder="1" applyAlignment="1">
      <alignment horizontal="center" vertical="center"/>
    </xf>
    <xf numFmtId="43" fontId="28" fillId="3" borderId="1" xfId="11" applyFont="1" applyFill="1" applyBorder="1">
      <alignment vertical="center"/>
    </xf>
    <xf numFmtId="0" fontId="0" fillId="3" borderId="1" xfId="0" applyFill="1" applyBorder="1" applyAlignment="1">
      <alignment vertical="center"/>
    </xf>
    <xf numFmtId="0" fontId="0" fillId="12" borderId="14" xfId="0" applyFill="1" applyBorder="1" applyAlignment="1">
      <alignment horizontal="center" vertical="center"/>
    </xf>
    <xf numFmtId="0" fontId="0" fillId="30" borderId="12" xfId="0" applyFill="1" applyBorder="1" applyAlignment="1">
      <alignment horizontal="center" vertical="center"/>
    </xf>
    <xf numFmtId="0" fontId="0" fillId="30" borderId="5" xfId="0" applyFill="1" applyBorder="1" applyAlignment="1">
      <alignment horizontal="center" vertical="center"/>
    </xf>
    <xf numFmtId="43" fontId="28" fillId="30" borderId="1" xfId="11" applyFont="1" applyFill="1" applyBorder="1">
      <alignment vertical="center"/>
    </xf>
    <xf numFmtId="0" fontId="0" fillId="30" borderId="1" xfId="0" applyFill="1" applyBorder="1" applyAlignment="1">
      <alignment horizontal="center" vertical="center"/>
    </xf>
    <xf numFmtId="43" fontId="28" fillId="6" borderId="1" xfId="11" applyFont="1" applyFill="1" applyBorder="1" applyAlignment="1"/>
    <xf numFmtId="43" fontId="29" fillId="6" borderId="1" xfId="11" applyFont="1" applyFill="1" applyBorder="1" applyAlignment="1"/>
    <xf numFmtId="43" fontId="30" fillId="3" borderId="1" xfId="11" applyFont="1" applyFill="1" applyBorder="1">
      <alignment vertical="center"/>
    </xf>
    <xf numFmtId="43" fontId="31" fillId="3" borderId="1" xfId="11" applyFont="1" applyFill="1" applyBorder="1">
      <alignment vertical="center"/>
    </xf>
    <xf numFmtId="43" fontId="31" fillId="6" borderId="1" xfId="11" applyFont="1" applyFill="1" applyBorder="1">
      <alignment vertical="center"/>
    </xf>
    <xf numFmtId="43" fontId="28" fillId="6" borderId="1" xfId="11" applyFont="1" applyFill="1" applyBorder="1">
      <alignment vertical="center"/>
    </xf>
    <xf numFmtId="0" fontId="0" fillId="30" borderId="14" xfId="0" applyFill="1" applyBorder="1" applyAlignment="1">
      <alignment horizontal="center" vertical="center"/>
    </xf>
    <xf numFmtId="0" fontId="0" fillId="31" borderId="12" xfId="0" applyFill="1" applyBorder="1" applyAlignment="1">
      <alignment horizontal="center" vertical="center"/>
    </xf>
    <xf numFmtId="43" fontId="28" fillId="31" borderId="1" xfId="11" applyFont="1" applyFill="1" applyBorder="1">
      <alignment vertical="center"/>
    </xf>
    <xf numFmtId="0" fontId="0" fillId="31" borderId="5" xfId="0" applyFill="1" applyBorder="1" applyAlignment="1">
      <alignment horizontal="center" vertical="center"/>
    </xf>
    <xf numFmtId="43" fontId="0" fillId="6" borderId="1" xfId="0" applyNumberFormat="1" applyFill="1" applyBorder="1" applyAlignment="1">
      <alignment vertical="center"/>
    </xf>
    <xf numFmtId="0" fontId="0" fillId="6" borderId="1" xfId="0" applyFill="1" applyBorder="1" applyAlignment="1">
      <alignment vertical="center"/>
    </xf>
    <xf numFmtId="43" fontId="30" fillId="6" borderId="1" xfId="11" applyFont="1" applyFill="1" applyBorder="1">
      <alignment vertical="center"/>
    </xf>
    <xf numFmtId="180" fontId="13" fillId="0" borderId="0" xfId="68" applyNumberFormat="1" applyFont="1"/>
    <xf numFmtId="180" fontId="0" fillId="32" borderId="0" xfId="68" applyNumberFormat="1" applyFont="1" applyFill="1"/>
    <xf numFmtId="180" fontId="32" fillId="32" borderId="0" xfId="68" applyNumberFormat="1" applyFont="1" applyFill="1"/>
    <xf numFmtId="180" fontId="0" fillId="0" borderId="0" xfId="68" applyNumberFormat="1" applyFont="1" applyFill="1"/>
    <xf numFmtId="180" fontId="0" fillId="0" borderId="0" xfId="68" applyNumberFormat="1" applyFont="1" applyAlignment="1">
      <alignment horizontal="center" vertical="center"/>
    </xf>
    <xf numFmtId="180" fontId="0" fillId="0" borderId="0" xfId="0" applyNumberFormat="1" applyAlignment="1">
      <alignment horizontal="center" vertical="center" wrapText="1"/>
    </xf>
    <xf numFmtId="0" fontId="2" fillId="28" borderId="5" xfId="0" applyFont="1" applyFill="1" applyBorder="1" applyAlignment="1">
      <alignment horizontal="center" vertical="center" wrapText="1"/>
    </xf>
    <xf numFmtId="180" fontId="33" fillId="15" borderId="1" xfId="95" applyNumberFormat="1" applyFont="1" applyFill="1" applyBorder="1" applyAlignment="1">
      <alignment horizontal="center" vertical="center" wrapText="1"/>
    </xf>
    <xf numFmtId="180" fontId="33" fillId="33" borderId="1" xfId="95" applyNumberFormat="1" applyFont="1" applyFill="1" applyBorder="1" applyAlignment="1">
      <alignment horizontal="center" wrapText="1"/>
    </xf>
    <xf numFmtId="180" fontId="27" fillId="15" borderId="1" xfId="68" applyNumberFormat="1" applyFont="1" applyFill="1" applyBorder="1" applyAlignment="1">
      <alignment horizontal="center" vertical="center"/>
    </xf>
    <xf numFmtId="191" fontId="33" fillId="3" borderId="1" xfId="95" applyNumberFormat="1" applyFont="1" applyFill="1" applyBorder="1" applyAlignment="1">
      <alignment horizontal="center" vertical="center" wrapText="1"/>
    </xf>
    <xf numFmtId="180" fontId="32" fillId="15" borderId="1" xfId="95" applyNumberFormat="1" applyFont="1" applyFill="1" applyBorder="1" applyAlignment="1">
      <alignment horizontal="center" vertical="center" wrapText="1"/>
    </xf>
    <xf numFmtId="180" fontId="32" fillId="3" borderId="1" xfId="95" applyNumberFormat="1" applyFont="1" applyFill="1" applyBorder="1" applyAlignment="1">
      <alignment horizontal="center" vertical="center" wrapText="1"/>
    </xf>
    <xf numFmtId="177" fontId="33" fillId="8" borderId="15" xfId="95" applyNumberFormat="1" applyFont="1" applyFill="1" applyBorder="1" applyAlignment="1">
      <alignment horizontal="center" vertical="center" wrapText="1"/>
    </xf>
    <xf numFmtId="180" fontId="33" fillId="8" borderId="1" xfId="95" applyNumberFormat="1" applyFont="1" applyFill="1" applyBorder="1" applyAlignment="1">
      <alignment horizontal="center" vertical="center" wrapText="1"/>
    </xf>
    <xf numFmtId="180" fontId="34" fillId="8" borderId="1" xfId="95" applyNumberFormat="1" applyFont="1" applyFill="1" applyBorder="1" applyAlignment="1">
      <alignment horizontal="center" vertical="center" wrapText="1"/>
    </xf>
    <xf numFmtId="180" fontId="33" fillId="34" borderId="15" xfId="95" applyNumberFormat="1" applyFont="1" applyFill="1" applyBorder="1" applyAlignment="1">
      <alignment horizontal="center" vertical="center" wrapText="1"/>
    </xf>
    <xf numFmtId="180" fontId="33" fillId="34" borderId="1" xfId="95" applyNumberFormat="1" applyFont="1" applyFill="1" applyBorder="1" applyAlignment="1">
      <alignment horizontal="center" vertical="center" wrapText="1"/>
    </xf>
    <xf numFmtId="180" fontId="33" fillId="3" borderId="1" xfId="95" applyNumberFormat="1" applyFont="1" applyFill="1" applyBorder="1" applyAlignment="1">
      <alignment horizontal="center" vertical="center" wrapText="1"/>
    </xf>
    <xf numFmtId="180" fontId="34" fillId="6" borderId="1" xfId="95" applyNumberFormat="1" applyFont="1" applyFill="1" applyBorder="1" applyAlignment="1">
      <alignment horizontal="center" vertical="center" wrapText="1"/>
    </xf>
    <xf numFmtId="180" fontId="33" fillId="0" borderId="1" xfId="95" applyNumberFormat="1" applyFont="1" applyFill="1" applyBorder="1" applyAlignment="1">
      <alignment horizontal="center" vertical="center" wrapText="1"/>
    </xf>
    <xf numFmtId="180" fontId="34" fillId="3" borderId="1" xfId="95" applyNumberFormat="1" applyFont="1" applyFill="1" applyBorder="1" applyAlignment="1">
      <alignment horizontal="center" vertical="center" wrapText="1"/>
    </xf>
    <xf numFmtId="180" fontId="33" fillId="35" borderId="1" xfId="95" applyNumberFormat="1" applyFont="1" applyFill="1" applyBorder="1" applyAlignment="1" applyProtection="1">
      <alignment horizontal="center" vertical="center" wrapText="1"/>
      <protection locked="0"/>
    </xf>
    <xf numFmtId="180" fontId="33" fillId="29" borderId="15" xfId="95" applyNumberFormat="1" applyFont="1" applyFill="1" applyBorder="1" applyAlignment="1">
      <alignment horizontal="center" vertical="center" wrapText="1"/>
    </xf>
    <xf numFmtId="180" fontId="33" fillId="29" borderId="1" xfId="95" applyNumberFormat="1" applyFont="1" applyFill="1" applyBorder="1" applyAlignment="1">
      <alignment horizontal="center" vertical="center" wrapText="1"/>
    </xf>
    <xf numFmtId="180" fontId="32" fillId="0" borderId="15" xfId="95" applyNumberFormat="1" applyFont="1" applyBorder="1" applyAlignment="1">
      <alignment horizontal="center" vertical="center" wrapText="1"/>
    </xf>
    <xf numFmtId="180" fontId="32" fillId="5" borderId="1" xfId="95" applyNumberFormat="1" applyFont="1" applyFill="1" applyBorder="1" applyAlignment="1" applyProtection="1">
      <alignment horizontal="center" vertical="center" wrapText="1"/>
    </xf>
    <xf numFmtId="180" fontId="33" fillId="0" borderId="1" xfId="95" applyNumberFormat="1" applyFont="1" applyBorder="1" applyAlignment="1">
      <alignment horizontal="center" vertical="center" wrapText="1"/>
    </xf>
    <xf numFmtId="180" fontId="32" fillId="0" borderId="1" xfId="95" applyNumberFormat="1" applyFont="1" applyFill="1" applyBorder="1" applyAlignment="1" applyProtection="1">
      <alignment horizontal="center" vertical="center" wrapText="1"/>
    </xf>
    <xf numFmtId="180" fontId="32" fillId="0" borderId="1" xfId="95" applyNumberFormat="1" applyFont="1" applyFill="1" applyBorder="1" applyAlignment="1" applyProtection="1">
      <alignment horizontal="center" vertical="center" wrapText="1"/>
      <protection locked="0"/>
    </xf>
    <xf numFmtId="180" fontId="32" fillId="6" borderId="15" xfId="95" applyNumberFormat="1" applyFont="1" applyFill="1" applyBorder="1" applyAlignment="1">
      <alignment horizontal="center" vertical="center" wrapText="1"/>
    </xf>
    <xf numFmtId="180" fontId="33" fillId="6" borderId="1" xfId="95" applyNumberFormat="1" applyFont="1" applyFill="1" applyBorder="1" applyAlignment="1">
      <alignment horizontal="center" vertical="center" wrapText="1"/>
    </xf>
    <xf numFmtId="180" fontId="32" fillId="0" borderId="1" xfId="95" applyNumberFormat="1" applyFont="1" applyFill="1" applyBorder="1" applyAlignment="1">
      <alignment horizontal="center" vertical="center" wrapText="1"/>
    </xf>
    <xf numFmtId="180" fontId="35" fillId="0" borderId="1" xfId="11" applyNumberFormat="1" applyFont="1" applyFill="1" applyBorder="1" applyAlignment="1">
      <alignment horizontal="center" vertical="center" wrapText="1"/>
    </xf>
    <xf numFmtId="180" fontId="36" fillId="0" borderId="1" xfId="95" applyNumberFormat="1" applyFont="1" applyFill="1" applyBorder="1" applyAlignment="1">
      <alignment horizontal="center" vertical="center" wrapText="1"/>
    </xf>
    <xf numFmtId="180" fontId="36" fillId="0" borderId="1" xfId="95" applyNumberFormat="1" applyFont="1" applyBorder="1" applyAlignment="1">
      <alignment horizontal="center" vertical="center" wrapText="1"/>
    </xf>
    <xf numFmtId="180" fontId="32" fillId="32" borderId="1" xfId="95" applyNumberFormat="1" applyFont="1" applyFill="1" applyBorder="1" applyAlignment="1">
      <alignment horizontal="center" vertical="center" wrapText="1"/>
    </xf>
    <xf numFmtId="180" fontId="32" fillId="0" borderId="16" xfId="95" applyNumberFormat="1" applyFont="1" applyBorder="1" applyAlignment="1">
      <alignment horizontal="center" vertical="center" wrapText="1"/>
    </xf>
    <xf numFmtId="180" fontId="32" fillId="3" borderId="7" xfId="95" applyNumberFormat="1" applyFont="1" applyFill="1" applyBorder="1" applyAlignment="1">
      <alignment horizontal="center" vertical="center" wrapText="1"/>
    </xf>
    <xf numFmtId="180" fontId="37" fillId="0" borderId="1" xfId="11" applyNumberFormat="1" applyFont="1" applyBorder="1" applyAlignment="1">
      <alignment horizontal="center" vertical="center" wrapText="1"/>
    </xf>
    <xf numFmtId="180" fontId="32" fillId="3" borderId="6" xfId="95" applyNumberFormat="1" applyFont="1" applyFill="1" applyBorder="1" applyAlignment="1">
      <alignment horizontal="center" vertical="center" wrapText="1"/>
    </xf>
    <xf numFmtId="180" fontId="37" fillId="0" borderId="1" xfId="11" applyNumberFormat="1" applyFont="1" applyFill="1" applyBorder="1" applyAlignment="1">
      <alignment horizontal="center" vertical="center" wrapText="1"/>
    </xf>
    <xf numFmtId="180" fontId="38" fillId="3" borderId="1" xfId="95" applyNumberFormat="1" applyFont="1" applyFill="1" applyBorder="1" applyAlignment="1">
      <alignment horizontal="center" vertical="center" wrapText="1"/>
    </xf>
    <xf numFmtId="180" fontId="32" fillId="32" borderId="16" xfId="95" applyNumberFormat="1" applyFont="1" applyFill="1" applyBorder="1" applyAlignment="1">
      <alignment horizontal="center" vertical="center" wrapText="1"/>
    </xf>
    <xf numFmtId="180" fontId="38" fillId="32" borderId="1" xfId="95" applyNumberFormat="1" applyFont="1" applyFill="1" applyBorder="1" applyAlignment="1">
      <alignment horizontal="center" vertical="center" wrapText="1"/>
    </xf>
    <xf numFmtId="180" fontId="37" fillId="32" borderId="1" xfId="11" applyNumberFormat="1" applyFont="1" applyFill="1" applyBorder="1" applyAlignment="1">
      <alignment horizontal="center" vertical="center" wrapText="1"/>
    </xf>
    <xf numFmtId="180" fontId="38" fillId="3" borderId="6" xfId="95" applyNumberFormat="1" applyFont="1" applyFill="1" applyBorder="1" applyAlignment="1">
      <alignment horizontal="center" vertical="center" wrapText="1"/>
    </xf>
    <xf numFmtId="180" fontId="39" fillId="3" borderId="1" xfId="95" applyNumberFormat="1" applyFont="1" applyFill="1" applyBorder="1" applyAlignment="1">
      <alignment horizontal="center" vertical="center" wrapText="1"/>
    </xf>
    <xf numFmtId="180" fontId="32" fillId="0" borderId="1" xfId="95" applyNumberFormat="1" applyFont="1" applyBorder="1" applyAlignment="1">
      <alignment horizontal="center" vertical="center" wrapText="1"/>
    </xf>
    <xf numFmtId="180" fontId="32" fillId="32" borderId="15" xfId="95" applyNumberFormat="1" applyFont="1" applyFill="1" applyBorder="1" applyAlignment="1">
      <alignment horizontal="center" vertical="center" wrapText="1"/>
    </xf>
    <xf numFmtId="180" fontId="32" fillId="3" borderId="0" xfId="68" applyNumberFormat="1" applyFont="1" applyFill="1" applyAlignment="1">
      <alignment horizontal="center" vertical="center"/>
    </xf>
    <xf numFmtId="180" fontId="33" fillId="15" borderId="3" xfId="95" applyNumberFormat="1" applyFont="1" applyFill="1" applyBorder="1" applyAlignment="1">
      <alignment horizontal="center" wrapText="1"/>
    </xf>
    <xf numFmtId="180" fontId="33" fillId="15" borderId="4" xfId="95" applyNumberFormat="1" applyFont="1" applyFill="1" applyBorder="1" applyAlignment="1">
      <alignment horizontal="center" wrapText="1"/>
    </xf>
    <xf numFmtId="180" fontId="33" fillId="15" borderId="1" xfId="68" applyNumberFormat="1" applyFont="1" applyFill="1" applyBorder="1" applyAlignment="1">
      <alignment horizontal="center" vertical="center"/>
    </xf>
    <xf numFmtId="180" fontId="33" fillId="15" borderId="3" xfId="68" applyNumberFormat="1" applyFont="1" applyFill="1" applyBorder="1" applyAlignment="1">
      <alignment horizontal="center" vertical="center"/>
    </xf>
    <xf numFmtId="180" fontId="33" fillId="15" borderId="4" xfId="68" applyNumberFormat="1" applyFont="1" applyFill="1" applyBorder="1" applyAlignment="1">
      <alignment horizontal="center" vertical="center"/>
    </xf>
    <xf numFmtId="180" fontId="33" fillId="5" borderId="1" xfId="95" applyNumberFormat="1" applyFont="1" applyFill="1" applyBorder="1" applyAlignment="1">
      <alignment horizontal="center" vertical="center" wrapText="1"/>
    </xf>
    <xf numFmtId="180" fontId="33" fillId="15" borderId="1" xfId="95" applyNumberFormat="1" applyFont="1" applyFill="1" applyBorder="1" applyAlignment="1">
      <alignment horizontal="center" wrapText="1"/>
    </xf>
    <xf numFmtId="180" fontId="26" fillId="15" borderId="3" xfId="95" applyNumberFormat="1" applyFont="1" applyFill="1" applyBorder="1" applyAlignment="1">
      <alignment horizontal="center" wrapText="1"/>
    </xf>
    <xf numFmtId="180" fontId="26" fillId="15" borderId="4" xfId="95" applyNumberFormat="1" applyFont="1" applyFill="1" applyBorder="1" applyAlignment="1">
      <alignment horizontal="center" wrapText="1"/>
    </xf>
    <xf numFmtId="180" fontId="33" fillId="10" borderId="1" xfId="95" applyNumberFormat="1" applyFont="1" applyFill="1" applyBorder="1" applyAlignment="1">
      <alignment horizontal="center" wrapText="1"/>
    </xf>
    <xf numFmtId="191" fontId="32" fillId="3" borderId="1" xfId="95" applyNumberFormat="1" applyFont="1" applyFill="1" applyBorder="1" applyAlignment="1">
      <alignment horizontal="center" vertical="center" wrapText="1"/>
    </xf>
    <xf numFmtId="191" fontId="32" fillId="0" borderId="1" xfId="95" applyNumberFormat="1" applyFont="1" applyFill="1" applyBorder="1" applyAlignment="1">
      <alignment horizontal="center" vertical="center" wrapText="1"/>
    </xf>
    <xf numFmtId="180" fontId="33" fillId="0" borderId="6" xfId="95" applyNumberFormat="1" applyFont="1" applyBorder="1" applyAlignment="1">
      <alignment horizontal="center" vertical="center" wrapText="1"/>
    </xf>
    <xf numFmtId="180" fontId="13" fillId="0" borderId="11" xfId="95" applyNumberFormat="1" applyFont="1" applyBorder="1" applyAlignment="1">
      <alignment horizontal="center" vertical="center"/>
    </xf>
    <xf numFmtId="180" fontId="13" fillId="0" borderId="0" xfId="95" applyNumberFormat="1" applyFont="1" applyAlignment="1">
      <alignment horizontal="center" vertical="center"/>
    </xf>
    <xf numFmtId="180" fontId="13" fillId="0" borderId="0" xfId="95" applyNumberFormat="1" applyFont="1"/>
    <xf numFmtId="180" fontId="33" fillId="0" borderId="7" xfId="95" applyNumberFormat="1" applyFont="1" applyBorder="1" applyAlignment="1">
      <alignment horizontal="center" vertical="center" wrapText="1"/>
    </xf>
    <xf numFmtId="180" fontId="0" fillId="0" borderId="0" xfId="95" applyNumberFormat="1" applyFont="1"/>
    <xf numFmtId="180" fontId="33" fillId="0" borderId="2" xfId="95" applyNumberFormat="1" applyFont="1" applyBorder="1" applyAlignment="1">
      <alignment horizontal="center" vertical="center" wrapText="1"/>
    </xf>
    <xf numFmtId="180" fontId="32" fillId="0" borderId="17" xfId="95" applyNumberFormat="1" applyFont="1" applyBorder="1" applyAlignment="1">
      <alignment horizontal="center" vertical="center" wrapText="1"/>
    </xf>
    <xf numFmtId="180" fontId="36" fillId="0" borderId="0" xfId="95" applyNumberFormat="1" applyFont="1" applyAlignment="1">
      <alignment vertical="center"/>
    </xf>
    <xf numFmtId="180" fontId="36" fillId="0" borderId="17" xfId="95" applyNumberFormat="1" applyFont="1" applyBorder="1" applyAlignment="1">
      <alignment horizontal="center" vertical="center" wrapText="1"/>
    </xf>
    <xf numFmtId="180" fontId="0" fillId="32" borderId="0" xfId="95" applyNumberFormat="1" applyFont="1" applyFill="1"/>
    <xf numFmtId="180" fontId="32" fillId="6" borderId="1" xfId="95" applyNumberFormat="1" applyFont="1" applyFill="1" applyBorder="1" applyAlignment="1">
      <alignment horizontal="center" vertical="center" wrapText="1"/>
    </xf>
    <xf numFmtId="180" fontId="32" fillId="6" borderId="17" xfId="95" applyNumberFormat="1" applyFont="1" applyFill="1" applyBorder="1" applyAlignment="1">
      <alignment horizontal="center" vertical="center" wrapText="1"/>
    </xf>
    <xf numFmtId="180" fontId="36" fillId="6" borderId="0" xfId="95" applyNumberFormat="1" applyFont="1" applyFill="1" applyAlignment="1">
      <alignment vertical="center"/>
    </xf>
    <xf numFmtId="180" fontId="0" fillId="36" borderId="0" xfId="95" applyNumberFormat="1" applyFont="1" applyFill="1"/>
    <xf numFmtId="180" fontId="32" fillId="4" borderId="18" xfId="95" applyNumberFormat="1" applyFont="1" applyFill="1" applyBorder="1" applyAlignment="1">
      <alignment horizontal="center" vertical="center" wrapText="1"/>
    </xf>
    <xf numFmtId="180" fontId="32" fillId="4" borderId="19" xfId="95" applyNumberFormat="1" applyFont="1" applyFill="1" applyBorder="1" applyAlignment="1">
      <alignment horizontal="center" vertical="center" wrapText="1"/>
    </xf>
    <xf numFmtId="180" fontId="32" fillId="6" borderId="1" xfId="95" applyNumberFormat="1" applyFont="1" applyFill="1" applyBorder="1" applyAlignment="1">
      <alignment horizontal="left" vertical="center" wrapText="1"/>
    </xf>
    <xf numFmtId="180" fontId="32" fillId="0" borderId="3" xfId="95" applyNumberFormat="1" applyFont="1" applyBorder="1" applyAlignment="1">
      <alignment horizontal="center" vertical="center" wrapText="1"/>
    </xf>
    <xf numFmtId="191" fontId="0" fillId="0" borderId="0" xfId="68" applyNumberFormat="1" applyFont="1"/>
    <xf numFmtId="180" fontId="32" fillId="4" borderId="1" xfId="95" applyNumberFormat="1" applyFont="1" applyFill="1" applyBorder="1" applyAlignment="1">
      <alignment horizontal="center" vertical="center" wrapText="1"/>
    </xf>
    <xf numFmtId="180" fontId="32" fillId="6" borderId="17" xfId="95" applyNumberFormat="1" applyFont="1" applyFill="1" applyBorder="1" applyAlignment="1">
      <alignment horizontal="left" vertical="center" wrapText="1"/>
    </xf>
    <xf numFmtId="180" fontId="32" fillId="4" borderId="17" xfId="95" applyNumberFormat="1" applyFont="1" applyFill="1" applyBorder="1" applyAlignment="1">
      <alignment horizontal="left" vertical="center" wrapText="1"/>
    </xf>
    <xf numFmtId="0" fontId="40" fillId="0" borderId="0" xfId="0" applyFont="1"/>
    <xf numFmtId="180" fontId="32" fillId="0" borderId="1" xfId="68" applyNumberFormat="1" applyFont="1" applyBorder="1" applyAlignment="1">
      <alignment horizontal="center" vertical="center"/>
    </xf>
    <xf numFmtId="180" fontId="32" fillId="3" borderId="1" xfId="68" applyNumberFormat="1" applyFont="1" applyFill="1" applyBorder="1" applyAlignment="1">
      <alignment horizontal="center" vertical="center"/>
    </xf>
    <xf numFmtId="180" fontId="41" fillId="34" borderId="1" xfId="95" applyNumberFormat="1" applyFont="1" applyFill="1" applyBorder="1" applyAlignment="1">
      <alignment horizontal="center" vertical="center" wrapText="1"/>
    </xf>
    <xf numFmtId="180" fontId="33" fillId="12" borderId="1" xfId="95" applyNumberFormat="1" applyFont="1" applyFill="1" applyBorder="1" applyAlignment="1">
      <alignment horizontal="center" vertical="center" wrapText="1"/>
    </xf>
    <xf numFmtId="43" fontId="33" fillId="0" borderId="1" xfId="95" applyNumberFormat="1" applyFont="1" applyFill="1" applyBorder="1" applyAlignment="1">
      <alignment horizontal="center" vertical="center" wrapText="1"/>
    </xf>
    <xf numFmtId="180" fontId="33" fillId="37" borderId="1" xfId="95" applyNumberFormat="1" applyFont="1" applyFill="1" applyBorder="1" applyAlignment="1">
      <alignment horizontal="center" vertical="center" wrapText="1"/>
    </xf>
    <xf numFmtId="180" fontId="32" fillId="33" borderId="15" xfId="95" applyNumberFormat="1" applyFont="1" applyFill="1" applyBorder="1" applyAlignment="1">
      <alignment horizontal="center" vertical="center" wrapText="1"/>
    </xf>
    <xf numFmtId="180" fontId="32" fillId="33" borderId="1" xfId="95" applyNumberFormat="1" applyFont="1" applyFill="1" applyBorder="1" applyAlignment="1">
      <alignment horizontal="center" vertical="center" wrapText="1"/>
    </xf>
    <xf numFmtId="180" fontId="33" fillId="33" borderId="1" xfId="95" applyNumberFormat="1" applyFont="1" applyFill="1" applyBorder="1" applyAlignment="1">
      <alignment horizontal="center" vertical="center" wrapText="1"/>
    </xf>
    <xf numFmtId="180" fontId="37" fillId="6" borderId="1" xfId="11" applyNumberFormat="1" applyFont="1" applyFill="1" applyBorder="1" applyAlignment="1">
      <alignment horizontal="center" vertical="center" wrapText="1"/>
    </xf>
    <xf numFmtId="180" fontId="32" fillId="38" borderId="1" xfId="95" applyNumberFormat="1" applyFont="1" applyFill="1" applyBorder="1" applyAlignment="1">
      <alignment horizontal="center" vertical="center" wrapText="1"/>
    </xf>
    <xf numFmtId="180" fontId="39" fillId="0" borderId="15" xfId="95" applyNumberFormat="1" applyFont="1" applyBorder="1" applyAlignment="1">
      <alignment horizontal="center" vertical="center" wrapText="1"/>
    </xf>
    <xf numFmtId="180" fontId="39" fillId="0" borderId="1" xfId="95" applyNumberFormat="1" applyFont="1" applyBorder="1" applyAlignment="1">
      <alignment horizontal="center" vertical="center" wrapText="1"/>
    </xf>
    <xf numFmtId="180" fontId="33" fillId="34" borderId="20" xfId="95" applyNumberFormat="1" applyFont="1" applyFill="1" applyBorder="1" applyAlignment="1">
      <alignment horizontal="center" vertical="center" wrapText="1"/>
    </xf>
    <xf numFmtId="180" fontId="33" fillId="34" borderId="7" xfId="95" applyNumberFormat="1" applyFont="1" applyFill="1" applyBorder="1" applyAlignment="1">
      <alignment horizontal="center" vertical="center" wrapText="1"/>
    </xf>
    <xf numFmtId="180" fontId="32" fillId="0" borderId="0" xfId="95" applyNumberFormat="1" applyFont="1" applyAlignment="1">
      <alignment horizontal="center" vertical="center" wrapText="1"/>
    </xf>
    <xf numFmtId="184" fontId="33" fillId="34" borderId="15" xfId="95" applyNumberFormat="1" applyFont="1" applyFill="1" applyBorder="1" applyAlignment="1">
      <alignment horizontal="center" vertical="center" wrapText="1"/>
    </xf>
    <xf numFmtId="180" fontId="38" fillId="0" borderId="1" xfId="95" applyNumberFormat="1" applyFont="1" applyBorder="1" applyAlignment="1">
      <alignment horizontal="center" vertical="center" wrapText="1"/>
    </xf>
    <xf numFmtId="189" fontId="33" fillId="0" borderId="1" xfId="95" applyNumberFormat="1" applyFont="1" applyFill="1" applyBorder="1" applyAlignment="1">
      <alignment horizontal="center" vertical="center" wrapText="1"/>
    </xf>
    <xf numFmtId="180" fontId="37" fillId="6" borderId="3" xfId="11" applyNumberFormat="1" applyFont="1" applyFill="1" applyBorder="1" applyAlignment="1">
      <alignment horizontal="center" vertical="center" wrapText="1"/>
    </xf>
    <xf numFmtId="180" fontId="34" fillId="0" borderId="1" xfId="95" applyNumberFormat="1" applyFont="1" applyFill="1" applyBorder="1" applyAlignment="1">
      <alignment horizontal="center" vertical="center" wrapText="1"/>
    </xf>
    <xf numFmtId="180" fontId="32" fillId="0" borderId="0" xfId="95" applyNumberFormat="1" applyFont="1"/>
    <xf numFmtId="180" fontId="0" fillId="0" borderId="0" xfId="95" applyNumberFormat="1" applyFont="1" applyFill="1"/>
    <xf numFmtId="180" fontId="0" fillId="6" borderId="0" xfId="95" applyNumberFormat="1" applyFont="1" applyFill="1"/>
    <xf numFmtId="180" fontId="0" fillId="5" borderId="0" xfId="95" applyNumberFormat="1" applyFont="1" applyFill="1"/>
    <xf numFmtId="180" fontId="32" fillId="0" borderId="3" xfId="95" applyNumberFormat="1" applyFont="1" applyFill="1" applyBorder="1" applyAlignment="1">
      <alignment horizontal="center" vertical="center" wrapText="1"/>
    </xf>
    <xf numFmtId="180" fontId="32" fillId="6" borderId="1" xfId="95" applyNumberFormat="1" applyFont="1" applyFill="1" applyBorder="1" applyAlignment="1">
      <alignment vertical="center" wrapText="1"/>
    </xf>
    <xf numFmtId="180" fontId="32" fillId="0" borderId="1" xfId="95" applyNumberFormat="1" applyFont="1" applyFill="1" applyBorder="1" applyAlignment="1">
      <alignment vertical="center" wrapText="1"/>
    </xf>
    <xf numFmtId="180" fontId="32" fillId="36" borderId="17" xfId="95" applyNumberFormat="1" applyFont="1" applyFill="1" applyBorder="1" applyAlignment="1">
      <alignment horizontal="left" vertical="center" wrapText="1"/>
    </xf>
    <xf numFmtId="180" fontId="32" fillId="5" borderId="17" xfId="95" applyNumberFormat="1" applyFont="1" applyFill="1" applyBorder="1" applyAlignment="1">
      <alignment horizontal="center" vertical="center" wrapText="1"/>
    </xf>
    <xf numFmtId="49" fontId="32" fillId="5" borderId="1" xfId="95" applyNumberFormat="1" applyFont="1" applyFill="1" applyBorder="1" applyAlignment="1">
      <alignment horizontal="center" vertical="center" wrapText="1"/>
    </xf>
    <xf numFmtId="180" fontId="32" fillId="34" borderId="1" xfId="95" applyNumberFormat="1" applyFont="1" applyFill="1" applyBorder="1" applyAlignment="1">
      <alignment horizontal="center" vertical="center" wrapText="1"/>
    </xf>
    <xf numFmtId="180" fontId="37" fillId="0" borderId="15" xfId="95" applyNumberFormat="1" applyFont="1" applyBorder="1" applyAlignment="1">
      <alignment horizontal="center" vertical="center" wrapText="1"/>
    </xf>
    <xf numFmtId="180" fontId="32" fillId="4" borderId="1" xfId="68" applyNumberFormat="1" applyFont="1" applyFill="1" applyBorder="1" applyAlignment="1" applyProtection="1">
      <alignment horizontal="center" vertical="center"/>
      <protection locked="0"/>
    </xf>
    <xf numFmtId="180" fontId="32" fillId="0" borderId="1" xfId="68" applyNumberFormat="1" applyFont="1" applyBorder="1" applyAlignment="1" applyProtection="1">
      <alignment horizontal="center" vertical="center"/>
      <protection locked="0"/>
    </xf>
    <xf numFmtId="180" fontId="32" fillId="0" borderId="0" xfId="68" applyNumberFormat="1" applyFont="1" applyAlignment="1">
      <alignment horizontal="center" vertical="center"/>
    </xf>
    <xf numFmtId="177" fontId="33" fillId="10" borderId="15" xfId="95" applyNumberFormat="1" applyFont="1" applyFill="1" applyBorder="1" applyAlignment="1">
      <alignment horizontal="center" vertical="center" wrapText="1"/>
    </xf>
    <xf numFmtId="180" fontId="33" fillId="10" borderId="1" xfId="95" applyNumberFormat="1" applyFont="1" applyFill="1" applyBorder="1" applyAlignment="1">
      <alignment horizontal="center" vertical="center" wrapText="1"/>
    </xf>
    <xf numFmtId="180" fontId="37" fillId="32" borderId="15" xfId="95" applyNumberFormat="1" applyFont="1" applyFill="1" applyBorder="1" applyAlignment="1">
      <alignment horizontal="center" vertical="center" wrapText="1"/>
    </xf>
    <xf numFmtId="180" fontId="33" fillId="4" borderId="1" xfId="95" applyNumberFormat="1" applyFont="1" applyFill="1" applyBorder="1" applyAlignment="1">
      <alignment horizontal="center" vertical="center" wrapText="1"/>
    </xf>
    <xf numFmtId="180" fontId="33" fillId="11" borderId="1" xfId="95" applyNumberFormat="1" applyFont="1" applyFill="1" applyBorder="1" applyAlignment="1">
      <alignment horizontal="center" vertical="center" wrapText="1"/>
    </xf>
    <xf numFmtId="180" fontId="42" fillId="11" borderId="1" xfId="95" applyNumberFormat="1" applyFont="1" applyFill="1" applyBorder="1" applyAlignment="1">
      <alignment horizontal="center" vertical="center" wrapText="1"/>
    </xf>
    <xf numFmtId="180" fontId="34" fillId="11" borderId="1" xfId="95" applyNumberFormat="1" applyFont="1" applyFill="1" applyBorder="1" applyAlignment="1">
      <alignment horizontal="center" vertical="center" wrapText="1"/>
    </xf>
    <xf numFmtId="180" fontId="32" fillId="0" borderId="17" xfId="95" applyNumberFormat="1" applyFont="1" applyFill="1" applyBorder="1" applyAlignment="1">
      <alignment horizontal="center" vertical="center" wrapText="1"/>
    </xf>
    <xf numFmtId="180" fontId="35" fillId="39" borderId="1" xfId="95" applyNumberFormat="1" applyFont="1" applyFill="1" applyBorder="1" applyAlignment="1">
      <alignment horizontal="right" vertical="center" wrapText="1"/>
    </xf>
    <xf numFmtId="180" fontId="36" fillId="17" borderId="0" xfId="95" applyNumberFormat="1" applyFont="1" applyFill="1" applyAlignment="1">
      <alignment vertical="center"/>
    </xf>
    <xf numFmtId="180" fontId="33" fillId="40" borderId="1" xfId="95" applyNumberFormat="1" applyFont="1" applyFill="1" applyBorder="1" applyAlignment="1">
      <alignment vertical="center" wrapText="1"/>
    </xf>
    <xf numFmtId="180" fontId="0" fillId="3" borderId="1" xfId="68" applyNumberFormat="1" applyFont="1" applyFill="1" applyBorder="1" applyAlignment="1">
      <alignment horizontal="center" vertical="center"/>
    </xf>
    <xf numFmtId="180" fontId="0" fillId="3" borderId="1" xfId="68" applyNumberFormat="1" applyFont="1" applyFill="1" applyBorder="1"/>
    <xf numFmtId="180" fontId="0" fillId="3" borderId="0" xfId="68" applyNumberFormat="1" applyFont="1" applyFill="1"/>
    <xf numFmtId="192" fontId="0" fillId="0" borderId="0" xfId="68" applyNumberFormat="1" applyFont="1" applyFill="1"/>
    <xf numFmtId="180" fontId="25" fillId="0" borderId="0" xfId="68" applyNumberFormat="1" applyFont="1"/>
    <xf numFmtId="0" fontId="0" fillId="41" borderId="0" xfId="0" applyFill="1" applyAlignment="1">
      <alignment horizontal="center" vertical="center" wrapText="1"/>
    </xf>
    <xf numFmtId="0" fontId="0" fillId="10" borderId="1" xfId="0" applyFont="1" applyFill="1" applyBorder="1" applyAlignment="1">
      <alignment horizontal="center" vertical="center"/>
    </xf>
    <xf numFmtId="0" fontId="0" fillId="10" borderId="1" xfId="0" applyFill="1" applyBorder="1" applyAlignment="1">
      <alignment horizontal="center" vertical="center"/>
    </xf>
    <xf numFmtId="0" fontId="43" fillId="42" borderId="1" xfId="13" applyFont="1" applyFill="1" applyBorder="1" applyAlignment="1">
      <alignment horizontal="center" vertical="center"/>
    </xf>
    <xf numFmtId="185" fontId="0" fillId="10" borderId="1" xfId="0" applyNumberFormat="1" applyFill="1" applyBorder="1" applyAlignment="1">
      <alignment horizontal="center" vertical="center"/>
    </xf>
    <xf numFmtId="0" fontId="2" fillId="12" borderId="5" xfId="0" applyFont="1" applyFill="1" applyBorder="1" applyAlignment="1">
      <alignment horizontal="center" vertical="center" wrapText="1"/>
    </xf>
    <xf numFmtId="0" fontId="2" fillId="12" borderId="1" xfId="0" applyFont="1" applyFill="1" applyBorder="1" applyAlignment="1">
      <alignment horizontal="center" vertical="center"/>
    </xf>
    <xf numFmtId="0" fontId="2" fillId="12" borderId="6" xfId="0" applyFont="1" applyFill="1" applyBorder="1" applyAlignment="1">
      <alignment horizontal="center" vertical="center"/>
    </xf>
    <xf numFmtId="0" fontId="2" fillId="41" borderId="3" xfId="0" applyFont="1" applyFill="1" applyBorder="1" applyAlignment="1">
      <alignment horizontal="center" vertical="center" wrapText="1"/>
    </xf>
    <xf numFmtId="0" fontId="2" fillId="41" borderId="4" xfId="0" applyFont="1" applyFill="1" applyBorder="1" applyAlignment="1">
      <alignment horizontal="center" vertical="center" wrapText="1"/>
    </xf>
    <xf numFmtId="0" fontId="2" fillId="41" borderId="1" xfId="0" applyFont="1" applyFill="1" applyBorder="1" applyAlignment="1">
      <alignment horizontal="center" vertical="center"/>
    </xf>
    <xf numFmtId="43" fontId="44" fillId="3" borderId="1" xfId="0" applyNumberFormat="1" applyFont="1" applyFill="1" applyBorder="1" applyAlignment="1" applyProtection="1">
      <alignment horizontal="center" vertical="center"/>
      <protection locked="0"/>
    </xf>
    <xf numFmtId="179" fontId="2" fillId="41" borderId="1" xfId="0" applyNumberFormat="1" applyFont="1" applyFill="1" applyBorder="1" applyAlignment="1">
      <alignment horizontal="center" vertical="center"/>
    </xf>
    <xf numFmtId="43" fontId="2" fillId="0" borderId="1" xfId="0" applyNumberFormat="1" applyFont="1" applyFill="1" applyBorder="1" applyAlignment="1" applyProtection="1">
      <alignment horizontal="center" vertical="center"/>
      <protection locked="0"/>
    </xf>
    <xf numFmtId="43" fontId="2" fillId="41" borderId="1" xfId="0" applyNumberFormat="1" applyFont="1" applyFill="1" applyBorder="1" applyAlignment="1">
      <alignment horizontal="center" vertical="center"/>
    </xf>
    <xf numFmtId="43" fontId="2" fillId="3" borderId="1" xfId="0" applyNumberFormat="1" applyFont="1" applyFill="1" applyBorder="1" applyAlignment="1">
      <alignment horizontal="center" vertical="center"/>
    </xf>
    <xf numFmtId="0" fontId="2" fillId="41" borderId="3" xfId="0" applyFont="1" applyFill="1" applyBorder="1" applyAlignment="1">
      <alignment horizontal="center" vertical="center"/>
    </xf>
    <xf numFmtId="0" fontId="2" fillId="41" borderId="4" xfId="0" applyFont="1" applyFill="1" applyBorder="1" applyAlignment="1">
      <alignment horizontal="center" vertical="center"/>
    </xf>
    <xf numFmtId="43" fontId="24" fillId="3" borderId="1" xfId="0" applyNumberFormat="1" applyFont="1" applyFill="1" applyBorder="1" applyAlignment="1" applyProtection="1">
      <alignment horizontal="center" vertical="center"/>
      <protection locked="0"/>
    </xf>
    <xf numFmtId="179" fontId="44" fillId="0" borderId="1" xfId="0" applyNumberFormat="1" applyFont="1" applyFill="1" applyBorder="1" applyAlignment="1">
      <alignment horizontal="center" vertical="center"/>
    </xf>
    <xf numFmtId="43" fontId="2" fillId="43" borderId="1" xfId="0" applyNumberFormat="1" applyFont="1" applyFill="1" applyBorder="1" applyAlignment="1">
      <alignment horizontal="center" vertical="center"/>
    </xf>
    <xf numFmtId="43" fontId="44" fillId="43" borderId="1" xfId="0" applyNumberFormat="1" applyFont="1" applyFill="1" applyBorder="1" applyAlignment="1">
      <alignment horizontal="center" vertical="center"/>
    </xf>
    <xf numFmtId="43" fontId="44" fillId="0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41" borderId="3" xfId="0" applyNumberFormat="1" applyFont="1" applyFill="1" applyBorder="1" applyAlignment="1" applyProtection="1">
      <alignment horizontal="center" vertical="center"/>
    </xf>
    <xf numFmtId="0" fontId="2" fillId="41" borderId="4" xfId="0" applyNumberFormat="1" applyFont="1" applyFill="1" applyBorder="1" applyAlignment="1" applyProtection="1">
      <alignment horizontal="center" vertical="center"/>
    </xf>
    <xf numFmtId="43" fontId="44" fillId="3" borderId="1" xfId="0" applyNumberFormat="1" applyFont="1" applyFill="1" applyBorder="1" applyAlignment="1">
      <alignment horizontal="center" vertical="center"/>
    </xf>
    <xf numFmtId="0" fontId="2" fillId="41" borderId="6" xfId="0" applyNumberFormat="1" applyFont="1" applyFill="1" applyBorder="1" applyAlignment="1" applyProtection="1">
      <alignment horizontal="center" vertical="center"/>
    </xf>
    <xf numFmtId="43" fontId="24" fillId="3" borderId="1" xfId="0" applyNumberFormat="1" applyFont="1" applyFill="1" applyBorder="1" applyAlignment="1">
      <alignment horizontal="center" vertical="center"/>
    </xf>
    <xf numFmtId="0" fontId="44" fillId="0" borderId="1" xfId="0" applyFont="1" applyFill="1" applyBorder="1" applyAlignment="1">
      <alignment horizontal="center" vertical="center"/>
    </xf>
    <xf numFmtId="10" fontId="2" fillId="41" borderId="1" xfId="0" applyNumberFormat="1" applyFont="1" applyFill="1" applyBorder="1" applyAlignment="1">
      <alignment horizontal="center" vertical="center"/>
    </xf>
    <xf numFmtId="10" fontId="2" fillId="0" borderId="1" xfId="0" applyNumberFormat="1" applyFont="1" applyFill="1" applyBorder="1" applyAlignment="1">
      <alignment horizontal="center" vertical="center"/>
    </xf>
    <xf numFmtId="9" fontId="2" fillId="41" borderId="1" xfId="0" applyNumberFormat="1" applyFont="1" applyFill="1" applyBorder="1" applyAlignment="1">
      <alignment horizontal="center" vertical="center"/>
    </xf>
    <xf numFmtId="9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2" fillId="0" borderId="1" xfId="89" applyFont="1" applyFill="1" applyBorder="1" applyAlignment="1">
      <alignment horizontal="center" vertical="center" readingOrder="1"/>
    </xf>
    <xf numFmtId="0" fontId="24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 applyProtection="1">
      <alignment horizontal="center" vertical="center" wrapText="1"/>
      <protection locked="0"/>
    </xf>
    <xf numFmtId="0" fontId="0" fillId="0" borderId="6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43" fontId="0" fillId="41" borderId="0" xfId="0" applyNumberFormat="1" applyFill="1" applyAlignment="1">
      <alignment horizontal="center" vertical="center" wrapText="1"/>
    </xf>
    <xf numFmtId="0" fontId="2" fillId="41" borderId="1" xfId="0" applyFont="1" applyFill="1" applyBorder="1" applyAlignment="1">
      <alignment horizontal="center" vertical="center" wrapText="1"/>
    </xf>
    <xf numFmtId="0" fontId="44" fillId="3" borderId="1" xfId="0" applyFont="1" applyFill="1" applyBorder="1" applyAlignment="1" applyProtection="1">
      <alignment horizontal="center" vertical="center" wrapText="1"/>
      <protection locked="0"/>
    </xf>
    <xf numFmtId="43" fontId="24" fillId="3" borderId="1" xfId="0" applyNumberFormat="1" applyFont="1" applyFill="1" applyBorder="1" applyAlignment="1" applyProtection="1">
      <alignment horizontal="center" vertical="center" wrapText="1"/>
      <protection locked="0"/>
    </xf>
    <xf numFmtId="43" fontId="24" fillId="41" borderId="0" xfId="0" applyNumberFormat="1" applyFont="1" applyFill="1" applyAlignment="1">
      <alignment horizontal="center" vertical="center" wrapText="1"/>
    </xf>
    <xf numFmtId="0" fontId="0" fillId="8" borderId="3" xfId="0" applyFont="1" applyFill="1" applyBorder="1" applyAlignment="1">
      <alignment horizontal="center" vertical="center"/>
    </xf>
    <xf numFmtId="0" fontId="0" fillId="8" borderId="3" xfId="0" applyFill="1" applyBorder="1" applyAlignment="1">
      <alignment vertical="center"/>
    </xf>
    <xf numFmtId="0" fontId="44" fillId="0" borderId="1" xfId="0" applyFont="1" applyFill="1" applyBorder="1" applyAlignment="1" applyProtection="1">
      <alignment horizontal="center" vertical="center" wrapText="1"/>
      <protection locked="0"/>
    </xf>
    <xf numFmtId="9" fontId="0" fillId="41" borderId="0" xfId="14" applyFont="1" applyFill="1" applyAlignment="1">
      <alignment horizontal="center" vertical="center" wrapText="1"/>
    </xf>
    <xf numFmtId="0" fontId="0" fillId="0" borderId="6" xfId="0" applyFont="1" applyBorder="1" applyAlignment="1">
      <alignment vertical="center"/>
    </xf>
    <xf numFmtId="0" fontId="0" fillId="8" borderId="6" xfId="0" applyFill="1" applyBorder="1" applyAlignment="1">
      <alignment vertical="center"/>
    </xf>
    <xf numFmtId="0" fontId="24" fillId="0" borderId="1" xfId="0" applyFont="1" applyFill="1" applyBorder="1" applyAlignment="1" applyProtection="1">
      <alignment horizontal="center" vertical="center" wrapText="1"/>
      <protection locked="0"/>
    </xf>
    <xf numFmtId="43" fontId="24" fillId="41" borderId="0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vertical="center"/>
    </xf>
    <xf numFmtId="43" fontId="4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Alignment="1">
      <alignment vertical="center"/>
    </xf>
    <xf numFmtId="0" fontId="0" fillId="8" borderId="2" xfId="0" applyFill="1" applyBorder="1" applyAlignment="1">
      <alignment vertical="center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41" fontId="44" fillId="3" borderId="1" xfId="0" applyNumberFormat="1" applyFont="1" applyFill="1" applyBorder="1" applyAlignment="1" applyProtection="1">
      <alignment horizontal="center" vertical="center"/>
      <protection locked="0"/>
    </xf>
    <xf numFmtId="1" fontId="25" fillId="41" borderId="0" xfId="0" applyNumberFormat="1" applyFont="1" applyFill="1" applyAlignment="1">
      <alignment horizontal="center" vertical="center" wrapText="1"/>
    </xf>
    <xf numFmtId="0" fontId="25" fillId="0" borderId="1" xfId="0" applyFont="1" applyFill="1" applyBorder="1" applyAlignment="1" applyProtection="1">
      <alignment horizontal="center" vertical="center" wrapText="1"/>
      <protection locked="0"/>
    </xf>
    <xf numFmtId="43" fontId="2" fillId="0" borderId="1" xfId="0" applyNumberFormat="1" applyFont="1" applyFill="1" applyBorder="1" applyAlignment="1" applyProtection="1">
      <alignment vertical="center" wrapText="1"/>
      <protection locked="0"/>
    </xf>
    <xf numFmtId="43" fontId="2" fillId="0" borderId="1" xfId="0" applyNumberFormat="1" applyFont="1" applyFill="1" applyBorder="1" applyAlignment="1" applyProtection="1">
      <alignment vertical="center"/>
      <protection locked="0"/>
    </xf>
    <xf numFmtId="0" fontId="0" fillId="41" borderId="1" xfId="0" applyFont="1" applyFill="1" applyBorder="1" applyAlignment="1">
      <alignment horizontal="center" vertical="center" wrapText="1"/>
    </xf>
    <xf numFmtId="43" fontId="0" fillId="41" borderId="1" xfId="0" applyNumberFormat="1" applyFont="1" applyFill="1" applyBorder="1" applyAlignment="1">
      <alignment horizontal="center" vertical="center" wrapText="1"/>
    </xf>
    <xf numFmtId="43" fontId="0" fillId="0" borderId="0" xfId="0" applyNumberFormat="1" applyFill="1" applyAlignment="1">
      <alignment horizontal="center" vertical="center" wrapText="1"/>
    </xf>
    <xf numFmtId="0" fontId="0" fillId="15" borderId="0" xfId="0" applyFill="1" applyAlignment="1">
      <alignment horizontal="center" vertical="center"/>
    </xf>
    <xf numFmtId="0" fontId="0" fillId="15" borderId="0" xfId="0" applyFill="1" applyAlignment="1">
      <alignment vertical="center"/>
    </xf>
    <xf numFmtId="0" fontId="0" fillId="44" borderId="1" xfId="0" applyFont="1" applyFill="1" applyBorder="1" applyAlignment="1">
      <alignment horizontal="center" vertical="center"/>
    </xf>
    <xf numFmtId="0" fontId="0" fillId="44" borderId="1" xfId="0" applyFill="1" applyBorder="1" applyAlignment="1">
      <alignment horizontal="center" vertical="center"/>
    </xf>
    <xf numFmtId="0" fontId="23" fillId="23" borderId="1" xfId="13" applyFont="1" applyFill="1" applyBorder="1" applyAlignment="1">
      <alignment horizontal="center" vertical="center"/>
    </xf>
    <xf numFmtId="0" fontId="23" fillId="23" borderId="1" xfId="13" applyFill="1" applyBorder="1" applyAlignment="1">
      <alignment horizontal="center" vertical="center"/>
    </xf>
    <xf numFmtId="185" fontId="0" fillId="44" borderId="1" xfId="0" applyNumberFormat="1" applyFill="1" applyBorder="1" applyAlignment="1">
      <alignment horizontal="center" vertical="center"/>
    </xf>
    <xf numFmtId="0" fontId="2" fillId="45" borderId="5" xfId="0" applyFont="1" applyFill="1" applyBorder="1" applyAlignment="1">
      <alignment horizontal="center" vertical="center"/>
    </xf>
    <xf numFmtId="0" fontId="0" fillId="45" borderId="1" xfId="0" applyFont="1" applyFill="1" applyBorder="1" applyAlignment="1">
      <alignment horizontal="center" vertical="center"/>
    </xf>
    <xf numFmtId="0" fontId="0" fillId="12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 applyProtection="1">
      <alignment horizontal="center" vertical="center"/>
      <protection locked="0"/>
    </xf>
    <xf numFmtId="0" fontId="0" fillId="15" borderId="1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 applyProtection="1">
      <alignment horizontal="left" vertical="center" wrapText="1"/>
      <protection locked="0"/>
    </xf>
    <xf numFmtId="0" fontId="0" fillId="15" borderId="1" xfId="0" applyFill="1" applyBorder="1" applyAlignment="1">
      <alignment vertical="center"/>
    </xf>
    <xf numFmtId="0" fontId="0" fillId="0" borderId="1" xfId="0" applyFill="1" applyBorder="1" applyAlignment="1" applyProtection="1">
      <alignment horizontal="center" vertical="center"/>
      <protection locked="0"/>
    </xf>
    <xf numFmtId="0" fontId="0" fillId="15" borderId="1" xfId="0" applyFont="1" applyFill="1" applyBorder="1" applyAlignment="1">
      <alignment horizontal="center" vertical="center"/>
    </xf>
    <xf numFmtId="0" fontId="0" fillId="0" borderId="7" xfId="0" applyFill="1" applyBorder="1" applyAlignment="1" applyProtection="1">
      <alignment horizontal="left" vertical="center" wrapText="1"/>
      <protection locked="0"/>
    </xf>
    <xf numFmtId="193" fontId="0" fillId="0" borderId="1" xfId="0" applyNumberFormat="1" applyFill="1" applyBorder="1" applyAlignment="1" applyProtection="1">
      <alignment horizontal="center" vertical="center"/>
      <protection locked="0"/>
    </xf>
    <xf numFmtId="43" fontId="0" fillId="15" borderId="1" xfId="0" applyNumberFormat="1" applyFont="1" applyFill="1" applyBorder="1" applyAlignment="1">
      <alignment vertical="center"/>
    </xf>
    <xf numFmtId="0" fontId="0" fillId="0" borderId="2" xfId="0" applyFill="1" applyBorder="1" applyAlignment="1" applyProtection="1">
      <alignment horizontal="left" vertical="center" wrapText="1"/>
      <protection locked="0"/>
    </xf>
    <xf numFmtId="43" fontId="0" fillId="15" borderId="1" xfId="0" applyNumberFormat="1" applyFill="1" applyBorder="1" applyAlignment="1">
      <alignment vertical="center"/>
    </xf>
    <xf numFmtId="43" fontId="6" fillId="3" borderId="1" xfId="11" applyFont="1" applyFill="1" applyBorder="1" applyAlignment="1" applyProtection="1">
      <alignment horizontal="center" vertical="center"/>
      <protection locked="0"/>
    </xf>
    <xf numFmtId="0" fontId="0" fillId="0" borderId="1" xfId="0" applyFill="1" applyBorder="1" applyAlignment="1" applyProtection="1">
      <alignment vertical="center"/>
      <protection locked="0"/>
    </xf>
    <xf numFmtId="187" fontId="6" fillId="15" borderId="1" xfId="11" applyNumberFormat="1" applyFont="1" applyFill="1" applyBorder="1" applyAlignment="1">
      <alignment horizontal="center" vertical="center"/>
    </xf>
    <xf numFmtId="43" fontId="0" fillId="0" borderId="1" xfId="0" applyNumberFormat="1" applyFill="1" applyBorder="1" applyAlignment="1" applyProtection="1">
      <alignment horizontal="center" vertical="center"/>
      <protection locked="0"/>
    </xf>
    <xf numFmtId="0" fontId="0" fillId="12" borderId="1" xfId="0" applyFont="1" applyFill="1" applyBorder="1" applyAlignment="1">
      <alignment horizontal="center" vertical="center" wrapText="1"/>
    </xf>
    <xf numFmtId="0" fontId="0" fillId="0" borderId="3" xfId="0" applyFill="1" applyBorder="1" applyAlignment="1" applyProtection="1">
      <alignment vertical="center"/>
      <protection locked="0"/>
    </xf>
    <xf numFmtId="0" fontId="0" fillId="0" borderId="3" xfId="0" applyFill="1" applyBorder="1" applyAlignment="1" applyProtection="1">
      <alignment horizontal="center" vertical="center"/>
      <protection locked="0"/>
    </xf>
    <xf numFmtId="0" fontId="0" fillId="0" borderId="10" xfId="0" applyFill="1" applyBorder="1" applyAlignment="1" applyProtection="1">
      <alignment horizontal="center" vertical="center"/>
      <protection locked="0"/>
    </xf>
    <xf numFmtId="0" fontId="0" fillId="0" borderId="4" xfId="0" applyFill="1" applyBorder="1" applyAlignment="1" applyProtection="1">
      <alignment horizontal="center" vertical="center"/>
      <protection locked="0"/>
    </xf>
    <xf numFmtId="0" fontId="0" fillId="0" borderId="9" xfId="0" applyFill="1" applyBorder="1" applyAlignment="1" applyProtection="1">
      <alignment horizontal="center" vertical="center"/>
      <protection locked="0"/>
    </xf>
    <xf numFmtId="189" fontId="0" fillId="0" borderId="1" xfId="0" applyNumberFormat="1" applyBorder="1" applyAlignment="1">
      <alignment vertical="center"/>
    </xf>
    <xf numFmtId="188" fontId="0" fillId="0" borderId="1" xfId="14" applyNumberFormat="1" applyFont="1" applyBorder="1" applyAlignment="1">
      <alignment vertical="center"/>
    </xf>
    <xf numFmtId="185" fontId="0" fillId="0" borderId="0" xfId="0" applyNumberFormat="1" applyAlignment="1">
      <alignment vertical="center"/>
    </xf>
    <xf numFmtId="0" fontId="2" fillId="0" borderId="5" xfId="0" applyFont="1" applyBorder="1" applyAlignment="1">
      <alignment horizontal="center" vertical="center"/>
    </xf>
    <xf numFmtId="185" fontId="0" fillId="9" borderId="1" xfId="0" applyNumberFormat="1" applyFont="1" applyFill="1" applyBorder="1" applyAlignment="1">
      <alignment horizontal="center" vertical="center"/>
    </xf>
    <xf numFmtId="0" fontId="23" fillId="9" borderId="1" xfId="13" applyFill="1" applyBorder="1" applyAlignment="1">
      <alignment horizontal="center" vertical="center"/>
    </xf>
    <xf numFmtId="185" fontId="0" fillId="0" borderId="1" xfId="0" applyNumberFormat="1" applyFont="1" applyBorder="1" applyAlignment="1">
      <alignment horizontal="center" vertical="center"/>
    </xf>
  </cellXfs>
  <cellStyles count="114">
    <cellStyle name="常规" xfId="0" builtinId="0"/>
    <cellStyle name="货币[0]" xfId="1" builtinId="7"/>
    <cellStyle name="20% - 强调文字颜色 1 2" xfId="2"/>
    <cellStyle name="20% - 强调文字颜色 3" xfId="3" builtinId="38"/>
    <cellStyle name="输入" xfId="4" builtinId="20"/>
    <cellStyle name="货币" xfId="5" builtinId="4"/>
    <cellStyle name="千位分隔[0]" xfId="6" builtinId="6"/>
    <cellStyle name="3232 2 2" xfId="7"/>
    <cellStyle name="40% - 强调文字颜色 3" xfId="8" builtinId="39"/>
    <cellStyle name="计算 2" xfId="9"/>
    <cellStyle name="差" xfId="10" builtinId="27"/>
    <cellStyle name="千位分隔" xfId="11" builtinId="3"/>
    <cellStyle name="60% - 强调文字颜色 3" xfId="12" builtinId="40"/>
    <cellStyle name="超链接" xfId="13" builtinId="8"/>
    <cellStyle name="百分比" xfId="14" builtinId="5"/>
    <cellStyle name="已访问的超链接" xfId="15" builtinId="9"/>
    <cellStyle name="注释" xfId="16" builtinId="10"/>
    <cellStyle name="60% - 强调文字颜色 2" xfId="17" builtinId="36"/>
    <cellStyle name="标题 4" xfId="18" builtinId="19"/>
    <cellStyle name="警告文本" xfId="19" builtinId="11"/>
    <cellStyle name="标题" xfId="20" builtinId="15"/>
    <cellStyle name="解释性文本" xfId="21" builtinId="53"/>
    <cellStyle name="标题 1" xfId="22" builtinId="16"/>
    <cellStyle name="百分比 4" xfId="23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3232 2" xfId="29"/>
    <cellStyle name="计算" xfId="30" builtinId="22"/>
    <cellStyle name="检查单元格" xfId="31" builtinId="23"/>
    <cellStyle name="40% - 强调文字颜色 4 2" xfId="32"/>
    <cellStyle name="20% - 强调文字颜色 6" xfId="33" builtinId="50"/>
    <cellStyle name="强调文字颜色 2" xfId="34" builtinId="33"/>
    <cellStyle name="链接单元格" xfId="35" builtinId="24"/>
    <cellStyle name="40% - 强调文字颜色 1 2" xfId="36"/>
    <cellStyle name="汇总" xfId="37" builtinId="25"/>
    <cellStyle name="3232 3" xfId="38"/>
    <cellStyle name="好" xfId="39" builtinId="26"/>
    <cellStyle name="40% - 强调文字颜色 2 2" xfId="40"/>
    <cellStyle name="适中" xfId="41" builtinId="28"/>
    <cellStyle name="20% - 强调文字颜色 5" xfId="42" builtinId="46"/>
    <cellStyle name="强调文字颜色 1" xfId="43" builtinId="29"/>
    <cellStyle name="20% - 强调文字颜色 1" xfId="44" builtinId="30"/>
    <cellStyle name="40% - 强调文字颜色 1" xfId="45" builtinId="31"/>
    <cellStyle name="20% - 强调文字颜色 2" xfId="46" builtinId="34"/>
    <cellStyle name="输出 2" xfId="47"/>
    <cellStyle name="40% - 强调文字颜色 2" xfId="48" builtinId="35"/>
    <cellStyle name="强调文字颜色 3" xfId="49" builtinId="37"/>
    <cellStyle name="强调文字颜色 4" xfId="50" builtinId="41"/>
    <cellStyle name="20% - 强调文字颜色 4" xfId="51" builtinId="42"/>
    <cellStyle name="3232 2 3" xfId="52"/>
    <cellStyle name="40% - 强调文字颜色 4" xfId="53" builtinId="43"/>
    <cellStyle name="强调文字颜色 5" xfId="54" builtinId="45"/>
    <cellStyle name="40% - 强调文字颜色 5" xfId="55" builtinId="47"/>
    <cellStyle name="60% - 强调文字颜色 5" xfId="56" builtinId="48"/>
    <cellStyle name="强调文字颜色 6" xfId="57" builtinId="49"/>
    <cellStyle name="40% - 强调文字颜色 6" xfId="58" builtinId="51"/>
    <cellStyle name="适中 2" xfId="59"/>
    <cellStyle name="60% - 强调文字颜色 6" xfId="60" builtinId="52"/>
    <cellStyle name="20% - 强调文字颜色 2 2" xfId="61"/>
    <cellStyle name="20% - 强调文字颜色 3 2" xfId="62"/>
    <cellStyle name="常规 3" xfId="63"/>
    <cellStyle name="20% - 强调文字颜色 4 2" xfId="64"/>
    <cellStyle name="3232_6期B2-1最新测算1.16" xfId="65"/>
    <cellStyle name="20% - 强调文字颜色 5 2" xfId="66"/>
    <cellStyle name="20% - 强调文字颜色 6 2" xfId="67"/>
    <cellStyle name="3232" xfId="68"/>
    <cellStyle name="40% - 强调文字颜色 3 2" xfId="69"/>
    <cellStyle name="40% - 强调文字颜色 5 2" xfId="70"/>
    <cellStyle name="40% - 强调文字颜色 6 2" xfId="71"/>
    <cellStyle name="60% - 强调文字颜色 1 2" xfId="72"/>
    <cellStyle name="60% - 强调文字颜色 2 2" xfId="73"/>
    <cellStyle name="60% - 强调文字颜色 3 2" xfId="74"/>
    <cellStyle name="60% - 强调文字颜色 4 2" xfId="75"/>
    <cellStyle name="60% - 强调文字颜色 5 2" xfId="76"/>
    <cellStyle name="60% - 强调文字颜色 6 2" xfId="77"/>
    <cellStyle name="百分比 2" xfId="78"/>
    <cellStyle name="百分比 2 2" xfId="79"/>
    <cellStyle name="百分比 3" xfId="80"/>
    <cellStyle name="标题 1 2" xfId="81"/>
    <cellStyle name="标题 2 2" xfId="82"/>
    <cellStyle name="标题 3 2" xfId="83"/>
    <cellStyle name="千位分隔 3" xfId="84"/>
    <cellStyle name="标题 4 2" xfId="85"/>
    <cellStyle name="标题 5" xfId="86"/>
    <cellStyle name="差 2" xfId="87"/>
    <cellStyle name="常规 11" xfId="88"/>
    <cellStyle name="常规 2" xfId="89"/>
    <cellStyle name="常规 2 2" xfId="90"/>
    <cellStyle name="常规 2 3" xfId="91"/>
    <cellStyle name="常规 2 4" xfId="92"/>
    <cellStyle name="强调文字颜色 4 2" xfId="93"/>
    <cellStyle name="常规_5-9月现场回款预计 2" xfId="94"/>
    <cellStyle name="常规_经济技术指标明细" xfId="95"/>
    <cellStyle name="超链接 2" xfId="96"/>
    <cellStyle name="好 2" xfId="97"/>
    <cellStyle name="汇总 2" xfId="98"/>
    <cellStyle name="千位分隔 5" xfId="99"/>
    <cellStyle name="检查单元格 2" xfId="100"/>
    <cellStyle name="解释性文本 2" xfId="101"/>
    <cellStyle name="警告文本 2" xfId="102"/>
    <cellStyle name="链接单元格 2" xfId="103"/>
    <cellStyle name="千位分隔 2" xfId="104"/>
    <cellStyle name="千位分隔 2 2" xfId="105"/>
    <cellStyle name="千位分隔 4" xfId="106"/>
    <cellStyle name="强调文字颜色 1 2" xfId="107"/>
    <cellStyle name="强调文字颜色 2 2" xfId="108"/>
    <cellStyle name="强调文字颜色 3 2" xfId="109"/>
    <cellStyle name="强调文字颜色 5 2" xfId="110"/>
    <cellStyle name="强调文字颜色 6 2" xfId="111"/>
    <cellStyle name="输入 2" xfId="112"/>
    <cellStyle name="注释 2" xfId="113"/>
  </cellStyles>
  <tableStyles count="0" defaultTableStyle="TableStyleMedium9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3" Type="http://schemas.openxmlformats.org/officeDocument/2006/relationships/sharedStrings" Target="sharedStrings.xml"/><Relationship Id="rId32" Type="http://schemas.openxmlformats.org/officeDocument/2006/relationships/styles" Target="styles.xml"/><Relationship Id="rId31" Type="http://schemas.openxmlformats.org/officeDocument/2006/relationships/theme" Target="theme/theme1.xml"/><Relationship Id="rId30" Type="http://schemas.openxmlformats.org/officeDocument/2006/relationships/externalLink" Target="externalLinks/externalLink8.xml"/><Relationship Id="rId3" Type="http://schemas.openxmlformats.org/officeDocument/2006/relationships/worksheet" Target="worksheets/sheet3.xml"/><Relationship Id="rId29" Type="http://schemas.openxmlformats.org/officeDocument/2006/relationships/externalLink" Target="externalLinks/externalLink7.xml"/><Relationship Id="rId28" Type="http://schemas.openxmlformats.org/officeDocument/2006/relationships/externalLink" Target="externalLinks/externalLink6.xml"/><Relationship Id="rId27" Type="http://schemas.openxmlformats.org/officeDocument/2006/relationships/externalLink" Target="externalLinks/externalLink5.xml"/><Relationship Id="rId26" Type="http://schemas.openxmlformats.org/officeDocument/2006/relationships/externalLink" Target="externalLinks/externalLink4.xml"/><Relationship Id="rId25" Type="http://schemas.openxmlformats.org/officeDocument/2006/relationships/externalLink" Target="externalLinks/externalLink3.xml"/><Relationship Id="rId24" Type="http://schemas.openxmlformats.org/officeDocument/2006/relationships/externalLink" Target="externalLinks/externalLink2.xml"/><Relationship Id="rId23" Type="http://schemas.openxmlformats.org/officeDocument/2006/relationships/externalLink" Target="externalLinks/externalLink1.xml"/><Relationship Id="rId22" Type="http://schemas.openxmlformats.org/officeDocument/2006/relationships/customXml" Target="../customXml/item1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Scroll" dx="22" fmlaLink="$B$11" horiz="1" inc="10" max="2500" page="2500" val="380"/>
</file>

<file path=xl/ctrlProps/ctrlProp10.xml><?xml version="1.0" encoding="utf-8"?>
<formControlPr xmlns="http://schemas.microsoft.com/office/spreadsheetml/2009/9/main" objectType="Scroll" dx="22" fmlaLink="$D$19" horiz="1" inc="50" max="30000" page="30000" val="0"/>
</file>

<file path=xl/ctrlProps/ctrlProp11.xml><?xml version="1.0" encoding="utf-8"?>
<formControlPr xmlns="http://schemas.microsoft.com/office/spreadsheetml/2009/9/main" objectType="Scroll" dx="22" fmlaLink="$D$20" horiz="1" max="30" page="30" val="8"/>
</file>

<file path=xl/ctrlProps/ctrlProp12.xml><?xml version="1.0" encoding="utf-8"?>
<formControlPr xmlns="http://schemas.microsoft.com/office/spreadsheetml/2009/9/main" objectType="Scroll" dx="22" fmlaLink="$D$21" horiz="1" max="30" page="30" val="8"/>
</file>

<file path=xl/ctrlProps/ctrlProp13.xml><?xml version="1.0" encoding="utf-8"?>
<formControlPr xmlns="http://schemas.microsoft.com/office/spreadsheetml/2009/9/main" objectType="Scroll" dx="22" fmlaLink="$F$2" horiz="1" max="100" page="100" val="27"/>
</file>

<file path=xl/ctrlProps/ctrlProp14.xml><?xml version="1.0" encoding="utf-8"?>
<formControlPr xmlns="http://schemas.microsoft.com/office/spreadsheetml/2009/9/main" objectType="Scroll" dx="22" fmlaLink="$F$3" horiz="1" max="100" page="100" val="13"/>
</file>

<file path=xl/ctrlProps/ctrlProp15.xml><?xml version="1.0" encoding="utf-8"?>
<formControlPr xmlns="http://schemas.microsoft.com/office/spreadsheetml/2009/9/main" objectType="Scroll" dx="22" fmlaLink="$D$10" horiz="1" inc="50" max="30000" page="30000" val="0"/>
</file>

<file path=xl/ctrlProps/ctrlProp16.xml><?xml version="1.0" encoding="utf-8"?>
<formControlPr xmlns="http://schemas.microsoft.com/office/spreadsheetml/2009/9/main" objectType="Scroll" dx="22" fmlaLink="$D$11" horiz="1" inc="50" max="30000" page="30000" val="0"/>
</file>

<file path=xl/ctrlProps/ctrlProp17.xml><?xml version="1.0" encoding="utf-8"?>
<formControlPr xmlns="http://schemas.microsoft.com/office/spreadsheetml/2009/9/main" objectType="Scroll" dx="22" fmlaLink="$D$12" horiz="1" inc="50" max="30000" page="30000" val="0"/>
</file>

<file path=xl/ctrlProps/ctrlProp18.xml><?xml version="1.0" encoding="utf-8"?>
<formControlPr xmlns="http://schemas.microsoft.com/office/spreadsheetml/2009/9/main" objectType="Scroll" dx="22" fmlaLink="$D$13" horiz="1" inc="50" max="30000" page="30000" val="0"/>
</file>

<file path=xl/ctrlProps/ctrlProp2.xml><?xml version="1.0" encoding="utf-8"?>
<formControlPr xmlns="http://schemas.microsoft.com/office/spreadsheetml/2009/9/main" objectType="Scroll" dx="22" fmlaLink="$B$11" horiz="1" inc="10" max="2500" page="2500" val="380"/>
</file>

<file path=xl/ctrlProps/ctrlProp3.xml><?xml version="1.0" encoding="utf-8"?>
<formControlPr xmlns="http://schemas.microsoft.com/office/spreadsheetml/2009/9/main" objectType="Scroll" dx="22" fmlaLink="$D$7" horiz="1" inc="50" max="30000" page="30000" val="13500"/>
</file>

<file path=xl/ctrlProps/ctrlProp4.xml><?xml version="1.0" encoding="utf-8"?>
<formControlPr xmlns="http://schemas.microsoft.com/office/spreadsheetml/2009/9/main" objectType="Scroll" dx="22" fmlaLink="$D$8" horiz="1" inc="50" max="30000" page="30000" val="11500"/>
</file>

<file path=xl/ctrlProps/ctrlProp5.xml><?xml version="1.0" encoding="utf-8"?>
<formControlPr xmlns="http://schemas.microsoft.com/office/spreadsheetml/2009/9/main" objectType="Scroll" dx="22" fmlaLink="$D$9" horiz="1" inc="50" max="30000" page="30000" val="0"/>
</file>

<file path=xl/ctrlProps/ctrlProp6.xml><?xml version="1.0" encoding="utf-8"?>
<formControlPr xmlns="http://schemas.microsoft.com/office/spreadsheetml/2009/9/main" objectType="Scroll" dx="22" fmlaLink="$D$14" horiz="1" inc="50" max="30000" page="30000" val="0"/>
</file>

<file path=xl/ctrlProps/ctrlProp7.xml><?xml version="1.0" encoding="utf-8"?>
<formControlPr xmlns="http://schemas.microsoft.com/office/spreadsheetml/2009/9/main" objectType="Scroll" dx="22" fmlaLink="$D$15" horiz="1" inc="50" max="30000" page="30000" val="0"/>
</file>

<file path=xl/ctrlProps/ctrlProp8.xml><?xml version="1.0" encoding="utf-8"?>
<formControlPr xmlns="http://schemas.microsoft.com/office/spreadsheetml/2009/9/main" objectType="Scroll" dx="22" fmlaLink="$D$16" horiz="1" inc="50" max="30000" page="30000" val="0"/>
</file>

<file path=xl/ctrlProps/ctrlProp9.xml><?xml version="1.0" encoding="utf-8"?>
<formControlPr xmlns="http://schemas.microsoft.com/office/spreadsheetml/2009/9/main" objectType="Scroll" dx="22" fmlaLink="$D$17" horiz="1" inc="50" max="30000" page="30000" val="0"/>
</file>

<file path=xl/drawings/_rels/drawing3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10</xdr:row>
          <xdr:rowOff>57150</xdr:rowOff>
        </xdr:from>
        <xdr:to>
          <xdr:col>3</xdr:col>
          <xdr:colOff>2219325</xdr:colOff>
          <xdr:row>11</xdr:row>
          <xdr:rowOff>0</xdr:rowOff>
        </xdr:to>
        <xdr:sp>
          <xdr:nvSpPr>
            <xdr:cNvPr id="4097" name="Scroll Bar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5429250" y="3705225"/>
              <a:ext cx="2105025" cy="3333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10</xdr:row>
          <xdr:rowOff>57150</xdr:rowOff>
        </xdr:from>
        <xdr:to>
          <xdr:col>4</xdr:col>
          <xdr:colOff>571500</xdr:colOff>
          <xdr:row>11</xdr:row>
          <xdr:rowOff>0</xdr:rowOff>
        </xdr:to>
        <xdr:sp>
          <xdr:nvSpPr>
            <xdr:cNvPr id="4099" name="Scroll Bar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429250" y="3705225"/>
              <a:ext cx="3762375" cy="333375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</xdr:colOff>
          <xdr:row>6</xdr:row>
          <xdr:rowOff>28575</xdr:rowOff>
        </xdr:from>
        <xdr:to>
          <xdr:col>7</xdr:col>
          <xdr:colOff>0</xdr:colOff>
          <xdr:row>7</xdr:row>
          <xdr:rowOff>0</xdr:rowOff>
        </xdr:to>
        <xdr:sp>
          <xdr:nvSpPr>
            <xdr:cNvPr id="6146" name="Scroll Bar 2" hidden="1">
              <a:extLst>
                <a:ext uri="{63B3BB69-23CF-44E3-9099-C40C66FF867C}">
                  <a14:compatExt spid="_x0000_s6146"/>
                </a:ext>
              </a:extLst>
            </xdr:cNvPr>
            <xdr:cNvSpPr/>
          </xdr:nvSpPr>
          <xdr:spPr>
            <a:xfrm>
              <a:off x="6915150" y="1857375"/>
              <a:ext cx="1400175" cy="2667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</xdr:colOff>
          <xdr:row>7</xdr:row>
          <xdr:rowOff>47625</xdr:rowOff>
        </xdr:from>
        <xdr:to>
          <xdr:col>7</xdr:col>
          <xdr:colOff>0</xdr:colOff>
          <xdr:row>8</xdr:row>
          <xdr:rowOff>0</xdr:rowOff>
        </xdr:to>
        <xdr:sp>
          <xdr:nvSpPr>
            <xdr:cNvPr id="6147" name="Scroll Bar 3" hidden="1">
              <a:extLst>
                <a:ext uri="{63B3BB69-23CF-44E3-9099-C40C66FF867C}">
                  <a14:compatExt spid="_x0000_s6147"/>
                </a:ext>
              </a:extLst>
            </xdr:cNvPr>
            <xdr:cNvSpPr/>
          </xdr:nvSpPr>
          <xdr:spPr>
            <a:xfrm>
              <a:off x="6915150" y="2171700"/>
              <a:ext cx="1400175" cy="2476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8</xdr:row>
          <xdr:rowOff>28575</xdr:rowOff>
        </xdr:from>
        <xdr:to>
          <xdr:col>7</xdr:col>
          <xdr:colOff>0</xdr:colOff>
          <xdr:row>9</xdr:row>
          <xdr:rowOff>0</xdr:rowOff>
        </xdr:to>
        <xdr:sp>
          <xdr:nvSpPr>
            <xdr:cNvPr id="6148" name="Scroll Bar 4" hidden="1">
              <a:extLst>
                <a:ext uri="{63B3BB69-23CF-44E3-9099-C40C66FF867C}">
                  <a14:compatExt spid="_x0000_s6148"/>
                </a:ext>
              </a:extLst>
            </xdr:cNvPr>
            <xdr:cNvSpPr/>
          </xdr:nvSpPr>
          <xdr:spPr>
            <a:xfrm>
              <a:off x="6924675" y="2447925"/>
              <a:ext cx="1390650" cy="2667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13</xdr:row>
          <xdr:rowOff>28575</xdr:rowOff>
        </xdr:from>
        <xdr:to>
          <xdr:col>7</xdr:col>
          <xdr:colOff>0</xdr:colOff>
          <xdr:row>14</xdr:row>
          <xdr:rowOff>0</xdr:rowOff>
        </xdr:to>
        <xdr:sp>
          <xdr:nvSpPr>
            <xdr:cNvPr id="6149" name="Scroll Bar 5" hidden="1">
              <a:extLst>
                <a:ext uri="{63B3BB69-23CF-44E3-9099-C40C66FF867C}">
                  <a14:compatExt spid="_x0000_s6149"/>
                </a:ext>
              </a:extLst>
            </xdr:cNvPr>
            <xdr:cNvSpPr/>
          </xdr:nvSpPr>
          <xdr:spPr>
            <a:xfrm>
              <a:off x="6924675" y="3924300"/>
              <a:ext cx="1390650" cy="2667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14</xdr:row>
          <xdr:rowOff>28575</xdr:rowOff>
        </xdr:from>
        <xdr:to>
          <xdr:col>7</xdr:col>
          <xdr:colOff>0</xdr:colOff>
          <xdr:row>15</xdr:row>
          <xdr:rowOff>0</xdr:rowOff>
        </xdr:to>
        <xdr:sp>
          <xdr:nvSpPr>
            <xdr:cNvPr id="6150" name="Scroll Bar 6" hidden="1">
              <a:extLst>
                <a:ext uri="{63B3BB69-23CF-44E3-9099-C40C66FF867C}">
                  <a14:compatExt spid="_x0000_s6150"/>
                </a:ext>
              </a:extLst>
            </xdr:cNvPr>
            <xdr:cNvSpPr/>
          </xdr:nvSpPr>
          <xdr:spPr>
            <a:xfrm>
              <a:off x="6924675" y="4219575"/>
              <a:ext cx="1390650" cy="2667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</xdr:colOff>
          <xdr:row>15</xdr:row>
          <xdr:rowOff>19050</xdr:rowOff>
        </xdr:from>
        <xdr:to>
          <xdr:col>7</xdr:col>
          <xdr:colOff>0</xdr:colOff>
          <xdr:row>16</xdr:row>
          <xdr:rowOff>0</xdr:rowOff>
        </xdr:to>
        <xdr:sp>
          <xdr:nvSpPr>
            <xdr:cNvPr id="6151" name="Scroll Bar 7" hidden="1">
              <a:extLst>
                <a:ext uri="{63B3BB69-23CF-44E3-9099-C40C66FF867C}">
                  <a14:compatExt spid="_x0000_s6151"/>
                </a:ext>
              </a:extLst>
            </xdr:cNvPr>
            <xdr:cNvSpPr/>
          </xdr:nvSpPr>
          <xdr:spPr>
            <a:xfrm>
              <a:off x="6915150" y="4505325"/>
              <a:ext cx="1400175" cy="2762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</xdr:colOff>
          <xdr:row>16</xdr:row>
          <xdr:rowOff>28575</xdr:rowOff>
        </xdr:from>
        <xdr:to>
          <xdr:col>7</xdr:col>
          <xdr:colOff>0</xdr:colOff>
          <xdr:row>17</xdr:row>
          <xdr:rowOff>0</xdr:rowOff>
        </xdr:to>
        <xdr:sp>
          <xdr:nvSpPr>
            <xdr:cNvPr id="6152" name="Scroll Bar 8" hidden="1">
              <a:extLst>
                <a:ext uri="{63B3BB69-23CF-44E3-9099-C40C66FF867C}">
                  <a14:compatExt spid="_x0000_s6152"/>
                </a:ext>
              </a:extLst>
            </xdr:cNvPr>
            <xdr:cNvSpPr/>
          </xdr:nvSpPr>
          <xdr:spPr>
            <a:xfrm>
              <a:off x="6915150" y="4810125"/>
              <a:ext cx="1400175" cy="2667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</xdr:colOff>
          <xdr:row>18</xdr:row>
          <xdr:rowOff>19050</xdr:rowOff>
        </xdr:from>
        <xdr:to>
          <xdr:col>7</xdr:col>
          <xdr:colOff>0</xdr:colOff>
          <xdr:row>19</xdr:row>
          <xdr:rowOff>0</xdr:rowOff>
        </xdr:to>
        <xdr:sp>
          <xdr:nvSpPr>
            <xdr:cNvPr id="6154" name="Scroll Bar 10" hidden="1">
              <a:extLst>
                <a:ext uri="{63B3BB69-23CF-44E3-9099-C40C66FF867C}">
                  <a14:compatExt spid="_x0000_s6154"/>
                </a:ext>
              </a:extLst>
            </xdr:cNvPr>
            <xdr:cNvSpPr/>
          </xdr:nvSpPr>
          <xdr:spPr>
            <a:xfrm>
              <a:off x="6953250" y="5391150"/>
              <a:ext cx="1362075" cy="2762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</xdr:colOff>
          <xdr:row>19</xdr:row>
          <xdr:rowOff>47625</xdr:rowOff>
        </xdr:from>
        <xdr:to>
          <xdr:col>7</xdr:col>
          <xdr:colOff>0</xdr:colOff>
          <xdr:row>20</xdr:row>
          <xdr:rowOff>0</xdr:rowOff>
        </xdr:to>
        <xdr:sp>
          <xdr:nvSpPr>
            <xdr:cNvPr id="6156" name="Scroll Bar 12" hidden="1">
              <a:extLst>
                <a:ext uri="{63B3BB69-23CF-44E3-9099-C40C66FF867C}">
                  <a14:compatExt spid="_x0000_s6156"/>
                </a:ext>
              </a:extLst>
            </xdr:cNvPr>
            <xdr:cNvSpPr/>
          </xdr:nvSpPr>
          <xdr:spPr>
            <a:xfrm>
              <a:off x="6953250" y="5715000"/>
              <a:ext cx="1362075" cy="2476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20</xdr:row>
          <xdr:rowOff>9525</xdr:rowOff>
        </xdr:from>
        <xdr:to>
          <xdr:col>7</xdr:col>
          <xdr:colOff>0</xdr:colOff>
          <xdr:row>21</xdr:row>
          <xdr:rowOff>0</xdr:rowOff>
        </xdr:to>
        <xdr:sp>
          <xdr:nvSpPr>
            <xdr:cNvPr id="6158" name="Scroll Bar 14" hidden="1">
              <a:extLst>
                <a:ext uri="{63B3BB69-23CF-44E3-9099-C40C66FF867C}">
                  <a14:compatExt spid="_x0000_s6158"/>
                </a:ext>
              </a:extLst>
            </xdr:cNvPr>
            <xdr:cNvSpPr/>
          </xdr:nvSpPr>
          <xdr:spPr>
            <a:xfrm>
              <a:off x="6924675" y="5972175"/>
              <a:ext cx="1390650" cy="2857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</xdr:colOff>
          <xdr:row>1</xdr:row>
          <xdr:rowOff>9525</xdr:rowOff>
        </xdr:from>
        <xdr:to>
          <xdr:col>6</xdr:col>
          <xdr:colOff>0</xdr:colOff>
          <xdr:row>2</xdr:row>
          <xdr:rowOff>0</xdr:rowOff>
        </xdr:to>
        <xdr:sp>
          <xdr:nvSpPr>
            <xdr:cNvPr id="6161" name="Scroll Bar 17" hidden="1">
              <a:extLst>
                <a:ext uri="{63B3BB69-23CF-44E3-9099-C40C66FF867C}">
                  <a14:compatExt spid="_x0000_s6161"/>
                </a:ext>
              </a:extLst>
            </xdr:cNvPr>
            <xdr:cNvSpPr/>
          </xdr:nvSpPr>
          <xdr:spPr>
            <a:xfrm>
              <a:off x="5524500" y="276225"/>
              <a:ext cx="1323975" cy="2571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2</xdr:row>
          <xdr:rowOff>19050</xdr:rowOff>
        </xdr:from>
        <xdr:to>
          <xdr:col>6</xdr:col>
          <xdr:colOff>0</xdr:colOff>
          <xdr:row>3</xdr:row>
          <xdr:rowOff>0</xdr:rowOff>
        </xdr:to>
        <xdr:sp>
          <xdr:nvSpPr>
            <xdr:cNvPr id="6162" name="Scroll Bar 18" hidden="1">
              <a:extLst>
                <a:ext uri="{63B3BB69-23CF-44E3-9099-C40C66FF867C}">
                  <a14:compatExt spid="_x0000_s6162"/>
                </a:ext>
              </a:extLst>
            </xdr:cNvPr>
            <xdr:cNvSpPr/>
          </xdr:nvSpPr>
          <xdr:spPr>
            <a:xfrm>
              <a:off x="5495925" y="552450"/>
              <a:ext cx="1352550" cy="2476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9</xdr:row>
          <xdr:rowOff>28575</xdr:rowOff>
        </xdr:from>
        <xdr:to>
          <xdr:col>7</xdr:col>
          <xdr:colOff>0</xdr:colOff>
          <xdr:row>10</xdr:row>
          <xdr:rowOff>0</xdr:rowOff>
        </xdr:to>
        <xdr:sp>
          <xdr:nvSpPr>
            <xdr:cNvPr id="6164" name="Scroll Bar 20" hidden="1">
              <a:extLst>
                <a:ext uri="{63B3BB69-23CF-44E3-9099-C40C66FF867C}">
                  <a14:compatExt spid="_x0000_s6164"/>
                </a:ext>
              </a:extLst>
            </xdr:cNvPr>
            <xdr:cNvSpPr/>
          </xdr:nvSpPr>
          <xdr:spPr>
            <a:xfrm>
              <a:off x="6924675" y="2743200"/>
              <a:ext cx="1390650" cy="2667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10</xdr:row>
          <xdr:rowOff>28575</xdr:rowOff>
        </xdr:from>
        <xdr:to>
          <xdr:col>7</xdr:col>
          <xdr:colOff>0</xdr:colOff>
          <xdr:row>11</xdr:row>
          <xdr:rowOff>0</xdr:rowOff>
        </xdr:to>
        <xdr:sp>
          <xdr:nvSpPr>
            <xdr:cNvPr id="6165" name="Scroll Bar 21" hidden="1">
              <a:extLst>
                <a:ext uri="{63B3BB69-23CF-44E3-9099-C40C66FF867C}">
                  <a14:compatExt spid="_x0000_s6165"/>
                </a:ext>
              </a:extLst>
            </xdr:cNvPr>
            <xdr:cNvSpPr/>
          </xdr:nvSpPr>
          <xdr:spPr>
            <a:xfrm>
              <a:off x="6924675" y="3038475"/>
              <a:ext cx="1390650" cy="2667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11</xdr:row>
          <xdr:rowOff>28575</xdr:rowOff>
        </xdr:from>
        <xdr:to>
          <xdr:col>7</xdr:col>
          <xdr:colOff>0</xdr:colOff>
          <xdr:row>12</xdr:row>
          <xdr:rowOff>0</xdr:rowOff>
        </xdr:to>
        <xdr:sp>
          <xdr:nvSpPr>
            <xdr:cNvPr id="6167" name="Scroll Bar 23" hidden="1">
              <a:extLst>
                <a:ext uri="{63B3BB69-23CF-44E3-9099-C40C66FF867C}">
                  <a14:compatExt spid="_x0000_s6167"/>
                </a:ext>
              </a:extLst>
            </xdr:cNvPr>
            <xdr:cNvSpPr/>
          </xdr:nvSpPr>
          <xdr:spPr>
            <a:xfrm>
              <a:off x="6924675" y="3333750"/>
              <a:ext cx="1390650" cy="2667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12</xdr:row>
          <xdr:rowOff>28575</xdr:rowOff>
        </xdr:from>
        <xdr:to>
          <xdr:col>7</xdr:col>
          <xdr:colOff>0</xdr:colOff>
          <xdr:row>13</xdr:row>
          <xdr:rowOff>0</xdr:rowOff>
        </xdr:to>
        <xdr:sp>
          <xdr:nvSpPr>
            <xdr:cNvPr id="6169" name="Scroll Bar 25" hidden="1">
              <a:extLst>
                <a:ext uri="{63B3BB69-23CF-44E3-9099-C40C66FF867C}">
                  <a14:compatExt spid="_x0000_s6169"/>
                </a:ext>
              </a:extLst>
            </xdr:cNvPr>
            <xdr:cNvSpPr/>
          </xdr:nvSpPr>
          <xdr:spPr>
            <a:xfrm>
              <a:off x="6924675" y="3629025"/>
              <a:ext cx="1390650" cy="26670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334645</xdr:colOff>
      <xdr:row>30</xdr:row>
      <xdr:rowOff>292100</xdr:rowOff>
    </xdr:from>
    <xdr:to>
      <xdr:col>7</xdr:col>
      <xdr:colOff>1151890</xdr:colOff>
      <xdr:row>45</xdr:row>
      <xdr:rowOff>53975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92145" y="11956415"/>
          <a:ext cx="6534150" cy="6838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43</xdr:row>
      <xdr:rowOff>0</xdr:rowOff>
    </xdr:from>
    <xdr:to>
      <xdr:col>8</xdr:col>
      <xdr:colOff>716280</xdr:colOff>
      <xdr:row>54</xdr:row>
      <xdr:rowOff>96520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013835" y="17797780"/>
          <a:ext cx="6438900" cy="528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882015</xdr:colOff>
      <xdr:row>32</xdr:row>
      <xdr:rowOff>55880</xdr:rowOff>
    </xdr:from>
    <xdr:to>
      <xdr:col>25</xdr:col>
      <xdr:colOff>23495</xdr:colOff>
      <xdr:row>45</xdr:row>
      <xdr:rowOff>100330</xdr:rowOff>
    </xdr:to>
    <xdr:pic>
      <xdr:nvPicPr>
        <xdr:cNvPr id="4" name="图片 3" descr="75803ef06e4210268ed13552263dbaa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4191595" y="12663805"/>
          <a:ext cx="10015220" cy="6177915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47</xdr:row>
      <xdr:rowOff>0</xdr:rowOff>
    </xdr:from>
    <xdr:to>
      <xdr:col>15</xdr:col>
      <xdr:colOff>1033145</xdr:colOff>
      <xdr:row>53</xdr:row>
      <xdr:rowOff>255270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5647035" y="19685000"/>
          <a:ext cx="6010275" cy="30861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6.140\&#39033;&#30446;&#31649;&#29702;&#20013;&#24515;\&#36816;&#33829;&#36164;&#26009;&#24211;\&#21512;&#32422;&#37096;\&#26680;&#31639;&#37096;\&#37096;&#38376;&#24037;&#20316;\&#9733;&#21512;&#32422;&#37096;&#26376;&#24230;&#25253;&#34920;\&#22478;&#24066;&#20844;&#21496;&#26376;&#24230;&#25104;&#26412;&#32479;&#35745;\06.11.28&#25104;&#26412;&#26376;&#25253;\&#22825;&#27941;\&#22478;&#24066;&#39033;&#30446;\&#21271;&#23736;&#21326;&#24237;&#25104;&#26412;11.2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7979;&#31639;\11.5&#23391;&#27941;\&#23391;&#27941;&#22320;&#22359;1&#21495;2019-11-4%20&#30340;&#22791;&#20221;.xlk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weixin\WeChat%20Files\wxid_9526965264612\FileStorage\File\2021-01\&#23452;&#38451;&#26032;&#22320;&#22359;&#27979;&#31639;&#65288;91.4&#20137;&#65289;2021.1.6&#25903;&#20184;&#23545;&#20215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5105;&#30340;&#25991;&#26723;\Documents\WeChat%20Files\wxid_la8wgjb1yxd422\FileStorage\File\2023-02\&#26041;&#26696;&#20108;&#65306;&#20843;&#37324;&#22530;&#22320;&#22359;&#27979;&#31639;2022.10.11%20-%20&#27719;&#24635;3(1)(1)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3452;&#38451;&#39033;&#30446;\&#30446;&#26631;&#25104;&#26412;\&#26045;&#24037;&#22270;&#29256;&#26412;\&#23665;&#27700;&#25991;&#33489;&#27979;&#31639;&#26032;&#34920;2020.1.7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&#20843;&#37324;&#22530;&#22320;&#22359;&#27979;&#31639;&#12304;&#20154;&#38450;&#38754;&#31215;&#35843;&#25972;&#12289;&#22686;&#21152;&#21806;&#27004;&#37096;&#12289;&#23454;&#38469;&#29616;&#37329;&#27969;&#12305;2022.11.30%20-&#65288;&#22303;&#22320;&#25353;&#21344;&#22320;&#38754;&#31215;&#25674;&#65289;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WIN10\Documents\WeChat%20Files\wxid_5xmrzosqt5wp12\FileStorage\File\2022-11\&#33457;&#22253;&#26449;&#22320;&#22359;&#27979;&#31639;&#65288;&#32431;11&#23618;&#65289;0921&#29616;&#37329;&#27969;&#65288;&#25343;&#35777;&#39044;&#21806;&#65289;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\2022&#24180;&#24230;&#38598;&#35757;\&#20843;&#37324;&#22530;&#38598;&#35757;\&#20843;&#37324;&#22530;&#39033;&#30446;&#20840;&#21608;&#26399;&#39044;&#31639;&#32534;&#21046;\&#20843;&#37324;&#22530;&#20840;&#21608;&#26399;&#27979;&#31639;&#20108;&#29256;2022.11.30\&#27719;&#24635;&#20843;&#37324;&#22530;&#39033;&#30446;&#20840;&#21608;&#26399;&#39044;&#31639;&#22635;&#25253;--2022.11.3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拨款台帐"/>
      <sheetName val="合同台帐"/>
      <sheetName val="集团模板"/>
      <sheetName val="成本指标明细"/>
    </sheetNames>
    <sheetDataSet>
      <sheetData sheetId="0"/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目录"/>
      <sheetName val="项目概况"/>
      <sheetName val="经济指标"/>
      <sheetName val="成本测算明细"/>
      <sheetName val="税率"/>
      <sheetName val="收入及土地测算"/>
      <sheetName val="预计销售收入及费用情况表"/>
      <sheetName val="项目资金筹措"/>
      <sheetName val="税金计算表"/>
      <sheetName val="项目利润情况表"/>
      <sheetName val="销售计划表"/>
      <sheetName val="工程及开发计划"/>
      <sheetName val="管理费用"/>
      <sheetName val="现金流预测"/>
      <sheetName val="数据源（不可删除）"/>
      <sheetName val="1"/>
    </sheetNames>
    <sheetDataSet>
      <sheetData sheetId="0"/>
      <sheetData sheetId="1" refreshError="1"/>
      <sheetData sheetId="2">
        <row r="6">
          <cell r="G6">
            <v>54.13839</v>
          </cell>
        </row>
        <row r="8">
          <cell r="G8">
            <v>2.30000005541354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目录"/>
      <sheetName val="项目概况"/>
      <sheetName val="经济指标"/>
      <sheetName val="成本测算明细"/>
      <sheetName val="税率"/>
      <sheetName val="收入及土地测算"/>
      <sheetName val="预计销售收入及费用情况表"/>
      <sheetName val="项目资金筹措"/>
      <sheetName val="税金计算表"/>
      <sheetName val="项目利润情况表"/>
      <sheetName val="销售计划表"/>
      <sheetName val="工程及开发计划"/>
      <sheetName val="管理费用"/>
      <sheetName val="现金流预测"/>
      <sheetName val="数据源（不可删除）"/>
      <sheetName val="1"/>
    </sheetNames>
    <sheetDataSet>
      <sheetData sheetId="0"/>
      <sheetData sheetId="1"/>
      <sheetData sheetId="2"/>
      <sheetData sheetId="3">
        <row r="182">
          <cell r="D182">
            <v>82797.0963785523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静态成本表(汇报表)"/>
      <sheetName val="目录"/>
      <sheetName val="项目测算对比分析"/>
      <sheetName val="项目概况"/>
      <sheetName val="经济指标"/>
      <sheetName val="成本测算明细"/>
      <sheetName val="税率"/>
      <sheetName val="收入及土地测算"/>
      <sheetName val="预计销售收入及费用情况表"/>
      <sheetName val="项目资金筹措"/>
      <sheetName val="税金计算表"/>
      <sheetName val="项目利润情况表"/>
      <sheetName val="销售计划表"/>
      <sheetName val="工程及开发计划"/>
      <sheetName val="管理费用"/>
      <sheetName val="现金流预测"/>
      <sheetName val="数据源（不可删除）"/>
      <sheetName val="推售计划"/>
      <sheetName val="现金流"/>
      <sheetName val="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65">
          <cell r="C65">
            <v>11600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目录"/>
      <sheetName val="项目概况"/>
      <sheetName val="经济指标"/>
      <sheetName val="成本测算明细"/>
      <sheetName val="税率"/>
      <sheetName val="收入及土地测算"/>
      <sheetName val="预计销售收入及费用情况表"/>
      <sheetName val="项目资金筹措"/>
      <sheetName val="税金计算表"/>
      <sheetName val="项目利润情况表"/>
      <sheetName val="销售计划表"/>
      <sheetName val="工程及开发计划"/>
      <sheetName val="管理费用"/>
      <sheetName val="现金流预测"/>
      <sheetName val="数据源（不可删除）"/>
      <sheetName val="1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9">
          <cell r="C9">
            <v>12263.13688</v>
          </cell>
        </row>
        <row r="11">
          <cell r="C11">
            <v>0</v>
          </cell>
        </row>
      </sheetData>
      <sheetData sheetId="8"/>
      <sheetData sheetId="9">
        <row r="20">
          <cell r="B20">
            <v>2838.66753215214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目录"/>
      <sheetName val="项目测算对比分析"/>
      <sheetName val="项目概况"/>
      <sheetName val="经济指标"/>
      <sheetName val="成本测算明细"/>
      <sheetName val="税率"/>
      <sheetName val="收入及土地测算"/>
      <sheetName val="预计销售收入及费用情况表"/>
      <sheetName val="项目资金筹措"/>
      <sheetName val="税金计算表"/>
      <sheetName val="项目利润情况表"/>
      <sheetName val="销售计划表"/>
      <sheetName val="工程及开发计划"/>
      <sheetName val="管理费用"/>
      <sheetName val="现金流预测"/>
      <sheetName val="数据源（不可删除）"/>
      <sheetName val="推售计划"/>
      <sheetName val="现金流"/>
      <sheetName val="拟排现金流"/>
      <sheetName val="1"/>
    </sheetNames>
    <sheetDataSet>
      <sheetData sheetId="0"/>
      <sheetData sheetId="1"/>
      <sheetData sheetId="2"/>
      <sheetData sheetId="3">
        <row r="8">
          <cell r="G8">
            <v>48400</v>
          </cell>
        </row>
        <row r="20">
          <cell r="G20">
            <v>21062.86</v>
          </cell>
        </row>
      </sheetData>
      <sheetData sheetId="4"/>
      <sheetData sheetId="5"/>
      <sheetData sheetId="6"/>
      <sheetData sheetId="7">
        <row r="23">
          <cell r="E23">
            <v>66200.8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目录"/>
      <sheetName val="项目测算对比分析"/>
      <sheetName val="项目概况"/>
      <sheetName val="经济指标"/>
      <sheetName val="成本测算明细"/>
      <sheetName val="税率"/>
      <sheetName val="收入及土地测算"/>
      <sheetName val="预计销售收入及费用情况表"/>
      <sheetName val="项目资金筹措"/>
      <sheetName val="税金计算表"/>
      <sheetName val="项目利润情况表"/>
      <sheetName val="销售计划表"/>
      <sheetName val="工程及开发计划"/>
      <sheetName val="管理费用"/>
      <sheetName val="现金流预测"/>
      <sheetName val="数据源（不可删除）"/>
      <sheetName val="推售计划"/>
      <sheetName val="现金流"/>
      <sheetName val="1"/>
      <sheetName val="合同台帐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7">
          <cell r="C17">
            <v>0.08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目录"/>
      <sheetName val="测算利润"/>
      <sheetName val="全周期预算汇总"/>
      <sheetName val="资金流量趋势"/>
      <sheetName val="销售推售计划表"/>
      <sheetName val="货值"/>
      <sheetName val="管理费用预算"/>
      <sheetName val="组织架构"/>
      <sheetName val="机构人员编制"/>
      <sheetName val="开办费预算"/>
      <sheetName val="销售费用预算"/>
      <sheetName val="工程支付节点"/>
      <sheetName val="开发计划预算"/>
      <sheetName val="成本、设计预算"/>
      <sheetName val="备注"/>
      <sheetName val="税金、利息、按揭保证金"/>
      <sheetName val="税金说明表"/>
      <sheetName val="总说明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2">
          <cell r="P2">
            <v>0</v>
          </cell>
          <cell r="Q2">
            <v>0</v>
          </cell>
          <cell r="R2">
            <v>0</v>
          </cell>
          <cell r="S2">
            <v>0</v>
          </cell>
          <cell r="T2">
            <v>0</v>
          </cell>
          <cell r="U2">
            <v>0</v>
          </cell>
          <cell r="V2">
            <v>0</v>
          </cell>
          <cell r="W2">
            <v>0</v>
          </cell>
          <cell r="X2">
            <v>0</v>
          </cell>
          <cell r="Y2">
            <v>0</v>
          </cell>
          <cell r="Z2">
            <v>0</v>
          </cell>
          <cell r="AA2">
            <v>0</v>
          </cell>
          <cell r="AB2">
            <v>0</v>
          </cell>
          <cell r="AC2">
            <v>0</v>
          </cell>
          <cell r="AD2">
            <v>0</v>
          </cell>
          <cell r="AE2">
            <v>0</v>
          </cell>
          <cell r="AF2">
            <v>0</v>
          </cell>
          <cell r="AG2">
            <v>0</v>
          </cell>
          <cell r="AH2">
            <v>0</v>
          </cell>
          <cell r="AI2">
            <v>0</v>
          </cell>
          <cell r="AJ2">
            <v>0</v>
          </cell>
          <cell r="AK2">
            <v>0</v>
          </cell>
          <cell r="AL2">
            <v>0</v>
          </cell>
          <cell r="AM2">
            <v>0</v>
          </cell>
          <cell r="AN2">
            <v>0</v>
          </cell>
          <cell r="AO2">
            <v>0</v>
          </cell>
          <cell r="AP2">
            <v>0</v>
          </cell>
          <cell r="AQ2">
            <v>0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comments" Target="../comments2.xm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comments" Target="../comments3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3.xml"/><Relationship Id="rId1" Type="http://schemas.openxmlformats.org/officeDocument/2006/relationships/comments" Target="../comments4.xml"/></Relationships>
</file>

<file path=xl/worksheets/_rels/sheet3.xml.rels><?xml version="1.0" encoding="UTF-8" standalone="yes"?>
<Relationships xmlns="http://schemas.openxmlformats.org/package/2006/relationships"><Relationship Id="rId4" Type="http://schemas.openxmlformats.org/officeDocument/2006/relationships/ctrlProp" Target="../ctrlProps/ctrlProp2.xml"/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1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9.xml"/><Relationship Id="rId8" Type="http://schemas.openxmlformats.org/officeDocument/2006/relationships/ctrlProp" Target="../ctrlProps/ctrlProp8.xml"/><Relationship Id="rId7" Type="http://schemas.openxmlformats.org/officeDocument/2006/relationships/ctrlProp" Target="../ctrlProps/ctrlProp7.xml"/><Relationship Id="rId6" Type="http://schemas.openxmlformats.org/officeDocument/2006/relationships/ctrlProp" Target="../ctrlProps/ctrlProp6.xml"/><Relationship Id="rId5" Type="http://schemas.openxmlformats.org/officeDocument/2006/relationships/ctrlProp" Target="../ctrlProps/ctrlProp5.xml"/><Relationship Id="rId4" Type="http://schemas.openxmlformats.org/officeDocument/2006/relationships/ctrlProp" Target="../ctrlProps/ctrlProp4.xml"/><Relationship Id="rId3" Type="http://schemas.openxmlformats.org/officeDocument/2006/relationships/ctrlProp" Target="../ctrlProps/ctrlProp3.xml"/><Relationship Id="rId2" Type="http://schemas.openxmlformats.org/officeDocument/2006/relationships/vmlDrawing" Target="../drawings/vmlDrawing3.vml"/><Relationship Id="rId18" Type="http://schemas.openxmlformats.org/officeDocument/2006/relationships/ctrlProp" Target="../ctrlProps/ctrlProp18.xml"/><Relationship Id="rId17" Type="http://schemas.openxmlformats.org/officeDocument/2006/relationships/ctrlProp" Target="../ctrlProps/ctrlProp17.xml"/><Relationship Id="rId16" Type="http://schemas.openxmlformats.org/officeDocument/2006/relationships/ctrlProp" Target="../ctrlProps/ctrlProp16.xml"/><Relationship Id="rId15" Type="http://schemas.openxmlformats.org/officeDocument/2006/relationships/ctrlProp" Target="../ctrlProps/ctrlProp15.xml"/><Relationship Id="rId14" Type="http://schemas.openxmlformats.org/officeDocument/2006/relationships/ctrlProp" Target="../ctrlProps/ctrlProp14.xml"/><Relationship Id="rId13" Type="http://schemas.openxmlformats.org/officeDocument/2006/relationships/ctrlProp" Target="../ctrlProps/ctrlProp13.xml"/><Relationship Id="rId12" Type="http://schemas.openxmlformats.org/officeDocument/2006/relationships/ctrlProp" Target="../ctrlProps/ctrlProp12.xml"/><Relationship Id="rId11" Type="http://schemas.openxmlformats.org/officeDocument/2006/relationships/ctrlProp" Target="../ctrlProps/ctrlProp11.xml"/><Relationship Id="rId10" Type="http://schemas.openxmlformats.org/officeDocument/2006/relationships/ctrlProp" Target="../ctrlProps/ctrlProp10.x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4"/>
  <sheetViews>
    <sheetView workbookViewId="0">
      <selection activeCell="C19" sqref="C19"/>
    </sheetView>
  </sheetViews>
  <sheetFormatPr defaultColWidth="9" defaultRowHeight="28.5" customHeight="1" outlineLevelCol="5"/>
  <cols>
    <col min="1" max="1" width="7.375" style="139" customWidth="1"/>
    <col min="2" max="2" width="26" customWidth="1"/>
    <col min="3" max="4" width="13.625" customWidth="1"/>
    <col min="5" max="5" width="23.875" style="732" customWidth="1"/>
    <col min="6" max="6" width="13.625" customWidth="1"/>
  </cols>
  <sheetData>
    <row r="1" customHeight="1" spans="1:6">
      <c r="A1" s="733" t="str">
        <f>项目概况!B6&amp;"项目投资情况及全面预算表"</f>
        <v>洛龙区八里堂地块（挂牌）项目投资情况及全面预算表</v>
      </c>
      <c r="B1" s="733"/>
      <c r="C1" s="733"/>
      <c r="D1" s="733"/>
      <c r="E1" s="733"/>
      <c r="F1" s="733"/>
    </row>
    <row r="2" customHeight="1" spans="1:6">
      <c r="A2" s="142" t="s">
        <v>0</v>
      </c>
      <c r="B2" s="142" t="s">
        <v>1</v>
      </c>
      <c r="C2" s="142" t="s">
        <v>2</v>
      </c>
      <c r="D2" s="142" t="s">
        <v>3</v>
      </c>
      <c r="E2" s="734" t="s">
        <v>4</v>
      </c>
      <c r="F2" s="142" t="s">
        <v>5</v>
      </c>
    </row>
    <row r="3" customHeight="1" spans="1:6">
      <c r="A3" s="148">
        <v>1</v>
      </c>
      <c r="B3" s="735" t="s">
        <v>6</v>
      </c>
      <c r="C3" s="148" t="s">
        <v>7</v>
      </c>
      <c r="D3" s="223" t="s">
        <v>8</v>
      </c>
      <c r="E3" s="736" t="s">
        <v>9</v>
      </c>
      <c r="F3" s="272"/>
    </row>
    <row r="4" customHeight="1" spans="1:6">
      <c r="A4" s="148">
        <v>2</v>
      </c>
      <c r="B4" s="735" t="s">
        <v>10</v>
      </c>
      <c r="C4" s="148" t="s">
        <v>11</v>
      </c>
      <c r="D4" s="223" t="s">
        <v>12</v>
      </c>
      <c r="E4" s="736" t="s">
        <v>9</v>
      </c>
      <c r="F4" s="272"/>
    </row>
    <row r="5" customHeight="1" spans="1:6">
      <c r="A5" s="148">
        <v>3</v>
      </c>
      <c r="B5" s="735" t="s">
        <v>13</v>
      </c>
      <c r="C5" s="148" t="s">
        <v>14</v>
      </c>
      <c r="D5" s="223" t="s">
        <v>15</v>
      </c>
      <c r="E5" s="736" t="s">
        <v>9</v>
      </c>
      <c r="F5" s="272"/>
    </row>
    <row r="6" customHeight="1" spans="1:6">
      <c r="A6" s="148">
        <v>4</v>
      </c>
      <c r="B6" s="735" t="s">
        <v>16</v>
      </c>
      <c r="C6" s="148" t="s">
        <v>17</v>
      </c>
      <c r="D6" s="223" t="s">
        <v>18</v>
      </c>
      <c r="E6" s="736" t="s">
        <v>9</v>
      </c>
      <c r="F6" s="272"/>
    </row>
    <row r="7" customHeight="1" spans="1:6">
      <c r="A7" s="148">
        <v>5</v>
      </c>
      <c r="B7" s="735" t="s">
        <v>19</v>
      </c>
      <c r="C7" s="148" t="s">
        <v>20</v>
      </c>
      <c r="D7" s="223" t="s">
        <v>21</v>
      </c>
      <c r="E7" s="736" t="s">
        <v>9</v>
      </c>
      <c r="F7" s="272"/>
    </row>
    <row r="8" customHeight="1" spans="1:6">
      <c r="A8" s="148">
        <v>6</v>
      </c>
      <c r="B8" s="735" t="s">
        <v>22</v>
      </c>
      <c r="C8" s="148" t="s">
        <v>20</v>
      </c>
      <c r="D8" s="223" t="s">
        <v>21</v>
      </c>
      <c r="E8" s="736" t="s">
        <v>9</v>
      </c>
      <c r="F8" s="272"/>
    </row>
    <row r="9" customHeight="1" spans="1:6">
      <c r="A9" s="148">
        <v>7</v>
      </c>
      <c r="B9" s="735" t="s">
        <v>23</v>
      </c>
      <c r="C9" s="148" t="s">
        <v>20</v>
      </c>
      <c r="D9" s="223" t="s">
        <v>21</v>
      </c>
      <c r="E9" s="736" t="s">
        <v>9</v>
      </c>
      <c r="F9" s="272"/>
    </row>
    <row r="10" hidden="1" customHeight="1" spans="1:6">
      <c r="A10" s="148">
        <v>8</v>
      </c>
      <c r="B10" s="142" t="s">
        <v>24</v>
      </c>
      <c r="C10" s="272"/>
      <c r="D10" s="272"/>
      <c r="E10" s="736" t="s">
        <v>9</v>
      </c>
      <c r="F10" s="272"/>
    </row>
    <row r="11" hidden="1" customHeight="1" spans="1:6">
      <c r="A11" s="148">
        <v>9</v>
      </c>
      <c r="B11" s="142" t="s">
        <v>25</v>
      </c>
      <c r="C11" s="272"/>
      <c r="D11" s="272"/>
      <c r="E11" s="736" t="s">
        <v>9</v>
      </c>
      <c r="F11" s="272"/>
    </row>
    <row r="12" hidden="1" customHeight="1" spans="1:6">
      <c r="A12" s="148">
        <v>10</v>
      </c>
      <c r="B12" s="142" t="s">
        <v>26</v>
      </c>
      <c r="C12" s="272"/>
      <c r="D12" s="272"/>
      <c r="E12" s="736" t="s">
        <v>9</v>
      </c>
      <c r="F12" s="272"/>
    </row>
    <row r="13" hidden="1" customHeight="1" spans="1:6">
      <c r="A13" s="148">
        <v>11</v>
      </c>
      <c r="B13" s="142" t="s">
        <v>27</v>
      </c>
      <c r="C13" s="272"/>
      <c r="D13" s="272"/>
      <c r="E13" s="736" t="s">
        <v>9</v>
      </c>
      <c r="F13" s="272"/>
    </row>
    <row r="14" hidden="1" customHeight="1" spans="1:6">
      <c r="A14" s="148">
        <v>12</v>
      </c>
      <c r="B14" s="142" t="s">
        <v>28</v>
      </c>
      <c r="C14" s="272"/>
      <c r="D14" s="272"/>
      <c r="E14" s="736" t="s">
        <v>9</v>
      </c>
      <c r="F14" s="272"/>
    </row>
  </sheetData>
  <mergeCells count="1">
    <mergeCell ref="A1:F1"/>
  </mergeCells>
  <dataValidations count="2">
    <dataValidation type="list" allowBlank="1" showInputMessage="1" showErrorMessage="1" sqref="C2 C15:C1048576">
      <formula1>#REF!</formula1>
    </dataValidation>
    <dataValidation type="list" allowBlank="1" showInputMessage="1" showErrorMessage="1" sqref="C3:C14">
      <formula1>'数据源（不可删除）'!$C$2:$C$17</formula1>
    </dataValidation>
  </dataValidations>
  <hyperlinks>
    <hyperlink ref="B3" location="项目概况!A1" display="项目概况"/>
    <hyperlink ref="B4" location="经济指标!A1" display="经济指标"/>
    <hyperlink ref="B5" location="成本测算明细!A1" display="成本测算明细表"/>
    <hyperlink ref="B6" location="各业态预计销售情况表!A1" display="预计销售收入及费用情况表"/>
    <hyperlink ref="B7" location="项目资金筹措!A1" display="项目资金筹措"/>
    <hyperlink ref="B8" location="税金计算表!A1" display="税金计算表"/>
    <hyperlink ref="B9" location="项目利润情况表!A1" display="利润情况"/>
  </hyperlinks>
  <pageMargins left="0.699305555555556" right="0.699305555555556" top="0.75" bottom="0.75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44"/>
  <sheetViews>
    <sheetView zoomScale="80" zoomScaleNormal="80" topLeftCell="H1" workbookViewId="0">
      <selection activeCell="T7" sqref="T7"/>
    </sheetView>
  </sheetViews>
  <sheetFormatPr defaultColWidth="9" defaultRowHeight="30" customHeight="1"/>
  <cols>
    <col min="1" max="1" width="12.25" style="334" customWidth="1"/>
    <col min="2" max="2" width="19.875" style="334" customWidth="1"/>
    <col min="3" max="4" width="14.5" style="334" customWidth="1"/>
    <col min="5" max="5" width="15.125" style="334" customWidth="1"/>
    <col min="6" max="6" width="14.75" style="334" customWidth="1"/>
    <col min="7" max="7" width="13.5" style="334" customWidth="1"/>
    <col min="8" max="8" width="14.75" style="334" customWidth="1"/>
    <col min="9" max="9" width="12.875" style="334" customWidth="1"/>
    <col min="10" max="10" width="13" style="334" customWidth="1"/>
    <col min="11" max="11" width="18.875" style="334" customWidth="1"/>
    <col min="12" max="12" width="18.5916666666667" style="334" customWidth="1"/>
    <col min="13" max="13" width="16" style="334" customWidth="1"/>
    <col min="14" max="14" width="13.375" style="334" customWidth="1"/>
    <col min="15" max="15" width="14.125" style="335" customWidth="1"/>
    <col min="16" max="16" width="17.5" style="334" customWidth="1"/>
    <col min="17" max="19" width="14.125" style="334" customWidth="1"/>
    <col min="20" max="20" width="16.375" style="336" customWidth="1"/>
    <col min="21" max="22" width="11.125" style="336"/>
    <col min="23" max="16384" width="9" style="334"/>
  </cols>
  <sheetData>
    <row r="1" customFormat="1" ht="21" customHeight="1" spans="1:22">
      <c r="A1" s="178" t="s">
        <v>38</v>
      </c>
      <c r="B1" s="179" t="str">
        <f>目录!C8</f>
        <v>财务中心</v>
      </c>
      <c r="C1" s="180" t="s">
        <v>39</v>
      </c>
      <c r="D1" s="180"/>
      <c r="E1" s="337" t="s">
        <v>602</v>
      </c>
      <c r="F1" s="338">
        <v>0.9</v>
      </c>
      <c r="G1" s="339">
        <v>0.09</v>
      </c>
      <c r="H1" s="340"/>
      <c r="O1" s="358"/>
      <c r="P1" t="s">
        <v>603</v>
      </c>
      <c r="Q1" s="138">
        <v>13038</v>
      </c>
      <c r="R1" t="s">
        <v>547</v>
      </c>
      <c r="T1" s="138"/>
      <c r="U1" s="138"/>
      <c r="V1" s="138"/>
    </row>
    <row r="2" customFormat="1" ht="21" customHeight="1" spans="1:22">
      <c r="A2" s="178" t="s">
        <v>3</v>
      </c>
      <c r="B2" s="179" t="str">
        <f>目录!D8</f>
        <v>王晓莉</v>
      </c>
      <c r="C2" s="180"/>
      <c r="D2" s="180"/>
      <c r="E2" s="337" t="s">
        <v>604</v>
      </c>
      <c r="F2" s="338">
        <v>0.5</v>
      </c>
      <c r="G2" s="339">
        <v>0.06</v>
      </c>
      <c r="H2" s="340"/>
      <c r="O2" s="358"/>
      <c r="Q2" s="138">
        <v>144</v>
      </c>
      <c r="R2" t="s">
        <v>532</v>
      </c>
      <c r="S2" s="372">
        <f>IF(H2&gt;$Q$1,(H2-L2)*0.035,(H2-L2)*0.015)</f>
        <v>0</v>
      </c>
      <c r="T2" s="138"/>
      <c r="U2" s="138"/>
      <c r="V2" s="138"/>
    </row>
    <row r="3" customFormat="1" ht="21" customHeight="1" spans="1:22">
      <c r="A3" s="178" t="s">
        <v>4</v>
      </c>
      <c r="B3" s="181" t="str">
        <f>目录!E8</f>
        <v>2022.10.31</v>
      </c>
      <c r="C3" s="180"/>
      <c r="D3" s="180"/>
      <c r="E3" s="337" t="s">
        <v>605</v>
      </c>
      <c r="F3" s="337"/>
      <c r="G3" s="339">
        <v>0.09</v>
      </c>
      <c r="H3" s="340"/>
      <c r="O3" s="358"/>
      <c r="Q3" s="138">
        <v>1</v>
      </c>
      <c r="R3" t="s">
        <v>75</v>
      </c>
      <c r="T3" s="138"/>
      <c r="U3" s="138"/>
      <c r="V3" s="138"/>
    </row>
    <row r="4" ht="17.4" spans="1:17">
      <c r="A4" s="185" t="str">
        <f>项目概况!B6&amp;"项目税金计算"</f>
        <v>洛龙区八里堂地块（挂牌）项目税金计算</v>
      </c>
      <c r="B4" s="185"/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185"/>
      <c r="N4" s="185"/>
      <c r="O4" s="185"/>
      <c r="P4" s="185"/>
      <c r="Q4" s="395"/>
    </row>
    <row r="5" ht="24" customHeight="1" spans="1:19">
      <c r="A5" s="341" t="s">
        <v>64</v>
      </c>
      <c r="B5" s="341" t="s">
        <v>64</v>
      </c>
      <c r="C5" s="342" t="s">
        <v>66</v>
      </c>
      <c r="D5" s="342" t="s">
        <v>68</v>
      </c>
      <c r="E5" s="342" t="s">
        <v>606</v>
      </c>
      <c r="F5" s="342" t="s">
        <v>607</v>
      </c>
      <c r="G5" s="343" t="s">
        <v>524</v>
      </c>
      <c r="H5" s="344" t="s">
        <v>608</v>
      </c>
      <c r="I5" s="359" t="s">
        <v>609</v>
      </c>
      <c r="J5" s="360" t="s">
        <v>610</v>
      </c>
      <c r="K5" s="361" t="s">
        <v>611</v>
      </c>
      <c r="L5" s="362" t="s">
        <v>612</v>
      </c>
      <c r="M5" s="363" t="s">
        <v>613</v>
      </c>
      <c r="N5" s="363" t="s">
        <v>614</v>
      </c>
      <c r="O5" s="364" t="s">
        <v>615</v>
      </c>
      <c r="P5" s="365" t="s">
        <v>616</v>
      </c>
      <c r="Q5" s="363" t="s">
        <v>617</v>
      </c>
      <c r="R5" s="396" t="s">
        <v>618</v>
      </c>
      <c r="S5" s="397" t="s">
        <v>43</v>
      </c>
    </row>
    <row r="6" ht="24" customHeight="1" spans="1:19">
      <c r="A6" s="345" t="str">
        <f>经济指标!B9</f>
        <v>地上部分1</v>
      </c>
      <c r="B6" s="345" t="str">
        <f>经济指标!C9</f>
        <v>洋房</v>
      </c>
      <c r="C6" s="346">
        <f>经济指标!E9</f>
        <v>31642.84</v>
      </c>
      <c r="D6" s="346">
        <f>经济指标!G9</f>
        <v>31642.84</v>
      </c>
      <c r="E6" s="347">
        <f>预计销售收入及费用情况表!E7/预计销售收入及费用情况表!C7*10000</f>
        <v>13500</v>
      </c>
      <c r="F6" s="347">
        <f>成本测算明细!G186</f>
        <v>9736.63201288833</v>
      </c>
      <c r="G6" s="348">
        <f>成本测算明细!G190</f>
        <v>1036.97121839754</v>
      </c>
      <c r="H6" s="349">
        <f>IFERROR(H22/D22*10000,0)</f>
        <v>241.265163532611</v>
      </c>
      <c r="I6" s="366">
        <f>E6/(1+$G$3)*0.03</f>
        <v>371.559633027523</v>
      </c>
      <c r="J6" s="367">
        <f>H6-I6</f>
        <v>-130.294469494912</v>
      </c>
      <c r="K6" s="368">
        <f>IFERROR(K22/D22*10000,0)</f>
        <v>28.9518196239133</v>
      </c>
      <c r="L6" s="369">
        <f>(F6-F6/(1+$G$1)*$G$1*$F$1)*1.3+K6</f>
        <v>11745.9611877942</v>
      </c>
      <c r="M6" s="369">
        <f>E6/(1+$G$3)-L6</f>
        <v>639.359913123222</v>
      </c>
      <c r="N6" s="370">
        <f>IFERROR(M6/L6,0)</f>
        <v>0.0544323195778658</v>
      </c>
      <c r="O6" s="371">
        <f>IFERROR(O22/D22*10000,0)</f>
        <v>459.495412844036</v>
      </c>
      <c r="P6" s="372">
        <f>(E6-I6)*0.035</f>
        <v>459.495412844037</v>
      </c>
      <c r="Q6" s="398">
        <f>O6-P6</f>
        <v>-1.19371179607697e-12</v>
      </c>
      <c r="R6" s="399">
        <f>O6+K6+H6</f>
        <v>729.71239600056</v>
      </c>
      <c r="S6" s="400">
        <f t="shared" ref="S6:S19" si="0">R6*D6/10000</f>
        <v>2309.01725926624</v>
      </c>
    </row>
    <row r="7" ht="24" customHeight="1" spans="1:19">
      <c r="A7" s="345" t="str">
        <f>经济指标!B10</f>
        <v>地上部分2</v>
      </c>
      <c r="B7" s="345" t="str">
        <f>经济指标!C10</f>
        <v>别墅</v>
      </c>
      <c r="C7" s="346">
        <f>经济指标!E10</f>
        <v>16692.48</v>
      </c>
      <c r="D7" s="346">
        <f>经济指标!G10</f>
        <v>16692.48</v>
      </c>
      <c r="E7" s="347">
        <f>预计销售收入及费用情况表!D8</f>
        <v>11500</v>
      </c>
      <c r="F7" s="347">
        <f>成本测算明细!I186</f>
        <v>10150.1838287048</v>
      </c>
      <c r="G7" s="348">
        <f>成本测算明细!I190</f>
        <v>646.884275944079</v>
      </c>
      <c r="H7" s="349">
        <f t="shared" ref="H7:H19" si="1">IFERROR(H23/D23*10000,0)</f>
        <v>205.522176342594</v>
      </c>
      <c r="I7" s="366">
        <f>E7/(1+$G$3)*0.03</f>
        <v>316.51376146789</v>
      </c>
      <c r="J7" s="367">
        <f t="shared" ref="J7:J19" si="2">H7-I7</f>
        <v>-110.991585125296</v>
      </c>
      <c r="K7" s="368">
        <f t="shared" ref="K7:K19" si="3">IFERROR(K23/D23*10000,0)</f>
        <v>24.6626611611113</v>
      </c>
      <c r="L7" s="369">
        <f t="shared" ref="L7:L19" si="4">(F7-F7/(1+$G$1)*$G$1*$F$1)*1.3+K7</f>
        <v>12239.3380080529</v>
      </c>
      <c r="M7" s="369">
        <f t="shared" ref="M7:M19" si="5">E7/(1+$G$3)-L7</f>
        <v>-1688.87929245656</v>
      </c>
      <c r="N7" s="370">
        <f t="shared" ref="N7:N19" si="6">IFERROR(M7/L7,0)</f>
        <v>-0.13798779732575</v>
      </c>
      <c r="O7" s="371">
        <f t="shared" ref="O7:O19" si="7">IFERROR(O23/D23*10000,0)</f>
        <v>391.422018348623</v>
      </c>
      <c r="P7" s="372">
        <f>(E7-I7)*0.035</f>
        <v>391.422018348624</v>
      </c>
      <c r="Q7" s="398">
        <f t="shared" ref="Q7:Q19" si="8">O7-P7</f>
        <v>-1.02318153949454e-12</v>
      </c>
      <c r="R7" s="399">
        <f t="shared" ref="R7:R19" si="9">O7+K7+H7</f>
        <v>621.606855852329</v>
      </c>
      <c r="S7" s="400">
        <f t="shared" si="0"/>
        <v>1037.61600091779</v>
      </c>
    </row>
    <row r="8" ht="24" hidden="1" customHeight="1" spans="1:19">
      <c r="A8" s="345" t="str">
        <f>经济指标!B11</f>
        <v>地上部分3</v>
      </c>
      <c r="B8" s="345" t="str">
        <f>经济指标!C11</f>
        <v>小高层</v>
      </c>
      <c r="C8" s="346">
        <f>经济指标!E11</f>
        <v>0</v>
      </c>
      <c r="D8" s="346">
        <f>经济指标!G11</f>
        <v>0</v>
      </c>
      <c r="E8" s="347">
        <f>预计销售收入及费用情况表!D9</f>
        <v>0</v>
      </c>
      <c r="F8" s="347">
        <v>0</v>
      </c>
      <c r="G8" s="348">
        <v>0</v>
      </c>
      <c r="H8" s="349">
        <f t="shared" si="1"/>
        <v>0</v>
      </c>
      <c r="I8" s="366">
        <f t="shared" ref="I8:I19" si="10">E8/(1+$G$3)*0.03</f>
        <v>0</v>
      </c>
      <c r="J8" s="367">
        <f t="shared" si="2"/>
        <v>0</v>
      </c>
      <c r="K8" s="368">
        <f t="shared" si="3"/>
        <v>0</v>
      </c>
      <c r="L8" s="369">
        <f t="shared" si="4"/>
        <v>0</v>
      </c>
      <c r="M8" s="369">
        <f t="shared" si="5"/>
        <v>0</v>
      </c>
      <c r="N8" s="370">
        <f t="shared" si="6"/>
        <v>0</v>
      </c>
      <c r="O8" s="371">
        <f t="shared" si="7"/>
        <v>0</v>
      </c>
      <c r="P8" s="372">
        <f>IF(E8&gt;$Q$1,(E8-I8)*0.035,(E8-I8)*0.015)</f>
        <v>0</v>
      </c>
      <c r="Q8" s="398">
        <f t="shared" si="8"/>
        <v>0</v>
      </c>
      <c r="R8" s="399">
        <f t="shared" si="9"/>
        <v>0</v>
      </c>
      <c r="S8" s="400">
        <f t="shared" si="0"/>
        <v>0</v>
      </c>
    </row>
    <row r="9" ht="24" hidden="1" customHeight="1" spans="1:19">
      <c r="A9" s="345" t="str">
        <f>经济指标!B12</f>
        <v>地上部分4</v>
      </c>
      <c r="B9" s="345" t="str">
        <f>经济指标!C12</f>
        <v>公寓</v>
      </c>
      <c r="C9" s="346">
        <f>经济指标!E12</f>
        <v>0</v>
      </c>
      <c r="D9" s="346">
        <f>经济指标!G12</f>
        <v>0</v>
      </c>
      <c r="E9" s="347">
        <f>预计销售收入及费用情况表!D10</f>
        <v>0</v>
      </c>
      <c r="F9" s="347">
        <v>0</v>
      </c>
      <c r="G9" s="348">
        <v>0</v>
      </c>
      <c r="H9" s="349">
        <f t="shared" si="1"/>
        <v>0</v>
      </c>
      <c r="I9" s="366">
        <f t="shared" si="10"/>
        <v>0</v>
      </c>
      <c r="J9" s="367">
        <f t="shared" si="2"/>
        <v>0</v>
      </c>
      <c r="K9" s="368">
        <f t="shared" si="3"/>
        <v>0</v>
      </c>
      <c r="L9" s="369">
        <f t="shared" si="4"/>
        <v>0</v>
      </c>
      <c r="M9" s="369">
        <f t="shared" si="5"/>
        <v>0</v>
      </c>
      <c r="N9" s="370">
        <f t="shared" si="6"/>
        <v>0</v>
      </c>
      <c r="O9" s="371">
        <f t="shared" si="7"/>
        <v>0</v>
      </c>
      <c r="P9" s="365">
        <f>(E9-I9)*0.045</f>
        <v>0</v>
      </c>
      <c r="Q9" s="398">
        <f t="shared" si="8"/>
        <v>0</v>
      </c>
      <c r="R9" s="399">
        <f t="shared" si="9"/>
        <v>0</v>
      </c>
      <c r="S9" s="400">
        <f t="shared" si="0"/>
        <v>0</v>
      </c>
    </row>
    <row r="10" ht="24" hidden="1" customHeight="1" spans="1:19">
      <c r="A10" s="345" t="str">
        <f>经济指标!B13</f>
        <v>地上部分5</v>
      </c>
      <c r="B10" s="345" t="str">
        <f>经济指标!C13</f>
        <v>商业</v>
      </c>
      <c r="C10" s="346">
        <f>经济指标!E13</f>
        <v>0</v>
      </c>
      <c r="D10" s="346">
        <f>经济指标!G13</f>
        <v>0</v>
      </c>
      <c r="E10" s="347">
        <f>预计销售收入及费用情况表!D11</f>
        <v>0</v>
      </c>
      <c r="F10" s="347">
        <v>0</v>
      </c>
      <c r="G10" s="348">
        <v>0</v>
      </c>
      <c r="H10" s="349">
        <f t="shared" si="1"/>
        <v>0</v>
      </c>
      <c r="I10" s="366">
        <f t="shared" si="10"/>
        <v>0</v>
      </c>
      <c r="J10" s="367">
        <f t="shared" si="2"/>
        <v>0</v>
      </c>
      <c r="K10" s="368">
        <f t="shared" si="3"/>
        <v>0</v>
      </c>
      <c r="L10" s="369">
        <f t="shared" si="4"/>
        <v>0</v>
      </c>
      <c r="M10" s="369">
        <f t="shared" si="5"/>
        <v>0</v>
      </c>
      <c r="N10" s="370">
        <f t="shared" si="6"/>
        <v>0</v>
      </c>
      <c r="O10" s="371">
        <f t="shared" si="7"/>
        <v>0</v>
      </c>
      <c r="P10" s="365">
        <f>(E10-I10)*0.045</f>
        <v>0</v>
      </c>
      <c r="Q10" s="398">
        <f t="shared" si="8"/>
        <v>0</v>
      </c>
      <c r="R10" s="399">
        <f t="shared" si="9"/>
        <v>0</v>
      </c>
      <c r="S10" s="400">
        <f t="shared" si="0"/>
        <v>0</v>
      </c>
    </row>
    <row r="11" ht="24" hidden="1" customHeight="1" spans="1:19">
      <c r="A11" s="345" t="str">
        <f>经济指标!B14</f>
        <v>地上部分6</v>
      </c>
      <c r="B11" s="345" t="str">
        <f>经济指标!C14</f>
        <v>办公</v>
      </c>
      <c r="C11" s="346">
        <f>经济指标!E14</f>
        <v>0</v>
      </c>
      <c r="D11" s="346">
        <f>经济指标!G14</f>
        <v>0</v>
      </c>
      <c r="E11" s="347">
        <f>预计销售收入及费用情况表!D12</f>
        <v>0</v>
      </c>
      <c r="F11" s="350">
        <v>0</v>
      </c>
      <c r="G11" s="348">
        <v>0</v>
      </c>
      <c r="H11" s="349">
        <f t="shared" si="1"/>
        <v>0</v>
      </c>
      <c r="I11" s="366">
        <f t="shared" si="10"/>
        <v>0</v>
      </c>
      <c r="J11" s="367">
        <f t="shared" si="2"/>
        <v>0</v>
      </c>
      <c r="K11" s="368">
        <f t="shared" si="3"/>
        <v>0</v>
      </c>
      <c r="L11" s="369">
        <f t="shared" si="4"/>
        <v>0</v>
      </c>
      <c r="M11" s="369">
        <f t="shared" si="5"/>
        <v>0</v>
      </c>
      <c r="N11" s="370">
        <f t="shared" si="6"/>
        <v>0</v>
      </c>
      <c r="O11" s="371">
        <f t="shared" si="7"/>
        <v>0</v>
      </c>
      <c r="P11" s="365">
        <f>(E11-I11)*0.045</f>
        <v>0</v>
      </c>
      <c r="Q11" s="398">
        <f t="shared" si="8"/>
        <v>0</v>
      </c>
      <c r="R11" s="399">
        <f t="shared" si="9"/>
        <v>0</v>
      </c>
      <c r="S11" s="400">
        <f t="shared" si="0"/>
        <v>0</v>
      </c>
    </row>
    <row r="12" ht="24" hidden="1" customHeight="1" spans="1:19">
      <c r="A12" s="345" t="str">
        <f>经济指标!B15</f>
        <v>地上部分7</v>
      </c>
      <c r="B12" s="345" t="str">
        <f>经济指标!C15</f>
        <v>装配式</v>
      </c>
      <c r="C12" s="346">
        <f>经济指标!E15</f>
        <v>0</v>
      </c>
      <c r="D12" s="346">
        <f>经济指标!G15</f>
        <v>0</v>
      </c>
      <c r="E12" s="347">
        <f>预计销售收入及费用情况表!D13</f>
        <v>0</v>
      </c>
      <c r="F12" s="350">
        <v>0</v>
      </c>
      <c r="G12" s="348">
        <v>0</v>
      </c>
      <c r="H12" s="349">
        <f t="shared" si="1"/>
        <v>0</v>
      </c>
      <c r="I12" s="366">
        <f t="shared" si="10"/>
        <v>0</v>
      </c>
      <c r="J12" s="367">
        <f t="shared" si="2"/>
        <v>0</v>
      </c>
      <c r="K12" s="368">
        <f t="shared" si="3"/>
        <v>0</v>
      </c>
      <c r="L12" s="369">
        <f t="shared" si="4"/>
        <v>0</v>
      </c>
      <c r="M12" s="369">
        <f t="shared" si="5"/>
        <v>0</v>
      </c>
      <c r="N12" s="370">
        <f t="shared" si="6"/>
        <v>0</v>
      </c>
      <c r="O12" s="371">
        <f t="shared" si="7"/>
        <v>0</v>
      </c>
      <c r="P12" s="372">
        <f>IF(E12&gt;$Q$1,(E12-I12)*0.035,(E12-I12)*0.015)</f>
        <v>0</v>
      </c>
      <c r="Q12" s="398">
        <f t="shared" si="8"/>
        <v>0</v>
      </c>
      <c r="R12" s="399">
        <f t="shared" si="9"/>
        <v>0</v>
      </c>
      <c r="S12" s="400">
        <f t="shared" si="0"/>
        <v>0</v>
      </c>
    </row>
    <row r="13" ht="24" customHeight="1" spans="1:19">
      <c r="A13" s="345" t="str">
        <f>经济指标!B16</f>
        <v>地上部分8</v>
      </c>
      <c r="B13" s="345" t="str">
        <f>经济指标!C16</f>
        <v>物业用房及消防控制室</v>
      </c>
      <c r="C13" s="346">
        <f>经济指标!E16</f>
        <v>332.64</v>
      </c>
      <c r="D13" s="346">
        <f>经济指标!G16</f>
        <v>0</v>
      </c>
      <c r="E13" s="347">
        <f>预计销售收入及费用情况表!D14</f>
        <v>0</v>
      </c>
      <c r="F13" s="350">
        <v>0</v>
      </c>
      <c r="G13" s="348">
        <v>0</v>
      </c>
      <c r="H13" s="349">
        <f t="shared" si="1"/>
        <v>0</v>
      </c>
      <c r="I13" s="366">
        <f t="shared" si="10"/>
        <v>0</v>
      </c>
      <c r="J13" s="367">
        <f t="shared" si="2"/>
        <v>0</v>
      </c>
      <c r="K13" s="368">
        <f t="shared" si="3"/>
        <v>0</v>
      </c>
      <c r="L13" s="369">
        <f t="shared" si="4"/>
        <v>0</v>
      </c>
      <c r="M13" s="369">
        <f t="shared" si="5"/>
        <v>0</v>
      </c>
      <c r="N13" s="370">
        <f t="shared" si="6"/>
        <v>0</v>
      </c>
      <c r="O13" s="371">
        <f t="shared" si="7"/>
        <v>0</v>
      </c>
      <c r="P13" s="365">
        <f t="shared" ref="P13:P17" si="11">(E13-I13)*0.015</f>
        <v>0</v>
      </c>
      <c r="Q13" s="398">
        <f t="shared" si="8"/>
        <v>0</v>
      </c>
      <c r="R13" s="399">
        <f t="shared" si="9"/>
        <v>0</v>
      </c>
      <c r="S13" s="400">
        <f t="shared" si="0"/>
        <v>0</v>
      </c>
    </row>
    <row r="14" ht="24" hidden="1" customHeight="1" spans="1:19">
      <c r="A14" s="345" t="str">
        <f>经济指标!B17</f>
        <v>地上部分9</v>
      </c>
      <c r="B14" s="345" t="str">
        <f>经济指标!C17</f>
        <v>公共厕所及开闭所</v>
      </c>
      <c r="C14" s="346">
        <f>经济指标!E17</f>
        <v>198.49</v>
      </c>
      <c r="D14" s="346">
        <f>经济指标!G17</f>
        <v>0</v>
      </c>
      <c r="E14" s="347">
        <f>预计销售收入及费用情况表!D15</f>
        <v>0</v>
      </c>
      <c r="F14" s="350">
        <v>0</v>
      </c>
      <c r="G14" s="348">
        <v>0</v>
      </c>
      <c r="H14" s="349">
        <f t="shared" si="1"/>
        <v>0</v>
      </c>
      <c r="I14" s="366">
        <f t="shared" si="10"/>
        <v>0</v>
      </c>
      <c r="J14" s="367">
        <f t="shared" si="2"/>
        <v>0</v>
      </c>
      <c r="K14" s="368">
        <f t="shared" si="3"/>
        <v>0</v>
      </c>
      <c r="L14" s="369">
        <f t="shared" si="4"/>
        <v>0</v>
      </c>
      <c r="M14" s="369">
        <f t="shared" si="5"/>
        <v>0</v>
      </c>
      <c r="N14" s="370">
        <f t="shared" si="6"/>
        <v>0</v>
      </c>
      <c r="O14" s="371">
        <f t="shared" si="7"/>
        <v>0</v>
      </c>
      <c r="P14" s="365">
        <f t="shared" si="11"/>
        <v>0</v>
      </c>
      <c r="Q14" s="398">
        <f t="shared" si="8"/>
        <v>0</v>
      </c>
      <c r="R14" s="399">
        <f t="shared" si="9"/>
        <v>0</v>
      </c>
      <c r="S14" s="400">
        <f t="shared" si="0"/>
        <v>0</v>
      </c>
    </row>
    <row r="15" ht="24" customHeight="1" spans="1:19">
      <c r="A15" s="345" t="str">
        <f>经济指标!B18</f>
        <v>地上部分10</v>
      </c>
      <c r="B15" s="345" t="str">
        <f>经济指标!C18</f>
        <v>社区服务站</v>
      </c>
      <c r="C15" s="346">
        <f>经济指标!E18</f>
        <v>75.2</v>
      </c>
      <c r="D15" s="346">
        <f>经济指标!G18</f>
        <v>0</v>
      </c>
      <c r="E15" s="347">
        <f>预计销售收入及费用情况表!D16</f>
        <v>0</v>
      </c>
      <c r="F15" s="348">
        <v>0</v>
      </c>
      <c r="G15" s="348">
        <v>0</v>
      </c>
      <c r="H15" s="349">
        <f t="shared" si="1"/>
        <v>0</v>
      </c>
      <c r="I15" s="366">
        <f t="shared" si="10"/>
        <v>0</v>
      </c>
      <c r="J15" s="367">
        <f t="shared" si="2"/>
        <v>0</v>
      </c>
      <c r="K15" s="368">
        <f t="shared" si="3"/>
        <v>0</v>
      </c>
      <c r="L15" s="369">
        <f t="shared" si="4"/>
        <v>0</v>
      </c>
      <c r="M15" s="369">
        <f t="shared" si="5"/>
        <v>0</v>
      </c>
      <c r="N15" s="370">
        <f t="shared" si="6"/>
        <v>0</v>
      </c>
      <c r="O15" s="371">
        <f t="shared" si="7"/>
        <v>0</v>
      </c>
      <c r="P15" s="365">
        <f t="shared" si="11"/>
        <v>0</v>
      </c>
      <c r="Q15" s="398">
        <f t="shared" si="8"/>
        <v>0</v>
      </c>
      <c r="R15" s="399">
        <f t="shared" si="9"/>
        <v>0</v>
      </c>
      <c r="S15" s="400">
        <f t="shared" si="0"/>
        <v>0</v>
      </c>
    </row>
    <row r="16" ht="24" customHeight="1" spans="1:19">
      <c r="A16" s="345" t="str">
        <f>经济指标!B19</f>
        <v>地上部分11</v>
      </c>
      <c r="B16" s="345" t="str">
        <f>经济指标!C19</f>
        <v>老年日间照料</v>
      </c>
      <c r="C16" s="346">
        <f>经济指标!E19</f>
        <v>201.09</v>
      </c>
      <c r="D16" s="346">
        <f>经济指标!G19</f>
        <v>0</v>
      </c>
      <c r="E16" s="347">
        <f>预计销售收入及费用情况表!D17</f>
        <v>0</v>
      </c>
      <c r="F16" s="348">
        <v>0</v>
      </c>
      <c r="G16" s="348">
        <v>0</v>
      </c>
      <c r="H16" s="349">
        <f t="shared" si="1"/>
        <v>0</v>
      </c>
      <c r="I16" s="366">
        <f t="shared" si="10"/>
        <v>0</v>
      </c>
      <c r="J16" s="367">
        <f t="shared" si="2"/>
        <v>0</v>
      </c>
      <c r="K16" s="368">
        <f t="shared" si="3"/>
        <v>0</v>
      </c>
      <c r="L16" s="369">
        <f t="shared" si="4"/>
        <v>0</v>
      </c>
      <c r="M16" s="369">
        <f t="shared" si="5"/>
        <v>0</v>
      </c>
      <c r="N16" s="370">
        <f t="shared" si="6"/>
        <v>0</v>
      </c>
      <c r="O16" s="371">
        <f t="shared" si="7"/>
        <v>0</v>
      </c>
      <c r="P16" s="365">
        <f t="shared" si="11"/>
        <v>0</v>
      </c>
      <c r="Q16" s="398">
        <f t="shared" si="8"/>
        <v>0</v>
      </c>
      <c r="R16" s="399">
        <f t="shared" si="9"/>
        <v>0</v>
      </c>
      <c r="S16" s="400">
        <f t="shared" si="0"/>
        <v>0</v>
      </c>
    </row>
    <row r="17" ht="24" hidden="1" customHeight="1" spans="1:19">
      <c r="A17" s="345" t="str">
        <f>经济指标!B21</f>
        <v>地下部分1</v>
      </c>
      <c r="B17" s="345" t="str">
        <f>经济指标!C21</f>
        <v>储藏室</v>
      </c>
      <c r="C17" s="346">
        <f>经济指标!E21</f>
        <v>0</v>
      </c>
      <c r="D17" s="346">
        <f>经济指标!G21</f>
        <v>0</v>
      </c>
      <c r="E17" s="347">
        <f>预计销售收入及费用情况表!D19</f>
        <v>0</v>
      </c>
      <c r="F17" s="348">
        <v>0</v>
      </c>
      <c r="G17" s="348">
        <f>成本测算明细!AE190</f>
        <v>0</v>
      </c>
      <c r="H17" s="349">
        <f t="shared" si="1"/>
        <v>0</v>
      </c>
      <c r="I17" s="366">
        <f t="shared" si="10"/>
        <v>0</v>
      </c>
      <c r="J17" s="367">
        <f t="shared" si="2"/>
        <v>0</v>
      </c>
      <c r="K17" s="368">
        <f t="shared" si="3"/>
        <v>0</v>
      </c>
      <c r="L17" s="369">
        <f t="shared" si="4"/>
        <v>0</v>
      </c>
      <c r="M17" s="369">
        <f t="shared" si="5"/>
        <v>0</v>
      </c>
      <c r="N17" s="370">
        <f t="shared" si="6"/>
        <v>0</v>
      </c>
      <c r="O17" s="371">
        <f t="shared" si="7"/>
        <v>0</v>
      </c>
      <c r="P17" s="365">
        <f t="shared" si="11"/>
        <v>0</v>
      </c>
      <c r="Q17" s="398">
        <f t="shared" si="8"/>
        <v>0</v>
      </c>
      <c r="R17" s="399">
        <f t="shared" si="9"/>
        <v>0</v>
      </c>
      <c r="S17" s="400">
        <f t="shared" si="0"/>
        <v>0</v>
      </c>
    </row>
    <row r="18" ht="24" customHeight="1" spans="1:19">
      <c r="A18" s="345" t="str">
        <f>经济指标!B22</f>
        <v>地下部分2</v>
      </c>
      <c r="B18" s="345" t="str">
        <f>经济指标!C22</f>
        <v>人防车位</v>
      </c>
      <c r="C18" s="346">
        <f>经济指标!E22</f>
        <v>3945.11</v>
      </c>
      <c r="D18" s="346">
        <f>经济指标!G22</f>
        <v>3945.11</v>
      </c>
      <c r="E18" s="347">
        <f>预计销售收入及费用情况表!E20*10000/经济指标!G22</f>
        <v>2007.54858546403</v>
      </c>
      <c r="F18" s="348">
        <f>成本测算明细!AG186</f>
        <v>3850.66219664089</v>
      </c>
      <c r="G18" s="348">
        <f>成本测算明细!AG190</f>
        <v>183.304054326602</v>
      </c>
      <c r="H18" s="349">
        <f t="shared" si="1"/>
        <v>35.8778916867882</v>
      </c>
      <c r="I18" s="366">
        <f t="shared" si="10"/>
        <v>55.253630792588</v>
      </c>
      <c r="J18" s="367">
        <f t="shared" si="2"/>
        <v>-19.3757391057998</v>
      </c>
      <c r="K18" s="368">
        <f t="shared" si="3"/>
        <v>4.30534700241458</v>
      </c>
      <c r="L18" s="369">
        <f t="shared" si="4"/>
        <v>4638.17103813439</v>
      </c>
      <c r="M18" s="369">
        <f t="shared" si="5"/>
        <v>-2796.38334504813</v>
      </c>
      <c r="N18" s="370">
        <f t="shared" si="6"/>
        <v>-0.602906473706264</v>
      </c>
      <c r="O18" s="371">
        <f t="shared" si="7"/>
        <v>68.3303234135003</v>
      </c>
      <c r="P18" s="365">
        <f>(E18-I18)*0.035</f>
        <v>68.3303234135005</v>
      </c>
      <c r="Q18" s="398">
        <f t="shared" si="8"/>
        <v>-1.56319401867222e-13</v>
      </c>
      <c r="R18" s="399">
        <f t="shared" si="9"/>
        <v>108.513562102703</v>
      </c>
      <c r="S18" s="400">
        <f t="shared" si="0"/>
        <v>42.8097938986995</v>
      </c>
    </row>
    <row r="19" ht="24" customHeight="1" spans="1:19">
      <c r="A19" s="345" t="str">
        <f>经济指标!B23</f>
        <v>地下部分3</v>
      </c>
      <c r="B19" s="345" t="str">
        <f>经济指标!C23</f>
        <v>非人防车位</v>
      </c>
      <c r="C19" s="346">
        <f>经济指标!E23</f>
        <v>18290.4</v>
      </c>
      <c r="D19" s="346">
        <f>经济指标!G23</f>
        <v>18290.4</v>
      </c>
      <c r="E19" s="347">
        <f>预计销售收入及费用情况表!E21*10000/经济指标!G23</f>
        <v>1714.56064383502</v>
      </c>
      <c r="F19" s="348">
        <f>成本测算明细!AI186</f>
        <v>3398.98719664089</v>
      </c>
      <c r="G19" s="348">
        <f>成本测算明细!AI190</f>
        <v>209.990081557484</v>
      </c>
      <c r="H19" s="349">
        <f t="shared" si="1"/>
        <v>30.6417595645507</v>
      </c>
      <c r="I19" s="366">
        <f t="shared" si="10"/>
        <v>47.189742490872</v>
      </c>
      <c r="J19" s="367">
        <f t="shared" si="2"/>
        <v>-16.5479829263213</v>
      </c>
      <c r="K19" s="368">
        <f t="shared" si="3"/>
        <v>3.67701114774608</v>
      </c>
      <c r="L19" s="369">
        <f t="shared" si="4"/>
        <v>4093.99949356413</v>
      </c>
      <c r="M19" s="369">
        <f t="shared" si="5"/>
        <v>-2521.00807720172</v>
      </c>
      <c r="N19" s="370">
        <f t="shared" si="6"/>
        <v>-0.615781238166935</v>
      </c>
      <c r="O19" s="371">
        <f t="shared" si="7"/>
        <v>58.357981547045</v>
      </c>
      <c r="P19" s="365">
        <f>(E19-I19)*0.035</f>
        <v>58.3579815470451</v>
      </c>
      <c r="Q19" s="398">
        <f t="shared" si="8"/>
        <v>-1.35003119794419e-13</v>
      </c>
      <c r="R19" s="399">
        <f t="shared" si="9"/>
        <v>92.6767522593417</v>
      </c>
      <c r="S19" s="400">
        <f t="shared" si="0"/>
        <v>169.509486952426</v>
      </c>
    </row>
    <row r="20" ht="24" customHeight="1" spans="1:22">
      <c r="A20" s="185" t="str">
        <f>A4</f>
        <v>洛龙区八里堂地块（挂牌）项目税金计算</v>
      </c>
      <c r="B20" s="185"/>
      <c r="C20" s="185"/>
      <c r="D20" s="185"/>
      <c r="E20" s="185"/>
      <c r="F20" s="185"/>
      <c r="G20" s="185"/>
      <c r="H20" s="185"/>
      <c r="I20" s="185"/>
      <c r="J20" s="185"/>
      <c r="K20" s="185"/>
      <c r="L20" s="185"/>
      <c r="M20" s="185"/>
      <c r="N20" s="185"/>
      <c r="O20" s="185"/>
      <c r="P20" s="185"/>
      <c r="Q20" s="185"/>
      <c r="R20" s="185"/>
      <c r="S20" s="356">
        <f>SUM(S6:S19)</f>
        <v>3558.95254103515</v>
      </c>
      <c r="T20" s="401"/>
      <c r="U20" s="401"/>
      <c r="V20" s="401"/>
    </row>
    <row r="21" ht="26" customHeight="1" spans="1:19">
      <c r="A21" s="341" t="s">
        <v>64</v>
      </c>
      <c r="B21" s="341" t="s">
        <v>64</v>
      </c>
      <c r="C21" s="342" t="s">
        <v>532</v>
      </c>
      <c r="D21" s="342" t="s">
        <v>68</v>
      </c>
      <c r="E21" s="342" t="s">
        <v>619</v>
      </c>
      <c r="F21" s="342" t="s">
        <v>620</v>
      </c>
      <c r="G21" s="343" t="s">
        <v>524</v>
      </c>
      <c r="H21" s="351" t="s">
        <v>608</v>
      </c>
      <c r="I21" s="351" t="s">
        <v>616</v>
      </c>
      <c r="J21" s="351" t="s">
        <v>617</v>
      </c>
      <c r="K21" s="373" t="s">
        <v>611</v>
      </c>
      <c r="L21" s="374" t="s">
        <v>612</v>
      </c>
      <c r="M21" s="364" t="s">
        <v>613</v>
      </c>
      <c r="N21" s="363" t="s">
        <v>614</v>
      </c>
      <c r="O21" s="363" t="s">
        <v>615</v>
      </c>
      <c r="P21" s="365" t="s">
        <v>616</v>
      </c>
      <c r="Q21" s="363" t="s">
        <v>617</v>
      </c>
      <c r="R21" s="402" t="s">
        <v>618</v>
      </c>
      <c r="S21" s="357" t="s">
        <v>621</v>
      </c>
    </row>
    <row r="22" ht="26" customHeight="1" spans="1:19">
      <c r="A22" s="345" t="str">
        <f t="shared" ref="A22:B22" si="12">A6</f>
        <v>地上部分1</v>
      </c>
      <c r="B22" s="345" t="str">
        <f t="shared" si="12"/>
        <v>洋房</v>
      </c>
      <c r="C22" s="347">
        <f>经济指标!E9</f>
        <v>31642.84</v>
      </c>
      <c r="D22" s="347">
        <f>经济指标!G9</f>
        <v>31642.84</v>
      </c>
      <c r="E22" s="347">
        <f>$D22*E6/10000</f>
        <v>42717.834</v>
      </c>
      <c r="F22" s="348">
        <f>$C22*F6/10000</f>
        <v>30809.4688922703</v>
      </c>
      <c r="G22" s="348">
        <f>$C22*G6/10000</f>
        <v>3281.27143483586</v>
      </c>
      <c r="H22" s="352">
        <f>E22/$E$36*$H$37</f>
        <v>763.431496723624</v>
      </c>
      <c r="I22" s="352">
        <f>$D22*I6/10000</f>
        <v>1175.72020183486</v>
      </c>
      <c r="J22" s="352">
        <f>H22-I22</f>
        <v>-412.288705111236</v>
      </c>
      <c r="K22" s="375">
        <f>H22*0.12</f>
        <v>91.6117796068349</v>
      </c>
      <c r="L22" s="376">
        <f>$C22*L6/10000</f>
        <v>37167.5570511582</v>
      </c>
      <c r="M22" s="376">
        <f>$C22*M6/10000</f>
        <v>2023.1163433372</v>
      </c>
      <c r="N22" s="377"/>
      <c r="O22" s="377">
        <f>E22/$E$36*$O$36</f>
        <v>1453.97398293578</v>
      </c>
      <c r="P22" s="378">
        <f>$D22*P6/10000</f>
        <v>1453.97398293578</v>
      </c>
      <c r="Q22" s="377">
        <f>O22-P22</f>
        <v>-2.95585778076202e-12</v>
      </c>
      <c r="R22" s="403">
        <f t="shared" ref="R22:R35" si="13">$D22*R6/10000</f>
        <v>2309.01725926624</v>
      </c>
      <c r="S22" s="357">
        <f>K22+O22</f>
        <v>1545.58576254261</v>
      </c>
    </row>
    <row r="23" ht="26" customHeight="1" spans="1:19">
      <c r="A23" s="345" t="str">
        <f t="shared" ref="A23:B23" si="14">A7</f>
        <v>地上部分2</v>
      </c>
      <c r="B23" s="345" t="str">
        <f t="shared" si="14"/>
        <v>别墅</v>
      </c>
      <c r="C23" s="347">
        <f>经济指标!E10</f>
        <v>16692.48</v>
      </c>
      <c r="D23" s="347">
        <f>经济指标!G10</f>
        <v>16692.48</v>
      </c>
      <c r="E23" s="347">
        <f t="shared" ref="E23:E35" si="15">$D23*E7/10000</f>
        <v>19196.352</v>
      </c>
      <c r="F23" s="348">
        <f t="shared" ref="F23:G23" si="16">$C23*F7/10000</f>
        <v>16943.1740556978</v>
      </c>
      <c r="G23" s="348">
        <f t="shared" si="16"/>
        <v>1079.8102838511</v>
      </c>
      <c r="H23" s="352">
        <f t="shared" ref="H23:H35" si="17">E23/$E$36*$H$37</f>
        <v>343.067481815523</v>
      </c>
      <c r="I23" s="352">
        <f t="shared" ref="I23:I35" si="18">$D23*I7/10000</f>
        <v>528.339963302752</v>
      </c>
      <c r="J23" s="352">
        <f t="shared" ref="J23:J35" si="19">H23-I23</f>
        <v>-185.272481487229</v>
      </c>
      <c r="K23" s="375">
        <f t="shared" ref="K23:K35" si="20">H23*0.12</f>
        <v>41.1680978178628</v>
      </c>
      <c r="L23" s="376">
        <f t="shared" ref="L23:M35" si="21">$C23*L7/10000</f>
        <v>20430.4904912663</v>
      </c>
      <c r="M23" s="376">
        <f>$C23*M7/10000</f>
        <v>-2819.15838117452</v>
      </c>
      <c r="N23" s="377"/>
      <c r="O23" s="377">
        <f>E23/$E$36*$O$36</f>
        <v>653.380421284402</v>
      </c>
      <c r="P23" s="378">
        <f t="shared" ref="P23:P35" si="22">$D23*P7/10000</f>
        <v>653.380421284404</v>
      </c>
      <c r="Q23" s="377">
        <f t="shared" ref="Q23:Q35" si="23">O23-P23</f>
        <v>-1.70530256582424e-12</v>
      </c>
      <c r="R23" s="403">
        <f t="shared" si="13"/>
        <v>1037.61600091779</v>
      </c>
      <c r="S23" s="357">
        <f t="shared" ref="S23:S36" si="24">K23+O23</f>
        <v>694.548519102265</v>
      </c>
    </row>
    <row r="24" ht="26" hidden="1" customHeight="1" spans="1:19">
      <c r="A24" s="345" t="str">
        <f t="shared" ref="A24:B24" si="25">A8</f>
        <v>地上部分3</v>
      </c>
      <c r="B24" s="345" t="str">
        <f t="shared" si="25"/>
        <v>小高层</v>
      </c>
      <c r="C24" s="347">
        <f>经济指标!E11</f>
        <v>0</v>
      </c>
      <c r="D24" s="347">
        <f>经济指标!G11</f>
        <v>0</v>
      </c>
      <c r="E24" s="347">
        <f t="shared" si="15"/>
        <v>0</v>
      </c>
      <c r="F24" s="348">
        <f t="shared" ref="F24:G24" si="26">$C24*F8/10000</f>
        <v>0</v>
      </c>
      <c r="G24" s="348">
        <f t="shared" si="26"/>
        <v>0</v>
      </c>
      <c r="H24" s="352">
        <f t="shared" si="17"/>
        <v>0</v>
      </c>
      <c r="I24" s="352">
        <f t="shared" si="18"/>
        <v>0</v>
      </c>
      <c r="J24" s="352">
        <f t="shared" si="19"/>
        <v>0</v>
      </c>
      <c r="K24" s="375">
        <f t="shared" si="20"/>
        <v>0</v>
      </c>
      <c r="L24" s="376">
        <f t="shared" si="21"/>
        <v>0</v>
      </c>
      <c r="M24" s="376">
        <f>$C24*M8/10000</f>
        <v>0</v>
      </c>
      <c r="N24" s="377"/>
      <c r="O24" s="377">
        <f>E24/$E$36*$O$36</f>
        <v>0</v>
      </c>
      <c r="P24" s="378">
        <f t="shared" si="22"/>
        <v>0</v>
      </c>
      <c r="Q24" s="377">
        <f t="shared" si="23"/>
        <v>0</v>
      </c>
      <c r="R24" s="403">
        <f t="shared" si="13"/>
        <v>0</v>
      </c>
      <c r="S24" s="357">
        <f t="shared" si="24"/>
        <v>0</v>
      </c>
    </row>
    <row r="25" ht="26" hidden="1" customHeight="1" spans="1:19">
      <c r="A25" s="345" t="str">
        <f t="shared" ref="A25:B25" si="27">A9</f>
        <v>地上部分4</v>
      </c>
      <c r="B25" s="345" t="str">
        <f t="shared" si="27"/>
        <v>公寓</v>
      </c>
      <c r="C25" s="347">
        <f>经济指标!E12</f>
        <v>0</v>
      </c>
      <c r="D25" s="347">
        <f>经济指标!G12</f>
        <v>0</v>
      </c>
      <c r="E25" s="347">
        <f t="shared" si="15"/>
        <v>0</v>
      </c>
      <c r="F25" s="348">
        <f t="shared" ref="F25:G25" si="28">$C25*F9/10000</f>
        <v>0</v>
      </c>
      <c r="G25" s="348">
        <f t="shared" si="28"/>
        <v>0</v>
      </c>
      <c r="H25" s="352">
        <f t="shared" si="17"/>
        <v>0</v>
      </c>
      <c r="I25" s="352">
        <f t="shared" si="18"/>
        <v>0</v>
      </c>
      <c r="J25" s="352">
        <f t="shared" si="19"/>
        <v>0</v>
      </c>
      <c r="K25" s="375">
        <f t="shared" si="20"/>
        <v>0</v>
      </c>
      <c r="L25" s="377">
        <f t="shared" si="21"/>
        <v>0</v>
      </c>
      <c r="M25" s="377">
        <f t="shared" si="21"/>
        <v>0</v>
      </c>
      <c r="N25" s="377"/>
      <c r="O25" s="377">
        <f t="shared" ref="O25:O35" si="29">E25/$E$36*$O$36</f>
        <v>0</v>
      </c>
      <c r="P25" s="378">
        <f t="shared" si="22"/>
        <v>0</v>
      </c>
      <c r="Q25" s="377">
        <f t="shared" si="23"/>
        <v>0</v>
      </c>
      <c r="R25" s="403">
        <f t="shared" si="13"/>
        <v>0</v>
      </c>
      <c r="S25" s="357">
        <f t="shared" si="24"/>
        <v>0</v>
      </c>
    </row>
    <row r="26" ht="26" hidden="1" customHeight="1" spans="1:19">
      <c r="A26" s="345" t="str">
        <f t="shared" ref="A26:B26" si="30">A10</f>
        <v>地上部分5</v>
      </c>
      <c r="B26" s="345" t="str">
        <f t="shared" si="30"/>
        <v>商业</v>
      </c>
      <c r="C26" s="347">
        <f>经济指标!E13</f>
        <v>0</v>
      </c>
      <c r="D26" s="347">
        <f>经济指标!G13</f>
        <v>0</v>
      </c>
      <c r="E26" s="347">
        <f t="shared" si="15"/>
        <v>0</v>
      </c>
      <c r="F26" s="348">
        <f t="shared" ref="F26:G26" si="31">$C26*F10/10000</f>
        <v>0</v>
      </c>
      <c r="G26" s="348">
        <f t="shared" si="31"/>
        <v>0</v>
      </c>
      <c r="H26" s="352">
        <f t="shared" si="17"/>
        <v>0</v>
      </c>
      <c r="I26" s="352">
        <f t="shared" si="18"/>
        <v>0</v>
      </c>
      <c r="J26" s="352">
        <f t="shared" si="19"/>
        <v>0</v>
      </c>
      <c r="K26" s="375">
        <f t="shared" si="20"/>
        <v>0</v>
      </c>
      <c r="L26" s="377">
        <f t="shared" si="21"/>
        <v>0</v>
      </c>
      <c r="M26" s="377">
        <f t="shared" si="21"/>
        <v>0</v>
      </c>
      <c r="N26" s="377"/>
      <c r="O26" s="377">
        <f t="shared" si="29"/>
        <v>0</v>
      </c>
      <c r="P26" s="378">
        <f t="shared" si="22"/>
        <v>0</v>
      </c>
      <c r="Q26" s="377">
        <f t="shared" si="23"/>
        <v>0</v>
      </c>
      <c r="R26" s="403">
        <f t="shared" si="13"/>
        <v>0</v>
      </c>
      <c r="S26" s="357">
        <f t="shared" si="24"/>
        <v>0</v>
      </c>
    </row>
    <row r="27" ht="26" hidden="1" customHeight="1" spans="1:19">
      <c r="A27" s="345" t="str">
        <f t="shared" ref="A27:B27" si="32">A11</f>
        <v>地上部分6</v>
      </c>
      <c r="B27" s="345" t="str">
        <f t="shared" si="32"/>
        <v>办公</v>
      </c>
      <c r="C27" s="347">
        <f>经济指标!E14</f>
        <v>0</v>
      </c>
      <c r="D27" s="347">
        <f>经济指标!G14</f>
        <v>0</v>
      </c>
      <c r="E27" s="347">
        <f t="shared" si="15"/>
        <v>0</v>
      </c>
      <c r="F27" s="348">
        <f t="shared" ref="F27:G27" si="33">$C27*F11/10000</f>
        <v>0</v>
      </c>
      <c r="G27" s="348">
        <f t="shared" si="33"/>
        <v>0</v>
      </c>
      <c r="H27" s="352">
        <f t="shared" si="17"/>
        <v>0</v>
      </c>
      <c r="I27" s="352">
        <f t="shared" si="18"/>
        <v>0</v>
      </c>
      <c r="J27" s="352">
        <f t="shared" si="19"/>
        <v>0</v>
      </c>
      <c r="K27" s="375">
        <f t="shared" si="20"/>
        <v>0</v>
      </c>
      <c r="L27" s="377">
        <f t="shared" si="21"/>
        <v>0</v>
      </c>
      <c r="M27" s="377">
        <f t="shared" si="21"/>
        <v>0</v>
      </c>
      <c r="N27" s="377"/>
      <c r="O27" s="377">
        <f t="shared" si="29"/>
        <v>0</v>
      </c>
      <c r="P27" s="378">
        <f t="shared" si="22"/>
        <v>0</v>
      </c>
      <c r="Q27" s="377">
        <f t="shared" si="23"/>
        <v>0</v>
      </c>
      <c r="R27" s="403">
        <f t="shared" si="13"/>
        <v>0</v>
      </c>
      <c r="S27" s="357">
        <f t="shared" si="24"/>
        <v>0</v>
      </c>
    </row>
    <row r="28" ht="26" hidden="1" customHeight="1" spans="1:19">
      <c r="A28" s="345" t="str">
        <f t="shared" ref="A28:B28" si="34">A12</f>
        <v>地上部分7</v>
      </c>
      <c r="B28" s="345" t="str">
        <f t="shared" si="34"/>
        <v>装配式</v>
      </c>
      <c r="C28" s="347">
        <f>经济指标!E15</f>
        <v>0</v>
      </c>
      <c r="D28" s="347">
        <f>经济指标!G15</f>
        <v>0</v>
      </c>
      <c r="E28" s="347">
        <f t="shared" si="15"/>
        <v>0</v>
      </c>
      <c r="F28" s="348">
        <f t="shared" ref="F28:G28" si="35">$C28*F12/10000</f>
        <v>0</v>
      </c>
      <c r="G28" s="348">
        <f t="shared" si="35"/>
        <v>0</v>
      </c>
      <c r="H28" s="352">
        <f t="shared" si="17"/>
        <v>0</v>
      </c>
      <c r="I28" s="352">
        <f t="shared" si="18"/>
        <v>0</v>
      </c>
      <c r="J28" s="352">
        <f t="shared" si="19"/>
        <v>0</v>
      </c>
      <c r="K28" s="375">
        <f t="shared" si="20"/>
        <v>0</v>
      </c>
      <c r="L28" s="376">
        <f t="shared" si="21"/>
        <v>0</v>
      </c>
      <c r="M28" s="376">
        <f t="shared" si="21"/>
        <v>0</v>
      </c>
      <c r="N28" s="377"/>
      <c r="O28" s="377">
        <f t="shared" si="29"/>
        <v>0</v>
      </c>
      <c r="P28" s="378">
        <f t="shared" si="22"/>
        <v>0</v>
      </c>
      <c r="Q28" s="377">
        <f t="shared" si="23"/>
        <v>0</v>
      </c>
      <c r="R28" s="403">
        <f t="shared" si="13"/>
        <v>0</v>
      </c>
      <c r="S28" s="357">
        <f t="shared" si="24"/>
        <v>0</v>
      </c>
    </row>
    <row r="29" ht="26" customHeight="1" spans="1:19">
      <c r="A29" s="345" t="str">
        <f t="shared" ref="A29:B29" si="36">A13</f>
        <v>地上部分8</v>
      </c>
      <c r="B29" s="345" t="str">
        <f t="shared" si="36"/>
        <v>物业用房及消防控制室</v>
      </c>
      <c r="C29" s="347">
        <f>经济指标!E16</f>
        <v>332.64</v>
      </c>
      <c r="D29" s="347">
        <f>经济指标!G16</f>
        <v>0</v>
      </c>
      <c r="E29" s="347">
        <f t="shared" si="15"/>
        <v>0</v>
      </c>
      <c r="F29" s="348">
        <f t="shared" ref="F29:G29" si="37">$C29*F13/10000</f>
        <v>0</v>
      </c>
      <c r="G29" s="348">
        <f t="shared" si="37"/>
        <v>0</v>
      </c>
      <c r="H29" s="352">
        <f t="shared" si="17"/>
        <v>0</v>
      </c>
      <c r="I29" s="352">
        <f t="shared" si="18"/>
        <v>0</v>
      </c>
      <c r="J29" s="352">
        <f t="shared" si="19"/>
        <v>0</v>
      </c>
      <c r="K29" s="375">
        <f t="shared" si="20"/>
        <v>0</v>
      </c>
      <c r="L29" s="377">
        <f t="shared" si="21"/>
        <v>0</v>
      </c>
      <c r="M29" s="377">
        <f t="shared" si="21"/>
        <v>0</v>
      </c>
      <c r="N29" s="377"/>
      <c r="O29" s="377">
        <f t="shared" si="29"/>
        <v>0</v>
      </c>
      <c r="P29" s="378">
        <f t="shared" si="22"/>
        <v>0</v>
      </c>
      <c r="Q29" s="377">
        <f t="shared" si="23"/>
        <v>0</v>
      </c>
      <c r="R29" s="403">
        <f t="shared" si="13"/>
        <v>0</v>
      </c>
      <c r="S29" s="357">
        <f t="shared" si="24"/>
        <v>0</v>
      </c>
    </row>
    <row r="30" ht="26" hidden="1" customHeight="1" spans="1:19">
      <c r="A30" s="345" t="str">
        <f t="shared" ref="A30:B30" si="38">A14</f>
        <v>地上部分9</v>
      </c>
      <c r="B30" s="345" t="str">
        <f t="shared" si="38"/>
        <v>公共厕所及开闭所</v>
      </c>
      <c r="C30" s="347">
        <f>经济指标!E17</f>
        <v>198.49</v>
      </c>
      <c r="D30" s="347">
        <f>经济指标!G17</f>
        <v>0</v>
      </c>
      <c r="E30" s="347">
        <f t="shared" si="15"/>
        <v>0</v>
      </c>
      <c r="F30" s="348">
        <f t="shared" ref="F30:G30" si="39">$C30*F14/10000</f>
        <v>0</v>
      </c>
      <c r="G30" s="348">
        <f t="shared" si="39"/>
        <v>0</v>
      </c>
      <c r="H30" s="352">
        <f t="shared" si="17"/>
        <v>0</v>
      </c>
      <c r="I30" s="352">
        <f t="shared" si="18"/>
        <v>0</v>
      </c>
      <c r="J30" s="352">
        <f t="shared" si="19"/>
        <v>0</v>
      </c>
      <c r="K30" s="375">
        <f t="shared" si="20"/>
        <v>0</v>
      </c>
      <c r="L30" s="377">
        <f t="shared" si="21"/>
        <v>0</v>
      </c>
      <c r="M30" s="377">
        <f t="shared" si="21"/>
        <v>0</v>
      </c>
      <c r="N30" s="377"/>
      <c r="O30" s="377">
        <f t="shared" si="29"/>
        <v>0</v>
      </c>
      <c r="P30" s="378">
        <f t="shared" si="22"/>
        <v>0</v>
      </c>
      <c r="Q30" s="377">
        <f t="shared" si="23"/>
        <v>0</v>
      </c>
      <c r="R30" s="403">
        <f t="shared" si="13"/>
        <v>0</v>
      </c>
      <c r="S30" s="357">
        <f t="shared" si="24"/>
        <v>0</v>
      </c>
    </row>
    <row r="31" ht="26" customHeight="1" spans="1:19">
      <c r="A31" s="345" t="str">
        <f t="shared" ref="A31:B31" si="40">A15</f>
        <v>地上部分10</v>
      </c>
      <c r="B31" s="345" t="str">
        <f t="shared" si="40"/>
        <v>社区服务站</v>
      </c>
      <c r="C31" s="347">
        <f>经济指标!E18</f>
        <v>75.2</v>
      </c>
      <c r="D31" s="347">
        <f>经济指标!G18</f>
        <v>0</v>
      </c>
      <c r="E31" s="347">
        <f t="shared" si="15"/>
        <v>0</v>
      </c>
      <c r="F31" s="348">
        <f t="shared" ref="F31:G31" si="41">$C31*F15/10000</f>
        <v>0</v>
      </c>
      <c r="G31" s="348">
        <f t="shared" si="41"/>
        <v>0</v>
      </c>
      <c r="H31" s="352">
        <f t="shared" si="17"/>
        <v>0</v>
      </c>
      <c r="I31" s="352">
        <f t="shared" si="18"/>
        <v>0</v>
      </c>
      <c r="J31" s="352">
        <f t="shared" si="19"/>
        <v>0</v>
      </c>
      <c r="K31" s="375">
        <f t="shared" si="20"/>
        <v>0</v>
      </c>
      <c r="L31" s="377">
        <f t="shared" si="21"/>
        <v>0</v>
      </c>
      <c r="M31" s="377">
        <f t="shared" si="21"/>
        <v>0</v>
      </c>
      <c r="N31" s="377"/>
      <c r="O31" s="377">
        <f t="shared" si="29"/>
        <v>0</v>
      </c>
      <c r="P31" s="378">
        <f t="shared" si="22"/>
        <v>0</v>
      </c>
      <c r="Q31" s="377">
        <f t="shared" si="23"/>
        <v>0</v>
      </c>
      <c r="R31" s="403">
        <f t="shared" si="13"/>
        <v>0</v>
      </c>
      <c r="S31" s="357">
        <f t="shared" si="24"/>
        <v>0</v>
      </c>
    </row>
    <row r="32" ht="26" customHeight="1" spans="1:19">
      <c r="A32" s="345" t="str">
        <f t="shared" ref="A32:B32" si="42">A16</f>
        <v>地上部分11</v>
      </c>
      <c r="B32" s="345" t="str">
        <f t="shared" si="42"/>
        <v>老年日间照料</v>
      </c>
      <c r="C32" s="347">
        <f>经济指标!E19</f>
        <v>201.09</v>
      </c>
      <c r="D32" s="347">
        <f>经济指标!G19</f>
        <v>0</v>
      </c>
      <c r="E32" s="347">
        <f t="shared" si="15"/>
        <v>0</v>
      </c>
      <c r="F32" s="348">
        <f t="shared" ref="F32:G35" si="43">$C32*F16/10000</f>
        <v>0</v>
      </c>
      <c r="G32" s="348">
        <f t="shared" si="43"/>
        <v>0</v>
      </c>
      <c r="H32" s="352">
        <f t="shared" si="17"/>
        <v>0</v>
      </c>
      <c r="I32" s="352">
        <f t="shared" si="18"/>
        <v>0</v>
      </c>
      <c r="J32" s="352">
        <f t="shared" si="19"/>
        <v>0</v>
      </c>
      <c r="K32" s="375">
        <f t="shared" si="20"/>
        <v>0</v>
      </c>
      <c r="L32" s="377">
        <f t="shared" si="21"/>
        <v>0</v>
      </c>
      <c r="M32" s="377">
        <f t="shared" si="21"/>
        <v>0</v>
      </c>
      <c r="N32" s="377"/>
      <c r="O32" s="377">
        <f t="shared" si="29"/>
        <v>0</v>
      </c>
      <c r="P32" s="378">
        <f t="shared" si="22"/>
        <v>0</v>
      </c>
      <c r="Q32" s="377">
        <f t="shared" si="23"/>
        <v>0</v>
      </c>
      <c r="R32" s="403">
        <f t="shared" si="13"/>
        <v>0</v>
      </c>
      <c r="S32" s="357">
        <f t="shared" si="24"/>
        <v>0</v>
      </c>
    </row>
    <row r="33" ht="26" hidden="1" customHeight="1" spans="1:19">
      <c r="A33" s="345" t="str">
        <f>A17</f>
        <v>地下部分1</v>
      </c>
      <c r="B33" s="345" t="str">
        <f t="shared" ref="B33" si="44">B17</f>
        <v>储藏室</v>
      </c>
      <c r="C33" s="347">
        <f>经济指标!E21</f>
        <v>0</v>
      </c>
      <c r="D33" s="347">
        <f>经济指标!G21</f>
        <v>0</v>
      </c>
      <c r="E33" s="347">
        <f t="shared" si="15"/>
        <v>0</v>
      </c>
      <c r="F33" s="348">
        <f t="shared" si="43"/>
        <v>0</v>
      </c>
      <c r="G33" s="348">
        <f t="shared" si="43"/>
        <v>0</v>
      </c>
      <c r="H33" s="352">
        <f t="shared" si="17"/>
        <v>0</v>
      </c>
      <c r="I33" s="352">
        <f t="shared" si="18"/>
        <v>0</v>
      </c>
      <c r="J33" s="352">
        <f t="shared" si="19"/>
        <v>0</v>
      </c>
      <c r="K33" s="375">
        <f t="shared" si="20"/>
        <v>0</v>
      </c>
      <c r="L33" s="377">
        <f t="shared" si="21"/>
        <v>0</v>
      </c>
      <c r="M33" s="377">
        <f t="shared" si="21"/>
        <v>0</v>
      </c>
      <c r="N33" s="377"/>
      <c r="O33" s="377">
        <f t="shared" si="29"/>
        <v>0</v>
      </c>
      <c r="P33" s="378">
        <f t="shared" si="22"/>
        <v>0</v>
      </c>
      <c r="Q33" s="377">
        <f t="shared" si="23"/>
        <v>0</v>
      </c>
      <c r="R33" s="403">
        <f t="shared" si="13"/>
        <v>0</v>
      </c>
      <c r="S33" s="357">
        <f t="shared" si="24"/>
        <v>0</v>
      </c>
    </row>
    <row r="34" ht="26" customHeight="1" spans="1:19">
      <c r="A34" s="345" t="str">
        <f t="shared" ref="A34:B34" si="45">A18</f>
        <v>地下部分2</v>
      </c>
      <c r="B34" s="345" t="str">
        <f t="shared" si="45"/>
        <v>人防车位</v>
      </c>
      <c r="C34" s="347">
        <f>经济指标!E22</f>
        <v>3945.11</v>
      </c>
      <c r="D34" s="347">
        <f>经济指标!G22</f>
        <v>3945.11</v>
      </c>
      <c r="E34" s="347">
        <f t="shared" si="15"/>
        <v>792</v>
      </c>
      <c r="F34" s="348">
        <f t="shared" si="43"/>
        <v>1519.12859385899</v>
      </c>
      <c r="G34" s="348">
        <f t="shared" si="43"/>
        <v>72.3154657764423</v>
      </c>
      <c r="H34" s="352">
        <f t="shared" si="17"/>
        <v>14.1542229272465</v>
      </c>
      <c r="I34" s="352">
        <f t="shared" si="18"/>
        <v>21.7981651376147</v>
      </c>
      <c r="J34" s="352">
        <f t="shared" si="19"/>
        <v>-7.6439422103682</v>
      </c>
      <c r="K34" s="375">
        <f t="shared" si="20"/>
        <v>1.69850675126958</v>
      </c>
      <c r="L34" s="377">
        <f t="shared" si="21"/>
        <v>1829.80949442544</v>
      </c>
      <c r="M34" s="377">
        <f t="shared" si="21"/>
        <v>-1103.20398983828</v>
      </c>
      <c r="N34" s="377"/>
      <c r="O34" s="377">
        <f t="shared" si="29"/>
        <v>26.9570642201834</v>
      </c>
      <c r="P34" s="378">
        <f t="shared" si="22"/>
        <v>26.9570642201835</v>
      </c>
      <c r="Q34" s="377">
        <f t="shared" si="23"/>
        <v>-6.75015598972095e-14</v>
      </c>
      <c r="R34" s="403">
        <f t="shared" si="13"/>
        <v>42.8097938986995</v>
      </c>
      <c r="S34" s="357">
        <f t="shared" si="24"/>
        <v>28.655570971453</v>
      </c>
    </row>
    <row r="35" ht="26" customHeight="1" spans="1:19">
      <c r="A35" s="345" t="str">
        <f t="shared" ref="A35:B35" si="46">A19</f>
        <v>地下部分3</v>
      </c>
      <c r="B35" s="345" t="str">
        <f t="shared" si="46"/>
        <v>非人防车位</v>
      </c>
      <c r="C35" s="347">
        <f>经济指标!E23</f>
        <v>18290.4</v>
      </c>
      <c r="D35" s="347">
        <f>经济指标!G23</f>
        <v>18290.4</v>
      </c>
      <c r="E35" s="347">
        <f t="shared" si="15"/>
        <v>3136</v>
      </c>
      <c r="F35" s="348">
        <f t="shared" si="43"/>
        <v>6216.88354214405</v>
      </c>
      <c r="G35" s="348">
        <f t="shared" si="43"/>
        <v>384.080258771901</v>
      </c>
      <c r="H35" s="352">
        <f t="shared" si="17"/>
        <v>56.0450039139457</v>
      </c>
      <c r="I35" s="352">
        <f t="shared" si="18"/>
        <v>86.3119266055046</v>
      </c>
      <c r="J35" s="352">
        <f t="shared" si="19"/>
        <v>-30.2669226915589</v>
      </c>
      <c r="K35" s="375">
        <f t="shared" si="20"/>
        <v>6.72540046967349</v>
      </c>
      <c r="L35" s="377">
        <f t="shared" si="21"/>
        <v>7488.08883370853</v>
      </c>
      <c r="M35" s="377">
        <f t="shared" si="21"/>
        <v>-4611.02461352504</v>
      </c>
      <c r="N35" s="377"/>
      <c r="O35" s="377">
        <f t="shared" si="29"/>
        <v>106.739082568807</v>
      </c>
      <c r="P35" s="378">
        <f t="shared" si="22"/>
        <v>106.739082568807</v>
      </c>
      <c r="Q35" s="377">
        <f t="shared" si="23"/>
        <v>1.13686837721616e-13</v>
      </c>
      <c r="R35" s="403">
        <f t="shared" si="13"/>
        <v>169.509486952426</v>
      </c>
      <c r="S35" s="357">
        <f t="shared" si="24"/>
        <v>113.464483038481</v>
      </c>
    </row>
    <row r="36" ht="26" customHeight="1" spans="1:19">
      <c r="A36" s="353" t="s">
        <v>127</v>
      </c>
      <c r="B36" s="353"/>
      <c r="C36" s="354">
        <f t="shared" ref="C36:M36" si="47">SUM(C22:C35)</f>
        <v>71378.25</v>
      </c>
      <c r="D36" s="354">
        <f t="shared" si="47"/>
        <v>70570.83</v>
      </c>
      <c r="E36" s="354">
        <f t="shared" si="47"/>
        <v>65842.186</v>
      </c>
      <c r="F36" s="354">
        <f t="shared" si="47"/>
        <v>55488.6550839711</v>
      </c>
      <c r="G36" s="354">
        <f t="shared" si="47"/>
        <v>4817.4774432353</v>
      </c>
      <c r="H36" s="354">
        <f t="shared" si="47"/>
        <v>1176.69820538034</v>
      </c>
      <c r="I36" s="354">
        <f t="shared" si="47"/>
        <v>1812.17025688073</v>
      </c>
      <c r="J36" s="354">
        <f t="shared" si="47"/>
        <v>-635.472051500392</v>
      </c>
      <c r="K36" s="354">
        <f t="shared" si="47"/>
        <v>141.203784645641</v>
      </c>
      <c r="L36" s="354">
        <f t="shared" si="47"/>
        <v>66915.9458705584</v>
      </c>
      <c r="M36" s="354">
        <f t="shared" si="47"/>
        <v>-6510.27064120064</v>
      </c>
      <c r="N36" s="379">
        <f>M36/L36</f>
        <v>-0.0972902729910453</v>
      </c>
      <c r="O36" s="354">
        <f>MAX(P36,O44)</f>
        <v>2241.05055100917</v>
      </c>
      <c r="P36" s="380">
        <f>SUM(P22:P35)</f>
        <v>2241.05055100917</v>
      </c>
      <c r="Q36" s="354">
        <f>SUM(Q22:Q35)</f>
        <v>-4.61497506876185e-12</v>
      </c>
      <c r="R36" s="354">
        <f>SUM(R22:R35)</f>
        <v>3558.95254103515</v>
      </c>
      <c r="S36" s="357">
        <f t="shared" si="24"/>
        <v>2382.25433565481</v>
      </c>
    </row>
    <row r="37" s="332" customFormat="1" ht="26" customHeight="1" spans="6:22">
      <c r="F37" s="355">
        <f>E36-F36-G36-H37-O36-K36</f>
        <v>1977.10093175842</v>
      </c>
      <c r="H37" s="355">
        <f>(E36/(1+G3)*G3-F36/(1+G1)*F1*G1-G36/(1+G2)*F2*G2)</f>
        <v>1176.69820538034</v>
      </c>
      <c r="I37" s="332">
        <f>E36/1.09*0.03</f>
        <v>1812.17025688073</v>
      </c>
      <c r="K37" s="332">
        <f>H36*0.12</f>
        <v>141.203784645641</v>
      </c>
      <c r="O37" s="381"/>
      <c r="Q37" s="332">
        <f>(E36-I37)*0.035</f>
        <v>2241.05055100917</v>
      </c>
      <c r="T37" s="404"/>
      <c r="U37" s="404"/>
      <c r="V37" s="404"/>
    </row>
    <row r="38" s="333" customFormat="1" ht="24" customHeight="1" spans="2:22">
      <c r="B38" s="333" t="s">
        <v>43</v>
      </c>
      <c r="C38" s="356">
        <f>IF(C36=经济指标!E7,0,1)</f>
        <v>0</v>
      </c>
      <c r="D38" s="356">
        <f>D36-经济指标!G7</f>
        <v>0</v>
      </c>
      <c r="E38" s="356">
        <f>IF(E36=预计销售收入及费用情况表!E23,0,1)</f>
        <v>0</v>
      </c>
      <c r="F38" s="356">
        <f>IF(F36=成本测算明细!D186,0,1)</f>
        <v>0</v>
      </c>
      <c r="G38" s="356">
        <f>IF(G36=成本测算明细!D190,0,1)</f>
        <v>0</v>
      </c>
      <c r="H38" s="333">
        <f>H36-H37</f>
        <v>0</v>
      </c>
      <c r="I38" s="356">
        <f>E36/(1+G3)*0.03-I36</f>
        <v>0</v>
      </c>
      <c r="K38" s="333">
        <f>K36-K37</f>
        <v>0</v>
      </c>
      <c r="L38" s="356">
        <f>(F36-F36*F1*G1/(1+G1))*1.3+K36-L36</f>
        <v>0</v>
      </c>
      <c r="M38" s="356">
        <f>E36/(1+G3)-L36-M36</f>
        <v>0</v>
      </c>
      <c r="O38" s="382"/>
      <c r="R38" s="356">
        <f>R36-S20</f>
        <v>0</v>
      </c>
      <c r="T38" s="401"/>
      <c r="U38" s="401"/>
      <c r="V38" s="401"/>
    </row>
    <row r="39" ht="24" customHeight="1" spans="6:23">
      <c r="F39" s="357"/>
      <c r="G39" s="357"/>
      <c r="H39" s="357"/>
      <c r="I39" s="357"/>
      <c r="J39" s="383" t="s">
        <v>615</v>
      </c>
      <c r="K39" s="384" t="s">
        <v>138</v>
      </c>
      <c r="L39" s="385" t="s">
        <v>622</v>
      </c>
      <c r="M39" s="385" t="s">
        <v>608</v>
      </c>
      <c r="N39" s="386" t="s">
        <v>614</v>
      </c>
      <c r="O39" s="387" t="s">
        <v>623</v>
      </c>
      <c r="P39" s="387" t="s">
        <v>624</v>
      </c>
      <c r="Q39" s="336"/>
      <c r="S39" s="336"/>
      <c r="T39" s="334"/>
      <c r="W39" s="336"/>
    </row>
    <row r="40" ht="24" customHeight="1" spans="7:23">
      <c r="G40" s="336"/>
      <c r="J40" s="388"/>
      <c r="K40" s="389" t="s">
        <v>625</v>
      </c>
      <c r="L40" s="390"/>
      <c r="M40" s="390"/>
      <c r="N40" s="391"/>
      <c r="O40" s="390">
        <f>IF(N40&lt;0,0,IF(N40&lt;20%,0,IF(N40&lt;50%,M40*0.3,IF(N40&lt;100%,M40*0.4-L40*0.05,IF(N40&lt;200%,M40*0.5-L40*0.15,IF(N40&gt;200%,M40*0.6-L40*0.35))))))</f>
        <v>0</v>
      </c>
      <c r="P40" s="390"/>
      <c r="T40" s="334"/>
      <c r="W40" s="336"/>
    </row>
    <row r="41" ht="24" customHeight="1" spans="10:23">
      <c r="J41" s="388"/>
      <c r="K41" s="389" t="s">
        <v>626</v>
      </c>
      <c r="L41" s="390">
        <f>L22+L23</f>
        <v>57598.0475424245</v>
      </c>
      <c r="M41" s="390">
        <f>M22+M23</f>
        <v>-796.042037837317</v>
      </c>
      <c r="N41" s="391">
        <f>IFERROR(M41/L41,0)</f>
        <v>-0.0138206427440268</v>
      </c>
      <c r="O41" s="390">
        <f>IF(N41&lt;0,0,IF(N41&lt;50%,M41*0.3,IF(N41&lt;100%,M41*0.4-L41*0.05,IF(N41&lt;200%,M41*0.5-L41*0.15,IF(N41&gt;200%,M41*0.6-L41*0.35)))))</f>
        <v>0</v>
      </c>
      <c r="P41" s="390">
        <f>M41*0.3</f>
        <v>-238.812611351195</v>
      </c>
      <c r="T41" s="334"/>
      <c r="W41" s="336"/>
    </row>
    <row r="42" ht="24" customHeight="1" spans="10:23">
      <c r="J42" s="388"/>
      <c r="K42" s="392" t="s">
        <v>627</v>
      </c>
      <c r="L42" s="390">
        <f>L26+L34+L27+L3+L25+L35+L33</f>
        <v>9317.89832813397</v>
      </c>
      <c r="M42" s="390">
        <f>M26+M34+M27+M3+M25+M35+M33</f>
        <v>-5714.22860336332</v>
      </c>
      <c r="N42" s="391">
        <f>IFERROR(M42/L42,0)</f>
        <v>-0.613252946333411</v>
      </c>
      <c r="O42" s="390">
        <f>IF(N42&lt;0,0,IF(N42&lt;50%,M42*0.3,IF(N42&lt;100%,M42*0.4-L42*0.05,IF(N42&lt;200%,M42*0.5-L42*0.15,IF(N42&gt;200%,M42*0.6-L42*0.35)))))</f>
        <v>0</v>
      </c>
      <c r="P42" s="390">
        <v>0</v>
      </c>
      <c r="T42" s="334"/>
      <c r="W42" s="336"/>
    </row>
    <row r="43" ht="24" customHeight="1" spans="10:23">
      <c r="J43" s="388"/>
      <c r="K43" s="389"/>
      <c r="L43" s="390"/>
      <c r="M43" s="390"/>
      <c r="N43" s="391"/>
      <c r="O43" s="393"/>
      <c r="P43" s="390"/>
      <c r="T43" s="334"/>
      <c r="W43" s="336"/>
    </row>
    <row r="44" ht="24" customHeight="1" spans="10:23">
      <c r="J44" s="394"/>
      <c r="K44" s="392" t="s">
        <v>127</v>
      </c>
      <c r="L44" s="390">
        <f t="shared" ref="L44:P44" si="48">SUM(L40:L43)</f>
        <v>66915.9458705584</v>
      </c>
      <c r="M44" s="390">
        <f t="shared" si="48"/>
        <v>-6510.27064120064</v>
      </c>
      <c r="N44" s="390"/>
      <c r="O44" s="390">
        <f>SUM(O40:O43)</f>
        <v>0</v>
      </c>
      <c r="P44" s="390">
        <f t="shared" si="48"/>
        <v>-238.812611351195</v>
      </c>
      <c r="T44" s="334"/>
      <c r="W44" s="336"/>
    </row>
  </sheetData>
  <mergeCells count="4">
    <mergeCell ref="A4:P4"/>
    <mergeCell ref="A20:R20"/>
    <mergeCell ref="C1:C3"/>
    <mergeCell ref="J39:J44"/>
  </mergeCells>
  <hyperlinks>
    <hyperlink ref="C1:C3" location="目录!A1" display="返回目录"/>
  </hyperlinks>
  <pageMargins left="0.707638888888889" right="0.707638888888889" top="0.747916666666667" bottom="0.747916666666667" header="0.313888888888889" footer="0.313888888888889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03"/>
  <sheetViews>
    <sheetView zoomScale="70" zoomScaleNormal="70" topLeftCell="A4" workbookViewId="0">
      <selection activeCell="D14" sqref="D14"/>
    </sheetView>
  </sheetViews>
  <sheetFormatPr defaultColWidth="9" defaultRowHeight="15.6"/>
  <cols>
    <col min="1" max="1" width="30.75" customWidth="1"/>
    <col min="2" max="2" width="31.0666666666667" customWidth="1"/>
    <col min="3" max="4" width="16.25" customWidth="1"/>
    <col min="5" max="5" width="11.125" hidden="1" customWidth="1"/>
    <col min="6" max="6" width="12" hidden="1" customWidth="1"/>
    <col min="7" max="7" width="16.25" hidden="1" customWidth="1"/>
    <col min="8" max="8" width="11.125" hidden="1" customWidth="1"/>
    <col min="9" max="9" width="16.25" hidden="1" customWidth="1"/>
    <col min="10" max="10" width="13.375" hidden="1" customWidth="1"/>
    <col min="11" max="11" width="11.25" hidden="1" customWidth="1"/>
    <col min="12" max="13" width="12.375" hidden="1" customWidth="1"/>
    <col min="14" max="14" width="18.25" hidden="1" customWidth="1"/>
    <col min="15" max="16" width="16.25" customWidth="1"/>
    <col min="17" max="17" width="13.625" customWidth="1"/>
    <col min="18" max="19" width="19" style="138" customWidth="1"/>
    <col min="20" max="20" width="24.4666666666667" style="138" customWidth="1"/>
    <col min="21" max="21" width="16.75" customWidth="1"/>
    <col min="22" max="22" width="30.8916666666667" style="139" customWidth="1"/>
    <col min="23" max="23" width="17.875" style="139" customWidth="1"/>
    <col min="24" max="24" width="14.5" style="177" customWidth="1"/>
    <col min="25" max="25" width="17.85" customWidth="1"/>
    <col min="26" max="26" width="15.7166666666667" style="139" customWidth="1"/>
    <col min="27" max="27" width="30.7083333333333" customWidth="1"/>
    <col min="28" max="33" width="17.4916666666667" customWidth="1"/>
    <col min="34" max="34" width="26.425" style="173" customWidth="1"/>
    <col min="35" max="35" width="15.775" customWidth="1"/>
  </cols>
  <sheetData>
    <row r="1" ht="21" hidden="1" customHeight="1" spans="1:3">
      <c r="A1" s="178" t="s">
        <v>38</v>
      </c>
      <c r="B1" s="179" t="str">
        <f>目录!C8</f>
        <v>财务中心</v>
      </c>
      <c r="C1" s="180" t="s">
        <v>39</v>
      </c>
    </row>
    <row r="2" ht="21" hidden="1" customHeight="1" spans="1:3">
      <c r="A2" s="178" t="s">
        <v>3</v>
      </c>
      <c r="B2" s="179" t="str">
        <f>目录!D9</f>
        <v>王晓莉</v>
      </c>
      <c r="C2" s="180"/>
    </row>
    <row r="3" ht="21" hidden="1" customHeight="1" spans="1:3">
      <c r="A3" s="178" t="s">
        <v>4</v>
      </c>
      <c r="B3" s="181" t="str">
        <f>目录!E8</f>
        <v>2022.10.31</v>
      </c>
      <c r="C3" s="180"/>
    </row>
    <row r="4" s="171" customFormat="1" ht="21" customHeight="1" spans="1:34">
      <c r="A4" s="182"/>
      <c r="B4" s="183"/>
      <c r="C4" s="184"/>
      <c r="R4" s="228"/>
      <c r="S4" s="228"/>
      <c r="T4" s="228"/>
      <c r="V4" s="229"/>
      <c r="W4" s="229"/>
      <c r="X4" s="230"/>
      <c r="Z4" s="229"/>
      <c r="AH4" s="296"/>
    </row>
    <row r="5" s="171" customFormat="1" ht="38.25" customHeight="1" spans="1:34">
      <c r="A5" s="185" t="str">
        <f>项目概况!B6&amp;"项目利润情况表"</f>
        <v>洛龙区八里堂地块（挂牌）项目利润情况表</v>
      </c>
      <c r="B5" s="185"/>
      <c r="C5" s="185"/>
      <c r="D5" s="185"/>
      <c r="E5" s="185"/>
      <c r="F5" s="185"/>
      <c r="G5" s="185"/>
      <c r="H5" s="185"/>
      <c r="I5" s="185"/>
      <c r="J5" s="185"/>
      <c r="K5" s="185"/>
      <c r="L5" s="185"/>
      <c r="M5" s="185"/>
      <c r="N5" s="185"/>
      <c r="O5" s="185"/>
      <c r="P5" s="185"/>
      <c r="R5" s="228"/>
      <c r="S5" s="228"/>
      <c r="T5" s="228"/>
      <c r="V5" s="229"/>
      <c r="W5" s="229"/>
      <c r="X5" s="230"/>
      <c r="Z5" s="229"/>
      <c r="AH5" s="296"/>
    </row>
    <row r="6" s="172" customFormat="1" ht="28" customHeight="1" spans="1:34">
      <c r="A6" s="186" t="s">
        <v>64</v>
      </c>
      <c r="B6" s="186" t="s">
        <v>134</v>
      </c>
      <c r="C6" s="187" t="str">
        <f>成本测算明细!G6</f>
        <v>地上部分1</v>
      </c>
      <c r="D6" s="188" t="str">
        <f>成本测算明细!I6</f>
        <v>地上部分2</v>
      </c>
      <c r="E6" s="188" t="str">
        <f>成本测算明细!K6</f>
        <v>地上部分3</v>
      </c>
      <c r="F6" s="188" t="str">
        <f>成本测算明细!M6</f>
        <v>地上部分4</v>
      </c>
      <c r="G6" s="188" t="str">
        <f>成本测算明细!O6</f>
        <v>地上部分5</v>
      </c>
      <c r="H6" s="188" t="str">
        <f>成本测算明细!Q6</f>
        <v>地上部分6</v>
      </c>
      <c r="I6" s="188" t="str">
        <f>成本测算明细!S6</f>
        <v>地上部分7</v>
      </c>
      <c r="J6" s="188" t="str">
        <f>成本测算明细!U6</f>
        <v>地上部分8</v>
      </c>
      <c r="K6" s="188" t="str">
        <f>成本测算明细!W6</f>
        <v>地上部分9</v>
      </c>
      <c r="L6" s="188" t="str">
        <f>成本测算明细!Y6</f>
        <v>地上部分10</v>
      </c>
      <c r="M6" s="188" t="str">
        <f>成本测算明细!AA6</f>
        <v>地上部分11</v>
      </c>
      <c r="N6" s="224" t="str">
        <f>成本测算明细!AE6</f>
        <v>地下部分1</v>
      </c>
      <c r="O6" s="224" t="str">
        <f>成本测算明细!AG6</f>
        <v>地下部分2</v>
      </c>
      <c r="P6" s="224" t="str">
        <f>成本测算明细!AI6</f>
        <v>地下部分3</v>
      </c>
      <c r="R6" s="231"/>
      <c r="S6" s="231"/>
      <c r="T6" s="231"/>
      <c r="V6" s="175"/>
      <c r="W6" s="175"/>
      <c r="X6" s="232"/>
      <c r="Z6" s="175"/>
      <c r="AH6" s="297"/>
    </row>
    <row r="7" s="173" customFormat="1" ht="28" customHeight="1" spans="1:26">
      <c r="A7" s="189"/>
      <c r="B7" s="189"/>
      <c r="C7" s="190" t="str">
        <f>税金计算表!B22</f>
        <v>洋房</v>
      </c>
      <c r="D7" s="190" t="str">
        <f>税金计算表!B23</f>
        <v>别墅</v>
      </c>
      <c r="E7" s="190" t="str">
        <f>税金计算表!B24</f>
        <v>小高层</v>
      </c>
      <c r="F7" s="190" t="str">
        <f>税金计算表!B25</f>
        <v>公寓</v>
      </c>
      <c r="G7" s="190" t="str">
        <f>税金计算表!B26</f>
        <v>商业</v>
      </c>
      <c r="H7" s="190" t="str">
        <f>税金计算表!B27</f>
        <v>办公</v>
      </c>
      <c r="I7" s="190" t="str">
        <f>税金计算表!B28</f>
        <v>装配式</v>
      </c>
      <c r="J7" s="190" t="str">
        <f>税金计算表!B29</f>
        <v>物业用房及消防控制室</v>
      </c>
      <c r="K7" s="190" t="str">
        <f>税金计算表!B30</f>
        <v>公共厕所及开闭所</v>
      </c>
      <c r="L7" s="190" t="str">
        <f>税金计算表!B31</f>
        <v>社区服务站</v>
      </c>
      <c r="M7" s="190" t="str">
        <f>税金计算表!B32</f>
        <v>老年日间照料</v>
      </c>
      <c r="N7" s="225" t="str">
        <f>税金计算表!B33</f>
        <v>储藏室</v>
      </c>
      <c r="O7" s="225" t="str">
        <f>税金计算表!B34</f>
        <v>人防车位</v>
      </c>
      <c r="P7" s="225" t="str">
        <f>税金计算表!B35</f>
        <v>非人防车位</v>
      </c>
      <c r="Q7" s="233" t="s">
        <v>43</v>
      </c>
      <c r="R7" s="234" t="s">
        <v>628</v>
      </c>
      <c r="S7" s="234" t="s">
        <v>629</v>
      </c>
      <c r="T7" s="234" t="s">
        <v>630</v>
      </c>
      <c r="V7" s="235"/>
      <c r="W7" s="236"/>
      <c r="X7" s="237"/>
      <c r="Z7" s="235"/>
    </row>
    <row r="8" ht="28" customHeight="1" spans="1:26">
      <c r="A8" s="191" t="s">
        <v>66</v>
      </c>
      <c r="B8" s="192">
        <f t="shared" ref="B8:B13" si="0">SUM(C8:P8)</f>
        <v>71378.25</v>
      </c>
      <c r="C8" s="192">
        <f>税金计算表!C22</f>
        <v>31642.84</v>
      </c>
      <c r="D8" s="192">
        <f>税金计算表!C23</f>
        <v>16692.48</v>
      </c>
      <c r="E8" s="192">
        <f>税金计算表!C24</f>
        <v>0</v>
      </c>
      <c r="F8" s="192">
        <f>税金计算表!C25</f>
        <v>0</v>
      </c>
      <c r="G8" s="192">
        <f>税金计算表!C26</f>
        <v>0</v>
      </c>
      <c r="H8" s="192">
        <f>税金计算表!C27</f>
        <v>0</v>
      </c>
      <c r="I8" s="192">
        <f>税金计算表!C28</f>
        <v>0</v>
      </c>
      <c r="J8" s="192">
        <f>税金计算表!C29</f>
        <v>332.64</v>
      </c>
      <c r="K8" s="192">
        <f>税金计算表!C30</f>
        <v>198.49</v>
      </c>
      <c r="L8" s="192">
        <f>税金计算表!C31</f>
        <v>75.2</v>
      </c>
      <c r="M8" s="192">
        <f>税金计算表!C32</f>
        <v>201.09</v>
      </c>
      <c r="N8" s="192">
        <f>税金计算表!C33</f>
        <v>0</v>
      </c>
      <c r="O8" s="192">
        <f>税金计算表!C34</f>
        <v>3945.11</v>
      </c>
      <c r="P8" s="192">
        <f>税金计算表!C35</f>
        <v>18290.4</v>
      </c>
      <c r="Q8" s="238">
        <f>IF(B8=税金计算表!C36,0,1)</f>
        <v>0</v>
      </c>
      <c r="R8" s="138">
        <v>70247.86</v>
      </c>
      <c r="S8" s="138">
        <f>B8-R8</f>
        <v>1130.39</v>
      </c>
      <c r="T8" s="138" t="s">
        <v>631</v>
      </c>
      <c r="U8" s="138"/>
      <c r="V8" s="239"/>
      <c r="W8" s="239"/>
      <c r="X8" s="240"/>
      <c r="Y8" s="192"/>
      <c r="Z8" s="279"/>
    </row>
    <row r="9" ht="28" customHeight="1" spans="1:26">
      <c r="A9" s="191" t="s">
        <v>68</v>
      </c>
      <c r="B9" s="192">
        <f t="shared" si="0"/>
        <v>70570.83</v>
      </c>
      <c r="C9" s="192">
        <f>税金计算表!D6</f>
        <v>31642.84</v>
      </c>
      <c r="D9" s="192">
        <f>税金计算表!D7</f>
        <v>16692.48</v>
      </c>
      <c r="E9" s="192">
        <f>税金计算表!D8</f>
        <v>0</v>
      </c>
      <c r="F9" s="192">
        <f>税金计算表!D9</f>
        <v>0</v>
      </c>
      <c r="G9" s="192">
        <f>税金计算表!D10</f>
        <v>0</v>
      </c>
      <c r="H9" s="192">
        <f>税金计算表!D11</f>
        <v>0</v>
      </c>
      <c r="I9" s="192">
        <f>税金计算表!D12</f>
        <v>0</v>
      </c>
      <c r="J9" s="192">
        <f>税金计算表!D13</f>
        <v>0</v>
      </c>
      <c r="K9" s="192">
        <f>税金计算表!D14</f>
        <v>0</v>
      </c>
      <c r="L9" s="192">
        <f>税金计算表!D15</f>
        <v>0</v>
      </c>
      <c r="M9" s="192">
        <f>税金计算表!D16</f>
        <v>0</v>
      </c>
      <c r="N9" s="192">
        <f>税金计算表!D17</f>
        <v>0</v>
      </c>
      <c r="O9" s="192">
        <f>税金计算表!D18</f>
        <v>3945.11</v>
      </c>
      <c r="P9" s="192">
        <f>税金计算表!D19</f>
        <v>18290.4</v>
      </c>
      <c r="Q9" s="238">
        <f>B9-税金计算表!D36</f>
        <v>0</v>
      </c>
      <c r="R9" s="138">
        <v>69462.86</v>
      </c>
      <c r="S9" s="138">
        <f t="shared" ref="S9:S22" si="1">B9-R9</f>
        <v>1107.97</v>
      </c>
      <c r="T9" s="138" t="s">
        <v>632</v>
      </c>
      <c r="U9" s="138"/>
      <c r="V9" s="239"/>
      <c r="W9" s="239"/>
      <c r="X9" s="240"/>
      <c r="Y9" s="192"/>
      <c r="Z9" s="279"/>
    </row>
    <row r="10" s="172" customFormat="1" ht="28" customHeight="1" spans="1:34">
      <c r="A10" s="193" t="s">
        <v>606</v>
      </c>
      <c r="B10" s="192">
        <f>B11/B9*10000</f>
        <v>9329.94354749689</v>
      </c>
      <c r="C10" s="194">
        <f>C11/C9*10000</f>
        <v>13500</v>
      </c>
      <c r="D10" s="194">
        <f t="shared" ref="D10:P10" si="2">D11/D9*10000</f>
        <v>11500</v>
      </c>
      <c r="E10" s="194" t="e">
        <f t="shared" si="2"/>
        <v>#DIV/0!</v>
      </c>
      <c r="F10" s="194" t="e">
        <f t="shared" si="2"/>
        <v>#DIV/0!</v>
      </c>
      <c r="G10" s="194" t="e">
        <f t="shared" si="2"/>
        <v>#DIV/0!</v>
      </c>
      <c r="H10" s="194" t="e">
        <f t="shared" si="2"/>
        <v>#DIV/0!</v>
      </c>
      <c r="I10" s="194" t="e">
        <f t="shared" si="2"/>
        <v>#DIV/0!</v>
      </c>
      <c r="J10" s="194" t="e">
        <f t="shared" si="2"/>
        <v>#DIV/0!</v>
      </c>
      <c r="K10" s="194" t="e">
        <f t="shared" si="2"/>
        <v>#DIV/0!</v>
      </c>
      <c r="L10" s="194" t="e">
        <f t="shared" si="2"/>
        <v>#DIV/0!</v>
      </c>
      <c r="M10" s="194" t="e">
        <f t="shared" si="2"/>
        <v>#DIV/0!</v>
      </c>
      <c r="N10" s="194" t="e">
        <f t="shared" si="2"/>
        <v>#DIV/0!</v>
      </c>
      <c r="O10" s="194">
        <f t="shared" si="2"/>
        <v>2007.54858546403</v>
      </c>
      <c r="P10" s="194">
        <f t="shared" si="2"/>
        <v>1714.56064383502</v>
      </c>
      <c r="Q10" s="238"/>
      <c r="R10" s="231">
        <v>9530.38789361682</v>
      </c>
      <c r="S10" s="138">
        <f t="shared" si="1"/>
        <v>-200.44434611993</v>
      </c>
      <c r="T10" s="231" t="s">
        <v>633</v>
      </c>
      <c r="U10" s="138"/>
      <c r="V10" s="239"/>
      <c r="W10" s="241"/>
      <c r="X10" s="242"/>
      <c r="Y10" s="192"/>
      <c r="Z10" s="279"/>
      <c r="AH10" s="297"/>
    </row>
    <row r="11" s="172" customFormat="1" ht="28" customHeight="1" spans="1:34">
      <c r="A11" s="193" t="s">
        <v>33</v>
      </c>
      <c r="B11" s="192">
        <f t="shared" si="0"/>
        <v>65842.186</v>
      </c>
      <c r="C11" s="192">
        <f>税金计算表!E22</f>
        <v>42717.834</v>
      </c>
      <c r="D11" s="192">
        <f>税金计算表!E23</f>
        <v>19196.352</v>
      </c>
      <c r="E11" s="192">
        <f>税金计算表!E24</f>
        <v>0</v>
      </c>
      <c r="F11" s="192">
        <f>税金计算表!E25</f>
        <v>0</v>
      </c>
      <c r="G11" s="192">
        <f>税金计算表!E26</f>
        <v>0</v>
      </c>
      <c r="H11" s="192">
        <f>税金计算表!E27</f>
        <v>0</v>
      </c>
      <c r="I11" s="192">
        <f>税金计算表!E28</f>
        <v>0</v>
      </c>
      <c r="J11" s="192">
        <f>税金计算表!E29</f>
        <v>0</v>
      </c>
      <c r="K11" s="192">
        <f>税金计算表!E30</f>
        <v>0</v>
      </c>
      <c r="L11" s="192">
        <f>税金计算表!E31</f>
        <v>0</v>
      </c>
      <c r="M11" s="192">
        <f>税金计算表!E32</f>
        <v>0</v>
      </c>
      <c r="N11" s="192">
        <f>税金计算表!E33</f>
        <v>0</v>
      </c>
      <c r="O11" s="192">
        <f>税金计算表!E34</f>
        <v>792</v>
      </c>
      <c r="P11" s="192">
        <f>税金计算表!E35</f>
        <v>3136</v>
      </c>
      <c r="Q11" s="238">
        <f>IF(B11=税金计算表!E36,0,1)</f>
        <v>0</v>
      </c>
      <c r="R11" s="231">
        <v>66200.8</v>
      </c>
      <c r="S11" s="243">
        <f t="shared" si="1"/>
        <v>-358.614000000001</v>
      </c>
      <c r="T11" s="231" t="s">
        <v>634</v>
      </c>
      <c r="U11" s="138"/>
      <c r="V11" s="239"/>
      <c r="W11" s="241"/>
      <c r="X11" s="242"/>
      <c r="Y11" s="192"/>
      <c r="Z11" s="279"/>
      <c r="AH11" s="297"/>
    </row>
    <row r="12" s="172" customFormat="1" ht="28" customHeight="1" spans="1:34">
      <c r="A12" s="193" t="s">
        <v>635</v>
      </c>
      <c r="B12" s="192">
        <f t="shared" si="0"/>
        <v>60405.6752293578</v>
      </c>
      <c r="C12" s="194">
        <f>C11/(1+税金计算表!$G$3)</f>
        <v>39190.6733944954</v>
      </c>
      <c r="D12" s="194">
        <f>D11/(1+税金计算表!$G$3)</f>
        <v>17611.3321100917</v>
      </c>
      <c r="E12" s="194">
        <f>E11/(1+税金计算表!$G$3)</f>
        <v>0</v>
      </c>
      <c r="F12" s="194">
        <f>F11/(1+税金计算表!$G$3)</f>
        <v>0</v>
      </c>
      <c r="G12" s="194">
        <f>G11/(1+税金计算表!$G$3)</f>
        <v>0</v>
      </c>
      <c r="H12" s="194">
        <f>H11/(1+税金计算表!$G$3)</f>
        <v>0</v>
      </c>
      <c r="I12" s="194">
        <f>I11/(1+税金计算表!$G$3)</f>
        <v>0</v>
      </c>
      <c r="J12" s="194">
        <f>J11/(1+税金计算表!$G$3)</f>
        <v>0</v>
      </c>
      <c r="K12" s="194">
        <f>K11/(1+税金计算表!$G$3)</f>
        <v>0</v>
      </c>
      <c r="L12" s="194">
        <f>L11/(1+税金计算表!$G$3)</f>
        <v>0</v>
      </c>
      <c r="M12" s="194">
        <f>M11/(1+税金计算表!$G$3)</f>
        <v>0</v>
      </c>
      <c r="N12" s="194">
        <f>N11/(1+税金计算表!$G$3)</f>
        <v>0</v>
      </c>
      <c r="O12" s="194">
        <f>O11/(1+税金计算表!$G$3)</f>
        <v>726.605504587156</v>
      </c>
      <c r="P12" s="194">
        <f>P11/(1+税金计算表!$G$3)</f>
        <v>2877.06422018349</v>
      </c>
      <c r="Q12" s="238">
        <f>B11/1.09-B12</f>
        <v>0</v>
      </c>
      <c r="R12" s="231">
        <v>60734.6788990826</v>
      </c>
      <c r="S12" s="138">
        <f t="shared" si="1"/>
        <v>-329.003669724807</v>
      </c>
      <c r="T12" s="231"/>
      <c r="U12" s="138"/>
      <c r="V12" s="244"/>
      <c r="W12" s="241"/>
      <c r="X12" s="242"/>
      <c r="Y12" s="192"/>
      <c r="Z12" s="279"/>
      <c r="AH12" s="297"/>
    </row>
    <row r="13" ht="28" customHeight="1" spans="1:26">
      <c r="A13" s="191" t="s">
        <v>562</v>
      </c>
      <c r="B13" s="192">
        <f t="shared" si="0"/>
        <v>1</v>
      </c>
      <c r="C13" s="195">
        <f>C12/$B$12</f>
        <v>0.648791247605297</v>
      </c>
      <c r="D13" s="195">
        <f t="shared" ref="D13:P13" si="3">D12/$B$12</f>
        <v>0.291550951847194</v>
      </c>
      <c r="E13" s="195">
        <f t="shared" si="3"/>
        <v>0</v>
      </c>
      <c r="F13" s="195">
        <f t="shared" si="3"/>
        <v>0</v>
      </c>
      <c r="G13" s="195">
        <f t="shared" si="3"/>
        <v>0</v>
      </c>
      <c r="H13" s="195">
        <f t="shared" si="3"/>
        <v>0</v>
      </c>
      <c r="I13" s="195">
        <f t="shared" si="3"/>
        <v>0</v>
      </c>
      <c r="J13" s="195">
        <f t="shared" si="3"/>
        <v>0</v>
      </c>
      <c r="K13" s="195">
        <f t="shared" si="3"/>
        <v>0</v>
      </c>
      <c r="L13" s="195">
        <f t="shared" si="3"/>
        <v>0</v>
      </c>
      <c r="M13" s="195">
        <f t="shared" si="3"/>
        <v>0</v>
      </c>
      <c r="N13" s="195">
        <f t="shared" si="3"/>
        <v>0</v>
      </c>
      <c r="O13" s="195">
        <f t="shared" si="3"/>
        <v>0.0120287622285202</v>
      </c>
      <c r="P13" s="195">
        <f t="shared" si="3"/>
        <v>0.047629038318989</v>
      </c>
      <c r="Q13" s="238"/>
      <c r="R13" s="138">
        <v>1</v>
      </c>
      <c r="S13" s="138">
        <f t="shared" si="1"/>
        <v>0</v>
      </c>
      <c r="T13" s="138">
        <v>14920.5356342102</v>
      </c>
      <c r="U13" s="138">
        <v>7379.17794952788</v>
      </c>
      <c r="V13" s="239">
        <f>D14-U13</f>
        <v>4885.66452152808</v>
      </c>
      <c r="W13" s="239"/>
      <c r="X13" s="240"/>
      <c r="Y13" s="192"/>
      <c r="Z13" s="279"/>
    </row>
    <row r="14" ht="28" customHeight="1" spans="1:26">
      <c r="A14" s="191" t="s">
        <v>34</v>
      </c>
      <c r="B14" s="192">
        <f t="shared" ref="B14:B19" si="4">SUM(C14:P14)</f>
        <v>22299.7135837381</v>
      </c>
      <c r="C14" s="196">
        <f>成本测算明细!D10*0.45</f>
        <v>10034.8711126821</v>
      </c>
      <c r="D14" s="196">
        <f>成本测算明细!D10*0.55</f>
        <v>12264.842471056</v>
      </c>
      <c r="E14" s="194">
        <f>成本测算明细!L10</f>
        <v>0</v>
      </c>
      <c r="F14" s="194">
        <f>成本测算明细!N10</f>
        <v>0</v>
      </c>
      <c r="G14" s="194">
        <f>成本测算明细!P10</f>
        <v>0</v>
      </c>
      <c r="H14" s="194">
        <f>成本测算明细!R10</f>
        <v>0</v>
      </c>
      <c r="I14" s="194">
        <f>成本测算明细!T10</f>
        <v>0</v>
      </c>
      <c r="J14" s="194">
        <f>成本测算明细!V10</f>
        <v>0</v>
      </c>
      <c r="K14" s="194">
        <f>成本测算明细!X10</f>
        <v>0</v>
      </c>
      <c r="L14" s="194">
        <f>成本测算明细!Z10</f>
        <v>0</v>
      </c>
      <c r="M14" s="194">
        <f>成本测算明细!AB10</f>
        <v>0</v>
      </c>
      <c r="N14" s="194">
        <f>成本测算明细!AF10</f>
        <v>0</v>
      </c>
      <c r="O14" s="194">
        <f>成本测算明细!AH10</f>
        <v>0</v>
      </c>
      <c r="P14" s="194">
        <f>成本测算明细!AJ10</f>
        <v>0</v>
      </c>
      <c r="Q14" s="238"/>
      <c r="R14" s="138">
        <v>22299.7135837381</v>
      </c>
      <c r="S14" s="138">
        <f t="shared" si="1"/>
        <v>0</v>
      </c>
      <c r="T14" s="138" t="s">
        <v>636</v>
      </c>
      <c r="U14" s="138"/>
      <c r="V14" s="239"/>
      <c r="W14" s="239"/>
      <c r="X14" s="240"/>
      <c r="Y14" s="192"/>
      <c r="Z14" s="279"/>
    </row>
    <row r="15" s="150" customFormat="1" ht="28" customHeight="1" spans="1:34">
      <c r="A15" s="197" t="s">
        <v>35</v>
      </c>
      <c r="B15" s="192">
        <f t="shared" si="4"/>
        <v>33188.941500233</v>
      </c>
      <c r="C15" s="194">
        <f>成本测算明细!H19+成本测算明细!H72+成本测算明细!H111+成本测算明细!H164+成本测算明细!H181</f>
        <v>16210.9047578847</v>
      </c>
      <c r="D15" s="194">
        <f>成本测算明细!J19+成本测算明细!J72+成本测算明细!J111+成本测算明细!J164+成本测算明细!J181</f>
        <v>9242.02460634527</v>
      </c>
      <c r="E15" s="194">
        <f>成本测算明细!L19+成本测算明细!L72+成本测算明细!L111+成本测算明细!L164+成本测算明细!L181</f>
        <v>0</v>
      </c>
      <c r="F15" s="194">
        <f>成本测算明细!N19+成本测算明细!N72+成本测算明细!N111+成本测算明细!N164+成本测算明细!N181</f>
        <v>0</v>
      </c>
      <c r="G15" s="194">
        <f>成本测算明细!P19+成本测算明细!P72+成本测算明细!P111+成本测算明细!P164+成本测算明细!P181</f>
        <v>0</v>
      </c>
      <c r="H15" s="194">
        <f>成本测算明细!R19+成本测算明细!R72+成本测算明细!R111+成本测算明细!R164+成本测算明细!R181</f>
        <v>0</v>
      </c>
      <c r="I15" s="194">
        <f>成本测算明细!T19+成本测算明细!T72+成本测算明细!T111+成本测算明细!T164+成本测算明细!T181</f>
        <v>0</v>
      </c>
      <c r="J15" s="194"/>
      <c r="K15" s="194"/>
      <c r="L15" s="194"/>
      <c r="M15" s="194"/>
      <c r="N15" s="194"/>
      <c r="O15" s="194">
        <f>成本测算明细!AH19+成本测算明细!AH72+成本测算明细!AH111+成本测算明细!AH164+成本测算明细!AH181</f>
        <v>1519.12859385899</v>
      </c>
      <c r="P15" s="194">
        <f>成本测算明细!AJ19+成本测算明细!AJ72+成本测算明细!AJ111+成本测算明细!AJ164+成本测算明细!AJ181</f>
        <v>6216.88354214405</v>
      </c>
      <c r="Q15" s="245">
        <f>B14+B15-税金计算表!F36</f>
        <v>0</v>
      </c>
      <c r="R15" s="246">
        <v>32866.7595998725</v>
      </c>
      <c r="S15" s="243">
        <f t="shared" si="1"/>
        <v>322.181900360534</v>
      </c>
      <c r="T15" s="246" t="s">
        <v>637</v>
      </c>
      <c r="U15" s="138"/>
      <c r="V15" s="239"/>
      <c r="W15" s="240"/>
      <c r="X15" s="240"/>
      <c r="Y15" s="192"/>
      <c r="Z15" s="279"/>
      <c r="AH15" s="298"/>
    </row>
    <row r="16" ht="28" customHeight="1" spans="1:26">
      <c r="A16" s="191" t="s">
        <v>638</v>
      </c>
      <c r="B16" s="192">
        <f t="shared" si="4"/>
        <v>9040.48900942482</v>
      </c>
      <c r="C16" s="194">
        <f>C12-C14-C15+C14*税金计算表!$F$1/(1+税金计算表!$G$1)*税金计算表!$G$1+C15*税金计算表!$F$1*税金计算表!$G$1/(1+税金计算表!$G$1)</f>
        <v>14895.2716941267</v>
      </c>
      <c r="D16" s="194">
        <f>D12-D14-D15+D14*税金计算表!$F$1/(1+税金计算表!$G$1)*税金计算表!$G$1+D15*税金计算表!$F$1*税金计算表!$G$1/(1+税金计算表!$G$1)</f>
        <v>-2297.31823953938</v>
      </c>
      <c r="E16" s="194">
        <f>E12-E14-E15+E14*税金计算表!$F$1/(1+税金计算表!$G$1)*税金计算表!$G$1+E15*税金计算表!$F$1*税金计算表!$G$1/(1+税金计算表!$G$1)</f>
        <v>0</v>
      </c>
      <c r="F16" s="194">
        <f>F12-F14-F15+F14*税金计算表!$F$1/(1+税金计算表!$G$1)*税金计算表!$G$1+F15*税金计算表!$F$1*税金计算表!$G$1/(1+税金计算表!$G$1)</f>
        <v>0</v>
      </c>
      <c r="G16" s="194">
        <f>G12-G14-G15+G14*税金计算表!$F$1/(1+税金计算表!$G$1)*税金计算表!$G$1+G15*税金计算表!$F$1*税金计算表!$G$1/(1+税金计算表!$G$1)</f>
        <v>0</v>
      </c>
      <c r="H16" s="194">
        <f>H12-H14-H15+H14*税金计算表!$F$1/(1+税金计算表!$G$1)*税金计算表!$G$1+H15*税金计算表!$F$1*税金计算表!$G$1/(1+税金计算表!$G$1)</f>
        <v>0</v>
      </c>
      <c r="I16" s="194">
        <f>I12-I14-I15+I14*税金计算表!$F$1/(1+税金计算表!$G$1)*税金计算表!$G$1+I15*税金计算表!$F$1*税金计算表!$G$1/(1+税金计算表!$G$1)</f>
        <v>0</v>
      </c>
      <c r="J16" s="194">
        <f>J12-J14-J15+J14*税金计算表!$F$1/(1+税金计算表!$G$1)*税金计算表!$G$1+J15*税金计算表!$F$1*税金计算表!$G$1/(1+税金计算表!$G$1)</f>
        <v>0</v>
      </c>
      <c r="K16" s="194">
        <f>K12-K14-K15+K14*税金计算表!$F$1/(1+税金计算表!$G$1)*税金计算表!$G$1+K15*税金计算表!$F$1*税金计算表!$G$1/(1+税金计算表!$G$1)</f>
        <v>0</v>
      </c>
      <c r="L16" s="194">
        <f>L12-L14-L15+L14*税金计算表!$F$1/(1+税金计算表!$G$1)*税金计算表!$G$1+L15*税金计算表!$F$1*税金计算表!$G$1/(1+税金计算表!$G$1)</f>
        <v>0</v>
      </c>
      <c r="M16" s="194">
        <f>M12-M14-M15+M14*税金计算表!$F$1/(1+税金计算表!$G$1)*税金计算表!$G$1+M15*税金计算表!$F$1*税金计算表!$G$1/(1+税金计算表!$G$1)</f>
        <v>0</v>
      </c>
      <c r="N16" s="194">
        <f>N12-N14-N15+N14*税金计算表!$F$1/(1+税金计算表!$G$1)*税金计算表!$G$1+N15*税金计算表!$F$1*税金计算表!$G$1/(1+税金计算表!$G$1)</f>
        <v>0</v>
      </c>
      <c r="O16" s="194">
        <f>O12-O14-O15+O14*税金计算表!$F$1/(1+税金计算表!$G$1)*税金计算表!$G$1+O15*税金计算表!$F$1*税金计算表!$G$1/(1+税金计算表!$G$1)</f>
        <v>-679.633716700665</v>
      </c>
      <c r="P16" s="194">
        <f>P12-P14-P15+P14*税金计算表!$F$1/(1+税金计算表!$G$1)*税金计算表!$G$1+P15*税金计算表!$F$1*税金计算表!$G$1/(1+税金计算表!$G$1)</f>
        <v>-2877.83072846179</v>
      </c>
      <c r="Q16" s="238"/>
      <c r="R16" s="138">
        <v>9667.73262177693</v>
      </c>
      <c r="S16" s="138">
        <f t="shared" si="1"/>
        <v>-627.243612352109</v>
      </c>
      <c r="U16" s="138"/>
      <c r="V16" s="239"/>
      <c r="W16" s="239"/>
      <c r="X16" s="240"/>
      <c r="Y16" s="192"/>
      <c r="Z16" s="279"/>
    </row>
    <row r="17" ht="40" customHeight="1" spans="1:26">
      <c r="A17" s="191" t="s">
        <v>524</v>
      </c>
      <c r="B17" s="192">
        <f t="shared" si="4"/>
        <v>4817.4774432353</v>
      </c>
      <c r="C17" s="192">
        <f>税金计算表!G22</f>
        <v>3281.27143483586</v>
      </c>
      <c r="D17" s="192">
        <f>税金计算表!G23</f>
        <v>1079.8102838511</v>
      </c>
      <c r="E17" s="192">
        <f>税金计算表!G24</f>
        <v>0</v>
      </c>
      <c r="F17" s="192">
        <f>税金计算表!G25</f>
        <v>0</v>
      </c>
      <c r="G17" s="192">
        <f>成本测算明细!P190</f>
        <v>0</v>
      </c>
      <c r="H17" s="192">
        <f>税金计算表!G27</f>
        <v>0</v>
      </c>
      <c r="I17" s="192">
        <f>税金计算表!G28</f>
        <v>0</v>
      </c>
      <c r="J17" s="192">
        <f>税金计算表!G29</f>
        <v>0</v>
      </c>
      <c r="K17" s="192">
        <f>税金计算表!G30</f>
        <v>0</v>
      </c>
      <c r="L17" s="192">
        <f>税金计算表!G31</f>
        <v>0</v>
      </c>
      <c r="M17" s="192">
        <f>税金计算表!G32</f>
        <v>0</v>
      </c>
      <c r="N17" s="192">
        <f>税金计算表!G33</f>
        <v>0</v>
      </c>
      <c r="O17" s="192">
        <f>税金计算表!G34</f>
        <v>72.3154657764423</v>
      </c>
      <c r="P17" s="192">
        <f>税金计算表!G35</f>
        <v>384.080258771901</v>
      </c>
      <c r="Q17" s="238">
        <f>IF(B17=税金计算表!G36,0,1)</f>
        <v>0</v>
      </c>
      <c r="R17" s="138">
        <v>4801.03550853438</v>
      </c>
      <c r="S17" s="247">
        <f t="shared" si="1"/>
        <v>16.4419347009207</v>
      </c>
      <c r="T17" s="138" t="s">
        <v>639</v>
      </c>
      <c r="U17" s="138"/>
      <c r="V17" s="239"/>
      <c r="Y17" s="192"/>
      <c r="Z17" s="279"/>
    </row>
    <row r="18" ht="28" customHeight="1" spans="1:26">
      <c r="A18" s="198" t="s">
        <v>640</v>
      </c>
      <c r="B18" s="192">
        <f t="shared" si="4"/>
        <v>2382.25433565481</v>
      </c>
      <c r="C18" s="192">
        <f>税金计算表!K22+税金计算表!O22</f>
        <v>1545.58576254261</v>
      </c>
      <c r="D18" s="192">
        <f>税金计算表!K23+税金计算表!O23</f>
        <v>694.548519102265</v>
      </c>
      <c r="E18" s="192">
        <f>税金计算表!K24+税金计算表!O24</f>
        <v>0</v>
      </c>
      <c r="F18" s="192">
        <f>税金计算表!K25+税金计算表!O25</f>
        <v>0</v>
      </c>
      <c r="G18" s="192">
        <f>税金计算表!K26+税金计算表!O26</f>
        <v>0</v>
      </c>
      <c r="H18" s="192">
        <f>税金计算表!K27+税金计算表!O27</f>
        <v>0</v>
      </c>
      <c r="I18" s="192">
        <f>税金计算表!K28+税金计算表!O28</f>
        <v>0</v>
      </c>
      <c r="J18" s="192">
        <f>税金计算表!K29+税金计算表!O29</f>
        <v>0</v>
      </c>
      <c r="K18" s="192">
        <f>税金计算表!K30+税金计算表!O30</f>
        <v>0</v>
      </c>
      <c r="L18" s="192">
        <f>税金计算表!K31+税金计算表!O31</f>
        <v>0</v>
      </c>
      <c r="M18" s="192">
        <f>税金计算表!K32+税金计算表!O32</f>
        <v>0</v>
      </c>
      <c r="N18" s="192">
        <f>税金计算表!K33+税金计算表!O33</f>
        <v>0</v>
      </c>
      <c r="O18" s="192">
        <f>税金计算表!K34+税金计算表!O34</f>
        <v>28.655570971453</v>
      </c>
      <c r="P18" s="192">
        <f>税金计算表!K35+税金计算表!O35</f>
        <v>113.464483038481</v>
      </c>
      <c r="Q18" s="238">
        <f>B18-税金计算表!O36-税金计算表!K36</f>
        <v>0</v>
      </c>
      <c r="R18" s="138">
        <v>2400.94248689557</v>
      </c>
      <c r="S18" s="138">
        <f t="shared" si="1"/>
        <v>-18.6881512407595</v>
      </c>
      <c r="T18" s="138" t="s">
        <v>641</v>
      </c>
      <c r="U18" s="138"/>
      <c r="V18" s="239"/>
      <c r="Y18" s="192"/>
      <c r="Z18" s="279"/>
    </row>
    <row r="19" ht="28" customHeight="1" spans="1:26">
      <c r="A19" s="191" t="s">
        <v>642</v>
      </c>
      <c r="B19" s="192">
        <f t="shared" si="4"/>
        <v>1977.10093175835</v>
      </c>
      <c r="C19" s="192">
        <f>C16-C17+C17*税金计算表!$F$2*税金计算表!$G$2/(1+税金计算表!$G$2)-C18</f>
        <v>10161.2806694322</v>
      </c>
      <c r="D19" s="192">
        <f>D16-D17+D17*税金计算表!$F$2*税金计算表!$G$2/(1+税金计算表!$G$2)-D18</f>
        <v>-4041.11637408187</v>
      </c>
      <c r="E19" s="192">
        <f>E16-E17+E17*税金计算表!$F$2*税金计算表!$G$2/(1+税金计算表!$G$2)-E18</f>
        <v>0</v>
      </c>
      <c r="F19" s="192">
        <f>F16-F17+F17*税金计算表!$F$2*税金计算表!$G$2/(1+税金计算表!$G$2)-F18</f>
        <v>0</v>
      </c>
      <c r="G19" s="192">
        <f>G16-G17+G17*税金计算表!$F$2*税金计算表!$G$2/(1+税金计算表!$G$2)-G18</f>
        <v>0</v>
      </c>
      <c r="H19" s="192">
        <f>H16-H17+H17*税金计算表!$F$2*税金计算表!$G$2/(1+税金计算表!$G$2)-H18</f>
        <v>0</v>
      </c>
      <c r="I19" s="192">
        <f>I16-I17+I17*税金计算表!$F$2*税金计算表!$G$2/(1+税金计算表!$G$2)-I18</f>
        <v>0</v>
      </c>
      <c r="J19" s="192">
        <f>J16-J17+J17*税金计算表!$F$2*税金计算表!$G$2/(1+税金计算表!$G$2)-J18</f>
        <v>0</v>
      </c>
      <c r="K19" s="192">
        <f>K16-K17+K17*税金计算表!$F$2*税金计算表!$G$2/(1+税金计算表!$G$2)-K18</f>
        <v>0</v>
      </c>
      <c r="L19" s="192">
        <f>L16-L17+L17*税金计算表!$F$2*税金计算表!$G$2/(1+税金计算表!$G$2)-L18</f>
        <v>0</v>
      </c>
      <c r="M19" s="192">
        <f>M16-M17+M17*税金计算表!$F$2*税金计算表!$G$2/(1+税金计算表!$G$2)-M18</f>
        <v>0</v>
      </c>
      <c r="N19" s="192">
        <f>N16-N17+N17*税金计算表!$F$2*税金计算表!$G$2/(1+税金计算表!$G$2)-N18</f>
        <v>0</v>
      </c>
      <c r="O19" s="192">
        <f>O16-O17+O17*税金计算表!$F$2*税金计算表!$G$2/(1+税金计算表!$G$2)-O18</f>
        <v>-778.558089322812</v>
      </c>
      <c r="P19" s="192">
        <f>P16-P17+P17*税金计算表!$F$2*税金计算表!$G$2/(1+税金计算表!$G$2)-P18</f>
        <v>-3364.50527426919</v>
      </c>
      <c r="Q19" s="248">
        <f>B19-税金计算表!F37</f>
        <v>-6.77573552820832e-11</v>
      </c>
      <c r="R19" s="138">
        <v>2601.63298979607</v>
      </c>
      <c r="S19" s="138">
        <f t="shared" si="1"/>
        <v>-624.53205803772</v>
      </c>
      <c r="T19" s="138" t="s">
        <v>643</v>
      </c>
      <c r="U19" s="138"/>
      <c r="V19" s="239"/>
      <c r="Y19" s="192"/>
      <c r="Z19" s="279"/>
    </row>
    <row r="20" ht="28" customHeight="1" spans="1:26">
      <c r="A20" s="191" t="s">
        <v>644</v>
      </c>
      <c r="B20" s="192">
        <f>IF(B19*0.25&lt;0,0,B19*0.25)</f>
        <v>494.275232939587</v>
      </c>
      <c r="C20" s="192">
        <f t="shared" ref="C20:P20" si="5">C19*0.25</f>
        <v>2540.32016735806</v>
      </c>
      <c r="D20" s="192">
        <f t="shared" si="5"/>
        <v>-1010.27909352047</v>
      </c>
      <c r="E20" s="192">
        <f t="shared" si="5"/>
        <v>0</v>
      </c>
      <c r="F20" s="192">
        <f t="shared" si="5"/>
        <v>0</v>
      </c>
      <c r="G20" s="192">
        <f t="shared" si="5"/>
        <v>0</v>
      </c>
      <c r="H20" s="192">
        <f t="shared" si="5"/>
        <v>0</v>
      </c>
      <c r="I20" s="192">
        <f t="shared" si="5"/>
        <v>0</v>
      </c>
      <c r="J20" s="192">
        <f t="shared" si="5"/>
        <v>0</v>
      </c>
      <c r="K20" s="192">
        <f t="shared" si="5"/>
        <v>0</v>
      </c>
      <c r="L20" s="192">
        <f t="shared" si="5"/>
        <v>0</v>
      </c>
      <c r="M20" s="192">
        <f t="shared" si="5"/>
        <v>0</v>
      </c>
      <c r="N20" s="192">
        <f t="shared" si="5"/>
        <v>0</v>
      </c>
      <c r="O20" s="192">
        <f t="shared" si="5"/>
        <v>-194.639522330703</v>
      </c>
      <c r="P20" s="192">
        <f t="shared" si="5"/>
        <v>-841.126318567298</v>
      </c>
      <c r="Q20" s="238"/>
      <c r="R20" s="138">
        <v>650.408247449018</v>
      </c>
      <c r="S20" s="138">
        <f t="shared" si="1"/>
        <v>-156.13301450943</v>
      </c>
      <c r="T20" s="138" t="s">
        <v>645</v>
      </c>
      <c r="U20" s="138"/>
      <c r="V20" s="239"/>
      <c r="W20" s="222"/>
      <c r="Y20" s="192"/>
      <c r="Z20" s="279"/>
    </row>
    <row r="21" ht="28" customHeight="1" spans="1:26">
      <c r="A21" s="191" t="s">
        <v>646</v>
      </c>
      <c r="B21" s="199">
        <f>B19-B20</f>
        <v>1482.82569881876</v>
      </c>
      <c r="C21" s="192">
        <f>C19-C20</f>
        <v>7620.96050207417</v>
      </c>
      <c r="D21" s="192">
        <f t="shared" ref="D21:P21" si="6">D19-D20</f>
        <v>-3030.8372805614</v>
      </c>
      <c r="E21" s="192">
        <f t="shared" si="6"/>
        <v>0</v>
      </c>
      <c r="F21" s="192">
        <f t="shared" si="6"/>
        <v>0</v>
      </c>
      <c r="G21" s="192">
        <f t="shared" si="6"/>
        <v>0</v>
      </c>
      <c r="H21" s="192">
        <f t="shared" si="6"/>
        <v>0</v>
      </c>
      <c r="I21" s="192">
        <f t="shared" si="6"/>
        <v>0</v>
      </c>
      <c r="J21" s="192">
        <f t="shared" si="6"/>
        <v>0</v>
      </c>
      <c r="K21" s="192">
        <f t="shared" si="6"/>
        <v>0</v>
      </c>
      <c r="L21" s="192">
        <f t="shared" si="6"/>
        <v>0</v>
      </c>
      <c r="M21" s="192">
        <f t="shared" si="6"/>
        <v>0</v>
      </c>
      <c r="N21" s="192">
        <f t="shared" si="6"/>
        <v>0</v>
      </c>
      <c r="O21" s="192">
        <f t="shared" si="6"/>
        <v>-583.918566992109</v>
      </c>
      <c r="P21" s="192">
        <f t="shared" si="6"/>
        <v>-2523.37895570189</v>
      </c>
      <c r="Q21" s="238">
        <f>B11-B14-B15-B17-B30-B21</f>
        <v>6.73026079311967e-11</v>
      </c>
      <c r="R21" s="138">
        <v>1951.22474234705</v>
      </c>
      <c r="S21" s="138">
        <f t="shared" si="1"/>
        <v>-468.399043528288</v>
      </c>
      <c r="T21" s="138" t="s">
        <v>647</v>
      </c>
      <c r="U21" s="138"/>
      <c r="V21" s="239"/>
      <c r="Y21" s="199"/>
      <c r="Z21" s="279"/>
    </row>
    <row r="22" ht="28" customHeight="1" spans="1:26">
      <c r="A22" s="191" t="s">
        <v>648</v>
      </c>
      <c r="B22" s="200">
        <f>B21/B12</f>
        <v>0.0245477878227259</v>
      </c>
      <c r="C22" s="195">
        <f t="shared" ref="C22:P22" si="7">C21/C12</f>
        <v>0.194458523979958</v>
      </c>
      <c r="D22" s="195">
        <f t="shared" si="7"/>
        <v>-0.172095856327907</v>
      </c>
      <c r="E22" s="195" t="e">
        <f t="shared" si="7"/>
        <v>#DIV/0!</v>
      </c>
      <c r="F22" s="195" t="e">
        <f t="shared" si="7"/>
        <v>#DIV/0!</v>
      </c>
      <c r="G22" s="195">
        <v>0</v>
      </c>
      <c r="H22" s="195" t="e">
        <f t="shared" si="7"/>
        <v>#DIV/0!</v>
      </c>
      <c r="I22" s="195" t="e">
        <f t="shared" si="7"/>
        <v>#DIV/0!</v>
      </c>
      <c r="J22" s="195" t="e">
        <f t="shared" si="7"/>
        <v>#DIV/0!</v>
      </c>
      <c r="K22" s="195" t="e">
        <f t="shared" si="7"/>
        <v>#DIV/0!</v>
      </c>
      <c r="L22" s="195" t="e">
        <f t="shared" si="7"/>
        <v>#DIV/0!</v>
      </c>
      <c r="M22" s="195" t="e">
        <f t="shared" si="7"/>
        <v>#DIV/0!</v>
      </c>
      <c r="N22" s="195" t="e">
        <f t="shared" si="7"/>
        <v>#DIV/0!</v>
      </c>
      <c r="O22" s="195">
        <f t="shared" si="7"/>
        <v>-0.803625300532069</v>
      </c>
      <c r="P22" s="195">
        <f t="shared" si="7"/>
        <v>-0.877067302842813</v>
      </c>
      <c r="Q22" s="238"/>
      <c r="R22" s="249">
        <v>0.0321</v>
      </c>
      <c r="S22" s="249">
        <f t="shared" si="1"/>
        <v>-0.00755221217727414</v>
      </c>
      <c r="U22" s="138"/>
      <c r="V22" s="239"/>
      <c r="W22" s="177"/>
      <c r="Y22" s="200"/>
      <c r="Z22" s="279"/>
    </row>
    <row r="23" ht="28" customHeight="1" spans="1:25">
      <c r="A23" s="201" t="s">
        <v>649</v>
      </c>
      <c r="B23" s="195">
        <f>B21/项目资金筹措!C9</f>
        <v>0.0639432519709343</v>
      </c>
      <c r="C23" s="195"/>
      <c r="D23" s="195"/>
      <c r="E23" s="195"/>
      <c r="F23" s="195"/>
      <c r="G23" s="195"/>
      <c r="H23" s="195"/>
      <c r="I23" s="195"/>
      <c r="J23" s="195"/>
      <c r="K23" s="195"/>
      <c r="L23" s="195"/>
      <c r="M23" s="195"/>
      <c r="N23" s="195"/>
      <c r="O23" s="195"/>
      <c r="P23" s="195"/>
      <c r="Q23" s="238"/>
      <c r="S23" s="138">
        <v>22299.7135837381</v>
      </c>
      <c r="V23" s="239"/>
      <c r="W23" s="27"/>
      <c r="Y23" s="150"/>
    </row>
    <row r="24" ht="28" customHeight="1" spans="1:25">
      <c r="A24" s="201" t="s">
        <v>650</v>
      </c>
      <c r="B24" s="195">
        <f>(B21+项目资金筹措!C20)/项目资金筹措!C9</f>
        <v>0.152899016594172</v>
      </c>
      <c r="C24" s="195"/>
      <c r="D24" s="195"/>
      <c r="E24" s="195"/>
      <c r="F24" s="195"/>
      <c r="G24" s="195"/>
      <c r="H24" s="195"/>
      <c r="I24" s="195"/>
      <c r="J24" s="195"/>
      <c r="K24" s="195"/>
      <c r="L24" s="195"/>
      <c r="M24" s="195"/>
      <c r="N24" s="195"/>
      <c r="O24" s="195"/>
      <c r="P24" s="195"/>
      <c r="Q24" s="238"/>
      <c r="U24" s="138"/>
      <c r="V24" s="239"/>
      <c r="W24" s="27"/>
      <c r="Y24" s="150"/>
    </row>
    <row r="25" ht="28" customHeight="1" spans="1:25">
      <c r="A25" s="191" t="s">
        <v>651</v>
      </c>
      <c r="B25" s="195">
        <f>B21/(B21+项目资金筹措!C9)</f>
        <v>0.0601002467495147</v>
      </c>
      <c r="C25" s="195"/>
      <c r="D25" s="195"/>
      <c r="E25" s="195"/>
      <c r="F25" s="195"/>
      <c r="G25" s="195"/>
      <c r="H25" s="195"/>
      <c r="I25" s="195"/>
      <c r="J25" s="195"/>
      <c r="K25" s="195"/>
      <c r="L25" s="195"/>
      <c r="M25" s="195"/>
      <c r="N25" s="195"/>
      <c r="O25" s="195"/>
      <c r="P25" s="195"/>
      <c r="Q25" s="238"/>
      <c r="U25" s="138"/>
      <c r="V25" s="239"/>
      <c r="W25" s="27"/>
      <c r="Y25" s="150"/>
    </row>
    <row r="26" ht="28" hidden="1" customHeight="1" spans="1:25">
      <c r="A26" s="191" t="s">
        <v>652</v>
      </c>
      <c r="B26" s="202"/>
      <c r="C26" s="195"/>
      <c r="D26" s="195"/>
      <c r="E26" s="195"/>
      <c r="F26" s="195"/>
      <c r="G26" s="195"/>
      <c r="H26" s="195"/>
      <c r="I26" s="195"/>
      <c r="J26" s="195"/>
      <c r="K26" s="195"/>
      <c r="L26" s="195"/>
      <c r="M26" s="195"/>
      <c r="N26" s="195"/>
      <c r="O26" s="195"/>
      <c r="P26" s="195"/>
      <c r="Q26" s="238"/>
      <c r="U26" s="138"/>
      <c r="V26" s="239"/>
      <c r="W26" s="27"/>
      <c r="Y26" s="150"/>
    </row>
    <row r="27" ht="28" hidden="1" customHeight="1" spans="1:25">
      <c r="A27" s="191" t="s">
        <v>653</v>
      </c>
      <c r="B27" s="195" t="e">
        <f>B25/B26</f>
        <v>#DIV/0!</v>
      </c>
      <c r="C27" s="195"/>
      <c r="D27" s="195"/>
      <c r="E27" s="195"/>
      <c r="F27" s="195"/>
      <c r="G27" s="195"/>
      <c r="H27" s="195"/>
      <c r="I27" s="195"/>
      <c r="J27" s="195"/>
      <c r="K27" s="195"/>
      <c r="L27" s="195"/>
      <c r="M27" s="195"/>
      <c r="N27" s="195"/>
      <c r="O27" s="195"/>
      <c r="P27" s="195"/>
      <c r="Q27" s="238"/>
      <c r="U27" s="138"/>
      <c r="V27" s="239"/>
      <c r="W27" s="27"/>
      <c r="Y27" s="150"/>
    </row>
    <row r="28" ht="28" hidden="1" customHeight="1" spans="1:25">
      <c r="A28" s="201" t="s">
        <v>654</v>
      </c>
      <c r="B28" s="195" t="e">
        <f>B21/项目资金筹措!C16</f>
        <v>#DIV/0!</v>
      </c>
      <c r="C28" s="195"/>
      <c r="D28" s="195"/>
      <c r="E28" s="195"/>
      <c r="F28" s="195"/>
      <c r="G28" s="195"/>
      <c r="H28" s="195"/>
      <c r="I28" s="195"/>
      <c r="J28" s="195"/>
      <c r="K28" s="195"/>
      <c r="L28" s="195"/>
      <c r="M28" s="195"/>
      <c r="N28" s="195"/>
      <c r="O28" s="195"/>
      <c r="P28" s="195"/>
      <c r="Q28" s="238"/>
      <c r="U28" s="138"/>
      <c r="V28" s="239"/>
      <c r="W28" s="27"/>
      <c r="Y28" s="150"/>
    </row>
    <row r="29" ht="28" hidden="1" customHeight="1" spans="1:25">
      <c r="A29" s="191" t="s">
        <v>655</v>
      </c>
      <c r="B29" s="195">
        <f>B21/(B21+项目资金筹措!C16)</f>
        <v>1</v>
      </c>
      <c r="C29" s="195"/>
      <c r="D29" s="195"/>
      <c r="E29" s="195"/>
      <c r="F29" s="195"/>
      <c r="G29" s="195"/>
      <c r="H29" s="195"/>
      <c r="I29" s="195"/>
      <c r="J29" s="195"/>
      <c r="K29" s="195"/>
      <c r="L29" s="195"/>
      <c r="M29" s="195"/>
      <c r="N29" s="195"/>
      <c r="O29" s="195"/>
      <c r="P29" s="195"/>
      <c r="Q29" s="238"/>
      <c r="U29" s="138"/>
      <c r="V29" s="239"/>
      <c r="W29" s="27"/>
      <c r="Y29" s="150"/>
    </row>
    <row r="30" ht="28" customHeight="1" spans="1:25">
      <c r="A30" s="191" t="s">
        <v>656</v>
      </c>
      <c r="B30" s="192">
        <f>税金计算表!R36+B20</f>
        <v>4053.22777397474</v>
      </c>
      <c r="C30" s="203"/>
      <c r="D30" s="203"/>
      <c r="E30" s="203"/>
      <c r="F30" s="203"/>
      <c r="G30" s="203"/>
      <c r="H30" s="203"/>
      <c r="I30" s="203"/>
      <c r="J30" s="203"/>
      <c r="K30" s="203"/>
      <c r="L30" s="203"/>
      <c r="M30" s="203"/>
      <c r="N30" s="203"/>
      <c r="O30" s="203"/>
      <c r="P30" s="203"/>
      <c r="Q30" s="238"/>
      <c r="U30" s="138"/>
      <c r="V30" s="239"/>
      <c r="Y30" s="150"/>
    </row>
    <row r="31" ht="28" customHeight="1" spans="1:23">
      <c r="A31" s="191" t="s">
        <v>657</v>
      </c>
      <c r="B31" s="195">
        <f>B30/B12</f>
        <v>0.0671001153216946</v>
      </c>
      <c r="C31" s="203"/>
      <c r="D31" s="203"/>
      <c r="E31" s="203"/>
      <c r="F31" s="203"/>
      <c r="G31" s="203"/>
      <c r="H31" s="203"/>
      <c r="I31" s="203"/>
      <c r="J31" s="203"/>
      <c r="K31" s="203"/>
      <c r="L31" s="203"/>
      <c r="M31" s="203"/>
      <c r="N31" s="203"/>
      <c r="O31" s="203"/>
      <c r="P31" s="203"/>
      <c r="Q31" s="238">
        <f>B11-B14-B15-B17-B30</f>
        <v>1482.82569881883</v>
      </c>
      <c r="U31" s="138"/>
      <c r="V31" s="239"/>
      <c r="W31" s="27"/>
    </row>
    <row r="32" s="174" customFormat="1" ht="28" customHeight="1" spans="1:34">
      <c r="A32" s="204" t="s">
        <v>606</v>
      </c>
      <c r="B32" s="205">
        <f>B10</f>
        <v>9329.94354749689</v>
      </c>
      <c r="C32" s="205">
        <f>C10</f>
        <v>13500</v>
      </c>
      <c r="D32" s="205">
        <f t="shared" ref="D32:P32" si="8">D10</f>
        <v>11500</v>
      </c>
      <c r="E32" s="205" t="e">
        <f t="shared" si="8"/>
        <v>#DIV/0!</v>
      </c>
      <c r="F32" s="205" t="e">
        <f t="shared" si="8"/>
        <v>#DIV/0!</v>
      </c>
      <c r="G32" s="205" t="e">
        <f t="shared" si="8"/>
        <v>#DIV/0!</v>
      </c>
      <c r="H32" s="205" t="e">
        <f t="shared" si="8"/>
        <v>#DIV/0!</v>
      </c>
      <c r="I32" s="205" t="e">
        <f t="shared" si="8"/>
        <v>#DIV/0!</v>
      </c>
      <c r="J32" s="205" t="e">
        <f t="shared" si="8"/>
        <v>#DIV/0!</v>
      </c>
      <c r="K32" s="205" t="e">
        <f t="shared" si="8"/>
        <v>#DIV/0!</v>
      </c>
      <c r="L32" s="205" t="e">
        <f t="shared" si="8"/>
        <v>#DIV/0!</v>
      </c>
      <c r="M32" s="205" t="e">
        <f t="shared" si="8"/>
        <v>#DIV/0!</v>
      </c>
      <c r="N32" s="205" t="e">
        <f t="shared" si="8"/>
        <v>#DIV/0!</v>
      </c>
      <c r="O32" s="205">
        <f t="shared" si="8"/>
        <v>2007.54858546403</v>
      </c>
      <c r="P32" s="205">
        <f t="shared" si="8"/>
        <v>1714.56064383502</v>
      </c>
      <c r="R32" s="250"/>
      <c r="S32" s="250"/>
      <c r="T32" s="250"/>
      <c r="U32" s="250"/>
      <c r="V32" s="251"/>
      <c r="W32" s="252"/>
      <c r="X32" s="177"/>
      <c r="Z32" s="252"/>
      <c r="AH32" s="299"/>
    </row>
    <row r="33" s="174" customFormat="1" ht="28" customHeight="1" spans="1:34">
      <c r="A33" s="204" t="s">
        <v>658</v>
      </c>
      <c r="B33" s="205">
        <v>0</v>
      </c>
      <c r="C33" s="205">
        <f>经济指标!I9</f>
        <v>184</v>
      </c>
      <c r="D33" s="205">
        <f>经济指标!I10</f>
        <v>66</v>
      </c>
      <c r="E33" s="205"/>
      <c r="F33" s="205"/>
      <c r="G33" s="205"/>
      <c r="H33" s="205"/>
      <c r="I33" s="205"/>
      <c r="J33" s="205"/>
      <c r="K33" s="205"/>
      <c r="L33" s="205"/>
      <c r="M33" s="205"/>
      <c r="N33" s="205"/>
      <c r="O33" s="205">
        <f>经济指标!I22</f>
        <v>99</v>
      </c>
      <c r="P33" s="205">
        <f>经济指标!I23</f>
        <v>392</v>
      </c>
      <c r="R33" s="250"/>
      <c r="S33" s="250"/>
      <c r="T33" s="250"/>
      <c r="U33" s="250"/>
      <c r="V33" s="251"/>
      <c r="W33" s="252"/>
      <c r="X33" s="177"/>
      <c r="Z33" s="252"/>
      <c r="AH33" s="299"/>
    </row>
    <row r="34" s="174" customFormat="1" ht="28" customHeight="1" spans="1:34">
      <c r="A34" s="204" t="s">
        <v>659</v>
      </c>
      <c r="B34" s="205">
        <f>成本测算明细!C11</f>
        <v>2991.46654060586</v>
      </c>
      <c r="C34" s="205">
        <f>成本测算明细!G11</f>
        <v>4417.59042046272</v>
      </c>
      <c r="D34" s="205">
        <f>成本测算明细!I11</f>
        <v>4417.59042046272</v>
      </c>
      <c r="E34" s="205"/>
      <c r="F34" s="205"/>
      <c r="G34" s="205"/>
      <c r="H34" s="205"/>
      <c r="I34" s="205"/>
      <c r="J34" s="205"/>
      <c r="K34" s="205"/>
      <c r="L34" s="205"/>
      <c r="M34" s="205"/>
      <c r="N34" s="205"/>
      <c r="O34" s="205">
        <f>成本测算明细!AG11</f>
        <v>0</v>
      </c>
      <c r="P34" s="205">
        <f>成本测算明细!AI11</f>
        <v>0</v>
      </c>
      <c r="R34" s="250"/>
      <c r="S34" s="250"/>
      <c r="T34" s="250"/>
      <c r="U34" s="250"/>
      <c r="V34" s="251"/>
      <c r="W34" s="252"/>
      <c r="X34" s="177"/>
      <c r="Z34" s="252"/>
      <c r="AH34" s="299"/>
    </row>
    <row r="35" s="174" customFormat="1" ht="28" customHeight="1" spans="1:34">
      <c r="A35" s="204" t="s">
        <v>660</v>
      </c>
      <c r="B35" s="206">
        <f>B14*10000/B9</f>
        <v>3159.90524466527</v>
      </c>
      <c r="C35" s="206">
        <f t="shared" ref="C35:P35" si="9">C14*10000/C9</f>
        <v>3171.29281464056</v>
      </c>
      <c r="D35" s="206">
        <f t="shared" si="9"/>
        <v>7347.52563493022</v>
      </c>
      <c r="E35" s="206" t="e">
        <f t="shared" si="9"/>
        <v>#DIV/0!</v>
      </c>
      <c r="F35" s="206" t="e">
        <f t="shared" si="9"/>
        <v>#DIV/0!</v>
      </c>
      <c r="G35" s="206" t="e">
        <f t="shared" si="9"/>
        <v>#DIV/0!</v>
      </c>
      <c r="H35" s="206" t="e">
        <f t="shared" si="9"/>
        <v>#DIV/0!</v>
      </c>
      <c r="I35" s="206" t="e">
        <f t="shared" si="9"/>
        <v>#DIV/0!</v>
      </c>
      <c r="J35" s="206" t="e">
        <f t="shared" si="9"/>
        <v>#DIV/0!</v>
      </c>
      <c r="K35" s="206" t="e">
        <f t="shared" si="9"/>
        <v>#DIV/0!</v>
      </c>
      <c r="L35" s="206" t="e">
        <f t="shared" si="9"/>
        <v>#DIV/0!</v>
      </c>
      <c r="M35" s="206" t="e">
        <f t="shared" si="9"/>
        <v>#DIV/0!</v>
      </c>
      <c r="N35" s="206" t="e">
        <f t="shared" si="9"/>
        <v>#DIV/0!</v>
      </c>
      <c r="O35" s="206">
        <f t="shared" si="9"/>
        <v>0</v>
      </c>
      <c r="P35" s="206">
        <f t="shared" si="9"/>
        <v>0</v>
      </c>
      <c r="R35" s="250"/>
      <c r="S35" s="250"/>
      <c r="T35" s="250"/>
      <c r="U35" s="250"/>
      <c r="V35" s="251"/>
      <c r="W35" s="252"/>
      <c r="X35" s="177"/>
      <c r="Z35" s="252"/>
      <c r="AH35" s="299"/>
    </row>
    <row r="36" s="174" customFormat="1" ht="28" customHeight="1" spans="1:34">
      <c r="A36" s="204" t="s">
        <v>661</v>
      </c>
      <c r="B36" s="206">
        <f>B15*10000/B9</f>
        <v>4702.92633659446</v>
      </c>
      <c r="C36" s="206">
        <f t="shared" ref="C36:P36" si="10">C15*10000/C9</f>
        <v>5123.0878005529</v>
      </c>
      <c r="D36" s="206">
        <f t="shared" si="10"/>
        <v>5536.63961636933</v>
      </c>
      <c r="E36" s="206" t="e">
        <f t="shared" si="10"/>
        <v>#DIV/0!</v>
      </c>
      <c r="F36" s="206" t="e">
        <f t="shared" si="10"/>
        <v>#DIV/0!</v>
      </c>
      <c r="G36" s="206" t="e">
        <f t="shared" si="10"/>
        <v>#DIV/0!</v>
      </c>
      <c r="H36" s="206" t="e">
        <f t="shared" si="10"/>
        <v>#DIV/0!</v>
      </c>
      <c r="I36" s="206" t="e">
        <f t="shared" si="10"/>
        <v>#DIV/0!</v>
      </c>
      <c r="J36" s="206" t="e">
        <f t="shared" si="10"/>
        <v>#DIV/0!</v>
      </c>
      <c r="K36" s="206" t="e">
        <f t="shared" si="10"/>
        <v>#DIV/0!</v>
      </c>
      <c r="L36" s="206" t="e">
        <f t="shared" si="10"/>
        <v>#DIV/0!</v>
      </c>
      <c r="M36" s="206" t="e">
        <f t="shared" si="10"/>
        <v>#DIV/0!</v>
      </c>
      <c r="N36" s="206" t="e">
        <f t="shared" si="10"/>
        <v>#DIV/0!</v>
      </c>
      <c r="O36" s="206">
        <f t="shared" si="10"/>
        <v>3850.66219664089</v>
      </c>
      <c r="P36" s="206">
        <f t="shared" si="10"/>
        <v>3398.98719664089</v>
      </c>
      <c r="Q36" s="253"/>
      <c r="R36" s="250"/>
      <c r="S36" s="250"/>
      <c r="T36" s="250"/>
      <c r="U36" s="250"/>
      <c r="V36" s="251"/>
      <c r="W36" s="252"/>
      <c r="X36" s="177"/>
      <c r="Z36" s="252"/>
      <c r="AH36" s="299"/>
    </row>
    <row r="37" s="174" customFormat="1" ht="28" customHeight="1" spans="1:34">
      <c r="A37" s="204" t="s">
        <v>662</v>
      </c>
      <c r="B37" s="206">
        <f>B16*10000/B9</f>
        <v>1281.05181835396</v>
      </c>
      <c r="C37" s="206">
        <f t="shared" ref="C37:P37" si="11">C16*10000/C9</f>
        <v>4707.31188923834</v>
      </c>
      <c r="D37" s="206">
        <f t="shared" si="11"/>
        <v>-1376.25939317548</v>
      </c>
      <c r="E37" s="206" t="e">
        <f t="shared" si="11"/>
        <v>#DIV/0!</v>
      </c>
      <c r="F37" s="206" t="e">
        <f t="shared" si="11"/>
        <v>#DIV/0!</v>
      </c>
      <c r="G37" s="206" t="e">
        <f t="shared" si="11"/>
        <v>#DIV/0!</v>
      </c>
      <c r="H37" s="206" t="e">
        <f t="shared" si="11"/>
        <v>#DIV/0!</v>
      </c>
      <c r="I37" s="206" t="e">
        <f t="shared" si="11"/>
        <v>#DIV/0!</v>
      </c>
      <c r="J37" s="206" t="e">
        <f t="shared" si="11"/>
        <v>#DIV/0!</v>
      </c>
      <c r="K37" s="206" t="e">
        <f t="shared" si="11"/>
        <v>#DIV/0!</v>
      </c>
      <c r="L37" s="206" t="e">
        <f t="shared" si="11"/>
        <v>#DIV/0!</v>
      </c>
      <c r="M37" s="206" t="e">
        <f t="shared" si="11"/>
        <v>#DIV/0!</v>
      </c>
      <c r="N37" s="206" t="e">
        <f t="shared" si="11"/>
        <v>#DIV/0!</v>
      </c>
      <c r="O37" s="206">
        <f t="shared" si="11"/>
        <v>-1722.72437701525</v>
      </c>
      <c r="P37" s="206">
        <f t="shared" si="11"/>
        <v>-1573.41049318866</v>
      </c>
      <c r="Q37" s="253"/>
      <c r="R37" s="250">
        <v>8721</v>
      </c>
      <c r="S37" s="250"/>
      <c r="T37" s="250"/>
      <c r="V37" s="252"/>
      <c r="W37" s="251"/>
      <c r="X37" s="177"/>
      <c r="Z37" s="252"/>
      <c r="AH37" s="299"/>
    </row>
    <row r="38" s="174" customFormat="1" ht="28" customHeight="1" spans="1:34">
      <c r="A38" s="204" t="s">
        <v>524</v>
      </c>
      <c r="B38" s="206">
        <f>B17*10000/B9</f>
        <v>682.644294141829</v>
      </c>
      <c r="C38" s="206">
        <f t="shared" ref="C38:P38" si="12">C17*10000/C9</f>
        <v>1036.97121839754</v>
      </c>
      <c r="D38" s="206">
        <f t="shared" si="12"/>
        <v>646.884275944079</v>
      </c>
      <c r="E38" s="206" t="e">
        <f t="shared" si="12"/>
        <v>#DIV/0!</v>
      </c>
      <c r="F38" s="206" t="e">
        <f t="shared" si="12"/>
        <v>#DIV/0!</v>
      </c>
      <c r="G38" s="206" t="e">
        <f t="shared" si="12"/>
        <v>#DIV/0!</v>
      </c>
      <c r="H38" s="206" t="e">
        <f t="shared" si="12"/>
        <v>#DIV/0!</v>
      </c>
      <c r="I38" s="206" t="e">
        <f t="shared" si="12"/>
        <v>#DIV/0!</v>
      </c>
      <c r="J38" s="206" t="e">
        <f t="shared" si="12"/>
        <v>#DIV/0!</v>
      </c>
      <c r="K38" s="206" t="e">
        <f t="shared" si="12"/>
        <v>#DIV/0!</v>
      </c>
      <c r="L38" s="206" t="e">
        <f t="shared" si="12"/>
        <v>#DIV/0!</v>
      </c>
      <c r="M38" s="206" t="e">
        <f t="shared" si="12"/>
        <v>#DIV/0!</v>
      </c>
      <c r="N38" s="206" t="e">
        <f t="shared" si="12"/>
        <v>#DIV/0!</v>
      </c>
      <c r="O38" s="206">
        <f t="shared" si="12"/>
        <v>183.304054326602</v>
      </c>
      <c r="P38" s="206">
        <f t="shared" si="12"/>
        <v>209.990081557484</v>
      </c>
      <c r="R38" s="250"/>
      <c r="S38" s="250"/>
      <c r="T38" s="250"/>
      <c r="V38" s="252"/>
      <c r="W38" s="252"/>
      <c r="X38" s="177"/>
      <c r="Z38" s="252"/>
      <c r="AH38" s="299"/>
    </row>
    <row r="39" s="174" customFormat="1" ht="28" customHeight="1" spans="1:34">
      <c r="A39" s="207" t="s">
        <v>640</v>
      </c>
      <c r="B39" s="206">
        <f>B18*10000/B9</f>
        <v>337.569267026449</v>
      </c>
      <c r="C39" s="206">
        <f t="shared" ref="C39:P39" si="13">C18*10000/C9</f>
        <v>488.447232467949</v>
      </c>
      <c r="D39" s="206">
        <f t="shared" si="13"/>
        <v>416.084679509734</v>
      </c>
      <c r="E39" s="206" t="e">
        <f t="shared" si="13"/>
        <v>#DIV/0!</v>
      </c>
      <c r="F39" s="206" t="e">
        <f t="shared" si="13"/>
        <v>#DIV/0!</v>
      </c>
      <c r="G39" s="206" t="e">
        <f t="shared" si="13"/>
        <v>#DIV/0!</v>
      </c>
      <c r="H39" s="206" t="e">
        <f t="shared" si="13"/>
        <v>#DIV/0!</v>
      </c>
      <c r="I39" s="206" t="e">
        <f t="shared" si="13"/>
        <v>#DIV/0!</v>
      </c>
      <c r="J39" s="206" t="e">
        <f t="shared" si="13"/>
        <v>#DIV/0!</v>
      </c>
      <c r="K39" s="206" t="e">
        <f t="shared" si="13"/>
        <v>#DIV/0!</v>
      </c>
      <c r="L39" s="206" t="e">
        <f t="shared" si="13"/>
        <v>#DIV/0!</v>
      </c>
      <c r="M39" s="206" t="e">
        <f t="shared" si="13"/>
        <v>#DIV/0!</v>
      </c>
      <c r="N39" s="206" t="e">
        <f t="shared" si="13"/>
        <v>#DIV/0!</v>
      </c>
      <c r="O39" s="206">
        <f t="shared" si="13"/>
        <v>72.6356704159149</v>
      </c>
      <c r="P39" s="206">
        <f t="shared" si="13"/>
        <v>62.034992694791</v>
      </c>
      <c r="R39" s="250"/>
      <c r="S39" s="250"/>
      <c r="T39" s="250"/>
      <c r="V39" s="254" t="s">
        <v>64</v>
      </c>
      <c r="W39" s="255" t="s">
        <v>663</v>
      </c>
      <c r="X39" s="254" t="s">
        <v>664</v>
      </c>
      <c r="Y39" s="280" t="s">
        <v>665</v>
      </c>
      <c r="Z39" s="281" t="s">
        <v>666</v>
      </c>
      <c r="AA39" s="256" t="s">
        <v>667</v>
      </c>
      <c r="AB39" s="174" t="s">
        <v>668</v>
      </c>
      <c r="AH39" s="299"/>
    </row>
    <row r="40" s="174" customFormat="1" ht="28" customHeight="1" spans="1:34">
      <c r="A40" s="204" t="s">
        <v>642</v>
      </c>
      <c r="B40" s="206">
        <f>B19*10000/B9</f>
        <v>280.158378717999</v>
      </c>
      <c r="C40" s="206">
        <f t="shared" ref="C40:P40" si="14">C19*10000/C9</f>
        <v>3211.24168040297</v>
      </c>
      <c r="D40" s="206">
        <f t="shared" si="14"/>
        <v>-2420.92030308371</v>
      </c>
      <c r="E40" s="206" t="e">
        <f t="shared" si="14"/>
        <v>#DIV/0!</v>
      </c>
      <c r="F40" s="206" t="e">
        <f t="shared" si="14"/>
        <v>#DIV/0!</v>
      </c>
      <c r="G40" s="206" t="e">
        <f t="shared" si="14"/>
        <v>#DIV/0!</v>
      </c>
      <c r="H40" s="206" t="e">
        <f t="shared" si="14"/>
        <v>#DIV/0!</v>
      </c>
      <c r="I40" s="206" t="e">
        <f t="shared" si="14"/>
        <v>#DIV/0!</v>
      </c>
      <c r="J40" s="206" t="e">
        <f t="shared" si="14"/>
        <v>#DIV/0!</v>
      </c>
      <c r="K40" s="206" t="e">
        <f t="shared" si="14"/>
        <v>#DIV/0!</v>
      </c>
      <c r="L40" s="206" t="e">
        <f t="shared" si="14"/>
        <v>#DIV/0!</v>
      </c>
      <c r="M40" s="206" t="e">
        <f t="shared" si="14"/>
        <v>#DIV/0!</v>
      </c>
      <c r="N40" s="206" t="e">
        <f t="shared" si="14"/>
        <v>#DIV/0!</v>
      </c>
      <c r="O40" s="206">
        <f t="shared" si="14"/>
        <v>-1973.47625116362</v>
      </c>
      <c r="P40" s="206">
        <f t="shared" si="14"/>
        <v>-1839.49245192516</v>
      </c>
      <c r="R40" s="250"/>
      <c r="S40" s="250"/>
      <c r="T40" s="250"/>
      <c r="V40" s="254" t="s">
        <v>79</v>
      </c>
      <c r="W40" s="255">
        <f>C48</f>
        <v>184</v>
      </c>
      <c r="X40" s="256">
        <f>Z40/$Z$42</f>
        <v>0.731160896130346</v>
      </c>
      <c r="Y40" s="280">
        <f>O48+P48-Y41</f>
        <v>359</v>
      </c>
      <c r="Z40" s="282">
        <f>经济指标!G20*AA40</f>
        <v>16257.7354175153</v>
      </c>
      <c r="AA40" s="256">
        <f>Y40/$Y$42</f>
        <v>0.731160896130346</v>
      </c>
      <c r="AB40" s="250">
        <f>Z40/Y40</f>
        <v>45.2861710794297</v>
      </c>
      <c r="AC40" s="250"/>
      <c r="AD40" s="250"/>
      <c r="AH40" s="299"/>
    </row>
    <row r="41" s="174" customFormat="1" ht="28" customHeight="1" spans="1:34">
      <c r="A41" s="204" t="s">
        <v>644</v>
      </c>
      <c r="B41" s="206">
        <f>B20*10000/B9</f>
        <v>70.0395946794996</v>
      </c>
      <c r="C41" s="206">
        <f t="shared" ref="C41:P41" si="15">C20*10000/C9</f>
        <v>802.810420100742</v>
      </c>
      <c r="D41" s="206">
        <f t="shared" si="15"/>
        <v>-605.230075770927</v>
      </c>
      <c r="E41" s="206" t="e">
        <f t="shared" si="15"/>
        <v>#DIV/0!</v>
      </c>
      <c r="F41" s="206" t="e">
        <f t="shared" si="15"/>
        <v>#DIV/0!</v>
      </c>
      <c r="G41" s="206" t="e">
        <f t="shared" si="15"/>
        <v>#DIV/0!</v>
      </c>
      <c r="H41" s="206" t="e">
        <f t="shared" si="15"/>
        <v>#DIV/0!</v>
      </c>
      <c r="I41" s="206" t="e">
        <f t="shared" si="15"/>
        <v>#DIV/0!</v>
      </c>
      <c r="J41" s="206" t="e">
        <f t="shared" si="15"/>
        <v>#DIV/0!</v>
      </c>
      <c r="K41" s="206" t="e">
        <f t="shared" si="15"/>
        <v>#DIV/0!</v>
      </c>
      <c r="L41" s="206" t="e">
        <f t="shared" si="15"/>
        <v>#DIV/0!</v>
      </c>
      <c r="M41" s="206" t="e">
        <f t="shared" si="15"/>
        <v>#DIV/0!</v>
      </c>
      <c r="N41" s="206" t="e">
        <f t="shared" si="15"/>
        <v>#DIV/0!</v>
      </c>
      <c r="O41" s="206">
        <f t="shared" si="15"/>
        <v>-493.369062790906</v>
      </c>
      <c r="P41" s="206">
        <f t="shared" si="15"/>
        <v>-459.87311298129</v>
      </c>
      <c r="R41" s="250"/>
      <c r="S41" s="250"/>
      <c r="T41" s="250"/>
      <c r="V41" s="254" t="s">
        <v>86</v>
      </c>
      <c r="W41" s="255">
        <f>D48</f>
        <v>66</v>
      </c>
      <c r="X41" s="256">
        <f>Z41/$Z$42</f>
        <v>0.268839103869654</v>
      </c>
      <c r="Y41" s="280">
        <v>132</v>
      </c>
      <c r="Z41" s="282">
        <f>经济指标!G20*AA41</f>
        <v>5977.77458248473</v>
      </c>
      <c r="AA41" s="256">
        <f>Y41/$Y$42</f>
        <v>0.268839103869654</v>
      </c>
      <c r="AB41" s="250">
        <f>Z41/Y41</f>
        <v>45.2861710794297</v>
      </c>
      <c r="AC41" s="250"/>
      <c r="AD41" s="250"/>
      <c r="AH41" s="299"/>
    </row>
    <row r="42" s="174" customFormat="1" ht="28" customHeight="1" spans="1:34">
      <c r="A42" s="204" t="s">
        <v>36</v>
      </c>
      <c r="B42" s="206">
        <f>B21*10000/B9</f>
        <v>210.118784038499</v>
      </c>
      <c r="C42" s="206">
        <f t="shared" ref="C42:P42" si="16">C21*10000/C9</f>
        <v>2408.43126030223</v>
      </c>
      <c r="D42" s="206">
        <f t="shared" si="16"/>
        <v>-1815.69022731278</v>
      </c>
      <c r="E42" s="206" t="e">
        <f t="shared" si="16"/>
        <v>#DIV/0!</v>
      </c>
      <c r="F42" s="206" t="e">
        <f t="shared" si="16"/>
        <v>#DIV/0!</v>
      </c>
      <c r="G42" s="206" t="e">
        <f t="shared" si="16"/>
        <v>#DIV/0!</v>
      </c>
      <c r="H42" s="206" t="e">
        <f t="shared" si="16"/>
        <v>#DIV/0!</v>
      </c>
      <c r="I42" s="206" t="e">
        <f t="shared" si="16"/>
        <v>#DIV/0!</v>
      </c>
      <c r="J42" s="206" t="e">
        <f t="shared" si="16"/>
        <v>#DIV/0!</v>
      </c>
      <c r="K42" s="206" t="e">
        <f t="shared" si="16"/>
        <v>#DIV/0!</v>
      </c>
      <c r="L42" s="206" t="e">
        <f t="shared" si="16"/>
        <v>#DIV/0!</v>
      </c>
      <c r="M42" s="206" t="e">
        <f t="shared" si="16"/>
        <v>#DIV/0!</v>
      </c>
      <c r="N42" s="206" t="e">
        <f t="shared" si="16"/>
        <v>#DIV/0!</v>
      </c>
      <c r="O42" s="206">
        <f t="shared" si="16"/>
        <v>-1480.10718837272</v>
      </c>
      <c r="P42" s="206">
        <f t="shared" si="16"/>
        <v>-1379.61933894387</v>
      </c>
      <c r="R42" s="250"/>
      <c r="S42" s="250"/>
      <c r="T42" s="250"/>
      <c r="V42" s="254" t="s">
        <v>127</v>
      </c>
      <c r="W42" s="255">
        <f>SUM(W40:W41)</f>
        <v>250</v>
      </c>
      <c r="X42" s="256">
        <f>SUM(X40:X41)</f>
        <v>1</v>
      </c>
      <c r="Y42" s="280">
        <f>SUM(Y40:Y41)</f>
        <v>491</v>
      </c>
      <c r="Z42" s="282">
        <f>SUM(Z40:Z41)</f>
        <v>22235.51</v>
      </c>
      <c r="AA42" s="256">
        <f>SUM(AA40:AA41)</f>
        <v>1</v>
      </c>
      <c r="AB42" s="250">
        <f>Z42/Y42</f>
        <v>45.2861710794297</v>
      </c>
      <c r="AC42" s="250"/>
      <c r="AD42" s="250"/>
      <c r="AH42" s="299"/>
    </row>
    <row r="43" s="172" customFormat="1" ht="28" customHeight="1" spans="1:34">
      <c r="A43" s="208"/>
      <c r="B43" s="209"/>
      <c r="C43" s="209"/>
      <c r="D43" s="209"/>
      <c r="E43" s="209"/>
      <c r="F43" s="209"/>
      <c r="G43" s="209"/>
      <c r="H43" s="209"/>
      <c r="I43" s="209"/>
      <c r="J43" s="209"/>
      <c r="K43" s="209"/>
      <c r="L43" s="209"/>
      <c r="M43" s="209"/>
      <c r="N43" s="209"/>
      <c r="O43" s="209"/>
      <c r="P43" s="209"/>
      <c r="R43" s="231"/>
      <c r="S43" s="231"/>
      <c r="T43" s="231"/>
      <c r="V43" s="175"/>
      <c r="W43" s="175"/>
      <c r="X43" s="232"/>
      <c r="Z43" s="175"/>
      <c r="AH43" s="297"/>
    </row>
    <row r="44" s="175" customFormat="1" ht="25" customHeight="1" spans="1:34">
      <c r="A44" s="210"/>
      <c r="B44" s="211" t="s">
        <v>669</v>
      </c>
      <c r="C44" s="212">
        <f>项目概况!B11</f>
        <v>380.2</v>
      </c>
      <c r="O44" s="226"/>
      <c r="P44" s="227"/>
      <c r="R44" s="241"/>
      <c r="S44" s="241"/>
      <c r="T44" s="241"/>
      <c r="V44" s="241"/>
      <c r="W44" s="241"/>
      <c r="X44" s="232"/>
      <c r="AH44" s="300"/>
    </row>
    <row r="45" s="175" customFormat="1" ht="25" customHeight="1" spans="1:35">
      <c r="A45" s="210"/>
      <c r="B45" s="211" t="s">
        <v>670</v>
      </c>
      <c r="C45" s="212">
        <f>成本测算明细!G11</f>
        <v>4417.59042046272</v>
      </c>
      <c r="O45" s="226"/>
      <c r="P45" s="227"/>
      <c r="R45" s="241"/>
      <c r="S45" s="241"/>
      <c r="T45" s="241"/>
      <c r="V45" s="257" t="s">
        <v>671</v>
      </c>
      <c r="W45" s="257"/>
      <c r="X45" s="257"/>
      <c r="Y45" s="257"/>
      <c r="AA45" s="283" t="s">
        <v>671</v>
      </c>
      <c r="AB45" s="283"/>
      <c r="AC45" s="283"/>
      <c r="AD45" s="283"/>
      <c r="AE45" s="283"/>
      <c r="AF45" s="283"/>
      <c r="AG45" s="283"/>
      <c r="AH45" s="283"/>
      <c r="AI45" s="283"/>
    </row>
    <row r="46" s="176" customFormat="1" ht="25" customHeight="1" spans="2:35">
      <c r="B46" s="213"/>
      <c r="C46" s="214" t="s">
        <v>79</v>
      </c>
      <c r="D46" s="214" t="s">
        <v>672</v>
      </c>
      <c r="E46" s="214"/>
      <c r="F46" s="214"/>
      <c r="G46" s="214"/>
      <c r="H46" s="214"/>
      <c r="I46" s="214"/>
      <c r="J46" s="214"/>
      <c r="K46" s="214"/>
      <c r="L46" s="214"/>
      <c r="M46" s="214"/>
      <c r="N46" s="214"/>
      <c r="O46" s="214" t="s">
        <v>93</v>
      </c>
      <c r="P46" s="214" t="s">
        <v>96</v>
      </c>
      <c r="Q46" s="258" t="s">
        <v>673</v>
      </c>
      <c r="R46" s="258" t="s">
        <v>674</v>
      </c>
      <c r="S46" s="259" t="s">
        <v>675</v>
      </c>
      <c r="T46" s="259" t="s">
        <v>676</v>
      </c>
      <c r="V46" s="260"/>
      <c r="W46" s="261" t="s">
        <v>79</v>
      </c>
      <c r="X46" s="262" t="s">
        <v>86</v>
      </c>
      <c r="Y46" s="284" t="s">
        <v>5</v>
      </c>
      <c r="AA46" s="285"/>
      <c r="AB46" s="286" t="s">
        <v>677</v>
      </c>
      <c r="AC46" s="287"/>
      <c r="AD46" s="288"/>
      <c r="AE46" s="286" t="s">
        <v>678</v>
      </c>
      <c r="AF46" s="287"/>
      <c r="AG46" s="288"/>
      <c r="AH46" s="288"/>
      <c r="AI46" s="301"/>
    </row>
    <row r="47" s="139" customFormat="1" ht="25" customHeight="1" spans="2:35">
      <c r="B47" s="215" t="s">
        <v>66</v>
      </c>
      <c r="C47" s="216">
        <f t="shared" ref="C47:P47" si="17">C8</f>
        <v>31642.84</v>
      </c>
      <c r="D47" s="216">
        <f t="shared" si="17"/>
        <v>16692.48</v>
      </c>
      <c r="E47" s="216">
        <f t="shared" si="17"/>
        <v>0</v>
      </c>
      <c r="F47" s="216">
        <f t="shared" si="17"/>
        <v>0</v>
      </c>
      <c r="G47" s="216">
        <f t="shared" si="17"/>
        <v>0</v>
      </c>
      <c r="H47" s="216">
        <f t="shared" si="17"/>
        <v>0</v>
      </c>
      <c r="I47" s="216">
        <f t="shared" si="17"/>
        <v>0</v>
      </c>
      <c r="J47" s="216">
        <f t="shared" si="17"/>
        <v>332.64</v>
      </c>
      <c r="K47" s="216">
        <f t="shared" si="17"/>
        <v>198.49</v>
      </c>
      <c r="L47" s="216">
        <f t="shared" si="17"/>
        <v>75.2</v>
      </c>
      <c r="M47" s="216">
        <f t="shared" si="17"/>
        <v>201.09</v>
      </c>
      <c r="N47" s="216">
        <f t="shared" si="17"/>
        <v>0</v>
      </c>
      <c r="O47" s="216">
        <f t="shared" si="17"/>
        <v>3945.11</v>
      </c>
      <c r="P47" s="216">
        <f t="shared" si="17"/>
        <v>18290.4</v>
      </c>
      <c r="Q47" s="216">
        <f t="shared" ref="Q47:R47" si="18">C47</f>
        <v>31642.84</v>
      </c>
      <c r="R47" s="216">
        <f t="shared" si="18"/>
        <v>16692.48</v>
      </c>
      <c r="S47" s="263">
        <f>C47</f>
        <v>31642.84</v>
      </c>
      <c r="T47" s="263">
        <f>D47</f>
        <v>16692.48</v>
      </c>
      <c r="U47" s="239"/>
      <c r="V47" s="216" t="s">
        <v>66</v>
      </c>
      <c r="W47" s="216">
        <f>C47</f>
        <v>31642.84</v>
      </c>
      <c r="X47" s="264">
        <f>D47</f>
        <v>16692.48</v>
      </c>
      <c r="Y47" s="272"/>
      <c r="AA47" s="260"/>
      <c r="AB47" s="261" t="s">
        <v>79</v>
      </c>
      <c r="AC47" s="261" t="s">
        <v>679</v>
      </c>
      <c r="AD47" s="261" t="s">
        <v>680</v>
      </c>
      <c r="AE47" s="262" t="s">
        <v>86</v>
      </c>
      <c r="AF47" s="261" t="s">
        <v>681</v>
      </c>
      <c r="AG47" s="261" t="s">
        <v>680</v>
      </c>
      <c r="AH47" s="261" t="s">
        <v>127</v>
      </c>
      <c r="AI47" s="302" t="s">
        <v>5</v>
      </c>
    </row>
    <row r="48" s="139" customFormat="1" ht="25" customHeight="1" spans="2:35">
      <c r="B48" s="215" t="s">
        <v>663</v>
      </c>
      <c r="C48" s="217">
        <f>经济指标!I9</f>
        <v>184</v>
      </c>
      <c r="D48" s="217">
        <f>经济指标!I10</f>
        <v>66</v>
      </c>
      <c r="E48" s="217"/>
      <c r="F48" s="217"/>
      <c r="G48" s="217"/>
      <c r="H48" s="217"/>
      <c r="I48" s="217"/>
      <c r="J48" s="217"/>
      <c r="K48" s="217"/>
      <c r="L48" s="217"/>
      <c r="M48" s="217"/>
      <c r="N48" s="217"/>
      <c r="O48" s="217">
        <f>经济指标!I22</f>
        <v>99</v>
      </c>
      <c r="P48" s="217">
        <f>经济指标!I23</f>
        <v>392</v>
      </c>
      <c r="Q48" s="217">
        <f>C48</f>
        <v>184</v>
      </c>
      <c r="R48" s="217">
        <f>D48</f>
        <v>66</v>
      </c>
      <c r="S48" s="265"/>
      <c r="T48" s="265"/>
      <c r="V48" s="216" t="s">
        <v>663</v>
      </c>
      <c r="W48" s="216">
        <f>C48</f>
        <v>184</v>
      </c>
      <c r="X48" s="264">
        <f>D48</f>
        <v>66</v>
      </c>
      <c r="Y48" s="289"/>
      <c r="Z48" s="175"/>
      <c r="AA48" s="216" t="s">
        <v>68</v>
      </c>
      <c r="AB48" s="216">
        <f>W47</f>
        <v>31642.84</v>
      </c>
      <c r="AC48" s="216">
        <f>W47</f>
        <v>31642.84</v>
      </c>
      <c r="AD48" s="216">
        <f>Z40</f>
        <v>16257.7354175153</v>
      </c>
      <c r="AE48" s="264">
        <f>X47</f>
        <v>16692.48</v>
      </c>
      <c r="AF48" s="264">
        <f>X47</f>
        <v>16692.48</v>
      </c>
      <c r="AG48" s="264">
        <f>Z41</f>
        <v>5977.77458248473</v>
      </c>
      <c r="AH48" s="264">
        <f>B9</f>
        <v>70570.83</v>
      </c>
      <c r="AI48" s="303"/>
    </row>
    <row r="49" s="139" customFormat="1" ht="25" customHeight="1" spans="2:35">
      <c r="B49" s="218" t="s">
        <v>682</v>
      </c>
      <c r="C49" s="219">
        <f t="shared" ref="C49:P49" si="19">C10</f>
        <v>13500</v>
      </c>
      <c r="D49" s="219">
        <f t="shared" si="19"/>
        <v>11500</v>
      </c>
      <c r="E49" s="219" t="e">
        <f t="shared" si="19"/>
        <v>#DIV/0!</v>
      </c>
      <c r="F49" s="219" t="e">
        <f t="shared" si="19"/>
        <v>#DIV/0!</v>
      </c>
      <c r="G49" s="219" t="e">
        <f t="shared" si="19"/>
        <v>#DIV/0!</v>
      </c>
      <c r="H49" s="219" t="e">
        <f t="shared" si="19"/>
        <v>#DIV/0!</v>
      </c>
      <c r="I49" s="219" t="e">
        <f t="shared" si="19"/>
        <v>#DIV/0!</v>
      </c>
      <c r="J49" s="219" t="e">
        <f t="shared" si="19"/>
        <v>#DIV/0!</v>
      </c>
      <c r="K49" s="219" t="e">
        <f t="shared" si="19"/>
        <v>#DIV/0!</v>
      </c>
      <c r="L49" s="219" t="e">
        <f t="shared" si="19"/>
        <v>#DIV/0!</v>
      </c>
      <c r="M49" s="219" t="e">
        <f t="shared" si="19"/>
        <v>#DIV/0!</v>
      </c>
      <c r="N49" s="219" t="e">
        <f t="shared" si="19"/>
        <v>#DIV/0!</v>
      </c>
      <c r="O49" s="219">
        <f t="shared" si="19"/>
        <v>2007.54858546403</v>
      </c>
      <c r="P49" s="219">
        <f t="shared" si="19"/>
        <v>1714.56064383502</v>
      </c>
      <c r="Q49" s="219" t="e">
        <f>(预计销售收入及费用情况表!E7+预计销售收入及费用情况表!E22*#REF!)/C47*10000</f>
        <v>#REF!</v>
      </c>
      <c r="R49" s="219">
        <f>(预计销售收入及费用情况表!E8+预计销售收入及费用情况表!E22*Y51)/R47*10000</f>
        <v>11500</v>
      </c>
      <c r="S49" s="263" t="e">
        <f>Q49/1.09</f>
        <v>#REF!</v>
      </c>
      <c r="T49" s="263">
        <f>R49/1.09</f>
        <v>10550.4587155963</v>
      </c>
      <c r="U49" s="239"/>
      <c r="V49" s="219" t="s">
        <v>683</v>
      </c>
      <c r="W49" s="219">
        <f>C11/W47*10000</f>
        <v>13500</v>
      </c>
      <c r="X49" s="219">
        <f>D11/X47*10000</f>
        <v>11500</v>
      </c>
      <c r="Y49" s="290"/>
      <c r="Z49" s="175"/>
      <c r="AA49" s="216" t="s">
        <v>663</v>
      </c>
      <c r="AB49" s="216">
        <f>W48</f>
        <v>184</v>
      </c>
      <c r="AC49" s="216">
        <f>W48</f>
        <v>184</v>
      </c>
      <c r="AD49" s="216">
        <f>Y40</f>
        <v>359</v>
      </c>
      <c r="AE49" s="264">
        <f>X48</f>
        <v>66</v>
      </c>
      <c r="AF49" s="264">
        <f>X48</f>
        <v>66</v>
      </c>
      <c r="AG49" s="304">
        <f>Y41</f>
        <v>132</v>
      </c>
      <c r="AH49" s="304"/>
      <c r="AI49" s="305"/>
    </row>
    <row r="50" s="139" customFormat="1" ht="31" customHeight="1" spans="2:35">
      <c r="B50" s="201" t="s">
        <v>684</v>
      </c>
      <c r="C50" s="220">
        <f>C35</f>
        <v>3171.29281464056</v>
      </c>
      <c r="D50" s="220">
        <f t="shared" ref="D50:P50" si="20">D35</f>
        <v>7347.52563493022</v>
      </c>
      <c r="E50" s="220" t="e">
        <f t="shared" si="20"/>
        <v>#DIV/0!</v>
      </c>
      <c r="F50" s="220" t="e">
        <f t="shared" si="20"/>
        <v>#DIV/0!</v>
      </c>
      <c r="G50" s="220" t="e">
        <f t="shared" si="20"/>
        <v>#DIV/0!</v>
      </c>
      <c r="H50" s="220" t="e">
        <f t="shared" si="20"/>
        <v>#DIV/0!</v>
      </c>
      <c r="I50" s="220" t="e">
        <f t="shared" si="20"/>
        <v>#DIV/0!</v>
      </c>
      <c r="J50" s="220" t="e">
        <f t="shared" si="20"/>
        <v>#DIV/0!</v>
      </c>
      <c r="K50" s="220" t="e">
        <f t="shared" si="20"/>
        <v>#DIV/0!</v>
      </c>
      <c r="L50" s="220" t="e">
        <f t="shared" si="20"/>
        <v>#DIV/0!</v>
      </c>
      <c r="M50" s="220" t="e">
        <f t="shared" si="20"/>
        <v>#DIV/0!</v>
      </c>
      <c r="N50" s="220" t="e">
        <f t="shared" si="20"/>
        <v>#DIV/0!</v>
      </c>
      <c r="O50" s="220">
        <f t="shared" si="20"/>
        <v>0</v>
      </c>
      <c r="P50" s="220">
        <f t="shared" si="20"/>
        <v>0</v>
      </c>
      <c r="Q50" s="266">
        <f>C50</f>
        <v>3171.29281464056</v>
      </c>
      <c r="R50" s="216">
        <f>D50</f>
        <v>7347.52563493022</v>
      </c>
      <c r="S50" s="263">
        <f>Q50-Q50*0.9/1.09*0.09</f>
        <v>2935.62793575443</v>
      </c>
      <c r="T50" s="263">
        <f>R50-R50*0.9/1.09*0.09</f>
        <v>6801.51684921522</v>
      </c>
      <c r="U50" s="239"/>
      <c r="V50" s="216" t="s">
        <v>685</v>
      </c>
      <c r="W50" s="220">
        <f>(C11+(O11+P11)*AA40)/W47*10000</f>
        <v>14407.6302885582</v>
      </c>
      <c r="X50" s="220">
        <f>(D11+(O11+P11)*AA41)/X47*10000</f>
        <v>12132.6201978376</v>
      </c>
      <c r="Y50" s="289"/>
      <c r="Z50" s="291" t="s">
        <v>686</v>
      </c>
      <c r="AA50" s="216" t="s">
        <v>685</v>
      </c>
      <c r="AB50" s="220">
        <f t="shared" ref="AB50:AB56" si="21">W50</f>
        <v>14407.6302885582</v>
      </c>
      <c r="AC50" s="220">
        <f>预计销售收入及费用情况表!D7</f>
        <v>13500</v>
      </c>
      <c r="AD50" s="220">
        <f>预计销售收入及费用情况表!D20*10000</f>
        <v>80000</v>
      </c>
      <c r="AE50" s="220">
        <f>X50</f>
        <v>12132.6201978376</v>
      </c>
      <c r="AF50" s="220">
        <f>预计销售收入及费用情况表!D8</f>
        <v>11500</v>
      </c>
      <c r="AG50" s="220">
        <f>预计销售收入及费用情况表!D20*10000</f>
        <v>80000</v>
      </c>
      <c r="AH50" s="220">
        <f>B10</f>
        <v>9329.94354749689</v>
      </c>
      <c r="AI50" s="305"/>
    </row>
    <row r="51" s="139" customFormat="1" ht="45" customHeight="1" spans="2:35">
      <c r="B51" s="201" t="s">
        <v>687</v>
      </c>
      <c r="C51" s="220">
        <f>C36</f>
        <v>5123.0878005529</v>
      </c>
      <c r="D51" s="220">
        <f t="shared" ref="D51:P51" si="22">D36</f>
        <v>5536.63961636933</v>
      </c>
      <c r="E51" s="220" t="e">
        <f t="shared" si="22"/>
        <v>#DIV/0!</v>
      </c>
      <c r="F51" s="220" t="e">
        <f t="shared" si="22"/>
        <v>#DIV/0!</v>
      </c>
      <c r="G51" s="220" t="e">
        <f t="shared" si="22"/>
        <v>#DIV/0!</v>
      </c>
      <c r="H51" s="220" t="e">
        <f t="shared" si="22"/>
        <v>#DIV/0!</v>
      </c>
      <c r="I51" s="220" t="e">
        <f t="shared" si="22"/>
        <v>#DIV/0!</v>
      </c>
      <c r="J51" s="220" t="e">
        <f t="shared" si="22"/>
        <v>#DIV/0!</v>
      </c>
      <c r="K51" s="220" t="e">
        <f t="shared" si="22"/>
        <v>#DIV/0!</v>
      </c>
      <c r="L51" s="220" t="e">
        <f t="shared" si="22"/>
        <v>#DIV/0!</v>
      </c>
      <c r="M51" s="220" t="e">
        <f t="shared" si="22"/>
        <v>#DIV/0!</v>
      </c>
      <c r="N51" s="220" t="e">
        <f t="shared" si="22"/>
        <v>#DIV/0!</v>
      </c>
      <c r="O51" s="220">
        <f t="shared" si="22"/>
        <v>3850.66219664089</v>
      </c>
      <c r="P51" s="220">
        <f t="shared" si="22"/>
        <v>3398.98719664089</v>
      </c>
      <c r="Q51" s="266" t="e">
        <f>((成本测算明细!H186-成本测算明细!H10)+(成本测算明细!AH186+成本测算明细!AJ186)*#REF!)/Q47*10000</f>
        <v>#REF!</v>
      </c>
      <c r="R51" s="216">
        <f>((成本测算明细!J186-成本测算明细!J10)+(成本测算明细!AH186+成本测算明细!AJ186)*Y51)/R47*10000</f>
        <v>5536.63961636933</v>
      </c>
      <c r="S51" s="263" t="e">
        <f>Q51-Q51*0.9/1.09*0.09</f>
        <v>#REF!</v>
      </c>
      <c r="T51" s="263">
        <f>R51-R51*0.9/1.09*0.09</f>
        <v>5125.20125955656</v>
      </c>
      <c r="V51" s="267" t="s">
        <v>688</v>
      </c>
      <c r="W51" s="220">
        <f>C14/W47*10000</f>
        <v>3171.29281464056</v>
      </c>
      <c r="X51" s="220">
        <f>D14/X47*10000</f>
        <v>7347.52563493022</v>
      </c>
      <c r="Y51" s="292"/>
      <c r="Z51" s="291" t="s">
        <v>686</v>
      </c>
      <c r="AA51" s="267" t="s">
        <v>688</v>
      </c>
      <c r="AB51" s="220">
        <f t="shared" si="21"/>
        <v>3171.29281464056</v>
      </c>
      <c r="AC51" s="220">
        <f>C35</f>
        <v>3171.29281464056</v>
      </c>
      <c r="AD51" s="220"/>
      <c r="AE51" s="220">
        <f t="shared" ref="AE51:AE58" si="23">X51</f>
        <v>7347.52563493022</v>
      </c>
      <c r="AF51" s="220">
        <f>D35</f>
        <v>7347.52563493022</v>
      </c>
      <c r="AG51" s="220"/>
      <c r="AH51" s="220">
        <f>B35</f>
        <v>3159.90524466527</v>
      </c>
      <c r="AI51" s="306" t="s">
        <v>689</v>
      </c>
    </row>
    <row r="52" s="139" customFormat="1" ht="25" customHeight="1" spans="2:35">
      <c r="B52" s="221" t="s">
        <v>690</v>
      </c>
      <c r="C52" s="220">
        <f>成本测算明细!G19</f>
        <v>314.236728419931</v>
      </c>
      <c r="D52" s="220">
        <f>成本测算明细!I19</f>
        <v>373.995062097555</v>
      </c>
      <c r="E52" s="220"/>
      <c r="F52" s="220"/>
      <c r="G52" s="220"/>
      <c r="H52" s="220"/>
      <c r="I52" s="220"/>
      <c r="J52" s="220"/>
      <c r="K52" s="220"/>
      <c r="L52" s="220"/>
      <c r="M52" s="220"/>
      <c r="N52" s="220"/>
      <c r="O52" s="220">
        <f>成本测算明细!AG19</f>
        <v>338.771536294319</v>
      </c>
      <c r="P52" s="220">
        <f>成本测算明细!AI19</f>
        <v>313.771536294319</v>
      </c>
      <c r="Q52" s="266"/>
      <c r="R52" s="216"/>
      <c r="S52" s="263"/>
      <c r="T52" s="263"/>
      <c r="V52" s="267" t="s">
        <v>691</v>
      </c>
      <c r="W52" s="216">
        <f>(C15+(O15+P15)*X40)/W47*10000</f>
        <v>6910.62316900757</v>
      </c>
      <c r="X52" s="264">
        <f>(D15+(O15+P15)*X41)/X47*10000</f>
        <v>6782.55548397428</v>
      </c>
      <c r="Y52" s="292"/>
      <c r="Z52" s="291" t="s">
        <v>686</v>
      </c>
      <c r="AA52" s="267" t="s">
        <v>691</v>
      </c>
      <c r="AB52" s="216">
        <f t="shared" si="21"/>
        <v>6910.62316900757</v>
      </c>
      <c r="AC52" s="216">
        <f>C36</f>
        <v>5123.0878005529</v>
      </c>
      <c r="AD52" s="216">
        <f>(O15+P15)*X40/AD49*10000</f>
        <v>157556.255315744</v>
      </c>
      <c r="AE52" s="220">
        <f t="shared" si="23"/>
        <v>6782.55548397428</v>
      </c>
      <c r="AF52" s="220">
        <f>D36</f>
        <v>5536.63961636933</v>
      </c>
      <c r="AG52" s="264">
        <f>(O15+P15)*X41/AG49*10000</f>
        <v>157556.255315744</v>
      </c>
      <c r="AH52" s="264">
        <f>B36</f>
        <v>4702.92633659446</v>
      </c>
      <c r="AI52" s="307"/>
    </row>
    <row r="53" s="139" customFormat="1" ht="25" customHeight="1" spans="2:35">
      <c r="B53" s="221" t="s">
        <v>692</v>
      </c>
      <c r="C53" s="220">
        <f>成本测算明细!G72</f>
        <v>3999.44605700143</v>
      </c>
      <c r="D53" s="220">
        <f>成本测算明细!I72</f>
        <v>4360.71342088658</v>
      </c>
      <c r="E53" s="220"/>
      <c r="F53" s="220"/>
      <c r="G53" s="220"/>
      <c r="H53" s="220"/>
      <c r="I53" s="220"/>
      <c r="J53" s="220"/>
      <c r="K53" s="220"/>
      <c r="L53" s="220"/>
      <c r="M53" s="220"/>
      <c r="N53" s="220"/>
      <c r="O53" s="220">
        <f>成本测算明细!AG72</f>
        <v>3193.04318486374</v>
      </c>
      <c r="P53" s="220">
        <f>成本测算明细!AI72</f>
        <v>2773.04318486374</v>
      </c>
      <c r="Q53" s="266"/>
      <c r="R53" s="216"/>
      <c r="S53" s="263"/>
      <c r="T53" s="263"/>
      <c r="V53" s="268" t="s">
        <v>690</v>
      </c>
      <c r="W53" s="216">
        <f>(成本测算明细!H19+成本测算明细!AD19*X40)/W47*10000</f>
        <v>477.727975498059</v>
      </c>
      <c r="X53" s="264">
        <f>(成本测算明细!J19+成本测算明细!AD19*X41)/X47*10000</f>
        <v>487.948801164132</v>
      </c>
      <c r="Y53" s="292"/>
      <c r="Z53" s="291" t="s">
        <v>686</v>
      </c>
      <c r="AA53" s="268" t="s">
        <v>693</v>
      </c>
      <c r="AB53" s="216">
        <f t="shared" si="21"/>
        <v>477.727975498059</v>
      </c>
      <c r="AC53" s="216">
        <f>成本测算明细!G19</f>
        <v>314.236728419931</v>
      </c>
      <c r="AD53" s="216">
        <f>成本测算明细!AD19*X40/AD49*10000</f>
        <v>14410.3826537428</v>
      </c>
      <c r="AE53" s="220">
        <f t="shared" si="23"/>
        <v>487.948801164132</v>
      </c>
      <c r="AF53" s="220">
        <f>成本测算明细!I19</f>
        <v>373.995062097555</v>
      </c>
      <c r="AG53" s="264">
        <f>成本测算明细!AD19*X41/AG49*10000</f>
        <v>14410.3826537428</v>
      </c>
      <c r="AH53" s="264">
        <f>成本测算明细!D19/AH48*10000</f>
        <v>329.622671246254</v>
      </c>
      <c r="AI53" s="307" t="s">
        <v>694</v>
      </c>
    </row>
    <row r="54" s="139" customFormat="1" ht="25" customHeight="1" spans="2:35">
      <c r="B54" s="221" t="s">
        <v>695</v>
      </c>
      <c r="C54" s="220">
        <f>成本测算明细!G111+成本测算明细!G164+成本测算明细!G181</f>
        <v>809.40501513154</v>
      </c>
      <c r="D54" s="220">
        <f>成本测算明细!I111+成本测算明细!I164+成本测算明细!I181</f>
        <v>801.931133385192</v>
      </c>
      <c r="E54" s="220"/>
      <c r="F54" s="220"/>
      <c r="G54" s="220"/>
      <c r="H54" s="220"/>
      <c r="I54" s="220"/>
      <c r="J54" s="220"/>
      <c r="K54" s="220"/>
      <c r="L54" s="220"/>
      <c r="M54" s="220"/>
      <c r="N54" s="220"/>
      <c r="O54" s="220">
        <f>成本测算明细!AG111+成本测算明细!AG164+成本测算明细!AG181</f>
        <v>318.847475482833</v>
      </c>
      <c r="P54" s="220">
        <f>成本测算明细!AI111+成本测算明细!AI164+成本测算明细!AI181</f>
        <v>312.172475482833</v>
      </c>
      <c r="Q54" s="266"/>
      <c r="R54" s="216"/>
      <c r="S54" s="263"/>
      <c r="T54" s="263"/>
      <c r="V54" s="268" t="s">
        <v>692</v>
      </c>
      <c r="W54" s="216">
        <f>(成本测算明细!H72+成本测算明细!AD72*X40)/W47*10000</f>
        <v>5462.49098815458</v>
      </c>
      <c r="X54" s="264">
        <f>(成本测算明细!J72+成本测算明细!AD72*X41)/X47*10000</f>
        <v>5380.45877916643</v>
      </c>
      <c r="Y54" s="292"/>
      <c r="Z54" s="291" t="s">
        <v>686</v>
      </c>
      <c r="AA54" s="268" t="s">
        <v>692</v>
      </c>
      <c r="AB54" s="216">
        <f t="shared" si="21"/>
        <v>5462.49098815458</v>
      </c>
      <c r="AC54" s="216">
        <f>成本测算明细!G72</f>
        <v>3999.44605700143</v>
      </c>
      <c r="AD54" s="216">
        <f>成本测算明细!AD72*X40/AD49*10000</f>
        <v>128955.1439256</v>
      </c>
      <c r="AE54" s="220">
        <f t="shared" si="23"/>
        <v>5380.45877916643</v>
      </c>
      <c r="AF54" s="220">
        <f>成本测算明细!I72</f>
        <v>4360.71342088658</v>
      </c>
      <c r="AG54" s="264">
        <f>成本测算明细!AD72*X41/AG49*10000</f>
        <v>128955.1439256</v>
      </c>
      <c r="AH54" s="264">
        <f>成本测算明细!D72/AH48*10000</f>
        <v>3721.96173548869</v>
      </c>
      <c r="AI54" s="307"/>
    </row>
    <row r="55" s="139" customFormat="1" ht="25" customHeight="1" spans="2:35">
      <c r="B55" s="201" t="s">
        <v>696</v>
      </c>
      <c r="C55" s="220">
        <f t="shared" ref="C55:P55" si="24">C38</f>
        <v>1036.97121839754</v>
      </c>
      <c r="D55" s="220">
        <f t="shared" si="24"/>
        <v>646.884275944079</v>
      </c>
      <c r="E55" s="220" t="e">
        <f t="shared" si="24"/>
        <v>#DIV/0!</v>
      </c>
      <c r="F55" s="220" t="e">
        <f t="shared" si="24"/>
        <v>#DIV/0!</v>
      </c>
      <c r="G55" s="220" t="e">
        <f t="shared" si="24"/>
        <v>#DIV/0!</v>
      </c>
      <c r="H55" s="220" t="e">
        <f t="shared" si="24"/>
        <v>#DIV/0!</v>
      </c>
      <c r="I55" s="220" t="e">
        <f t="shared" si="24"/>
        <v>#DIV/0!</v>
      </c>
      <c r="J55" s="220" t="e">
        <f t="shared" si="24"/>
        <v>#DIV/0!</v>
      </c>
      <c r="K55" s="220" t="e">
        <f t="shared" si="24"/>
        <v>#DIV/0!</v>
      </c>
      <c r="L55" s="220" t="e">
        <f t="shared" si="24"/>
        <v>#DIV/0!</v>
      </c>
      <c r="M55" s="220" t="e">
        <f t="shared" si="24"/>
        <v>#DIV/0!</v>
      </c>
      <c r="N55" s="220" t="e">
        <f t="shared" si="24"/>
        <v>#DIV/0!</v>
      </c>
      <c r="O55" s="220">
        <f t="shared" si="24"/>
        <v>183.304054326602</v>
      </c>
      <c r="P55" s="220">
        <f t="shared" si="24"/>
        <v>209.990081557484</v>
      </c>
      <c r="Q55" s="216" t="e">
        <f>(成本测算明细!H190+(成本测算明细!AH190+成本测算明细!AJ190)*#REF!)/Q47*10000</f>
        <v>#REF!</v>
      </c>
      <c r="R55" s="216">
        <f>(成本测算明细!J190+(成本测算明细!AH190+成本测算明细!AJ190)*Y51)/R47*10000</f>
        <v>646.884275944079</v>
      </c>
      <c r="S55" s="263" t="e">
        <f>Q55-Q55*0.5/1.06*0.06</f>
        <v>#REF!</v>
      </c>
      <c r="T55" s="263">
        <f>R55-R55*0.5/1.06*0.06</f>
        <v>628.576230398492</v>
      </c>
      <c r="V55" s="268" t="s">
        <v>695</v>
      </c>
      <c r="W55" s="216">
        <f>(成本测算明细!H111+成本测算明细!H164+成本测算明细!H181+(成本测算明细!AD111+成本测算明细!AD164+成本测算明细!AD181)*X40)/W47*10000</f>
        <v>970.40420535493</v>
      </c>
      <c r="X55" s="264">
        <f>(成本测算明细!J111+成本测算明细!J164+成本测算明细!J181+(成本测算明细!AD111+成本测算明细!AD164+成本测算明细!AD181)*X41)/X47*10000</f>
        <v>914.147903643718</v>
      </c>
      <c r="Y55" s="292"/>
      <c r="Z55" s="291" t="s">
        <v>686</v>
      </c>
      <c r="AA55" s="268" t="s">
        <v>695</v>
      </c>
      <c r="AB55" s="216">
        <f t="shared" si="21"/>
        <v>970.40420535493</v>
      </c>
      <c r="AC55" s="216">
        <f>成本测算明细!G111+成本测算明细!G164+成本测算明细!G181</f>
        <v>809.40501513154</v>
      </c>
      <c r="AD55" s="216">
        <f>(成本测算明细!AD111+成本测算明细!AD164+成本测算明细!AD181)*X40/AD49*10000</f>
        <v>14190.7287364018</v>
      </c>
      <c r="AE55" s="220">
        <f t="shared" si="23"/>
        <v>914.147903643718</v>
      </c>
      <c r="AF55" s="220">
        <f>成本测算明细!I111+成本测算明细!I164+成本测算明细!I181</f>
        <v>801.931133385192</v>
      </c>
      <c r="AG55" s="264">
        <f>(成本测算明细!AD111+成本测算明细!AD164+成本测算明细!AD181)*X41/AG49*10000</f>
        <v>14190.7287364018</v>
      </c>
      <c r="AH55" s="264">
        <f>(成本测算明细!D111+成本测算明细!D164+成本测算明细!D181)/AH48*10000</f>
        <v>651.341929859515</v>
      </c>
      <c r="AI55" s="307"/>
    </row>
    <row r="56" s="139" customFormat="1" ht="34" customHeight="1" spans="2:35">
      <c r="B56" s="201" t="s">
        <v>697</v>
      </c>
      <c r="C56" s="220">
        <f t="shared" ref="C56:P56" si="25">C39</f>
        <v>488.447232467949</v>
      </c>
      <c r="D56" s="220">
        <f t="shared" si="25"/>
        <v>416.084679509734</v>
      </c>
      <c r="E56" s="220" t="e">
        <f t="shared" si="25"/>
        <v>#DIV/0!</v>
      </c>
      <c r="F56" s="220" t="e">
        <f t="shared" si="25"/>
        <v>#DIV/0!</v>
      </c>
      <c r="G56" s="220" t="e">
        <f t="shared" si="25"/>
        <v>#DIV/0!</v>
      </c>
      <c r="H56" s="220" t="e">
        <f t="shared" si="25"/>
        <v>#DIV/0!</v>
      </c>
      <c r="I56" s="220" t="e">
        <f t="shared" si="25"/>
        <v>#DIV/0!</v>
      </c>
      <c r="J56" s="220" t="e">
        <f t="shared" si="25"/>
        <v>#DIV/0!</v>
      </c>
      <c r="K56" s="220" t="e">
        <f t="shared" si="25"/>
        <v>#DIV/0!</v>
      </c>
      <c r="L56" s="220" t="e">
        <f t="shared" si="25"/>
        <v>#DIV/0!</v>
      </c>
      <c r="M56" s="220" t="e">
        <f t="shared" si="25"/>
        <v>#DIV/0!</v>
      </c>
      <c r="N56" s="220" t="e">
        <f t="shared" si="25"/>
        <v>#DIV/0!</v>
      </c>
      <c r="O56" s="220">
        <f t="shared" si="25"/>
        <v>72.6356704159149</v>
      </c>
      <c r="P56" s="220">
        <f t="shared" si="25"/>
        <v>62.034992694791</v>
      </c>
      <c r="Q56" s="216" t="e">
        <f>(税金计算表!S22+(税金计算表!S34+税金计算表!S35)*#REF!)/Q47*10000</f>
        <v>#REF!</v>
      </c>
      <c r="R56" s="216">
        <f>(税金计算表!S23+(税金计算表!S34+税金计算表!S35)*Y51)/R47*10000</f>
        <v>416.084679509734</v>
      </c>
      <c r="S56" s="263" t="e">
        <f>Q56</f>
        <v>#REF!</v>
      </c>
      <c r="T56" s="263">
        <f>R56</f>
        <v>416.084679509734</v>
      </c>
      <c r="U56" s="269"/>
      <c r="V56" s="270" t="s">
        <v>696</v>
      </c>
      <c r="W56" s="216">
        <f>(C17+(O17+P17)*X40)/W47*10000</f>
        <v>1142.42910616957</v>
      </c>
      <c r="X56" s="264">
        <f>(D17+(O17+P17)*X41)/X47*10000</f>
        <v>720.388642938988</v>
      </c>
      <c r="Y56" s="292"/>
      <c r="Z56" s="291" t="s">
        <v>686</v>
      </c>
      <c r="AA56" s="270" t="s">
        <v>696</v>
      </c>
      <c r="AB56" s="216">
        <f t="shared" si="21"/>
        <v>1142.42910616957</v>
      </c>
      <c r="AC56" s="216">
        <f>成本测算明细!G190</f>
        <v>1036.97121839754</v>
      </c>
      <c r="AD56" s="216">
        <f>(O17+P17)*X40/AD49*10000</f>
        <v>9295.22860587256</v>
      </c>
      <c r="AE56" s="220">
        <f t="shared" si="23"/>
        <v>720.388642938988</v>
      </c>
      <c r="AF56" s="220">
        <f>D38</f>
        <v>646.884275944079</v>
      </c>
      <c r="AG56" s="264">
        <f>(O17+P17)*X41/AG49*10000</f>
        <v>9295.22860587257</v>
      </c>
      <c r="AH56" s="264">
        <f>AH57+AH58+AH59</f>
        <v>682.644294141828</v>
      </c>
      <c r="AI56" s="306" t="s">
        <v>698</v>
      </c>
    </row>
    <row r="57" s="139" customFormat="1" ht="25" customHeight="1" spans="2:35">
      <c r="B57" s="201" t="s">
        <v>699</v>
      </c>
      <c r="C57" s="220">
        <f t="shared" ref="C57:P57" si="26">C41</f>
        <v>802.810420100742</v>
      </c>
      <c r="D57" s="220">
        <f t="shared" si="26"/>
        <v>-605.230075770927</v>
      </c>
      <c r="E57" s="220" t="e">
        <f t="shared" si="26"/>
        <v>#DIV/0!</v>
      </c>
      <c r="F57" s="220" t="e">
        <f t="shared" si="26"/>
        <v>#DIV/0!</v>
      </c>
      <c r="G57" s="220" t="e">
        <f t="shared" si="26"/>
        <v>#DIV/0!</v>
      </c>
      <c r="H57" s="220" t="e">
        <f t="shared" si="26"/>
        <v>#DIV/0!</v>
      </c>
      <c r="I57" s="220" t="e">
        <f t="shared" si="26"/>
        <v>#DIV/0!</v>
      </c>
      <c r="J57" s="220" t="e">
        <f t="shared" si="26"/>
        <v>#DIV/0!</v>
      </c>
      <c r="K57" s="220" t="e">
        <f t="shared" si="26"/>
        <v>#DIV/0!</v>
      </c>
      <c r="L57" s="220" t="e">
        <f t="shared" si="26"/>
        <v>#DIV/0!</v>
      </c>
      <c r="M57" s="220" t="e">
        <f t="shared" si="26"/>
        <v>#DIV/0!</v>
      </c>
      <c r="N57" s="220" t="e">
        <f t="shared" si="26"/>
        <v>#DIV/0!</v>
      </c>
      <c r="O57" s="220">
        <f t="shared" si="26"/>
        <v>-493.369062790906</v>
      </c>
      <c r="P57" s="220">
        <f t="shared" si="26"/>
        <v>-459.87311298129</v>
      </c>
      <c r="Q57" s="216" t="e">
        <f>(C20+(O20+P20)*#REF!)/Q47*10000</f>
        <v>#REF!</v>
      </c>
      <c r="R57" s="216">
        <f>(D20+(O20+P20)*Y51)/R47*10000</f>
        <v>-605.230075770927</v>
      </c>
      <c r="S57" s="263" t="e">
        <f>Q57</f>
        <v>#REF!</v>
      </c>
      <c r="T57" s="263">
        <f>R57</f>
        <v>-605.230075770927</v>
      </c>
      <c r="U57" s="269"/>
      <c r="V57" s="270" t="s">
        <v>697</v>
      </c>
      <c r="W57" s="216">
        <f>(C18+(O18+P18)*X40)/W47*10000</f>
        <v>521.286454879084</v>
      </c>
      <c r="X57" s="264">
        <f>(D18+(O18+P18)*X41)/X47*10000</f>
        <v>438.973685793964</v>
      </c>
      <c r="Y57" s="292"/>
      <c r="Z57" s="291" t="s">
        <v>686</v>
      </c>
      <c r="AA57" s="270" t="s">
        <v>700</v>
      </c>
      <c r="AB57" s="216">
        <f>(成本测算明细!H189+成本测算明细!AD189*X40)/AB48*10000</f>
        <v>288.152605771163</v>
      </c>
      <c r="AC57" s="216">
        <f>成本测算明细!G189</f>
        <v>270</v>
      </c>
      <c r="AD57" s="216">
        <f>成本测算明细!AD189*AA40/AD49*10000</f>
        <v>1600</v>
      </c>
      <c r="AE57" s="220">
        <f>(成本测算明细!J189+成本测算明细!AD189*X41)/AE48*10000</f>
        <v>242.652403956752</v>
      </c>
      <c r="AF57" s="220">
        <f>成本测算明细!I189</f>
        <v>230</v>
      </c>
      <c r="AG57" s="264">
        <f>成本测算明细!AD189*X41/AG49*10000</f>
        <v>1600</v>
      </c>
      <c r="AH57" s="264">
        <f>成本测算明细!D189/AH48*10000</f>
        <v>186.598870949938</v>
      </c>
      <c r="AI57" s="306"/>
    </row>
    <row r="58" s="139" customFormat="1" ht="25" customHeight="1" spans="1:35">
      <c r="A58" s="222"/>
      <c r="B58" s="218" t="s">
        <v>701</v>
      </c>
      <c r="C58" s="219">
        <f>C50+C51+C55+C56+C57</f>
        <v>10622.6094861597</v>
      </c>
      <c r="D58" s="219">
        <f t="shared" ref="D58:P58" si="27">D50+D51+D55+D56+D57</f>
        <v>13341.9041309824</v>
      </c>
      <c r="E58" s="219" t="e">
        <f t="shared" si="27"/>
        <v>#DIV/0!</v>
      </c>
      <c r="F58" s="219" t="e">
        <f t="shared" si="27"/>
        <v>#DIV/0!</v>
      </c>
      <c r="G58" s="219" t="e">
        <f t="shared" si="27"/>
        <v>#DIV/0!</v>
      </c>
      <c r="H58" s="219" t="e">
        <f t="shared" si="27"/>
        <v>#DIV/0!</v>
      </c>
      <c r="I58" s="219" t="e">
        <f t="shared" si="27"/>
        <v>#DIV/0!</v>
      </c>
      <c r="J58" s="219" t="e">
        <f t="shared" si="27"/>
        <v>#DIV/0!</v>
      </c>
      <c r="K58" s="219" t="e">
        <f t="shared" si="27"/>
        <v>#DIV/0!</v>
      </c>
      <c r="L58" s="219" t="e">
        <f t="shared" si="27"/>
        <v>#DIV/0!</v>
      </c>
      <c r="M58" s="219" t="e">
        <f t="shared" si="27"/>
        <v>#DIV/0!</v>
      </c>
      <c r="N58" s="219" t="e">
        <f t="shared" si="27"/>
        <v>#DIV/0!</v>
      </c>
      <c r="O58" s="219">
        <f t="shared" si="27"/>
        <v>3613.2328585925</v>
      </c>
      <c r="P58" s="219">
        <f t="shared" si="27"/>
        <v>3211.13915791188</v>
      </c>
      <c r="Q58" s="219" t="e">
        <f>SUM(Q50:Q57)</f>
        <v>#REF!</v>
      </c>
      <c r="R58" s="219">
        <f>SUM(R50:R57)</f>
        <v>13341.9041309824</v>
      </c>
      <c r="S58" s="263" t="e">
        <f>SUM(S50:S57)</f>
        <v>#REF!</v>
      </c>
      <c r="T58" s="263">
        <f>SUM(T50:T57)</f>
        <v>12366.1489429091</v>
      </c>
      <c r="U58" s="239"/>
      <c r="V58" s="267" t="s">
        <v>699</v>
      </c>
      <c r="W58" s="216">
        <f>(C20+(O20+P20)*X40)/W47*10000</f>
        <v>563.479348549584</v>
      </c>
      <c r="X58" s="264">
        <f>(D20+(O20+P20)*X41)/X47*10000</f>
        <v>-772.044330145242</v>
      </c>
      <c r="Y58" s="292"/>
      <c r="Z58" s="291" t="s">
        <v>686</v>
      </c>
      <c r="AA58" s="270" t="s">
        <v>702</v>
      </c>
      <c r="AB58" s="216">
        <f>(成本测算明细!H188+成本测算明细!AD188*X40)/AB48*10000</f>
        <v>425.851465692334</v>
      </c>
      <c r="AC58" s="216">
        <f>成本测算明细!G188</f>
        <v>405</v>
      </c>
      <c r="AD58" s="216">
        <f>成本测算明细!AD188*X40/AD49*10000</f>
        <v>1837.88187372709</v>
      </c>
      <c r="AE58" s="220">
        <f>(成本测算明细!J188+成本测算明细!AD188*X41)/AE48*10000</f>
        <v>54.0722772968412</v>
      </c>
      <c r="AF58" s="220">
        <f>成本测算明细!I188</f>
        <v>39.5387623648493</v>
      </c>
      <c r="AG58" s="264">
        <f>成本测算明细!AD188*X41/AG49*10000</f>
        <v>1837.88187372709</v>
      </c>
      <c r="AH58" s="264">
        <f>成本测算明细!D188/AH48*10000</f>
        <v>203.735030465137</v>
      </c>
      <c r="AI58" s="306"/>
    </row>
    <row r="59" s="139" customFormat="1" ht="25" customHeight="1" spans="2:35">
      <c r="B59" s="215" t="s">
        <v>703</v>
      </c>
      <c r="C59" s="216">
        <f>C49-C58</f>
        <v>2877.3905138403</v>
      </c>
      <c r="D59" s="216">
        <f t="shared" ref="D59:T59" si="28">D49-D58</f>
        <v>-1841.90413098244</v>
      </c>
      <c r="E59" s="216" t="e">
        <f t="shared" si="28"/>
        <v>#DIV/0!</v>
      </c>
      <c r="F59" s="216" t="e">
        <f t="shared" si="28"/>
        <v>#DIV/0!</v>
      </c>
      <c r="G59" s="216" t="e">
        <f t="shared" si="28"/>
        <v>#DIV/0!</v>
      </c>
      <c r="H59" s="216" t="e">
        <f t="shared" si="28"/>
        <v>#DIV/0!</v>
      </c>
      <c r="I59" s="216" t="e">
        <f t="shared" si="28"/>
        <v>#DIV/0!</v>
      </c>
      <c r="J59" s="216" t="e">
        <f t="shared" si="28"/>
        <v>#DIV/0!</v>
      </c>
      <c r="K59" s="216" t="e">
        <f t="shared" si="28"/>
        <v>#DIV/0!</v>
      </c>
      <c r="L59" s="216" t="e">
        <f t="shared" si="28"/>
        <v>#DIV/0!</v>
      </c>
      <c r="M59" s="216" t="e">
        <f t="shared" si="28"/>
        <v>#DIV/0!</v>
      </c>
      <c r="N59" s="216" t="e">
        <f t="shared" si="28"/>
        <v>#DIV/0!</v>
      </c>
      <c r="O59" s="216">
        <f t="shared" si="28"/>
        <v>-1605.68427312847</v>
      </c>
      <c r="P59" s="216">
        <f t="shared" si="28"/>
        <v>-1496.57851407686</v>
      </c>
      <c r="Q59" s="216" t="e">
        <f t="shared" si="28"/>
        <v>#REF!</v>
      </c>
      <c r="R59" s="216">
        <f t="shared" si="28"/>
        <v>-1841.90413098244</v>
      </c>
      <c r="S59" s="263" t="e">
        <f t="shared" si="28"/>
        <v>#REF!</v>
      </c>
      <c r="T59" s="263">
        <f t="shared" si="28"/>
        <v>-1815.69022731278</v>
      </c>
      <c r="V59" s="218" t="s">
        <v>701</v>
      </c>
      <c r="W59" s="219">
        <f>W51+W52+W56+W57+W58</f>
        <v>12309.1108932464</v>
      </c>
      <c r="X59" s="219">
        <f>X51+X52+X56+X57+X58</f>
        <v>14517.3991174922</v>
      </c>
      <c r="Y59" s="293"/>
      <c r="Z59" s="291" t="s">
        <v>686</v>
      </c>
      <c r="AA59" s="270" t="s">
        <v>704</v>
      </c>
      <c r="AB59" s="216">
        <f>(AF79+AF81*X40)/AB48*10000</f>
        <v>371.643925895793</v>
      </c>
      <c r="AC59" s="216">
        <f>AF79/AC48*10000</f>
        <v>313.997534618486</v>
      </c>
      <c r="AD59" s="216">
        <f>AF81*X40/AD49*10000</f>
        <v>5081.04606062736</v>
      </c>
      <c r="AE59" s="220">
        <f>(AF80+AF81*X41)/AE48*10000</f>
        <v>531.300187165752</v>
      </c>
      <c r="AF59" s="220">
        <f>AF80/AF48*10000</f>
        <v>491.120532614552</v>
      </c>
      <c r="AG59" s="264">
        <f>AF81*X41/AG49*10000</f>
        <v>5081.04606062736</v>
      </c>
      <c r="AH59" s="264">
        <f>成本测算明细!D187/AH48*10000</f>
        <v>292.310392726753</v>
      </c>
      <c r="AI59" s="306"/>
    </row>
    <row r="60" s="139" customFormat="1" ht="25" customHeight="1" spans="2:35">
      <c r="B60" s="215" t="s">
        <v>705</v>
      </c>
      <c r="C60" s="216">
        <f>C42</f>
        <v>2408.43126030223</v>
      </c>
      <c r="D60" s="216">
        <f t="shared" ref="D60:P60" si="29">D42</f>
        <v>-1815.69022731278</v>
      </c>
      <c r="E60" s="216" t="e">
        <f t="shared" si="29"/>
        <v>#DIV/0!</v>
      </c>
      <c r="F60" s="216" t="e">
        <f t="shared" si="29"/>
        <v>#DIV/0!</v>
      </c>
      <c r="G60" s="216" t="e">
        <f t="shared" si="29"/>
        <v>#DIV/0!</v>
      </c>
      <c r="H60" s="216" t="e">
        <f t="shared" si="29"/>
        <v>#DIV/0!</v>
      </c>
      <c r="I60" s="216" t="e">
        <f t="shared" si="29"/>
        <v>#DIV/0!</v>
      </c>
      <c r="J60" s="216" t="e">
        <f t="shared" si="29"/>
        <v>#DIV/0!</v>
      </c>
      <c r="K60" s="216" t="e">
        <f t="shared" si="29"/>
        <v>#DIV/0!</v>
      </c>
      <c r="L60" s="216" t="e">
        <f t="shared" si="29"/>
        <v>#DIV/0!</v>
      </c>
      <c r="M60" s="216" t="e">
        <f t="shared" si="29"/>
        <v>#DIV/0!</v>
      </c>
      <c r="N60" s="216" t="e">
        <f t="shared" si="29"/>
        <v>#DIV/0!</v>
      </c>
      <c r="O60" s="216">
        <f t="shared" si="29"/>
        <v>-1480.10718837272</v>
      </c>
      <c r="P60" s="216">
        <f t="shared" si="29"/>
        <v>-1379.61933894387</v>
      </c>
      <c r="Q60" s="216"/>
      <c r="R60" s="216"/>
      <c r="S60" s="271"/>
      <c r="T60" s="271"/>
      <c r="V60" s="215" t="s">
        <v>706</v>
      </c>
      <c r="W60" s="216">
        <f>W50-W59</f>
        <v>2098.51939531183</v>
      </c>
      <c r="X60" s="216">
        <f>X50-X59</f>
        <v>-2384.77891965461</v>
      </c>
      <c r="Y60" s="292"/>
      <c r="Z60" s="291" t="s">
        <v>686</v>
      </c>
      <c r="AA60" s="294" t="s">
        <v>707</v>
      </c>
      <c r="AB60" s="280">
        <f>AB57+AB58+AB59</f>
        <v>1085.64799735929</v>
      </c>
      <c r="AC60" s="280">
        <f t="shared" ref="AB60:AG60" si="30">AC57+AC58+AC59</f>
        <v>988.997534618486</v>
      </c>
      <c r="AD60" s="280">
        <f t="shared" si="30"/>
        <v>8518.92793435445</v>
      </c>
      <c r="AE60" s="280">
        <f t="shared" si="30"/>
        <v>828.024868419345</v>
      </c>
      <c r="AF60" s="280">
        <f t="shared" si="30"/>
        <v>760.659294979401</v>
      </c>
      <c r="AG60" s="280">
        <f t="shared" si="30"/>
        <v>8518.92793435445</v>
      </c>
      <c r="AH60" s="280">
        <f>AH56</f>
        <v>682.644294141828</v>
      </c>
      <c r="AI60" s="308"/>
    </row>
    <row r="61" ht="25" customHeight="1" spans="2:35">
      <c r="B61" s="223" t="s">
        <v>5</v>
      </c>
      <c r="C61" s="140"/>
      <c r="D61" s="140"/>
      <c r="E61" s="140"/>
      <c r="F61" s="140"/>
      <c r="G61" s="140"/>
      <c r="H61" s="140"/>
      <c r="I61" s="140"/>
      <c r="J61" s="140"/>
      <c r="K61" s="140"/>
      <c r="L61" s="140"/>
      <c r="M61" s="140"/>
      <c r="N61" s="140"/>
      <c r="O61" s="223" t="s">
        <v>708</v>
      </c>
      <c r="P61" s="223"/>
      <c r="Q61" s="272" t="s">
        <v>608</v>
      </c>
      <c r="R61" s="272" t="s">
        <v>608</v>
      </c>
      <c r="V61" s="215" t="s">
        <v>709</v>
      </c>
      <c r="W61" s="273">
        <f>W60-(W50/1.09*0.09-(W51+W52)*0.9/1.09*0.09-W56*0.5/1.06*0.06)</f>
        <v>1690.43804564879</v>
      </c>
      <c r="X61" s="273">
        <f>X60-(X50/1.09*0.09-(X51+X52)*0.9/1.09*0.09-X56*0.5/1.06*0.06)</f>
        <v>-2316.13299043569</v>
      </c>
      <c r="Y61" s="292"/>
      <c r="Z61" s="291" t="s">
        <v>686</v>
      </c>
      <c r="AA61" s="270" t="s">
        <v>697</v>
      </c>
      <c r="AB61" s="216">
        <f>W57</f>
        <v>521.286454879084</v>
      </c>
      <c r="AC61" s="216">
        <f>C39</f>
        <v>488.447232467949</v>
      </c>
      <c r="AD61" s="216">
        <f>(O18+P18)*X40/AD49*10000</f>
        <v>2894.50211832859</v>
      </c>
      <c r="AE61" s="220">
        <f>X57</f>
        <v>438.973685793964</v>
      </c>
      <c r="AF61" s="220">
        <f>D39</f>
        <v>416.084679509734</v>
      </c>
      <c r="AG61" s="264">
        <f>(O18+P18)*X41/AG49*10000</f>
        <v>2894.50211832859</v>
      </c>
      <c r="AH61" s="264">
        <f>B39</f>
        <v>337.569267026449</v>
      </c>
      <c r="AI61" s="307"/>
    </row>
    <row r="62" ht="25" customHeight="1" spans="2:35">
      <c r="B62" t="s">
        <v>710</v>
      </c>
      <c r="C62" s="138">
        <f>C49/1.09*0.09-(C50+C51)*0.9/1.09*0.09-C55*0.5/1.06*0.06</f>
        <v>468.959253538073</v>
      </c>
      <c r="D62" s="138">
        <f t="shared" ref="D62:P62" si="31">D49/1.09*0.09-(D50+D51)*0.9/1.09*0.09-D55*0.5/1.06*0.06</f>
        <v>-26.2139036696821</v>
      </c>
      <c r="E62" s="138" t="e">
        <f t="shared" si="31"/>
        <v>#DIV/0!</v>
      </c>
      <c r="F62" s="138" t="e">
        <f t="shared" si="31"/>
        <v>#DIV/0!</v>
      </c>
      <c r="G62" s="138" t="e">
        <f t="shared" si="31"/>
        <v>#DIV/0!</v>
      </c>
      <c r="H62" s="138" t="e">
        <f t="shared" si="31"/>
        <v>#DIV/0!</v>
      </c>
      <c r="I62" s="138" t="e">
        <f t="shared" si="31"/>
        <v>#DIV/0!</v>
      </c>
      <c r="J62" s="138" t="e">
        <f t="shared" si="31"/>
        <v>#DIV/0!</v>
      </c>
      <c r="K62" s="138" t="e">
        <f t="shared" si="31"/>
        <v>#DIV/0!</v>
      </c>
      <c r="L62" s="138" t="e">
        <f t="shared" si="31"/>
        <v>#DIV/0!</v>
      </c>
      <c r="M62" s="138" t="e">
        <f t="shared" si="31"/>
        <v>#DIV/0!</v>
      </c>
      <c r="N62" s="138" t="e">
        <f t="shared" si="31"/>
        <v>#DIV/0!</v>
      </c>
      <c r="O62" s="138">
        <f t="shared" si="31"/>
        <v>-125.577084755754</v>
      </c>
      <c r="P62" s="138">
        <f t="shared" si="31"/>
        <v>-116.959175132989</v>
      </c>
      <c r="R62"/>
      <c r="V62" s="218" t="s">
        <v>711</v>
      </c>
      <c r="W62" s="274">
        <f>W61*W47/10000</f>
        <v>5349.02606083773</v>
      </c>
      <c r="X62" s="274">
        <f>X61*X47/10000</f>
        <v>-3866.2003620188</v>
      </c>
      <c r="Y62" s="293">
        <f>SUM(W62:X62)</f>
        <v>1482.82569881894</v>
      </c>
      <c r="Z62" s="139" t="s">
        <v>56</v>
      </c>
      <c r="AA62" s="267" t="s">
        <v>699</v>
      </c>
      <c r="AB62" s="216">
        <f>W58</f>
        <v>563.479348549584</v>
      </c>
      <c r="AC62" s="216">
        <f>C41</f>
        <v>802.810420100742</v>
      </c>
      <c r="AD62" s="216">
        <f>(O20+P20)*X40/AD49*10000</f>
        <v>-21095.0273095316</v>
      </c>
      <c r="AE62" s="220">
        <f>X58</f>
        <v>-772.044330145242</v>
      </c>
      <c r="AF62" s="220">
        <f>D41</f>
        <v>-605.230075770927</v>
      </c>
      <c r="AG62" s="264">
        <f>(O20+P20)*X41/AG49*10000</f>
        <v>-21095.0273095316</v>
      </c>
      <c r="AH62" s="264">
        <f>B41</f>
        <v>70.0395946794996</v>
      </c>
      <c r="AI62" s="307"/>
    </row>
    <row r="63" ht="25" customHeight="1" spans="2:35">
      <c r="B63" t="s">
        <v>712</v>
      </c>
      <c r="C63" s="138">
        <f>C59-C60-C62</f>
        <v>5.11590769747272e-12</v>
      </c>
      <c r="D63" s="138">
        <f t="shared" ref="D63:P63" si="32">D59-D60-D62</f>
        <v>2.62829757957661e-11</v>
      </c>
      <c r="E63" s="138" t="e">
        <f t="shared" si="32"/>
        <v>#DIV/0!</v>
      </c>
      <c r="F63" s="138" t="e">
        <f t="shared" si="32"/>
        <v>#DIV/0!</v>
      </c>
      <c r="G63" s="138" t="e">
        <f t="shared" si="32"/>
        <v>#DIV/0!</v>
      </c>
      <c r="H63" s="138" t="e">
        <f t="shared" si="32"/>
        <v>#DIV/0!</v>
      </c>
      <c r="I63" s="138" t="e">
        <f t="shared" si="32"/>
        <v>#DIV/0!</v>
      </c>
      <c r="J63" s="138" t="e">
        <f t="shared" si="32"/>
        <v>#DIV/0!</v>
      </c>
      <c r="K63" s="138" t="e">
        <f t="shared" si="32"/>
        <v>#DIV/0!</v>
      </c>
      <c r="L63" s="138" t="e">
        <f t="shared" si="32"/>
        <v>#DIV/0!</v>
      </c>
      <c r="M63" s="138" t="e">
        <f t="shared" si="32"/>
        <v>#DIV/0!</v>
      </c>
      <c r="N63" s="138" t="e">
        <f t="shared" si="32"/>
        <v>#DIV/0!</v>
      </c>
      <c r="O63" s="138">
        <f t="shared" si="32"/>
        <v>-1.4495071809506e-12</v>
      </c>
      <c r="P63" s="138">
        <f t="shared" si="32"/>
        <v>2.40163444686914e-12</v>
      </c>
      <c r="R63"/>
      <c r="V63" s="218" t="s">
        <v>37</v>
      </c>
      <c r="W63" s="275">
        <f>W61/(W50/1.09)</f>
        <v>0.127889002761298</v>
      </c>
      <c r="X63" s="275">
        <f>X61/(X50/1.09)</f>
        <v>-0.208082419000049</v>
      </c>
      <c r="Y63" s="293"/>
      <c r="AA63" s="218" t="s">
        <v>701</v>
      </c>
      <c r="AB63" s="219">
        <f t="shared" ref="AB63:AG63" si="33">AB51+AB52+AB56+AB61+AB62</f>
        <v>12309.1108932464</v>
      </c>
      <c r="AC63" s="219">
        <f t="shared" si="33"/>
        <v>10622.6094861597</v>
      </c>
      <c r="AD63" s="219">
        <f t="shared" si="33"/>
        <v>148650.958730414</v>
      </c>
      <c r="AE63" s="219">
        <f t="shared" si="33"/>
        <v>14517.3991174922</v>
      </c>
      <c r="AF63" s="219">
        <f t="shared" si="33"/>
        <v>13341.9041309824</v>
      </c>
      <c r="AG63" s="219">
        <f t="shared" si="33"/>
        <v>148650.958730414</v>
      </c>
      <c r="AH63" s="219">
        <f>AH51+AH52+AH56+AH62+AH61</f>
        <v>8953.08473710751</v>
      </c>
      <c r="AI63" s="309"/>
    </row>
    <row r="64" ht="25" customHeight="1" spans="3:35">
      <c r="C64" s="138"/>
      <c r="D64" s="138"/>
      <c r="E64" s="138"/>
      <c r="F64" s="138"/>
      <c r="G64" s="138"/>
      <c r="H64" s="138"/>
      <c r="I64" s="138"/>
      <c r="J64" s="138"/>
      <c r="K64" s="138"/>
      <c r="L64" s="138"/>
      <c r="M64" s="138"/>
      <c r="N64" s="138"/>
      <c r="O64" s="138"/>
      <c r="P64" s="138"/>
      <c r="R64"/>
      <c r="U64" s="276" t="s">
        <v>712</v>
      </c>
      <c r="V64" s="277"/>
      <c r="W64" s="278"/>
      <c r="X64" s="278"/>
      <c r="Y64" s="295"/>
      <c r="AA64" s="215" t="s">
        <v>706</v>
      </c>
      <c r="AB64" s="216">
        <f>AB50-AB63</f>
        <v>2098.51939531183</v>
      </c>
      <c r="AC64" s="216">
        <f t="shared" ref="AB64:AH64" si="34">AC50-AC63</f>
        <v>2877.3905138403</v>
      </c>
      <c r="AD64" s="216">
        <f t="shared" si="34"/>
        <v>-68650.9587304136</v>
      </c>
      <c r="AE64" s="216">
        <f t="shared" si="34"/>
        <v>-2384.77891965461</v>
      </c>
      <c r="AF64" s="216">
        <f t="shared" si="34"/>
        <v>-1841.90413098244</v>
      </c>
      <c r="AG64" s="216">
        <f t="shared" si="34"/>
        <v>-68650.9587304135</v>
      </c>
      <c r="AH64" s="216">
        <f t="shared" si="34"/>
        <v>376.858810389385</v>
      </c>
      <c r="AI64" s="307"/>
    </row>
    <row r="65" ht="25" customHeight="1" spans="3:35">
      <c r="C65" s="138"/>
      <c r="D65" s="138"/>
      <c r="E65" s="138"/>
      <c r="F65" s="138"/>
      <c r="G65" s="138"/>
      <c r="H65" s="138"/>
      <c r="I65" s="138"/>
      <c r="J65" s="138"/>
      <c r="K65" s="138"/>
      <c r="L65" s="138"/>
      <c r="M65" s="138"/>
      <c r="N65" s="138"/>
      <c r="O65" s="138"/>
      <c r="P65" s="138"/>
      <c r="R65"/>
      <c r="V65" s="315"/>
      <c r="W65" s="291"/>
      <c r="X65" s="291"/>
      <c r="Y65" s="316"/>
      <c r="Z65" s="317"/>
      <c r="AA65" s="215" t="s">
        <v>709</v>
      </c>
      <c r="AB65" s="273">
        <f>AB64-(AB50/1.09*0.09-(AB51+AB52)*0.9/1.09*0.09-AB56*0.5/1.06*0.06)</f>
        <v>1690.43804564879</v>
      </c>
      <c r="AC65" s="273">
        <f>AC64-(AC50/1.09*0.09-(AC51+AC52)*0.9/1.09*0.09-AC56*0.5/1.06*0.06)</f>
        <v>2408.43126030223</v>
      </c>
      <c r="AD65" s="273">
        <f t="shared" ref="AB65:AH65" si="35">AD64-(AD50/1.09*0.09-(AD51+AD52)*0.9/1.09*0.09-AD56*0.5/1.06*0.06)</f>
        <v>-63285.0819285945</v>
      </c>
      <c r="AE65" s="273">
        <f t="shared" si="35"/>
        <v>-2316.13299043569</v>
      </c>
      <c r="AF65" s="273">
        <f t="shared" si="35"/>
        <v>-1815.69022731275</v>
      </c>
      <c r="AG65" s="273">
        <f t="shared" si="35"/>
        <v>-63285.0819285944</v>
      </c>
      <c r="AH65" s="273">
        <f t="shared" si="35"/>
        <v>210.118784038507</v>
      </c>
      <c r="AI65" s="307"/>
    </row>
    <row r="66" ht="25" customHeight="1" spans="3:35">
      <c r="C66" s="138"/>
      <c r="O66" s="314"/>
      <c r="P66" s="314"/>
      <c r="R66"/>
      <c r="V66" s="139" t="s">
        <v>713</v>
      </c>
      <c r="W66" s="239">
        <f>C21+(O21+P21)*X40</f>
        <v>5349.02606083762</v>
      </c>
      <c r="X66" s="239">
        <f>D21+(O21+P21)*X41</f>
        <v>-3866.20036201885</v>
      </c>
      <c r="Y66" s="138">
        <f>SUM(W66:X66)</f>
        <v>1482.82569881876</v>
      </c>
      <c r="AA66" s="218" t="s">
        <v>711</v>
      </c>
      <c r="AB66" s="318">
        <f>AB65*AB48/10000</f>
        <v>5349.02606083773</v>
      </c>
      <c r="AC66" s="274">
        <f>AC65*AC48/10000</f>
        <v>7620.96050207418</v>
      </c>
      <c r="AD66" s="274">
        <f>AD65*AD49/10000</f>
        <v>-2271.93444123654</v>
      </c>
      <c r="AE66" s="318">
        <f>AE65*AE48/10000</f>
        <v>-3866.2003620188</v>
      </c>
      <c r="AF66" s="274">
        <f>AF65*AF48/10000</f>
        <v>-3030.83728056136</v>
      </c>
      <c r="AG66" s="274">
        <f>AG65*AG49/10000</f>
        <v>-835.363081457446</v>
      </c>
      <c r="AH66" s="274">
        <f>AH65*AH48/10000</f>
        <v>1482.82569881882</v>
      </c>
      <c r="AI66" s="309">
        <f>AB66+AE66</f>
        <v>1482.82569881894</v>
      </c>
    </row>
    <row r="67" ht="25" customHeight="1" spans="3:35">
      <c r="C67" s="138"/>
      <c r="O67" s="314"/>
      <c r="P67" s="314"/>
      <c r="R67"/>
      <c r="V67" s="139" t="s">
        <v>714</v>
      </c>
      <c r="W67" s="239">
        <f>W66/W47*10000</f>
        <v>1690.43804564875</v>
      </c>
      <c r="X67" s="239">
        <f>X66/X47*10000</f>
        <v>-2316.13299043573</v>
      </c>
      <c r="AA67" s="218" t="s">
        <v>37</v>
      </c>
      <c r="AB67" s="319">
        <f>AB65/(AB50/1.09)</f>
        <v>0.127889002761298</v>
      </c>
      <c r="AC67" s="275">
        <f t="shared" ref="AB67:AH67" si="36">AC65/(AC50/1.09)</f>
        <v>0.194458523979958</v>
      </c>
      <c r="AD67" s="275">
        <f t="shared" si="36"/>
        <v>-0.8622592412771</v>
      </c>
      <c r="AE67" s="319">
        <f t="shared" si="36"/>
        <v>-0.208082419000049</v>
      </c>
      <c r="AF67" s="275">
        <f t="shared" si="36"/>
        <v>-0.172095856327904</v>
      </c>
      <c r="AG67" s="275">
        <f t="shared" si="36"/>
        <v>-0.862259241277099</v>
      </c>
      <c r="AH67" s="275">
        <f t="shared" si="36"/>
        <v>0.0245477878227267</v>
      </c>
      <c r="AI67" s="309"/>
    </row>
    <row r="68" ht="25" customHeight="1" spans="15:35">
      <c r="O68" s="314"/>
      <c r="P68" s="314"/>
      <c r="R68"/>
      <c r="AA68" s="320" t="s">
        <v>715</v>
      </c>
      <c r="AB68" s="321">
        <f>AB51+AB52+AB60+AB61+AB62</f>
        <v>12252.3297844361</v>
      </c>
      <c r="AC68" s="321">
        <f t="shared" ref="AB68:AH68" si="37">AC51+AC52+AC60+AC61+AC62</f>
        <v>10574.6358023806</v>
      </c>
      <c r="AD68" s="321">
        <f t="shared" si="37"/>
        <v>147874.658058895</v>
      </c>
      <c r="AE68" s="321">
        <f t="shared" si="37"/>
        <v>14625.0353429726</v>
      </c>
      <c r="AF68" s="321">
        <f t="shared" si="37"/>
        <v>13455.6791500178</v>
      </c>
      <c r="AG68" s="321">
        <f t="shared" si="37"/>
        <v>147874.658058895</v>
      </c>
      <c r="AH68" s="321">
        <f t="shared" si="37"/>
        <v>8953.08473710751</v>
      </c>
      <c r="AI68" s="329"/>
    </row>
    <row r="69" ht="25" customHeight="1" spans="15:35">
      <c r="O69" s="314"/>
      <c r="P69" s="314"/>
      <c r="R69"/>
      <c r="V69" s="139" t="s">
        <v>716</v>
      </c>
      <c r="W69" s="239">
        <f>W50/1.09*0.09</f>
        <v>1189.62084951398</v>
      </c>
      <c r="X69" s="239">
        <f>X50/1.09*0.09</f>
        <v>1001.77597963797</v>
      </c>
      <c r="AA69" s="320" t="s">
        <v>706</v>
      </c>
      <c r="AB69" s="321">
        <f t="shared" ref="AB69:AG69" si="38">AB50-AB68</f>
        <v>2155.30050412211</v>
      </c>
      <c r="AC69" s="321">
        <f t="shared" si="38"/>
        <v>2925.36419761936</v>
      </c>
      <c r="AD69" s="321">
        <f t="shared" si="38"/>
        <v>-67874.6580588954</v>
      </c>
      <c r="AE69" s="321">
        <f t="shared" si="38"/>
        <v>-2492.41514513497</v>
      </c>
      <c r="AF69" s="321">
        <f t="shared" si="38"/>
        <v>-1955.67915001776</v>
      </c>
      <c r="AG69" s="321">
        <f t="shared" si="38"/>
        <v>-67874.6580588954</v>
      </c>
      <c r="AH69" s="321">
        <f>AH64</f>
        <v>376.858810389385</v>
      </c>
      <c r="AI69" s="329"/>
    </row>
    <row r="70" ht="25" customHeight="1" spans="15:35">
      <c r="O70" s="314"/>
      <c r="P70" s="314"/>
      <c r="R70"/>
      <c r="V70" s="139" t="s">
        <v>717</v>
      </c>
      <c r="W70" s="239">
        <f>(W51+W52)*0.9/1.09*0.09</f>
        <v>749.206600619723</v>
      </c>
      <c r="X70" s="239">
        <f>(X51+X52)*0.9/1.09*0.09</f>
        <v>1050.03355103786</v>
      </c>
      <c r="AA70" s="320" t="s">
        <v>709</v>
      </c>
      <c r="AB70" s="321">
        <f t="shared" ref="AB70:AG70" si="39">AB69-(AB50/1.09*0.09-(AB51+AB52)*0.9/1.09*0.09-AB60*0.5/1.06*0.06)</f>
        <v>1745.61214194557</v>
      </c>
      <c r="AC70" s="321">
        <f t="shared" si="39"/>
        <v>2455.04719831396</v>
      </c>
      <c r="AD70" s="321">
        <f t="shared" si="39"/>
        <v>-62530.7520307985</v>
      </c>
      <c r="AE70" s="321">
        <f t="shared" si="39"/>
        <v>-2420.72290764774</v>
      </c>
      <c r="AF70" s="321">
        <f t="shared" si="39"/>
        <v>-1926.24519863953</v>
      </c>
      <c r="AG70" s="321">
        <f t="shared" si="39"/>
        <v>-62530.7520307985</v>
      </c>
      <c r="AH70" s="321">
        <f>AH65</f>
        <v>210.118784038507</v>
      </c>
      <c r="AI70" s="329"/>
    </row>
    <row r="71" ht="25" customHeight="1" spans="3:35">
      <c r="C71" s="138"/>
      <c r="D71" s="138"/>
      <c r="E71" s="138"/>
      <c r="F71" s="138"/>
      <c r="G71" s="138"/>
      <c r="H71" s="138"/>
      <c r="I71" s="138"/>
      <c r="J71" s="138"/>
      <c r="K71" s="138"/>
      <c r="L71" s="138"/>
      <c r="M71" s="138"/>
      <c r="N71" s="138"/>
      <c r="O71" s="138"/>
      <c r="P71" s="138"/>
      <c r="Q71" s="138"/>
      <c r="V71" s="139" t="s">
        <v>718</v>
      </c>
      <c r="W71" s="239">
        <f>W56*0.5/1.06*0.06</f>
        <v>32.3328992312143</v>
      </c>
      <c r="X71" s="239">
        <f>X56*0.5/1.06*0.06</f>
        <v>20.388357819028</v>
      </c>
      <c r="AA71" s="320" t="s">
        <v>711</v>
      </c>
      <c r="AB71" s="322">
        <f>AB70*AB48/10000</f>
        <v>5523.6125709641</v>
      </c>
      <c r="AC71" s="322">
        <f>AC70*AC48/10000</f>
        <v>7768.46656886968</v>
      </c>
      <c r="AD71" s="322">
        <f>AD70*AD49/10000</f>
        <v>-2244.85399790567</v>
      </c>
      <c r="AE71" s="321">
        <f>AE70*AE48/10000</f>
        <v>-4040.78687214517</v>
      </c>
      <c r="AF71" s="321">
        <f>AF70*AF48/10000</f>
        <v>-3215.38094533864</v>
      </c>
      <c r="AG71" s="322">
        <f>AG70*AG49/10000</f>
        <v>-825.40592680654</v>
      </c>
      <c r="AH71" s="321">
        <f>AH66</f>
        <v>1482.82569881882</v>
      </c>
      <c r="AI71" s="330">
        <f>AB71+AE71</f>
        <v>1482.82569881894</v>
      </c>
    </row>
    <row r="72" ht="25" customHeight="1" spans="2:35">
      <c r="B72" s="310"/>
      <c r="C72" s="311"/>
      <c r="D72" s="311"/>
      <c r="E72" s="311"/>
      <c r="F72" s="311"/>
      <c r="G72" s="311"/>
      <c r="H72" s="311"/>
      <c r="I72" s="311"/>
      <c r="J72" s="311"/>
      <c r="K72" s="311"/>
      <c r="L72" s="311"/>
      <c r="M72" s="311"/>
      <c r="N72" s="311"/>
      <c r="O72" s="311"/>
      <c r="P72" s="311"/>
      <c r="V72" s="222" t="s">
        <v>719</v>
      </c>
      <c r="W72" s="239">
        <f>W69-W70-W71</f>
        <v>408.081349663042</v>
      </c>
      <c r="X72" s="239">
        <f>X69-X70-X71</f>
        <v>-68.6459292189153</v>
      </c>
      <c r="AA72" s="320" t="s">
        <v>37</v>
      </c>
      <c r="AB72" s="323">
        <f>AB70/(AB50/1.09)</f>
        <v>0.132063163519105</v>
      </c>
      <c r="AC72" s="323">
        <f t="shared" ref="AC72:AH72" si="40">AC70/(AC50/1.09)</f>
        <v>0.198222329345349</v>
      </c>
      <c r="AD72" s="323">
        <f t="shared" si="40"/>
        <v>-0.85198149641963</v>
      </c>
      <c r="AE72" s="323">
        <f t="shared" si="40"/>
        <v>-0.21747882372567</v>
      </c>
      <c r="AF72" s="323">
        <f t="shared" si="40"/>
        <v>-0.182574544914529</v>
      </c>
      <c r="AG72" s="323">
        <f t="shared" si="40"/>
        <v>-0.85198149641963</v>
      </c>
      <c r="AH72" s="323">
        <f t="shared" si="40"/>
        <v>0.0245477878227267</v>
      </c>
      <c r="AI72" s="331"/>
    </row>
    <row r="73" ht="25" customHeight="1" spans="2:34">
      <c r="B73" s="312"/>
      <c r="C73" s="150"/>
      <c r="D73" s="150"/>
      <c r="V73" s="139" t="s">
        <v>709</v>
      </c>
      <c r="W73" s="239">
        <f>W60-W72</f>
        <v>1690.43804564879</v>
      </c>
      <c r="X73" s="239">
        <f>X60-X72</f>
        <v>-2316.13299043569</v>
      </c>
      <c r="AB73" s="138"/>
      <c r="AC73" s="138"/>
      <c r="AD73" s="138"/>
      <c r="AE73" s="138"/>
      <c r="AF73" s="138"/>
      <c r="AG73" s="138"/>
      <c r="AH73" s="138"/>
    </row>
    <row r="74" ht="32" customHeight="1" spans="3:28">
      <c r="C74" s="313"/>
      <c r="D74" s="313"/>
      <c r="AA74" t="s">
        <v>720</v>
      </c>
      <c r="AB74" s="138">
        <f>项目资金筹措!C19</f>
        <v>2062.8587032353</v>
      </c>
    </row>
    <row r="75" ht="32" customHeight="1" spans="3:28">
      <c r="C75" s="311"/>
      <c r="D75" s="311"/>
      <c r="AA75" t="s">
        <v>721</v>
      </c>
      <c r="AB75" s="138">
        <f>273.4</f>
        <v>273.4</v>
      </c>
    </row>
    <row r="76" ht="32" customHeight="1" spans="3:28">
      <c r="C76" s="311"/>
      <c r="D76" s="311"/>
      <c r="AA76" t="s">
        <v>722</v>
      </c>
      <c r="AB76" s="138">
        <f>AB74-AB75</f>
        <v>1789.4587032353</v>
      </c>
    </row>
    <row r="77" ht="32" customHeight="1" spans="27:32">
      <c r="AA77" s="140"/>
      <c r="AB77" s="140"/>
      <c r="AC77" s="140" t="s">
        <v>723</v>
      </c>
      <c r="AD77" s="140" t="s">
        <v>724</v>
      </c>
      <c r="AE77" s="140" t="s">
        <v>725</v>
      </c>
      <c r="AF77" s="140" t="s">
        <v>726</v>
      </c>
    </row>
    <row r="78" ht="32" customHeight="1" spans="27:33">
      <c r="AA78" s="140" t="s">
        <v>727</v>
      </c>
      <c r="AB78" s="324">
        <f>成本测算明细!D186</f>
        <v>55488.6550839711</v>
      </c>
      <c r="AC78" s="325">
        <f>SUM(AC79:AC81)</f>
        <v>1</v>
      </c>
      <c r="AD78" s="216">
        <f>$AB$76*AC78</f>
        <v>1789.4587032353</v>
      </c>
      <c r="AE78" s="272">
        <f>AB75</f>
        <v>273.4</v>
      </c>
      <c r="AF78" s="216">
        <f>AD78+AE78</f>
        <v>2062.8587032353</v>
      </c>
      <c r="AG78">
        <f>AF78/(AB48+AE48)*AE48</f>
        <v>712.403013915728</v>
      </c>
    </row>
    <row r="79" ht="32" customHeight="1" spans="3:32">
      <c r="C79" s="311"/>
      <c r="D79" s="311"/>
      <c r="AA79" s="140" t="s">
        <v>728</v>
      </c>
      <c r="AB79" s="324">
        <f>成本测算明细!H186</f>
        <v>30809.4688922703</v>
      </c>
      <c r="AC79" s="325">
        <f>AB79/$AB$78</f>
        <v>0.555239063654477</v>
      </c>
      <c r="AD79" s="216">
        <f>$AB$76*AC79</f>
        <v>993.577374832722</v>
      </c>
      <c r="AE79" s="272"/>
      <c r="AF79" s="216">
        <f>AD79+AE79</f>
        <v>993.577374832722</v>
      </c>
    </row>
    <row r="80" ht="32" customHeight="1" spans="27:33">
      <c r="AA80" s="140" t="s">
        <v>729</v>
      </c>
      <c r="AB80" s="324">
        <f>成本测算明细!J186</f>
        <v>16943.1740556978</v>
      </c>
      <c r="AC80" s="325">
        <f>AB80/$AB$78</f>
        <v>0.305344831840988</v>
      </c>
      <c r="AD80" s="216">
        <f>$AB$76*AC80</f>
        <v>546.401966825775</v>
      </c>
      <c r="AE80" s="272">
        <f>AB75</f>
        <v>273.4</v>
      </c>
      <c r="AF80" s="216">
        <f>AD80+AE80</f>
        <v>819.801966825775</v>
      </c>
      <c r="AG80">
        <f>AF80+AG81</f>
        <v>887.008651985241</v>
      </c>
    </row>
    <row r="81" ht="32" customHeight="1" spans="27:33">
      <c r="AA81" s="140" t="s">
        <v>730</v>
      </c>
      <c r="AB81" s="324">
        <f>成本测算明细!AD186</f>
        <v>7736.01213600305</v>
      </c>
      <c r="AC81" s="325">
        <f>AB81/$AB$78</f>
        <v>0.139416104504536</v>
      </c>
      <c r="AD81" s="216">
        <f>$AB$76*AC81</f>
        <v>249.479361576803</v>
      </c>
      <c r="AE81" s="272"/>
      <c r="AF81" s="216">
        <f>AD81+AE81</f>
        <v>249.479361576803</v>
      </c>
      <c r="AG81">
        <f>AF81/490*132</f>
        <v>67.2066851594654</v>
      </c>
    </row>
    <row r="82" ht="32" customHeight="1" spans="28:28">
      <c r="AB82" s="138"/>
    </row>
    <row r="83" ht="23" customHeight="1"/>
    <row r="84" ht="23" customHeight="1" spans="27:34">
      <c r="AA84" s="257" t="s">
        <v>671</v>
      </c>
      <c r="AB84" s="257"/>
      <c r="AC84" s="257"/>
      <c r="AD84" s="257"/>
      <c r="AE84" s="257"/>
      <c r="AF84" s="257"/>
      <c r="AG84" s="257"/>
      <c r="AH84" s="257"/>
    </row>
    <row r="85" ht="23" customHeight="1" spans="27:34">
      <c r="AA85" s="285"/>
      <c r="AB85" s="286" t="s">
        <v>677</v>
      </c>
      <c r="AC85" s="287"/>
      <c r="AD85" s="288"/>
      <c r="AE85" s="286" t="s">
        <v>678</v>
      </c>
      <c r="AF85" s="287"/>
      <c r="AG85" s="288"/>
      <c r="AH85" s="285" t="s">
        <v>731</v>
      </c>
    </row>
    <row r="86" ht="23" customHeight="1" spans="27:34">
      <c r="AA86" s="260"/>
      <c r="AB86" s="261" t="s">
        <v>79</v>
      </c>
      <c r="AC86" s="261" t="s">
        <v>679</v>
      </c>
      <c r="AD86" s="261" t="s">
        <v>732</v>
      </c>
      <c r="AE86" s="262" t="s">
        <v>86</v>
      </c>
      <c r="AF86" s="261" t="s">
        <v>733</v>
      </c>
      <c r="AG86" s="261" t="s">
        <v>732</v>
      </c>
      <c r="AH86" s="284"/>
    </row>
    <row r="87" ht="23" customHeight="1" spans="27:34">
      <c r="AA87" s="216" t="s">
        <v>68</v>
      </c>
      <c r="AB87" s="216">
        <f t="shared" ref="AB87:AG87" si="41">AB48</f>
        <v>31642.84</v>
      </c>
      <c r="AC87" s="216">
        <f t="shared" si="41"/>
        <v>31642.84</v>
      </c>
      <c r="AD87" s="216">
        <f t="shared" si="41"/>
        <v>16257.7354175153</v>
      </c>
      <c r="AE87" s="216">
        <f t="shared" si="41"/>
        <v>16692.48</v>
      </c>
      <c r="AF87" s="216">
        <f t="shared" si="41"/>
        <v>16692.48</v>
      </c>
      <c r="AG87" s="216">
        <f t="shared" si="41"/>
        <v>5977.77458248473</v>
      </c>
      <c r="AH87" s="216">
        <f>AE87+AB87+AG87+AD87</f>
        <v>70570.83</v>
      </c>
    </row>
    <row r="88" ht="23" customHeight="1" spans="27:34">
      <c r="AA88" s="216" t="s">
        <v>663</v>
      </c>
      <c r="AB88" s="216">
        <f t="shared" ref="AB88:AG88" si="42">AB49</f>
        <v>184</v>
      </c>
      <c r="AC88" s="216">
        <f t="shared" si="42"/>
        <v>184</v>
      </c>
      <c r="AD88" s="216">
        <f t="shared" si="42"/>
        <v>359</v>
      </c>
      <c r="AE88" s="216">
        <f t="shared" si="42"/>
        <v>66</v>
      </c>
      <c r="AF88" s="216">
        <f t="shared" si="42"/>
        <v>66</v>
      </c>
      <c r="AG88" s="216">
        <f t="shared" si="42"/>
        <v>132</v>
      </c>
      <c r="AH88" s="289"/>
    </row>
    <row r="89" ht="23" customHeight="1" spans="27:34">
      <c r="AA89" s="326" t="s">
        <v>734</v>
      </c>
      <c r="AB89" s="220">
        <f>AC89+AD89</f>
        <v>45589.834</v>
      </c>
      <c r="AC89" s="220">
        <f>AC50*AC48/10000</f>
        <v>42717.834</v>
      </c>
      <c r="AD89" s="220">
        <f>AD50*AD49/10000</f>
        <v>2872</v>
      </c>
      <c r="AE89" s="220">
        <f t="shared" ref="AE89:AE98" si="43">AF89+AG89</f>
        <v>20252.352</v>
      </c>
      <c r="AF89" s="220">
        <f>AF87*AF50/10000</f>
        <v>19196.352</v>
      </c>
      <c r="AG89" s="220">
        <f>AG88*AG50/10000</f>
        <v>1056</v>
      </c>
      <c r="AH89" s="220">
        <f>AB89+AE89</f>
        <v>65842.186</v>
      </c>
    </row>
    <row r="90" ht="23" customHeight="1" spans="27:34">
      <c r="AA90" s="326" t="s">
        <v>735</v>
      </c>
      <c r="AB90" s="220">
        <f t="shared" ref="AB90:AG90" si="44">AB91+AB92</f>
        <v>31902.045436402</v>
      </c>
      <c r="AC90" s="220">
        <f t="shared" si="44"/>
        <v>26245.7758705668</v>
      </c>
      <c r="AD90" s="220">
        <f t="shared" si="44"/>
        <v>5656.26956583522</v>
      </c>
      <c r="AE90" s="220">
        <f t="shared" si="44"/>
        <v>23586.6096475691</v>
      </c>
      <c r="AF90" s="220">
        <f t="shared" si="44"/>
        <v>21506.8670774013</v>
      </c>
      <c r="AG90" s="220">
        <f t="shared" si="44"/>
        <v>2079.74257016782</v>
      </c>
      <c r="AH90" s="220">
        <f>AB90+AE90</f>
        <v>55488.6550839711</v>
      </c>
    </row>
    <row r="91" ht="23" customHeight="1" spans="27:34">
      <c r="AA91" s="327" t="s">
        <v>736</v>
      </c>
      <c r="AB91" s="220">
        <f t="shared" ref="AB89:AB98" si="45">AC91+AD91</f>
        <v>10034.8711126821</v>
      </c>
      <c r="AC91" s="220">
        <f>AC51*AC48/10000</f>
        <v>10034.8711126821</v>
      </c>
      <c r="AD91" s="220"/>
      <c r="AE91" s="220">
        <f t="shared" si="43"/>
        <v>12264.842471056</v>
      </c>
      <c r="AF91" s="220">
        <f>AF87*AF51/10000</f>
        <v>12264.842471056</v>
      </c>
      <c r="AG91" s="220"/>
      <c r="AH91" s="220">
        <f t="shared" ref="AH89:AH91" si="46">AB91+AE91</f>
        <v>22299.7135837381</v>
      </c>
    </row>
    <row r="92" ht="23" customHeight="1" spans="27:34">
      <c r="AA92" s="327" t="s">
        <v>737</v>
      </c>
      <c r="AB92" s="220">
        <f>AB93+AB94+AB95</f>
        <v>21867.1743237199</v>
      </c>
      <c r="AC92" s="220">
        <f>AC93+AC94+AC95</f>
        <v>16210.9047578847</v>
      </c>
      <c r="AD92" s="220">
        <f t="shared" ref="AB92:AH92" si="47">AD93+AD94+AD95</f>
        <v>5656.26956583522</v>
      </c>
      <c r="AE92" s="220">
        <f t="shared" si="47"/>
        <v>11321.7671765131</v>
      </c>
      <c r="AF92" s="220">
        <f t="shared" si="47"/>
        <v>9242.02460634527</v>
      </c>
      <c r="AG92" s="220">
        <f t="shared" si="47"/>
        <v>2079.74257016782</v>
      </c>
      <c r="AH92" s="220">
        <f t="shared" si="47"/>
        <v>33188.941500233</v>
      </c>
    </row>
    <row r="93" ht="23" customHeight="1" spans="27:34">
      <c r="AA93" s="328" t="s">
        <v>690</v>
      </c>
      <c r="AB93" s="220">
        <f t="shared" si="45"/>
        <v>1511.6669892209</v>
      </c>
      <c r="AC93" s="216">
        <f>成本测算明细!H19</f>
        <v>994.334251951534</v>
      </c>
      <c r="AD93" s="216">
        <f>(成本测算明细!AD19*AA40)</f>
        <v>517.332737269366</v>
      </c>
      <c r="AE93" s="220">
        <f t="shared" si="43"/>
        <v>814.507560445625</v>
      </c>
      <c r="AF93" s="220">
        <f>成本测算明细!J19</f>
        <v>624.29050941622</v>
      </c>
      <c r="AG93" s="264">
        <f>成本测算明细!AD19*AA41</f>
        <v>190.217051029405</v>
      </c>
      <c r="AH93" s="220">
        <f t="shared" ref="AH93:AH100" si="48">AB93+AE93</f>
        <v>2326.17454966652</v>
      </c>
    </row>
    <row r="94" ht="23" customHeight="1" spans="27:34">
      <c r="AA94" s="328" t="s">
        <v>692</v>
      </c>
      <c r="AB94" s="220">
        <f t="shared" si="45"/>
        <v>17284.8728339617</v>
      </c>
      <c r="AC94" s="216">
        <f>成本测算明细!H72</f>
        <v>12655.3831670327</v>
      </c>
      <c r="AD94" s="216">
        <f>成本测算明细!AD72*AA40</f>
        <v>4629.48966692903</v>
      </c>
      <c r="AE94" s="220">
        <f t="shared" si="43"/>
        <v>8981.320056206</v>
      </c>
      <c r="AF94" s="220">
        <f>成本测算明细!J72</f>
        <v>7279.11215638808</v>
      </c>
      <c r="AG94" s="264">
        <f>成本测算明细!AD72*AA41</f>
        <v>1702.20789981792</v>
      </c>
      <c r="AH94" s="220">
        <f t="shared" si="48"/>
        <v>26266.1928901677</v>
      </c>
    </row>
    <row r="95" ht="23" customHeight="1" spans="27:34">
      <c r="AA95" s="328" t="s">
        <v>695</v>
      </c>
      <c r="AB95" s="220">
        <f t="shared" si="45"/>
        <v>3070.63450053732</v>
      </c>
      <c r="AC95" s="216">
        <f>成本测算明细!H111+成本测算明细!H164+成本测算明细!H181</f>
        <v>2561.1873389005</v>
      </c>
      <c r="AD95" s="216">
        <f>(成本测算明细!AD111+成本测算明细!AD164+成本测算明细!AD181)*AA40</f>
        <v>509.447161636824</v>
      </c>
      <c r="AE95" s="220">
        <f t="shared" si="43"/>
        <v>1525.93955986147</v>
      </c>
      <c r="AF95" s="220">
        <f>成本测算明细!J111+成本测算明细!J164+成本测算明细!J181</f>
        <v>1338.62194054097</v>
      </c>
      <c r="AG95" s="264">
        <f>(成本测算明细!AD111+成本测算明细!AD164+成本测算明细!AD181)*AA41</f>
        <v>187.317619320504</v>
      </c>
      <c r="AH95" s="220">
        <f t="shared" si="48"/>
        <v>4596.57406039879</v>
      </c>
    </row>
    <row r="96" ht="23" customHeight="1" spans="27:34">
      <c r="AA96" s="326" t="s">
        <v>696</v>
      </c>
      <c r="AB96" s="220">
        <f t="shared" si="45"/>
        <v>3435.29858767605</v>
      </c>
      <c r="AC96" s="216">
        <f>AC60*AC48/10000</f>
        <v>3129.46907483272</v>
      </c>
      <c r="AD96" s="216">
        <f>AD60*AD49/10000</f>
        <v>305.829512843325</v>
      </c>
      <c r="AE96" s="220">
        <f t="shared" si="43"/>
        <v>1382.17885555925</v>
      </c>
      <c r="AF96" s="220">
        <f>AF60*AF48/10000</f>
        <v>1269.72900682578</v>
      </c>
      <c r="AG96" s="264">
        <f>AG60*AG49/10000</f>
        <v>112.449848733479</v>
      </c>
      <c r="AH96" s="220">
        <f t="shared" si="48"/>
        <v>4817.4774432353</v>
      </c>
    </row>
    <row r="97" ht="23" customHeight="1" spans="27:34">
      <c r="AA97" s="326" t="s">
        <v>697</v>
      </c>
      <c r="AB97" s="220">
        <f t="shared" si="45"/>
        <v>1649.49838859061</v>
      </c>
      <c r="AC97" s="216">
        <f>AC61*AC48/10000</f>
        <v>1545.58576254261</v>
      </c>
      <c r="AD97" s="216">
        <f>AD61*AD49/10000</f>
        <v>103.912626047996</v>
      </c>
      <c r="AE97" s="220">
        <f t="shared" si="43"/>
        <v>732.755947064202</v>
      </c>
      <c r="AF97" s="220">
        <f>AF61*AF48/10000</f>
        <v>694.548519102265</v>
      </c>
      <c r="AG97" s="264">
        <f>AG61*AG49/10000</f>
        <v>38.2074279619374</v>
      </c>
      <c r="AH97" s="220">
        <f t="shared" si="48"/>
        <v>2382.25433565481</v>
      </c>
    </row>
    <row r="98" ht="23" customHeight="1" spans="27:34">
      <c r="AA98" s="326" t="s">
        <v>699</v>
      </c>
      <c r="AB98" s="220">
        <f t="shared" si="45"/>
        <v>1783.00868694587</v>
      </c>
      <c r="AC98" s="216">
        <f>AC62*AC48/10000</f>
        <v>2540.32016735806</v>
      </c>
      <c r="AD98" s="216">
        <f>AD62*AD49/10000</f>
        <v>-757.311480412184</v>
      </c>
      <c r="AE98" s="220">
        <f t="shared" si="43"/>
        <v>-1288.73345400628</v>
      </c>
      <c r="AF98" s="220">
        <f>AF62*AF48/10000</f>
        <v>-1010.27909352047</v>
      </c>
      <c r="AG98" s="264">
        <f>AG62*AG49/10000</f>
        <v>-278.454360485817</v>
      </c>
      <c r="AH98" s="220">
        <f t="shared" si="48"/>
        <v>494.275232939587</v>
      </c>
    </row>
    <row r="99" ht="23" customHeight="1" spans="27:34">
      <c r="AA99" s="215" t="s">
        <v>738</v>
      </c>
      <c r="AB99" s="220">
        <f>AB89-AB90-AB96-AB97-AB98</f>
        <v>6819.98290038543</v>
      </c>
      <c r="AC99" s="220">
        <f t="shared" ref="AC99:AH99" si="49">AC89-AC90-AC96-AC97-AC98</f>
        <v>9256.68312469978</v>
      </c>
      <c r="AD99" s="220">
        <f t="shared" si="49"/>
        <v>-2436.70022431436</v>
      </c>
      <c r="AE99" s="220">
        <f t="shared" si="49"/>
        <v>-4160.45899618627</v>
      </c>
      <c r="AF99" s="220">
        <f t="shared" si="49"/>
        <v>-3264.51350980884</v>
      </c>
      <c r="AG99" s="220">
        <f t="shared" si="49"/>
        <v>-895.945486377419</v>
      </c>
      <c r="AH99" s="220">
        <f t="shared" si="49"/>
        <v>2659.52390419916</v>
      </c>
    </row>
    <row r="100" ht="23" customHeight="1" spans="27:34">
      <c r="AA100" s="215" t="s">
        <v>739</v>
      </c>
      <c r="AB100" s="220">
        <f>AB99-(AB89/1.09*0.09-AB90*0.9/1.09*0.09-AB96*0.5/1.06*0.06)</f>
        <v>5523.612570964</v>
      </c>
      <c r="AC100" s="220">
        <f t="shared" ref="AC100:AH100" si="50">AC99-(AC89/1.09*0.09-AC90*0.9/1.09*0.09-AC96*0.5/1.06*0.06)</f>
        <v>7768.46656886968</v>
      </c>
      <c r="AD100" s="220">
        <f t="shared" si="50"/>
        <v>-2244.85399790568</v>
      </c>
      <c r="AE100" s="220">
        <f t="shared" si="50"/>
        <v>-4040.78687214519</v>
      </c>
      <c r="AF100" s="220">
        <f t="shared" si="50"/>
        <v>-3215.38094533864</v>
      </c>
      <c r="AG100" s="220">
        <f t="shared" si="50"/>
        <v>-825.40592680654</v>
      </c>
      <c r="AH100" s="220">
        <f t="shared" si="50"/>
        <v>1482.82569881882</v>
      </c>
    </row>
    <row r="101" ht="23" customHeight="1" spans="27:34">
      <c r="AA101" s="218" t="s">
        <v>37</v>
      </c>
      <c r="AB101" s="319">
        <f>AB100/(AB89/1.09)</f>
        <v>0.132063163519103</v>
      </c>
      <c r="AC101" s="319">
        <f>AC100/(AC89/1.09)</f>
        <v>0.198222329345349</v>
      </c>
      <c r="AD101" s="319">
        <f t="shared" ref="AB101:AH101" si="51">AD100/(AD89/1.09)</f>
        <v>-0.851981496419634</v>
      </c>
      <c r="AE101" s="319">
        <f t="shared" si="51"/>
        <v>-0.217478823725672</v>
      </c>
      <c r="AF101" s="319">
        <f t="shared" si="51"/>
        <v>-0.182574544914529</v>
      </c>
      <c r="AG101" s="319">
        <f t="shared" si="51"/>
        <v>-0.851981496419629</v>
      </c>
      <c r="AH101" s="319">
        <f t="shared" si="51"/>
        <v>0.0245477878227269</v>
      </c>
    </row>
    <row r="102" ht="23" customHeight="1"/>
    <row r="103" spans="28:34">
      <c r="AB103" s="138"/>
      <c r="AC103" s="138"/>
      <c r="AD103" s="138"/>
      <c r="AE103" s="138"/>
      <c r="AF103" s="138"/>
      <c r="AG103" s="138"/>
      <c r="AH103" s="138"/>
    </row>
  </sheetData>
  <mergeCells count="12">
    <mergeCell ref="A5:P5"/>
    <mergeCell ref="V45:Y45"/>
    <mergeCell ref="AA45:AI45"/>
    <mergeCell ref="AB46:AD46"/>
    <mergeCell ref="AE46:AG46"/>
    <mergeCell ref="O61:P61"/>
    <mergeCell ref="AA84:AH84"/>
    <mergeCell ref="AB85:AD85"/>
    <mergeCell ref="AE85:AG85"/>
    <mergeCell ref="A6:A7"/>
    <mergeCell ref="B6:B7"/>
    <mergeCell ref="C1:C3"/>
  </mergeCells>
  <hyperlinks>
    <hyperlink ref="C1:C3" location="目录!A1" display="返回目录"/>
  </hyperlinks>
  <pageMargins left="0.699305555555556" right="0.699305555555556" top="0.75" bottom="0.75" header="0.3" footer="0.3"/>
  <pageSetup paperSize="9" orientation="portrait"/>
  <headerFooter/>
  <ignoredErrors>
    <ignoredError sqref="AH92" formula="1"/>
  </ignoredErrors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63"/>
  <sheetViews>
    <sheetView topLeftCell="A40" workbookViewId="0">
      <selection activeCell="H68" sqref="H68"/>
    </sheetView>
  </sheetViews>
  <sheetFormatPr defaultColWidth="9" defaultRowHeight="18.75" customHeight="1"/>
  <cols>
    <col min="1" max="1" width="9.25" style="150" customWidth="1"/>
    <col min="2" max="3" width="10.875" style="150" customWidth="1"/>
    <col min="4" max="16384" width="9" style="150"/>
  </cols>
  <sheetData>
    <row r="1" customHeight="1" spans="1:40">
      <c r="A1" s="151" t="s">
        <v>740</v>
      </c>
      <c r="B1" s="151" t="s">
        <v>741</v>
      </c>
      <c r="C1" s="151" t="s">
        <v>127</v>
      </c>
      <c r="D1" s="151" t="s">
        <v>742</v>
      </c>
      <c r="E1" s="151" t="s">
        <v>743</v>
      </c>
      <c r="F1" s="151" t="s">
        <v>744</v>
      </c>
      <c r="G1" s="151" t="s">
        <v>745</v>
      </c>
      <c r="H1" s="151" t="s">
        <v>746</v>
      </c>
      <c r="I1" s="151" t="s">
        <v>747</v>
      </c>
      <c r="J1" s="151" t="s">
        <v>748</v>
      </c>
      <c r="K1" s="151" t="s">
        <v>749</v>
      </c>
      <c r="L1" s="151" t="s">
        <v>750</v>
      </c>
      <c r="M1" s="151" t="s">
        <v>751</v>
      </c>
      <c r="N1" s="151" t="s">
        <v>752</v>
      </c>
      <c r="O1" s="151" t="s">
        <v>753</v>
      </c>
      <c r="P1" s="151" t="s">
        <v>754</v>
      </c>
      <c r="Q1" s="151" t="s">
        <v>755</v>
      </c>
      <c r="R1" s="151" t="s">
        <v>756</v>
      </c>
      <c r="S1" s="151" t="s">
        <v>757</v>
      </c>
      <c r="T1" s="151" t="s">
        <v>758</v>
      </c>
      <c r="U1" s="151" t="s">
        <v>759</v>
      </c>
      <c r="V1" s="151" t="s">
        <v>760</v>
      </c>
      <c r="W1" s="151" t="s">
        <v>761</v>
      </c>
      <c r="X1" s="151" t="s">
        <v>762</v>
      </c>
      <c r="Y1" s="151" t="s">
        <v>763</v>
      </c>
      <c r="Z1" s="151" t="s">
        <v>764</v>
      </c>
      <c r="AA1" s="151" t="s">
        <v>765</v>
      </c>
      <c r="AB1" s="151" t="s">
        <v>766</v>
      </c>
      <c r="AC1" s="151" t="s">
        <v>767</v>
      </c>
      <c r="AD1" s="151" t="s">
        <v>768</v>
      </c>
      <c r="AE1" s="151" t="s">
        <v>769</v>
      </c>
      <c r="AF1" s="151" t="s">
        <v>770</v>
      </c>
      <c r="AG1" s="151" t="s">
        <v>771</v>
      </c>
      <c r="AH1" s="151" t="s">
        <v>772</v>
      </c>
      <c r="AI1" s="151" t="s">
        <v>773</v>
      </c>
      <c r="AJ1" s="151" t="s">
        <v>774</v>
      </c>
      <c r="AK1" s="151" t="s">
        <v>775</v>
      </c>
      <c r="AL1" s="151" t="s">
        <v>776</v>
      </c>
      <c r="AM1" s="151" t="s">
        <v>777</v>
      </c>
      <c r="AN1" s="151" t="s">
        <v>43</v>
      </c>
    </row>
    <row r="2" customHeight="1" spans="1:40">
      <c r="A2" s="152">
        <v>1</v>
      </c>
      <c r="B2" s="153" t="s">
        <v>778</v>
      </c>
      <c r="C2" s="153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  <c r="P2" s="151"/>
      <c r="Q2" s="151"/>
      <c r="R2" s="151"/>
      <c r="S2" s="151"/>
      <c r="T2" s="151"/>
      <c r="U2" s="151"/>
      <c r="V2" s="151"/>
      <c r="W2" s="151"/>
      <c r="X2" s="151"/>
      <c r="Y2" s="151"/>
      <c r="Z2" s="151"/>
      <c r="AA2" s="151"/>
      <c r="AB2" s="151"/>
      <c r="AC2" s="151"/>
      <c r="AD2" s="151"/>
      <c r="AE2" s="151"/>
      <c r="AF2" s="151"/>
      <c r="AG2" s="151"/>
      <c r="AH2" s="151"/>
      <c r="AI2" s="151"/>
      <c r="AJ2" s="151"/>
      <c r="AK2" s="151"/>
      <c r="AL2" s="151"/>
      <c r="AM2" s="151"/>
      <c r="AN2" s="154">
        <f>SUM(D2:AM2)</f>
        <v>0</v>
      </c>
    </row>
    <row r="3" customHeight="1" spans="1:40">
      <c r="A3" s="155"/>
      <c r="B3" s="153" t="s">
        <v>779</v>
      </c>
      <c r="C3" s="153"/>
      <c r="D3" s="151"/>
      <c r="E3" s="151"/>
      <c r="F3" s="151"/>
      <c r="G3" s="151"/>
      <c r="H3" s="151"/>
      <c r="I3" s="151"/>
      <c r="J3" s="151"/>
      <c r="K3" s="151"/>
      <c r="L3" s="151"/>
      <c r="M3" s="151"/>
      <c r="N3" s="151"/>
      <c r="O3" s="151"/>
      <c r="P3" s="151"/>
      <c r="Q3" s="151"/>
      <c r="R3" s="151"/>
      <c r="S3" s="151"/>
      <c r="T3" s="151"/>
      <c r="U3" s="151"/>
      <c r="V3" s="151"/>
      <c r="W3" s="151"/>
      <c r="X3" s="151"/>
      <c r="Y3" s="151"/>
      <c r="Z3" s="151"/>
      <c r="AA3" s="151"/>
      <c r="AB3" s="151"/>
      <c r="AC3" s="151"/>
      <c r="AD3" s="151"/>
      <c r="AE3" s="151"/>
      <c r="AF3" s="151"/>
      <c r="AG3" s="151"/>
      <c r="AH3" s="151"/>
      <c r="AI3" s="151"/>
      <c r="AJ3" s="151"/>
      <c r="AK3" s="151"/>
      <c r="AL3" s="151"/>
      <c r="AM3" s="151"/>
      <c r="AN3" s="154">
        <f t="shared" ref="AN3:AN52" si="0">SUM(D3:AM3)</f>
        <v>0</v>
      </c>
    </row>
    <row r="4" customHeight="1" spans="1:40">
      <c r="A4" s="155"/>
      <c r="B4" s="153" t="s">
        <v>780</v>
      </c>
      <c r="C4" s="153"/>
      <c r="D4" s="151"/>
      <c r="E4" s="151"/>
      <c r="F4" s="151"/>
      <c r="G4" s="151"/>
      <c r="H4" s="151"/>
      <c r="I4" s="151"/>
      <c r="J4" s="151"/>
      <c r="K4" s="151"/>
      <c r="L4" s="151"/>
      <c r="M4" s="151"/>
      <c r="N4" s="151"/>
      <c r="O4" s="151"/>
      <c r="P4" s="151"/>
      <c r="Q4" s="151"/>
      <c r="R4" s="151"/>
      <c r="S4" s="151"/>
      <c r="T4" s="151"/>
      <c r="U4" s="151"/>
      <c r="V4" s="151"/>
      <c r="W4" s="151"/>
      <c r="X4" s="151"/>
      <c r="Y4" s="151"/>
      <c r="Z4" s="151"/>
      <c r="AA4" s="151"/>
      <c r="AB4" s="151"/>
      <c r="AC4" s="151"/>
      <c r="AD4" s="151"/>
      <c r="AE4" s="151"/>
      <c r="AF4" s="151"/>
      <c r="AG4" s="151"/>
      <c r="AH4" s="151"/>
      <c r="AI4" s="151"/>
      <c r="AJ4" s="151"/>
      <c r="AK4" s="151"/>
      <c r="AL4" s="151"/>
      <c r="AM4" s="151"/>
      <c r="AN4" s="154"/>
    </row>
    <row r="5" customHeight="1" spans="1:40">
      <c r="A5" s="155"/>
      <c r="B5" s="153" t="s">
        <v>781</v>
      </c>
      <c r="C5" s="153"/>
      <c r="D5" s="154">
        <f>D3*D4/10000</f>
        <v>0</v>
      </c>
      <c r="E5" s="154">
        <f t="shared" ref="E5:AM5" si="1">E3*E4/10000</f>
        <v>0</v>
      </c>
      <c r="F5" s="154">
        <f t="shared" si="1"/>
        <v>0</v>
      </c>
      <c r="G5" s="154">
        <f t="shared" si="1"/>
        <v>0</v>
      </c>
      <c r="H5" s="154">
        <f t="shared" si="1"/>
        <v>0</v>
      </c>
      <c r="I5" s="154">
        <f t="shared" si="1"/>
        <v>0</v>
      </c>
      <c r="J5" s="154">
        <f t="shared" si="1"/>
        <v>0</v>
      </c>
      <c r="K5" s="154">
        <f t="shared" si="1"/>
        <v>0</v>
      </c>
      <c r="L5" s="154">
        <f t="shared" si="1"/>
        <v>0</v>
      </c>
      <c r="M5" s="154">
        <f t="shared" si="1"/>
        <v>0</v>
      </c>
      <c r="N5" s="154">
        <f t="shared" si="1"/>
        <v>0</v>
      </c>
      <c r="O5" s="154">
        <f t="shared" si="1"/>
        <v>0</v>
      </c>
      <c r="P5" s="154">
        <f t="shared" si="1"/>
        <v>0</v>
      </c>
      <c r="Q5" s="154">
        <f t="shared" si="1"/>
        <v>0</v>
      </c>
      <c r="R5" s="154">
        <f t="shared" si="1"/>
        <v>0</v>
      </c>
      <c r="S5" s="154">
        <f t="shared" si="1"/>
        <v>0</v>
      </c>
      <c r="T5" s="154">
        <f t="shared" si="1"/>
        <v>0</v>
      </c>
      <c r="U5" s="154">
        <f t="shared" si="1"/>
        <v>0</v>
      </c>
      <c r="V5" s="154">
        <f t="shared" si="1"/>
        <v>0</v>
      </c>
      <c r="W5" s="154">
        <f t="shared" si="1"/>
        <v>0</v>
      </c>
      <c r="X5" s="154">
        <f t="shared" si="1"/>
        <v>0</v>
      </c>
      <c r="Y5" s="154">
        <f t="shared" si="1"/>
        <v>0</v>
      </c>
      <c r="Z5" s="154">
        <f t="shared" si="1"/>
        <v>0</v>
      </c>
      <c r="AA5" s="154">
        <f t="shared" si="1"/>
        <v>0</v>
      </c>
      <c r="AB5" s="154">
        <f t="shared" si="1"/>
        <v>0</v>
      </c>
      <c r="AC5" s="154">
        <f t="shared" si="1"/>
        <v>0</v>
      </c>
      <c r="AD5" s="154">
        <f t="shared" si="1"/>
        <v>0</v>
      </c>
      <c r="AE5" s="154">
        <f t="shared" si="1"/>
        <v>0</v>
      </c>
      <c r="AF5" s="154">
        <f t="shared" si="1"/>
        <v>0</v>
      </c>
      <c r="AG5" s="154">
        <f t="shared" si="1"/>
        <v>0</v>
      </c>
      <c r="AH5" s="154">
        <f t="shared" si="1"/>
        <v>0</v>
      </c>
      <c r="AI5" s="154">
        <f t="shared" si="1"/>
        <v>0</v>
      </c>
      <c r="AJ5" s="154">
        <f t="shared" si="1"/>
        <v>0</v>
      </c>
      <c r="AK5" s="154">
        <f t="shared" si="1"/>
        <v>0</v>
      </c>
      <c r="AL5" s="154">
        <f t="shared" si="1"/>
        <v>0</v>
      </c>
      <c r="AM5" s="154">
        <f t="shared" si="1"/>
        <v>0</v>
      </c>
      <c r="AN5" s="154">
        <f t="shared" si="0"/>
        <v>0</v>
      </c>
    </row>
    <row r="6" customHeight="1" spans="1:40">
      <c r="A6" s="155"/>
      <c r="B6" s="153" t="s">
        <v>782</v>
      </c>
      <c r="C6" s="153"/>
      <c r="D6" s="151"/>
      <c r="E6" s="151"/>
      <c r="F6" s="151"/>
      <c r="G6" s="151"/>
      <c r="H6" s="151"/>
      <c r="I6" s="151"/>
      <c r="J6" s="151"/>
      <c r="K6" s="151"/>
      <c r="L6" s="151"/>
      <c r="M6" s="151"/>
      <c r="N6" s="151"/>
      <c r="O6" s="151"/>
      <c r="P6" s="151"/>
      <c r="Q6" s="151"/>
      <c r="R6" s="151"/>
      <c r="S6" s="151"/>
      <c r="T6" s="151"/>
      <c r="U6" s="151"/>
      <c r="V6" s="151"/>
      <c r="W6" s="151"/>
      <c r="X6" s="151"/>
      <c r="Y6" s="151"/>
      <c r="Z6" s="151"/>
      <c r="AA6" s="151"/>
      <c r="AB6" s="151"/>
      <c r="AC6" s="151"/>
      <c r="AD6" s="151"/>
      <c r="AE6" s="151"/>
      <c r="AF6" s="151"/>
      <c r="AG6" s="151"/>
      <c r="AH6" s="151"/>
      <c r="AI6" s="151"/>
      <c r="AJ6" s="151"/>
      <c r="AK6" s="151"/>
      <c r="AL6" s="151"/>
      <c r="AM6" s="151"/>
      <c r="AN6" s="154">
        <f t="shared" si="0"/>
        <v>0</v>
      </c>
    </row>
    <row r="7" customHeight="1" spans="1:40">
      <c r="A7" s="155"/>
      <c r="B7" s="153" t="s">
        <v>783</v>
      </c>
      <c r="C7" s="153"/>
      <c r="D7" s="151"/>
      <c r="E7" s="151"/>
      <c r="F7" s="151"/>
      <c r="G7" s="151"/>
      <c r="H7" s="151"/>
      <c r="I7" s="151"/>
      <c r="J7" s="151"/>
      <c r="K7" s="151"/>
      <c r="L7" s="151"/>
      <c r="M7" s="151"/>
      <c r="N7" s="151"/>
      <c r="O7" s="151"/>
      <c r="P7" s="151"/>
      <c r="Q7" s="151"/>
      <c r="R7" s="151"/>
      <c r="S7" s="151"/>
      <c r="T7" s="151"/>
      <c r="U7" s="151"/>
      <c r="V7" s="151"/>
      <c r="W7" s="151"/>
      <c r="X7" s="151"/>
      <c r="Y7" s="151"/>
      <c r="Z7" s="151"/>
      <c r="AA7" s="151"/>
      <c r="AB7" s="151"/>
      <c r="AC7" s="151"/>
      <c r="AD7" s="151"/>
      <c r="AE7" s="151"/>
      <c r="AF7" s="151"/>
      <c r="AG7" s="151"/>
      <c r="AH7" s="151"/>
      <c r="AI7" s="151"/>
      <c r="AJ7" s="151"/>
      <c r="AK7" s="151"/>
      <c r="AL7" s="151"/>
      <c r="AM7" s="151"/>
      <c r="AN7" s="154">
        <f t="shared" si="0"/>
        <v>0</v>
      </c>
    </row>
    <row r="8" customHeight="1" spans="1:40">
      <c r="A8" s="155"/>
      <c r="B8" s="153" t="s">
        <v>784</v>
      </c>
      <c r="C8" s="153"/>
      <c r="D8" s="151"/>
      <c r="E8" s="151"/>
      <c r="F8" s="151"/>
      <c r="G8" s="151"/>
      <c r="H8" s="151"/>
      <c r="I8" s="151"/>
      <c r="J8" s="151"/>
      <c r="K8" s="151"/>
      <c r="L8" s="151"/>
      <c r="M8" s="151"/>
      <c r="N8" s="151"/>
      <c r="O8" s="151"/>
      <c r="P8" s="151"/>
      <c r="Q8" s="151"/>
      <c r="R8" s="151"/>
      <c r="S8" s="151"/>
      <c r="T8" s="151"/>
      <c r="U8" s="151"/>
      <c r="V8" s="151"/>
      <c r="W8" s="151"/>
      <c r="X8" s="151"/>
      <c r="Y8" s="151"/>
      <c r="Z8" s="151"/>
      <c r="AA8" s="151"/>
      <c r="AB8" s="151"/>
      <c r="AC8" s="151"/>
      <c r="AD8" s="151"/>
      <c r="AE8" s="151"/>
      <c r="AF8" s="151"/>
      <c r="AG8" s="151"/>
      <c r="AH8" s="151"/>
      <c r="AI8" s="151"/>
      <c r="AJ8" s="151"/>
      <c r="AK8" s="151"/>
      <c r="AL8" s="151"/>
      <c r="AM8" s="151"/>
      <c r="AN8" s="154">
        <f t="shared" si="0"/>
        <v>0</v>
      </c>
    </row>
    <row r="9" customHeight="1" spans="1:40">
      <c r="A9" s="155"/>
      <c r="B9" s="153" t="s">
        <v>785</v>
      </c>
      <c r="C9" s="153"/>
      <c r="D9" s="151"/>
      <c r="E9" s="151"/>
      <c r="F9" s="151"/>
      <c r="G9" s="151"/>
      <c r="H9" s="151"/>
      <c r="I9" s="151"/>
      <c r="J9" s="151"/>
      <c r="K9" s="151"/>
      <c r="L9" s="151"/>
      <c r="M9" s="151"/>
      <c r="N9" s="151"/>
      <c r="O9" s="151"/>
      <c r="P9" s="151"/>
      <c r="Q9" s="151"/>
      <c r="R9" s="151"/>
      <c r="S9" s="151"/>
      <c r="T9" s="151"/>
      <c r="U9" s="151"/>
      <c r="V9" s="151"/>
      <c r="W9" s="151"/>
      <c r="X9" s="151"/>
      <c r="Y9" s="151"/>
      <c r="Z9" s="151"/>
      <c r="AA9" s="151"/>
      <c r="AB9" s="151"/>
      <c r="AC9" s="151"/>
      <c r="AD9" s="151"/>
      <c r="AE9" s="151"/>
      <c r="AF9" s="151"/>
      <c r="AG9" s="151"/>
      <c r="AH9" s="151"/>
      <c r="AI9" s="151"/>
      <c r="AJ9" s="151"/>
      <c r="AK9" s="151"/>
      <c r="AL9" s="151"/>
      <c r="AM9" s="151"/>
      <c r="AN9" s="154">
        <f t="shared" si="0"/>
        <v>0</v>
      </c>
    </row>
    <row r="10" customHeight="1" spans="1:40">
      <c r="A10" s="156"/>
      <c r="B10" s="153" t="s">
        <v>786</v>
      </c>
      <c r="C10" s="153"/>
      <c r="D10" s="154">
        <f>D8+D9</f>
        <v>0</v>
      </c>
      <c r="E10" s="154">
        <f t="shared" ref="E10:AM10" si="2">E8+E9</f>
        <v>0</v>
      </c>
      <c r="F10" s="154">
        <f t="shared" si="2"/>
        <v>0</v>
      </c>
      <c r="G10" s="154">
        <f t="shared" si="2"/>
        <v>0</v>
      </c>
      <c r="H10" s="154">
        <f t="shared" si="2"/>
        <v>0</v>
      </c>
      <c r="I10" s="154">
        <f t="shared" si="2"/>
        <v>0</v>
      </c>
      <c r="J10" s="154">
        <f t="shared" si="2"/>
        <v>0</v>
      </c>
      <c r="K10" s="154">
        <f t="shared" si="2"/>
        <v>0</v>
      </c>
      <c r="L10" s="154">
        <f t="shared" si="2"/>
        <v>0</v>
      </c>
      <c r="M10" s="154">
        <f t="shared" si="2"/>
        <v>0</v>
      </c>
      <c r="N10" s="154">
        <f t="shared" si="2"/>
        <v>0</v>
      </c>
      <c r="O10" s="154">
        <f t="shared" si="2"/>
        <v>0</v>
      </c>
      <c r="P10" s="154">
        <f t="shared" si="2"/>
        <v>0</v>
      </c>
      <c r="Q10" s="154">
        <f t="shared" si="2"/>
        <v>0</v>
      </c>
      <c r="R10" s="154">
        <f t="shared" si="2"/>
        <v>0</v>
      </c>
      <c r="S10" s="154">
        <f t="shared" si="2"/>
        <v>0</v>
      </c>
      <c r="T10" s="154">
        <f t="shared" si="2"/>
        <v>0</v>
      </c>
      <c r="U10" s="154">
        <f t="shared" si="2"/>
        <v>0</v>
      </c>
      <c r="V10" s="154">
        <f t="shared" si="2"/>
        <v>0</v>
      </c>
      <c r="W10" s="154">
        <f t="shared" si="2"/>
        <v>0</v>
      </c>
      <c r="X10" s="154">
        <f t="shared" si="2"/>
        <v>0</v>
      </c>
      <c r="Y10" s="154">
        <f t="shared" si="2"/>
        <v>0</v>
      </c>
      <c r="Z10" s="154">
        <f t="shared" si="2"/>
        <v>0</v>
      </c>
      <c r="AA10" s="154">
        <f t="shared" si="2"/>
        <v>0</v>
      </c>
      <c r="AB10" s="154">
        <f t="shared" si="2"/>
        <v>0</v>
      </c>
      <c r="AC10" s="154">
        <f t="shared" si="2"/>
        <v>0</v>
      </c>
      <c r="AD10" s="154">
        <f t="shared" si="2"/>
        <v>0</v>
      </c>
      <c r="AE10" s="154">
        <f t="shared" si="2"/>
        <v>0</v>
      </c>
      <c r="AF10" s="154">
        <f t="shared" si="2"/>
        <v>0</v>
      </c>
      <c r="AG10" s="154">
        <f t="shared" si="2"/>
        <v>0</v>
      </c>
      <c r="AH10" s="154">
        <f t="shared" si="2"/>
        <v>0</v>
      </c>
      <c r="AI10" s="154">
        <f t="shared" si="2"/>
        <v>0</v>
      </c>
      <c r="AJ10" s="154">
        <f t="shared" si="2"/>
        <v>0</v>
      </c>
      <c r="AK10" s="154">
        <f t="shared" si="2"/>
        <v>0</v>
      </c>
      <c r="AL10" s="154">
        <f t="shared" si="2"/>
        <v>0</v>
      </c>
      <c r="AM10" s="154">
        <f t="shared" si="2"/>
        <v>0</v>
      </c>
      <c r="AN10" s="154">
        <f t="shared" si="0"/>
        <v>0</v>
      </c>
    </row>
    <row r="11" customHeight="1" spans="1:40">
      <c r="A11" s="157">
        <v>2</v>
      </c>
      <c r="B11" s="158" t="s">
        <v>778</v>
      </c>
      <c r="C11" s="158"/>
      <c r="D11" s="151"/>
      <c r="E11" s="151"/>
      <c r="F11" s="151"/>
      <c r="G11" s="151"/>
      <c r="H11" s="151"/>
      <c r="I11" s="151"/>
      <c r="J11" s="151"/>
      <c r="K11" s="151"/>
      <c r="L11" s="151"/>
      <c r="M11" s="151"/>
      <c r="N11" s="151"/>
      <c r="O11" s="151"/>
      <c r="P11" s="151"/>
      <c r="Q11" s="151"/>
      <c r="R11" s="151"/>
      <c r="S11" s="151"/>
      <c r="T11" s="151"/>
      <c r="U11" s="151"/>
      <c r="V11" s="151"/>
      <c r="W11" s="151"/>
      <c r="X11" s="151"/>
      <c r="Y11" s="151"/>
      <c r="Z11" s="151"/>
      <c r="AA11" s="151"/>
      <c r="AB11" s="151"/>
      <c r="AC11" s="151"/>
      <c r="AD11" s="151"/>
      <c r="AE11" s="151"/>
      <c r="AF11" s="151"/>
      <c r="AG11" s="151"/>
      <c r="AH11" s="151"/>
      <c r="AI11" s="151"/>
      <c r="AJ11" s="151"/>
      <c r="AK11" s="151"/>
      <c r="AL11" s="151"/>
      <c r="AM11" s="151"/>
      <c r="AN11" s="154">
        <f t="shared" si="0"/>
        <v>0</v>
      </c>
    </row>
    <row r="12" customHeight="1" spans="1:40">
      <c r="A12" s="159"/>
      <c r="B12" s="158" t="s">
        <v>779</v>
      </c>
      <c r="C12" s="158"/>
      <c r="D12" s="151"/>
      <c r="E12" s="151"/>
      <c r="F12" s="151"/>
      <c r="G12" s="151"/>
      <c r="H12" s="151"/>
      <c r="I12" s="151"/>
      <c r="J12" s="151"/>
      <c r="K12" s="151"/>
      <c r="L12" s="151"/>
      <c r="M12" s="151"/>
      <c r="N12" s="151"/>
      <c r="O12" s="151"/>
      <c r="P12" s="151"/>
      <c r="Q12" s="151"/>
      <c r="R12" s="151"/>
      <c r="S12" s="151"/>
      <c r="T12" s="151"/>
      <c r="U12" s="151"/>
      <c r="V12" s="151"/>
      <c r="W12" s="151"/>
      <c r="X12" s="151"/>
      <c r="Y12" s="151"/>
      <c r="Z12" s="151"/>
      <c r="AA12" s="151"/>
      <c r="AB12" s="151"/>
      <c r="AC12" s="151"/>
      <c r="AD12" s="151"/>
      <c r="AE12" s="151"/>
      <c r="AF12" s="151"/>
      <c r="AG12" s="151"/>
      <c r="AH12" s="151"/>
      <c r="AI12" s="151"/>
      <c r="AJ12" s="151"/>
      <c r="AK12" s="151"/>
      <c r="AL12" s="151"/>
      <c r="AM12" s="151"/>
      <c r="AN12" s="154">
        <f t="shared" si="0"/>
        <v>0</v>
      </c>
    </row>
    <row r="13" customHeight="1" spans="1:40">
      <c r="A13" s="159"/>
      <c r="B13" s="158" t="s">
        <v>780</v>
      </c>
      <c r="C13" s="158"/>
      <c r="D13" s="151"/>
      <c r="E13" s="151"/>
      <c r="F13" s="151"/>
      <c r="G13" s="151"/>
      <c r="H13" s="151"/>
      <c r="I13" s="151"/>
      <c r="J13" s="151"/>
      <c r="K13" s="151"/>
      <c r="L13" s="151"/>
      <c r="M13" s="151"/>
      <c r="N13" s="151"/>
      <c r="O13" s="151"/>
      <c r="P13" s="151"/>
      <c r="Q13" s="151"/>
      <c r="R13" s="151"/>
      <c r="S13" s="151"/>
      <c r="T13" s="151"/>
      <c r="U13" s="151"/>
      <c r="V13" s="151"/>
      <c r="W13" s="151"/>
      <c r="X13" s="151"/>
      <c r="Y13" s="151"/>
      <c r="Z13" s="151"/>
      <c r="AA13" s="151"/>
      <c r="AB13" s="151"/>
      <c r="AC13" s="151"/>
      <c r="AD13" s="151"/>
      <c r="AE13" s="151"/>
      <c r="AF13" s="151"/>
      <c r="AG13" s="151"/>
      <c r="AH13" s="151"/>
      <c r="AI13" s="151"/>
      <c r="AJ13" s="151"/>
      <c r="AK13" s="151"/>
      <c r="AL13" s="151"/>
      <c r="AM13" s="151"/>
      <c r="AN13" s="154">
        <f t="shared" si="0"/>
        <v>0</v>
      </c>
    </row>
    <row r="14" customHeight="1" spans="1:40">
      <c r="A14" s="159"/>
      <c r="B14" s="158" t="s">
        <v>781</v>
      </c>
      <c r="C14" s="158"/>
      <c r="D14" s="154">
        <f>D12*D13/10000</f>
        <v>0</v>
      </c>
      <c r="E14" s="154">
        <f t="shared" ref="E14" si="3">E12*E13/10000</f>
        <v>0</v>
      </c>
      <c r="F14" s="154">
        <f t="shared" ref="F14" si="4">F12*F13/10000</f>
        <v>0</v>
      </c>
      <c r="G14" s="154">
        <f t="shared" ref="G14" si="5">G12*G13/10000</f>
        <v>0</v>
      </c>
      <c r="H14" s="154">
        <f t="shared" ref="H14" si="6">H12*H13/10000</f>
        <v>0</v>
      </c>
      <c r="I14" s="154">
        <f t="shared" ref="I14" si="7">I12*I13/10000</f>
        <v>0</v>
      </c>
      <c r="J14" s="154">
        <f t="shared" ref="J14" si="8">J12*J13/10000</f>
        <v>0</v>
      </c>
      <c r="K14" s="154">
        <f t="shared" ref="K14" si="9">K12*K13/10000</f>
        <v>0</v>
      </c>
      <c r="L14" s="154">
        <f t="shared" ref="L14" si="10">L12*L13/10000</f>
        <v>0</v>
      </c>
      <c r="M14" s="154">
        <f t="shared" ref="M14" si="11">M12*M13/10000</f>
        <v>0</v>
      </c>
      <c r="N14" s="154">
        <f t="shared" ref="N14" si="12">N12*N13/10000</f>
        <v>0</v>
      </c>
      <c r="O14" s="154">
        <f t="shared" ref="O14" si="13">O12*O13/10000</f>
        <v>0</v>
      </c>
      <c r="P14" s="154">
        <f t="shared" ref="P14" si="14">P12*P13/10000</f>
        <v>0</v>
      </c>
      <c r="Q14" s="154">
        <f t="shared" ref="Q14" si="15">Q12*Q13/10000</f>
        <v>0</v>
      </c>
      <c r="R14" s="154">
        <f t="shared" ref="R14" si="16">R12*R13/10000</f>
        <v>0</v>
      </c>
      <c r="S14" s="154">
        <f t="shared" ref="S14" si="17">S12*S13/10000</f>
        <v>0</v>
      </c>
      <c r="T14" s="154">
        <f t="shared" ref="T14" si="18">T12*T13/10000</f>
        <v>0</v>
      </c>
      <c r="U14" s="154">
        <f t="shared" ref="U14" si="19">U12*U13/10000</f>
        <v>0</v>
      </c>
      <c r="V14" s="154">
        <f t="shared" ref="V14" si="20">V12*V13/10000</f>
        <v>0</v>
      </c>
      <c r="W14" s="154">
        <f t="shared" ref="W14" si="21">W12*W13/10000</f>
        <v>0</v>
      </c>
      <c r="X14" s="154">
        <f t="shared" ref="X14" si="22">X12*X13/10000</f>
        <v>0</v>
      </c>
      <c r="Y14" s="154">
        <f t="shared" ref="Y14" si="23">Y12*Y13/10000</f>
        <v>0</v>
      </c>
      <c r="Z14" s="154">
        <f t="shared" ref="Z14" si="24">Z12*Z13/10000</f>
        <v>0</v>
      </c>
      <c r="AA14" s="154">
        <f t="shared" ref="AA14" si="25">AA12*AA13/10000</f>
        <v>0</v>
      </c>
      <c r="AB14" s="154">
        <f t="shared" ref="AB14" si="26">AB12*AB13/10000</f>
        <v>0</v>
      </c>
      <c r="AC14" s="154">
        <f t="shared" ref="AC14" si="27">AC12*AC13/10000</f>
        <v>0</v>
      </c>
      <c r="AD14" s="154">
        <f t="shared" ref="AD14" si="28">AD12*AD13/10000</f>
        <v>0</v>
      </c>
      <c r="AE14" s="154">
        <f t="shared" ref="AE14" si="29">AE12*AE13/10000</f>
        <v>0</v>
      </c>
      <c r="AF14" s="154">
        <f t="shared" ref="AF14" si="30">AF12*AF13/10000</f>
        <v>0</v>
      </c>
      <c r="AG14" s="154">
        <f t="shared" ref="AG14" si="31">AG12*AG13/10000</f>
        <v>0</v>
      </c>
      <c r="AH14" s="154">
        <f t="shared" ref="AH14" si="32">AH12*AH13/10000</f>
        <v>0</v>
      </c>
      <c r="AI14" s="154">
        <f t="shared" ref="AI14" si="33">AI12*AI13/10000</f>
        <v>0</v>
      </c>
      <c r="AJ14" s="154">
        <f t="shared" ref="AJ14" si="34">AJ12*AJ13/10000</f>
        <v>0</v>
      </c>
      <c r="AK14" s="154">
        <f t="shared" ref="AK14" si="35">AK12*AK13/10000</f>
        <v>0</v>
      </c>
      <c r="AL14" s="154">
        <f t="shared" ref="AL14" si="36">AL12*AL13/10000</f>
        <v>0</v>
      </c>
      <c r="AM14" s="154">
        <f t="shared" ref="AM14" si="37">AM12*AM13/10000</f>
        <v>0</v>
      </c>
      <c r="AN14" s="154">
        <f t="shared" si="0"/>
        <v>0</v>
      </c>
    </row>
    <row r="15" customHeight="1" spans="1:40">
      <c r="A15" s="159"/>
      <c r="B15" s="158" t="s">
        <v>782</v>
      </c>
      <c r="C15" s="158"/>
      <c r="D15" s="151"/>
      <c r="E15" s="151"/>
      <c r="F15" s="151"/>
      <c r="G15" s="151"/>
      <c r="H15" s="151"/>
      <c r="I15" s="151"/>
      <c r="J15" s="151"/>
      <c r="K15" s="151"/>
      <c r="L15" s="151"/>
      <c r="M15" s="151"/>
      <c r="N15" s="151"/>
      <c r="O15" s="151"/>
      <c r="P15" s="151"/>
      <c r="Q15" s="151"/>
      <c r="R15" s="151"/>
      <c r="S15" s="151"/>
      <c r="T15" s="151"/>
      <c r="U15" s="151"/>
      <c r="V15" s="151"/>
      <c r="W15" s="151"/>
      <c r="X15" s="151"/>
      <c r="Y15" s="151"/>
      <c r="Z15" s="151"/>
      <c r="AA15" s="151"/>
      <c r="AB15" s="151"/>
      <c r="AC15" s="151"/>
      <c r="AD15" s="151"/>
      <c r="AE15" s="151"/>
      <c r="AF15" s="151"/>
      <c r="AG15" s="151"/>
      <c r="AH15" s="151"/>
      <c r="AI15" s="151"/>
      <c r="AJ15" s="151"/>
      <c r="AK15" s="151"/>
      <c r="AL15" s="151"/>
      <c r="AM15" s="151"/>
      <c r="AN15" s="154">
        <f t="shared" si="0"/>
        <v>0</v>
      </c>
    </row>
    <row r="16" customHeight="1" spans="1:40">
      <c r="A16" s="159"/>
      <c r="B16" s="158" t="s">
        <v>783</v>
      </c>
      <c r="C16" s="158"/>
      <c r="D16" s="151"/>
      <c r="E16" s="151"/>
      <c r="F16" s="151"/>
      <c r="G16" s="151"/>
      <c r="H16" s="151"/>
      <c r="I16" s="151"/>
      <c r="J16" s="151"/>
      <c r="K16" s="151"/>
      <c r="L16" s="151"/>
      <c r="M16" s="151"/>
      <c r="N16" s="151"/>
      <c r="O16" s="151"/>
      <c r="P16" s="151"/>
      <c r="Q16" s="151"/>
      <c r="R16" s="151"/>
      <c r="S16" s="151"/>
      <c r="T16" s="151"/>
      <c r="U16" s="151"/>
      <c r="V16" s="151"/>
      <c r="W16" s="151"/>
      <c r="X16" s="151"/>
      <c r="Y16" s="151"/>
      <c r="Z16" s="151"/>
      <c r="AA16" s="151"/>
      <c r="AB16" s="151"/>
      <c r="AC16" s="151"/>
      <c r="AD16" s="151"/>
      <c r="AE16" s="151"/>
      <c r="AF16" s="151"/>
      <c r="AG16" s="151"/>
      <c r="AH16" s="151"/>
      <c r="AI16" s="151"/>
      <c r="AJ16" s="151"/>
      <c r="AK16" s="151"/>
      <c r="AL16" s="151"/>
      <c r="AM16" s="151"/>
      <c r="AN16" s="154">
        <f t="shared" si="0"/>
        <v>0</v>
      </c>
    </row>
    <row r="17" customHeight="1" spans="1:40">
      <c r="A17" s="159"/>
      <c r="B17" s="158" t="s">
        <v>784</v>
      </c>
      <c r="C17" s="158"/>
      <c r="D17" s="151"/>
      <c r="E17" s="151"/>
      <c r="F17" s="151"/>
      <c r="G17" s="151"/>
      <c r="H17" s="151"/>
      <c r="I17" s="151"/>
      <c r="J17" s="151"/>
      <c r="K17" s="151"/>
      <c r="L17" s="151"/>
      <c r="M17" s="151"/>
      <c r="N17" s="151"/>
      <c r="O17" s="151"/>
      <c r="P17" s="151"/>
      <c r="Q17" s="151"/>
      <c r="R17" s="151"/>
      <c r="S17" s="151"/>
      <c r="T17" s="151"/>
      <c r="U17" s="151"/>
      <c r="V17" s="151"/>
      <c r="W17" s="151"/>
      <c r="X17" s="151"/>
      <c r="Y17" s="151"/>
      <c r="Z17" s="151"/>
      <c r="AA17" s="151"/>
      <c r="AB17" s="151"/>
      <c r="AC17" s="151"/>
      <c r="AD17" s="151"/>
      <c r="AE17" s="151"/>
      <c r="AF17" s="151"/>
      <c r="AG17" s="151"/>
      <c r="AH17" s="151"/>
      <c r="AI17" s="151"/>
      <c r="AJ17" s="151"/>
      <c r="AK17" s="151"/>
      <c r="AL17" s="151"/>
      <c r="AM17" s="151"/>
      <c r="AN17" s="154">
        <f t="shared" si="0"/>
        <v>0</v>
      </c>
    </row>
    <row r="18" customHeight="1" spans="1:40">
      <c r="A18" s="159"/>
      <c r="B18" s="158" t="s">
        <v>785</v>
      </c>
      <c r="C18" s="158"/>
      <c r="D18" s="151"/>
      <c r="E18" s="151"/>
      <c r="F18" s="151"/>
      <c r="G18" s="151"/>
      <c r="H18" s="151"/>
      <c r="I18" s="151"/>
      <c r="J18" s="151"/>
      <c r="K18" s="151"/>
      <c r="L18" s="151"/>
      <c r="M18" s="151"/>
      <c r="N18" s="151"/>
      <c r="O18" s="151"/>
      <c r="P18" s="151"/>
      <c r="Q18" s="151"/>
      <c r="R18" s="151"/>
      <c r="S18" s="151"/>
      <c r="T18" s="151"/>
      <c r="U18" s="151"/>
      <c r="V18" s="151"/>
      <c r="W18" s="151"/>
      <c r="X18" s="151"/>
      <c r="Y18" s="151"/>
      <c r="Z18" s="151"/>
      <c r="AA18" s="151"/>
      <c r="AB18" s="151"/>
      <c r="AC18" s="151"/>
      <c r="AD18" s="151"/>
      <c r="AE18" s="151"/>
      <c r="AF18" s="151"/>
      <c r="AG18" s="151"/>
      <c r="AH18" s="151"/>
      <c r="AI18" s="151"/>
      <c r="AJ18" s="151"/>
      <c r="AK18" s="151"/>
      <c r="AL18" s="151"/>
      <c r="AM18" s="151"/>
      <c r="AN18" s="154">
        <f t="shared" si="0"/>
        <v>0</v>
      </c>
    </row>
    <row r="19" customHeight="1" spans="1:40">
      <c r="A19" s="160"/>
      <c r="B19" s="158" t="s">
        <v>786</v>
      </c>
      <c r="C19" s="158"/>
      <c r="D19" s="154">
        <f>D17+D18</f>
        <v>0</v>
      </c>
      <c r="E19" s="154">
        <f t="shared" ref="E19" si="38">E17+E18</f>
        <v>0</v>
      </c>
      <c r="F19" s="154">
        <f t="shared" ref="F19" si="39">F17+F18</f>
        <v>0</v>
      </c>
      <c r="G19" s="154">
        <f t="shared" ref="G19" si="40">G17+G18</f>
        <v>0</v>
      </c>
      <c r="H19" s="154">
        <f t="shared" ref="H19" si="41">H17+H18</f>
        <v>0</v>
      </c>
      <c r="I19" s="154">
        <f t="shared" ref="I19" si="42">I17+I18</f>
        <v>0</v>
      </c>
      <c r="J19" s="154">
        <f t="shared" ref="J19" si="43">J17+J18</f>
        <v>0</v>
      </c>
      <c r="K19" s="154">
        <f t="shared" ref="K19" si="44">K17+K18</f>
        <v>0</v>
      </c>
      <c r="L19" s="154">
        <f t="shared" ref="L19" si="45">L17+L18</f>
        <v>0</v>
      </c>
      <c r="M19" s="154">
        <f t="shared" ref="M19" si="46">M17+M18</f>
        <v>0</v>
      </c>
      <c r="N19" s="154">
        <f t="shared" ref="N19" si="47">N17+N18</f>
        <v>0</v>
      </c>
      <c r="O19" s="154">
        <f t="shared" ref="O19" si="48">O17+O18</f>
        <v>0</v>
      </c>
      <c r="P19" s="154">
        <f t="shared" ref="P19" si="49">P17+P18</f>
        <v>0</v>
      </c>
      <c r="Q19" s="154">
        <f t="shared" ref="Q19" si="50">Q17+Q18</f>
        <v>0</v>
      </c>
      <c r="R19" s="154">
        <f t="shared" ref="R19" si="51">R17+R18</f>
        <v>0</v>
      </c>
      <c r="S19" s="154">
        <f t="shared" ref="S19" si="52">S17+S18</f>
        <v>0</v>
      </c>
      <c r="T19" s="154">
        <f t="shared" ref="T19" si="53">T17+T18</f>
        <v>0</v>
      </c>
      <c r="U19" s="154">
        <f t="shared" ref="U19" si="54">U17+U18</f>
        <v>0</v>
      </c>
      <c r="V19" s="154">
        <f t="shared" ref="V19" si="55">V17+V18</f>
        <v>0</v>
      </c>
      <c r="W19" s="154">
        <f t="shared" ref="W19" si="56">W17+W18</f>
        <v>0</v>
      </c>
      <c r="X19" s="154">
        <f t="shared" ref="X19" si="57">X17+X18</f>
        <v>0</v>
      </c>
      <c r="Y19" s="154">
        <f t="shared" ref="Y19" si="58">Y17+Y18</f>
        <v>0</v>
      </c>
      <c r="Z19" s="154">
        <f t="shared" ref="Z19" si="59">Z17+Z18</f>
        <v>0</v>
      </c>
      <c r="AA19" s="154">
        <f t="shared" ref="AA19" si="60">AA17+AA18</f>
        <v>0</v>
      </c>
      <c r="AB19" s="154">
        <f t="shared" ref="AB19" si="61">AB17+AB18</f>
        <v>0</v>
      </c>
      <c r="AC19" s="154">
        <f t="shared" ref="AC19" si="62">AC17+AC18</f>
        <v>0</v>
      </c>
      <c r="AD19" s="154">
        <f t="shared" ref="AD19" si="63">AD17+AD18</f>
        <v>0</v>
      </c>
      <c r="AE19" s="154">
        <f t="shared" ref="AE19" si="64">AE17+AE18</f>
        <v>0</v>
      </c>
      <c r="AF19" s="154">
        <f t="shared" ref="AF19" si="65">AF17+AF18</f>
        <v>0</v>
      </c>
      <c r="AG19" s="154">
        <f t="shared" ref="AG19" si="66">AG17+AG18</f>
        <v>0</v>
      </c>
      <c r="AH19" s="154">
        <f t="shared" ref="AH19" si="67">AH17+AH18</f>
        <v>0</v>
      </c>
      <c r="AI19" s="154">
        <f t="shared" ref="AI19" si="68">AI17+AI18</f>
        <v>0</v>
      </c>
      <c r="AJ19" s="154">
        <f t="shared" ref="AJ19" si="69">AJ17+AJ18</f>
        <v>0</v>
      </c>
      <c r="AK19" s="154">
        <f t="shared" ref="AK19" si="70">AK17+AK18</f>
        <v>0</v>
      </c>
      <c r="AL19" s="154">
        <f t="shared" ref="AL19" si="71">AL17+AL18</f>
        <v>0</v>
      </c>
      <c r="AM19" s="154">
        <f t="shared" ref="AM19" si="72">AM17+AM18</f>
        <v>0</v>
      </c>
      <c r="AN19" s="154">
        <f t="shared" si="0"/>
        <v>0</v>
      </c>
    </row>
    <row r="20" customHeight="1" spans="1:40">
      <c r="A20" s="161">
        <v>3</v>
      </c>
      <c r="B20" s="162" t="s">
        <v>778</v>
      </c>
      <c r="C20" s="162"/>
      <c r="D20" s="151"/>
      <c r="E20" s="151"/>
      <c r="F20" s="151"/>
      <c r="G20" s="151"/>
      <c r="H20" s="151"/>
      <c r="I20" s="151"/>
      <c r="J20" s="151"/>
      <c r="K20" s="151"/>
      <c r="L20" s="151"/>
      <c r="M20" s="151"/>
      <c r="N20" s="151"/>
      <c r="O20" s="151"/>
      <c r="P20" s="151"/>
      <c r="Q20" s="151"/>
      <c r="R20" s="151"/>
      <c r="S20" s="151"/>
      <c r="T20" s="151"/>
      <c r="U20" s="151"/>
      <c r="V20" s="151"/>
      <c r="W20" s="151"/>
      <c r="X20" s="151"/>
      <c r="Y20" s="151"/>
      <c r="Z20" s="151"/>
      <c r="AA20" s="151"/>
      <c r="AB20" s="151"/>
      <c r="AC20" s="151"/>
      <c r="AD20" s="151"/>
      <c r="AE20" s="151"/>
      <c r="AF20" s="151"/>
      <c r="AG20" s="151"/>
      <c r="AH20" s="151"/>
      <c r="AI20" s="151"/>
      <c r="AJ20" s="151"/>
      <c r="AK20" s="151"/>
      <c r="AL20" s="151"/>
      <c r="AM20" s="151"/>
      <c r="AN20" s="154">
        <f t="shared" si="0"/>
        <v>0</v>
      </c>
    </row>
    <row r="21" customHeight="1" spans="1:40">
      <c r="A21" s="163"/>
      <c r="B21" s="162" t="s">
        <v>779</v>
      </c>
      <c r="C21" s="162"/>
      <c r="D21" s="151"/>
      <c r="E21" s="151"/>
      <c r="F21" s="151"/>
      <c r="G21" s="151"/>
      <c r="H21" s="151"/>
      <c r="I21" s="151"/>
      <c r="J21" s="151"/>
      <c r="K21" s="151"/>
      <c r="L21" s="151"/>
      <c r="M21" s="151"/>
      <c r="N21" s="151"/>
      <c r="O21" s="151"/>
      <c r="P21" s="151"/>
      <c r="Q21" s="151"/>
      <c r="R21" s="151"/>
      <c r="S21" s="151"/>
      <c r="T21" s="151"/>
      <c r="U21" s="151"/>
      <c r="V21" s="151"/>
      <c r="W21" s="151"/>
      <c r="X21" s="151"/>
      <c r="Y21" s="151"/>
      <c r="Z21" s="151"/>
      <c r="AA21" s="151"/>
      <c r="AB21" s="151"/>
      <c r="AC21" s="151"/>
      <c r="AD21" s="151"/>
      <c r="AE21" s="151"/>
      <c r="AF21" s="151"/>
      <c r="AG21" s="151"/>
      <c r="AH21" s="151"/>
      <c r="AI21" s="151"/>
      <c r="AJ21" s="151"/>
      <c r="AK21" s="151"/>
      <c r="AL21" s="151"/>
      <c r="AM21" s="151"/>
      <c r="AN21" s="154">
        <f t="shared" si="0"/>
        <v>0</v>
      </c>
    </row>
    <row r="22" customHeight="1" spans="1:40">
      <c r="A22" s="163"/>
      <c r="B22" s="162" t="s">
        <v>780</v>
      </c>
      <c r="C22" s="162"/>
      <c r="D22" s="151"/>
      <c r="E22" s="151"/>
      <c r="F22" s="151"/>
      <c r="G22" s="151"/>
      <c r="H22" s="151"/>
      <c r="I22" s="151"/>
      <c r="J22" s="151"/>
      <c r="K22" s="151"/>
      <c r="L22" s="151"/>
      <c r="M22" s="151"/>
      <c r="N22" s="151"/>
      <c r="O22" s="151"/>
      <c r="P22" s="151"/>
      <c r="Q22" s="151"/>
      <c r="R22" s="151"/>
      <c r="S22" s="151"/>
      <c r="T22" s="151"/>
      <c r="U22" s="151"/>
      <c r="V22" s="151"/>
      <c r="W22" s="151"/>
      <c r="X22" s="151"/>
      <c r="Y22" s="151"/>
      <c r="Z22" s="151"/>
      <c r="AA22" s="151"/>
      <c r="AB22" s="151"/>
      <c r="AC22" s="151"/>
      <c r="AD22" s="151"/>
      <c r="AE22" s="151"/>
      <c r="AF22" s="151"/>
      <c r="AG22" s="151"/>
      <c r="AH22" s="151"/>
      <c r="AI22" s="151"/>
      <c r="AJ22" s="151"/>
      <c r="AK22" s="151"/>
      <c r="AL22" s="151"/>
      <c r="AM22" s="151"/>
      <c r="AN22" s="154">
        <f t="shared" si="0"/>
        <v>0</v>
      </c>
    </row>
    <row r="23" customHeight="1" spans="1:40">
      <c r="A23" s="163"/>
      <c r="B23" s="162" t="s">
        <v>781</v>
      </c>
      <c r="C23" s="162"/>
      <c r="D23" s="154">
        <f>D21*D22/10000</f>
        <v>0</v>
      </c>
      <c r="E23" s="154">
        <f t="shared" ref="E23" si="73">E21*E22/10000</f>
        <v>0</v>
      </c>
      <c r="F23" s="154">
        <f t="shared" ref="F23" si="74">F21*F22/10000</f>
        <v>0</v>
      </c>
      <c r="G23" s="154">
        <f t="shared" ref="G23" si="75">G21*G22/10000</f>
        <v>0</v>
      </c>
      <c r="H23" s="154">
        <f t="shared" ref="H23" si="76">H21*H22/10000</f>
        <v>0</v>
      </c>
      <c r="I23" s="154">
        <f t="shared" ref="I23" si="77">I21*I22/10000</f>
        <v>0</v>
      </c>
      <c r="J23" s="154">
        <f t="shared" ref="J23" si="78">J21*J22/10000</f>
        <v>0</v>
      </c>
      <c r="K23" s="154">
        <f t="shared" ref="K23" si="79">K21*K22/10000</f>
        <v>0</v>
      </c>
      <c r="L23" s="154">
        <f t="shared" ref="L23" si="80">L21*L22/10000</f>
        <v>0</v>
      </c>
      <c r="M23" s="154">
        <f t="shared" ref="M23" si="81">M21*M22/10000</f>
        <v>0</v>
      </c>
      <c r="N23" s="154">
        <f t="shared" ref="N23" si="82">N21*N22/10000</f>
        <v>0</v>
      </c>
      <c r="O23" s="154">
        <f t="shared" ref="O23" si="83">O21*O22/10000</f>
        <v>0</v>
      </c>
      <c r="P23" s="154">
        <f t="shared" ref="P23" si="84">P21*P22/10000</f>
        <v>0</v>
      </c>
      <c r="Q23" s="154">
        <f t="shared" ref="Q23" si="85">Q21*Q22/10000</f>
        <v>0</v>
      </c>
      <c r="R23" s="154">
        <f t="shared" ref="R23" si="86">R21*R22/10000</f>
        <v>0</v>
      </c>
      <c r="S23" s="154">
        <f t="shared" ref="S23" si="87">S21*S22/10000</f>
        <v>0</v>
      </c>
      <c r="T23" s="154">
        <f t="shared" ref="T23" si="88">T21*T22/10000</f>
        <v>0</v>
      </c>
      <c r="U23" s="154">
        <f t="shared" ref="U23" si="89">U21*U22/10000</f>
        <v>0</v>
      </c>
      <c r="V23" s="154">
        <f t="shared" ref="V23" si="90">V21*V22/10000</f>
        <v>0</v>
      </c>
      <c r="W23" s="154">
        <f t="shared" ref="W23" si="91">W21*W22/10000</f>
        <v>0</v>
      </c>
      <c r="X23" s="154">
        <f t="shared" ref="X23" si="92">X21*X22/10000</f>
        <v>0</v>
      </c>
      <c r="Y23" s="154">
        <f t="shared" ref="Y23" si="93">Y21*Y22/10000</f>
        <v>0</v>
      </c>
      <c r="Z23" s="154">
        <f t="shared" ref="Z23" si="94">Z21*Z22/10000</f>
        <v>0</v>
      </c>
      <c r="AA23" s="154">
        <f t="shared" ref="AA23" si="95">AA21*AA22/10000</f>
        <v>0</v>
      </c>
      <c r="AB23" s="154">
        <f t="shared" ref="AB23" si="96">AB21*AB22/10000</f>
        <v>0</v>
      </c>
      <c r="AC23" s="154">
        <f t="shared" ref="AC23" si="97">AC21*AC22/10000</f>
        <v>0</v>
      </c>
      <c r="AD23" s="154">
        <f t="shared" ref="AD23" si="98">AD21*AD22/10000</f>
        <v>0</v>
      </c>
      <c r="AE23" s="154">
        <f t="shared" ref="AE23" si="99">AE21*AE22/10000</f>
        <v>0</v>
      </c>
      <c r="AF23" s="154">
        <f t="shared" ref="AF23" si="100">AF21*AF22/10000</f>
        <v>0</v>
      </c>
      <c r="AG23" s="154">
        <f t="shared" ref="AG23" si="101">AG21*AG22/10000</f>
        <v>0</v>
      </c>
      <c r="AH23" s="154">
        <f t="shared" ref="AH23" si="102">AH21*AH22/10000</f>
        <v>0</v>
      </c>
      <c r="AI23" s="154">
        <f t="shared" ref="AI23" si="103">AI21*AI22/10000</f>
        <v>0</v>
      </c>
      <c r="AJ23" s="154">
        <f t="shared" ref="AJ23" si="104">AJ21*AJ22/10000</f>
        <v>0</v>
      </c>
      <c r="AK23" s="154">
        <f t="shared" ref="AK23" si="105">AK21*AK22/10000</f>
        <v>0</v>
      </c>
      <c r="AL23" s="154">
        <f t="shared" ref="AL23" si="106">AL21*AL22/10000</f>
        <v>0</v>
      </c>
      <c r="AM23" s="154">
        <f t="shared" ref="AM23" si="107">AM21*AM22/10000</f>
        <v>0</v>
      </c>
      <c r="AN23" s="154">
        <f t="shared" si="0"/>
        <v>0</v>
      </c>
    </row>
    <row r="24" customHeight="1" spans="1:40">
      <c r="A24" s="163"/>
      <c r="B24" s="162" t="s">
        <v>782</v>
      </c>
      <c r="C24" s="162"/>
      <c r="D24" s="151"/>
      <c r="E24" s="151"/>
      <c r="F24" s="151"/>
      <c r="G24" s="151"/>
      <c r="H24" s="151"/>
      <c r="I24" s="151"/>
      <c r="J24" s="151"/>
      <c r="K24" s="151"/>
      <c r="L24" s="151"/>
      <c r="M24" s="151"/>
      <c r="N24" s="151"/>
      <c r="O24" s="151"/>
      <c r="P24" s="151"/>
      <c r="Q24" s="151"/>
      <c r="R24" s="151"/>
      <c r="S24" s="151"/>
      <c r="T24" s="151"/>
      <c r="U24" s="151"/>
      <c r="V24" s="151"/>
      <c r="W24" s="151"/>
      <c r="X24" s="151"/>
      <c r="Y24" s="151"/>
      <c r="Z24" s="151"/>
      <c r="AA24" s="151"/>
      <c r="AB24" s="151"/>
      <c r="AC24" s="151"/>
      <c r="AD24" s="151"/>
      <c r="AE24" s="151"/>
      <c r="AF24" s="151"/>
      <c r="AG24" s="151"/>
      <c r="AH24" s="151"/>
      <c r="AI24" s="151"/>
      <c r="AJ24" s="151"/>
      <c r="AK24" s="151"/>
      <c r="AL24" s="151"/>
      <c r="AM24" s="151"/>
      <c r="AN24" s="154">
        <f t="shared" si="0"/>
        <v>0</v>
      </c>
    </row>
    <row r="25" customHeight="1" spans="1:40">
      <c r="A25" s="163"/>
      <c r="B25" s="162" t="s">
        <v>783</v>
      </c>
      <c r="C25" s="162"/>
      <c r="D25" s="151"/>
      <c r="E25" s="151"/>
      <c r="F25" s="151"/>
      <c r="G25" s="151"/>
      <c r="H25" s="151"/>
      <c r="I25" s="151"/>
      <c r="J25" s="151"/>
      <c r="K25" s="151"/>
      <c r="L25" s="151"/>
      <c r="M25" s="151"/>
      <c r="N25" s="151"/>
      <c r="O25" s="151"/>
      <c r="P25" s="151"/>
      <c r="Q25" s="151"/>
      <c r="R25" s="151"/>
      <c r="S25" s="151"/>
      <c r="T25" s="151"/>
      <c r="U25" s="151"/>
      <c r="V25" s="151"/>
      <c r="W25" s="151"/>
      <c r="X25" s="151"/>
      <c r="Y25" s="151"/>
      <c r="Z25" s="151"/>
      <c r="AA25" s="151"/>
      <c r="AB25" s="151"/>
      <c r="AC25" s="151"/>
      <c r="AD25" s="151"/>
      <c r="AE25" s="151"/>
      <c r="AF25" s="151"/>
      <c r="AG25" s="151"/>
      <c r="AH25" s="151"/>
      <c r="AI25" s="151"/>
      <c r="AJ25" s="151"/>
      <c r="AK25" s="151"/>
      <c r="AL25" s="151"/>
      <c r="AM25" s="151"/>
      <c r="AN25" s="154">
        <f t="shared" si="0"/>
        <v>0</v>
      </c>
    </row>
    <row r="26" customHeight="1" spans="1:40">
      <c r="A26" s="163"/>
      <c r="B26" s="162" t="s">
        <v>784</v>
      </c>
      <c r="C26" s="162"/>
      <c r="D26" s="151"/>
      <c r="E26" s="151"/>
      <c r="F26" s="151"/>
      <c r="G26" s="151"/>
      <c r="H26" s="151"/>
      <c r="I26" s="151"/>
      <c r="J26" s="151"/>
      <c r="K26" s="151"/>
      <c r="L26" s="151"/>
      <c r="M26" s="151"/>
      <c r="N26" s="151"/>
      <c r="O26" s="151"/>
      <c r="P26" s="151"/>
      <c r="Q26" s="151"/>
      <c r="R26" s="151"/>
      <c r="S26" s="151"/>
      <c r="T26" s="151"/>
      <c r="U26" s="151"/>
      <c r="V26" s="151"/>
      <c r="W26" s="151"/>
      <c r="X26" s="151"/>
      <c r="Y26" s="151"/>
      <c r="Z26" s="151"/>
      <c r="AA26" s="151"/>
      <c r="AB26" s="151"/>
      <c r="AC26" s="151"/>
      <c r="AD26" s="151"/>
      <c r="AE26" s="151"/>
      <c r="AF26" s="151"/>
      <c r="AG26" s="151"/>
      <c r="AH26" s="151"/>
      <c r="AI26" s="151"/>
      <c r="AJ26" s="151"/>
      <c r="AK26" s="151"/>
      <c r="AL26" s="151"/>
      <c r="AM26" s="151"/>
      <c r="AN26" s="154">
        <f t="shared" si="0"/>
        <v>0</v>
      </c>
    </row>
    <row r="27" customHeight="1" spans="1:40">
      <c r="A27" s="163"/>
      <c r="B27" s="162" t="s">
        <v>785</v>
      </c>
      <c r="C27" s="162"/>
      <c r="D27" s="151"/>
      <c r="E27" s="151"/>
      <c r="F27" s="151"/>
      <c r="G27" s="151"/>
      <c r="H27" s="151"/>
      <c r="I27" s="151"/>
      <c r="J27" s="151"/>
      <c r="K27" s="151"/>
      <c r="L27" s="151"/>
      <c r="M27" s="151"/>
      <c r="N27" s="151"/>
      <c r="O27" s="151"/>
      <c r="P27" s="151"/>
      <c r="Q27" s="151"/>
      <c r="R27" s="151"/>
      <c r="S27" s="151"/>
      <c r="T27" s="151"/>
      <c r="U27" s="151"/>
      <c r="V27" s="151"/>
      <c r="W27" s="151"/>
      <c r="X27" s="151"/>
      <c r="Y27" s="151"/>
      <c r="Z27" s="151"/>
      <c r="AA27" s="151"/>
      <c r="AB27" s="151"/>
      <c r="AC27" s="151"/>
      <c r="AD27" s="151"/>
      <c r="AE27" s="151"/>
      <c r="AF27" s="151"/>
      <c r="AG27" s="151"/>
      <c r="AH27" s="151"/>
      <c r="AI27" s="151"/>
      <c r="AJ27" s="151"/>
      <c r="AK27" s="151"/>
      <c r="AL27" s="151"/>
      <c r="AM27" s="151"/>
      <c r="AN27" s="154">
        <f t="shared" si="0"/>
        <v>0</v>
      </c>
    </row>
    <row r="28" customHeight="1" spans="1:40">
      <c r="A28" s="164"/>
      <c r="B28" s="162" t="s">
        <v>786</v>
      </c>
      <c r="C28" s="162"/>
      <c r="D28" s="154">
        <f>D26+D27</f>
        <v>0</v>
      </c>
      <c r="E28" s="154">
        <f t="shared" ref="E28" si="108">E26+E27</f>
        <v>0</v>
      </c>
      <c r="F28" s="154">
        <f t="shared" ref="F28" si="109">F26+F27</f>
        <v>0</v>
      </c>
      <c r="G28" s="154">
        <f t="shared" ref="G28" si="110">G26+G27</f>
        <v>0</v>
      </c>
      <c r="H28" s="154">
        <f t="shared" ref="H28" si="111">H26+H27</f>
        <v>0</v>
      </c>
      <c r="I28" s="154">
        <f t="shared" ref="I28" si="112">I26+I27</f>
        <v>0</v>
      </c>
      <c r="J28" s="154">
        <f t="shared" ref="J28" si="113">J26+J27</f>
        <v>0</v>
      </c>
      <c r="K28" s="154">
        <f t="shared" ref="K28" si="114">K26+K27</f>
        <v>0</v>
      </c>
      <c r="L28" s="154">
        <f t="shared" ref="L28" si="115">L26+L27</f>
        <v>0</v>
      </c>
      <c r="M28" s="154">
        <f t="shared" ref="M28" si="116">M26+M27</f>
        <v>0</v>
      </c>
      <c r="N28" s="154">
        <f t="shared" ref="N28" si="117">N26+N27</f>
        <v>0</v>
      </c>
      <c r="O28" s="154">
        <f t="shared" ref="O28" si="118">O26+O27</f>
        <v>0</v>
      </c>
      <c r="P28" s="154">
        <f t="shared" ref="P28" si="119">P26+P27</f>
        <v>0</v>
      </c>
      <c r="Q28" s="154">
        <f t="shared" ref="Q28" si="120">Q26+Q27</f>
        <v>0</v>
      </c>
      <c r="R28" s="154">
        <f t="shared" ref="R28" si="121">R26+R27</f>
        <v>0</v>
      </c>
      <c r="S28" s="154">
        <f t="shared" ref="S28" si="122">S26+S27</f>
        <v>0</v>
      </c>
      <c r="T28" s="154">
        <f t="shared" ref="T28" si="123">T26+T27</f>
        <v>0</v>
      </c>
      <c r="U28" s="154">
        <f t="shared" ref="U28" si="124">U26+U27</f>
        <v>0</v>
      </c>
      <c r="V28" s="154">
        <f t="shared" ref="V28" si="125">V26+V27</f>
        <v>0</v>
      </c>
      <c r="W28" s="154">
        <f t="shared" ref="W28" si="126">W26+W27</f>
        <v>0</v>
      </c>
      <c r="X28" s="154">
        <f t="shared" ref="X28" si="127">X26+X27</f>
        <v>0</v>
      </c>
      <c r="Y28" s="154">
        <f t="shared" ref="Y28" si="128">Y26+Y27</f>
        <v>0</v>
      </c>
      <c r="Z28" s="154">
        <f t="shared" ref="Z28" si="129">Z26+Z27</f>
        <v>0</v>
      </c>
      <c r="AA28" s="154">
        <f t="shared" ref="AA28" si="130">AA26+AA27</f>
        <v>0</v>
      </c>
      <c r="AB28" s="154">
        <f t="shared" ref="AB28" si="131">AB26+AB27</f>
        <v>0</v>
      </c>
      <c r="AC28" s="154">
        <f t="shared" ref="AC28" si="132">AC26+AC27</f>
        <v>0</v>
      </c>
      <c r="AD28" s="154">
        <f t="shared" ref="AD28" si="133">AD26+AD27</f>
        <v>0</v>
      </c>
      <c r="AE28" s="154">
        <f t="shared" ref="AE28" si="134">AE26+AE27</f>
        <v>0</v>
      </c>
      <c r="AF28" s="154">
        <f t="shared" ref="AF28" si="135">AF26+AF27</f>
        <v>0</v>
      </c>
      <c r="AG28" s="154">
        <f t="shared" ref="AG28" si="136">AG26+AG27</f>
        <v>0</v>
      </c>
      <c r="AH28" s="154">
        <f t="shared" ref="AH28" si="137">AH26+AH27</f>
        <v>0</v>
      </c>
      <c r="AI28" s="154">
        <f t="shared" ref="AI28" si="138">AI26+AI27</f>
        <v>0</v>
      </c>
      <c r="AJ28" s="154">
        <f t="shared" ref="AJ28" si="139">AJ26+AJ27</f>
        <v>0</v>
      </c>
      <c r="AK28" s="154">
        <f t="shared" ref="AK28" si="140">AK26+AK27</f>
        <v>0</v>
      </c>
      <c r="AL28" s="154">
        <f t="shared" ref="AL28" si="141">AL26+AL27</f>
        <v>0</v>
      </c>
      <c r="AM28" s="154">
        <f t="shared" ref="AM28" si="142">AM26+AM27</f>
        <v>0</v>
      </c>
      <c r="AN28" s="154">
        <f t="shared" si="0"/>
        <v>0</v>
      </c>
    </row>
    <row r="29" customHeight="1" spans="1:40">
      <c r="A29" s="157">
        <v>4</v>
      </c>
      <c r="B29" s="158" t="s">
        <v>778</v>
      </c>
      <c r="C29" s="158"/>
      <c r="D29" s="151"/>
      <c r="E29" s="151"/>
      <c r="F29" s="151"/>
      <c r="G29" s="151"/>
      <c r="H29" s="151"/>
      <c r="I29" s="151"/>
      <c r="J29" s="151"/>
      <c r="K29" s="151"/>
      <c r="L29" s="151"/>
      <c r="M29" s="151"/>
      <c r="N29" s="151"/>
      <c r="O29" s="151"/>
      <c r="P29" s="151"/>
      <c r="Q29" s="151"/>
      <c r="R29" s="151"/>
      <c r="S29" s="151"/>
      <c r="T29" s="151"/>
      <c r="U29" s="151"/>
      <c r="V29" s="151"/>
      <c r="W29" s="151"/>
      <c r="X29" s="151"/>
      <c r="Y29" s="151"/>
      <c r="Z29" s="151"/>
      <c r="AA29" s="151"/>
      <c r="AB29" s="151"/>
      <c r="AC29" s="151"/>
      <c r="AD29" s="151"/>
      <c r="AE29" s="151"/>
      <c r="AF29" s="151"/>
      <c r="AG29" s="151"/>
      <c r="AH29" s="151"/>
      <c r="AI29" s="151"/>
      <c r="AJ29" s="151"/>
      <c r="AK29" s="151"/>
      <c r="AL29" s="151"/>
      <c r="AM29" s="151"/>
      <c r="AN29" s="154">
        <f t="shared" si="0"/>
        <v>0</v>
      </c>
    </row>
    <row r="30" customHeight="1" spans="1:40">
      <c r="A30" s="159"/>
      <c r="B30" s="158" t="s">
        <v>779</v>
      </c>
      <c r="C30" s="158"/>
      <c r="D30" s="151"/>
      <c r="E30" s="151"/>
      <c r="F30" s="151"/>
      <c r="G30" s="151"/>
      <c r="H30" s="151"/>
      <c r="I30" s="151"/>
      <c r="J30" s="151"/>
      <c r="K30" s="151"/>
      <c r="L30" s="151"/>
      <c r="M30" s="151"/>
      <c r="N30" s="151"/>
      <c r="O30" s="151"/>
      <c r="P30" s="151"/>
      <c r="Q30" s="151"/>
      <c r="R30" s="151"/>
      <c r="S30" s="151"/>
      <c r="T30" s="151"/>
      <c r="U30" s="151"/>
      <c r="V30" s="151"/>
      <c r="W30" s="151"/>
      <c r="X30" s="151"/>
      <c r="Y30" s="151"/>
      <c r="Z30" s="151"/>
      <c r="AA30" s="151"/>
      <c r="AB30" s="151"/>
      <c r="AC30" s="151"/>
      <c r="AD30" s="151"/>
      <c r="AE30" s="151"/>
      <c r="AF30" s="151"/>
      <c r="AG30" s="151"/>
      <c r="AH30" s="151"/>
      <c r="AI30" s="151"/>
      <c r="AJ30" s="151"/>
      <c r="AK30" s="151"/>
      <c r="AL30" s="151"/>
      <c r="AM30" s="151"/>
      <c r="AN30" s="154">
        <f t="shared" si="0"/>
        <v>0</v>
      </c>
    </row>
    <row r="31" customHeight="1" spans="1:40">
      <c r="A31" s="159"/>
      <c r="B31" s="158" t="s">
        <v>780</v>
      </c>
      <c r="C31" s="158"/>
      <c r="D31" s="151"/>
      <c r="E31" s="151"/>
      <c r="F31" s="151"/>
      <c r="G31" s="151"/>
      <c r="H31" s="151"/>
      <c r="I31" s="151"/>
      <c r="J31" s="151"/>
      <c r="K31" s="151"/>
      <c r="L31" s="151"/>
      <c r="M31" s="151"/>
      <c r="N31" s="151"/>
      <c r="O31" s="151"/>
      <c r="P31" s="151"/>
      <c r="Q31" s="151"/>
      <c r="R31" s="151"/>
      <c r="S31" s="151"/>
      <c r="T31" s="151"/>
      <c r="U31" s="151"/>
      <c r="V31" s="151"/>
      <c r="W31" s="151"/>
      <c r="X31" s="151"/>
      <c r="Y31" s="151"/>
      <c r="Z31" s="151"/>
      <c r="AA31" s="151"/>
      <c r="AB31" s="151"/>
      <c r="AC31" s="151"/>
      <c r="AD31" s="151"/>
      <c r="AE31" s="151"/>
      <c r="AF31" s="151"/>
      <c r="AG31" s="151"/>
      <c r="AH31" s="151"/>
      <c r="AI31" s="151"/>
      <c r="AJ31" s="151"/>
      <c r="AK31" s="151"/>
      <c r="AL31" s="151"/>
      <c r="AM31" s="151"/>
      <c r="AN31" s="154">
        <f t="shared" si="0"/>
        <v>0</v>
      </c>
    </row>
    <row r="32" customHeight="1" spans="1:40">
      <c r="A32" s="159"/>
      <c r="B32" s="158" t="s">
        <v>781</v>
      </c>
      <c r="C32" s="158"/>
      <c r="D32" s="154">
        <f>D30*D31/10000</f>
        <v>0</v>
      </c>
      <c r="E32" s="154">
        <f t="shared" ref="E32" si="143">E30*E31/10000</f>
        <v>0</v>
      </c>
      <c r="F32" s="154">
        <f t="shared" ref="F32" si="144">F30*F31/10000</f>
        <v>0</v>
      </c>
      <c r="G32" s="154">
        <f t="shared" ref="G32" si="145">G30*G31/10000</f>
        <v>0</v>
      </c>
      <c r="H32" s="154">
        <f t="shared" ref="H32" si="146">H30*H31/10000</f>
        <v>0</v>
      </c>
      <c r="I32" s="154">
        <f t="shared" ref="I32" si="147">I30*I31/10000</f>
        <v>0</v>
      </c>
      <c r="J32" s="154">
        <f t="shared" ref="J32" si="148">J30*J31/10000</f>
        <v>0</v>
      </c>
      <c r="K32" s="154">
        <f t="shared" ref="K32" si="149">K30*K31/10000</f>
        <v>0</v>
      </c>
      <c r="L32" s="154">
        <f t="shared" ref="L32" si="150">L30*L31/10000</f>
        <v>0</v>
      </c>
      <c r="M32" s="154">
        <f t="shared" ref="M32" si="151">M30*M31/10000</f>
        <v>0</v>
      </c>
      <c r="N32" s="154">
        <f t="shared" ref="N32" si="152">N30*N31/10000</f>
        <v>0</v>
      </c>
      <c r="O32" s="154">
        <f t="shared" ref="O32" si="153">O30*O31/10000</f>
        <v>0</v>
      </c>
      <c r="P32" s="154">
        <f t="shared" ref="P32" si="154">P30*P31/10000</f>
        <v>0</v>
      </c>
      <c r="Q32" s="154">
        <f t="shared" ref="Q32" si="155">Q30*Q31/10000</f>
        <v>0</v>
      </c>
      <c r="R32" s="154">
        <f t="shared" ref="R32" si="156">R30*R31/10000</f>
        <v>0</v>
      </c>
      <c r="S32" s="154">
        <f t="shared" ref="S32" si="157">S30*S31/10000</f>
        <v>0</v>
      </c>
      <c r="T32" s="154">
        <f t="shared" ref="T32" si="158">T30*T31/10000</f>
        <v>0</v>
      </c>
      <c r="U32" s="154">
        <f t="shared" ref="U32" si="159">U30*U31/10000</f>
        <v>0</v>
      </c>
      <c r="V32" s="154">
        <f t="shared" ref="V32" si="160">V30*V31/10000</f>
        <v>0</v>
      </c>
      <c r="W32" s="154">
        <f t="shared" ref="W32" si="161">W30*W31/10000</f>
        <v>0</v>
      </c>
      <c r="X32" s="154">
        <f t="shared" ref="X32" si="162">X30*X31/10000</f>
        <v>0</v>
      </c>
      <c r="Y32" s="154">
        <f t="shared" ref="Y32" si="163">Y30*Y31/10000</f>
        <v>0</v>
      </c>
      <c r="Z32" s="154">
        <f t="shared" ref="Z32" si="164">Z30*Z31/10000</f>
        <v>0</v>
      </c>
      <c r="AA32" s="154">
        <f t="shared" ref="AA32" si="165">AA30*AA31/10000</f>
        <v>0</v>
      </c>
      <c r="AB32" s="154">
        <f t="shared" ref="AB32" si="166">AB30*AB31/10000</f>
        <v>0</v>
      </c>
      <c r="AC32" s="154">
        <f t="shared" ref="AC32" si="167">AC30*AC31/10000</f>
        <v>0</v>
      </c>
      <c r="AD32" s="154">
        <f t="shared" ref="AD32" si="168">AD30*AD31/10000</f>
        <v>0</v>
      </c>
      <c r="AE32" s="154">
        <f t="shared" ref="AE32" si="169">AE30*AE31/10000</f>
        <v>0</v>
      </c>
      <c r="AF32" s="154">
        <f t="shared" ref="AF32" si="170">AF30*AF31/10000</f>
        <v>0</v>
      </c>
      <c r="AG32" s="154">
        <f t="shared" ref="AG32" si="171">AG30*AG31/10000</f>
        <v>0</v>
      </c>
      <c r="AH32" s="154">
        <f t="shared" ref="AH32" si="172">AH30*AH31/10000</f>
        <v>0</v>
      </c>
      <c r="AI32" s="154">
        <f t="shared" ref="AI32" si="173">AI30*AI31/10000</f>
        <v>0</v>
      </c>
      <c r="AJ32" s="154">
        <f t="shared" ref="AJ32" si="174">AJ30*AJ31/10000</f>
        <v>0</v>
      </c>
      <c r="AK32" s="154">
        <f t="shared" ref="AK32" si="175">AK30*AK31/10000</f>
        <v>0</v>
      </c>
      <c r="AL32" s="154">
        <f t="shared" ref="AL32" si="176">AL30*AL31/10000</f>
        <v>0</v>
      </c>
      <c r="AM32" s="154">
        <f t="shared" ref="AM32" si="177">AM30*AM31/10000</f>
        <v>0</v>
      </c>
      <c r="AN32" s="154">
        <f t="shared" si="0"/>
        <v>0</v>
      </c>
    </row>
    <row r="33" customHeight="1" spans="1:40">
      <c r="A33" s="159"/>
      <c r="B33" s="158" t="s">
        <v>782</v>
      </c>
      <c r="C33" s="158"/>
      <c r="D33" s="151"/>
      <c r="E33" s="151"/>
      <c r="F33" s="151"/>
      <c r="G33" s="151"/>
      <c r="H33" s="151"/>
      <c r="I33" s="151"/>
      <c r="J33" s="151"/>
      <c r="K33" s="151"/>
      <c r="L33" s="151"/>
      <c r="M33" s="151"/>
      <c r="N33" s="151"/>
      <c r="O33" s="151"/>
      <c r="P33" s="151"/>
      <c r="Q33" s="151"/>
      <c r="R33" s="151"/>
      <c r="S33" s="151"/>
      <c r="T33" s="151"/>
      <c r="U33" s="151"/>
      <c r="V33" s="151"/>
      <c r="W33" s="151"/>
      <c r="X33" s="151"/>
      <c r="Y33" s="151"/>
      <c r="Z33" s="151"/>
      <c r="AA33" s="151"/>
      <c r="AB33" s="151"/>
      <c r="AC33" s="151"/>
      <c r="AD33" s="151"/>
      <c r="AE33" s="151"/>
      <c r="AF33" s="151"/>
      <c r="AG33" s="151"/>
      <c r="AH33" s="151"/>
      <c r="AI33" s="151"/>
      <c r="AJ33" s="151"/>
      <c r="AK33" s="151"/>
      <c r="AL33" s="151"/>
      <c r="AM33" s="151"/>
      <c r="AN33" s="154">
        <f t="shared" si="0"/>
        <v>0</v>
      </c>
    </row>
    <row r="34" customHeight="1" spans="1:40">
      <c r="A34" s="159"/>
      <c r="B34" s="158" t="s">
        <v>783</v>
      </c>
      <c r="C34" s="158"/>
      <c r="D34" s="151"/>
      <c r="E34" s="151"/>
      <c r="F34" s="151"/>
      <c r="G34" s="151"/>
      <c r="H34" s="151"/>
      <c r="I34" s="151"/>
      <c r="J34" s="151"/>
      <c r="K34" s="151"/>
      <c r="L34" s="151"/>
      <c r="M34" s="151"/>
      <c r="N34" s="151"/>
      <c r="O34" s="151"/>
      <c r="P34" s="151"/>
      <c r="Q34" s="151"/>
      <c r="R34" s="151"/>
      <c r="S34" s="151"/>
      <c r="T34" s="151"/>
      <c r="U34" s="151"/>
      <c r="V34" s="151"/>
      <c r="W34" s="151"/>
      <c r="X34" s="151"/>
      <c r="Y34" s="151"/>
      <c r="Z34" s="151"/>
      <c r="AA34" s="151"/>
      <c r="AB34" s="151"/>
      <c r="AC34" s="151"/>
      <c r="AD34" s="151"/>
      <c r="AE34" s="151"/>
      <c r="AF34" s="151"/>
      <c r="AG34" s="151"/>
      <c r="AH34" s="151"/>
      <c r="AI34" s="151"/>
      <c r="AJ34" s="151"/>
      <c r="AK34" s="151"/>
      <c r="AL34" s="151"/>
      <c r="AM34" s="151"/>
      <c r="AN34" s="154">
        <f t="shared" si="0"/>
        <v>0</v>
      </c>
    </row>
    <row r="35" customHeight="1" spans="1:40">
      <c r="A35" s="159"/>
      <c r="B35" s="158" t="s">
        <v>784</v>
      </c>
      <c r="C35" s="158"/>
      <c r="D35" s="151"/>
      <c r="E35" s="151"/>
      <c r="F35" s="151"/>
      <c r="G35" s="151"/>
      <c r="H35" s="151"/>
      <c r="I35" s="151"/>
      <c r="J35" s="151"/>
      <c r="K35" s="151"/>
      <c r="L35" s="151"/>
      <c r="M35" s="151"/>
      <c r="N35" s="151"/>
      <c r="O35" s="151"/>
      <c r="P35" s="151"/>
      <c r="Q35" s="151"/>
      <c r="R35" s="151"/>
      <c r="S35" s="151"/>
      <c r="T35" s="151"/>
      <c r="U35" s="151"/>
      <c r="V35" s="151"/>
      <c r="W35" s="151"/>
      <c r="X35" s="151"/>
      <c r="Y35" s="151"/>
      <c r="Z35" s="151"/>
      <c r="AA35" s="151"/>
      <c r="AB35" s="151"/>
      <c r="AC35" s="151"/>
      <c r="AD35" s="151"/>
      <c r="AE35" s="151"/>
      <c r="AF35" s="151"/>
      <c r="AG35" s="151"/>
      <c r="AH35" s="151"/>
      <c r="AI35" s="151"/>
      <c r="AJ35" s="151"/>
      <c r="AK35" s="151"/>
      <c r="AL35" s="151"/>
      <c r="AM35" s="151"/>
      <c r="AN35" s="154">
        <f t="shared" si="0"/>
        <v>0</v>
      </c>
    </row>
    <row r="36" customHeight="1" spans="1:40">
      <c r="A36" s="159"/>
      <c r="B36" s="158" t="s">
        <v>785</v>
      </c>
      <c r="C36" s="158"/>
      <c r="D36" s="151"/>
      <c r="E36" s="151"/>
      <c r="F36" s="151"/>
      <c r="G36" s="151"/>
      <c r="H36" s="151"/>
      <c r="I36" s="151"/>
      <c r="J36" s="151"/>
      <c r="K36" s="151"/>
      <c r="L36" s="151"/>
      <c r="M36" s="151"/>
      <c r="N36" s="151"/>
      <c r="O36" s="151"/>
      <c r="P36" s="151"/>
      <c r="Q36" s="151"/>
      <c r="R36" s="151"/>
      <c r="S36" s="151"/>
      <c r="T36" s="151"/>
      <c r="U36" s="151"/>
      <c r="V36" s="151"/>
      <c r="W36" s="151"/>
      <c r="X36" s="151"/>
      <c r="Y36" s="151"/>
      <c r="Z36" s="151"/>
      <c r="AA36" s="151"/>
      <c r="AB36" s="151"/>
      <c r="AC36" s="151"/>
      <c r="AD36" s="151"/>
      <c r="AE36" s="151"/>
      <c r="AF36" s="151"/>
      <c r="AG36" s="151"/>
      <c r="AH36" s="151"/>
      <c r="AI36" s="151"/>
      <c r="AJ36" s="151"/>
      <c r="AK36" s="151"/>
      <c r="AL36" s="151"/>
      <c r="AM36" s="151"/>
      <c r="AN36" s="154">
        <f t="shared" si="0"/>
        <v>0</v>
      </c>
    </row>
    <row r="37" customHeight="1" spans="1:40">
      <c r="A37" s="160"/>
      <c r="B37" s="158" t="s">
        <v>786</v>
      </c>
      <c r="C37" s="158"/>
      <c r="D37" s="154">
        <f>D35+D36</f>
        <v>0</v>
      </c>
      <c r="E37" s="154">
        <f t="shared" ref="E37" si="178">E35+E36</f>
        <v>0</v>
      </c>
      <c r="F37" s="154">
        <f t="shared" ref="F37" si="179">F35+F36</f>
        <v>0</v>
      </c>
      <c r="G37" s="154">
        <f t="shared" ref="G37" si="180">G35+G36</f>
        <v>0</v>
      </c>
      <c r="H37" s="154">
        <f t="shared" ref="H37" si="181">H35+H36</f>
        <v>0</v>
      </c>
      <c r="I37" s="154">
        <f t="shared" ref="I37" si="182">I35+I36</f>
        <v>0</v>
      </c>
      <c r="J37" s="154">
        <f t="shared" ref="J37" si="183">J35+J36</f>
        <v>0</v>
      </c>
      <c r="K37" s="154">
        <f t="shared" ref="K37" si="184">K35+K36</f>
        <v>0</v>
      </c>
      <c r="L37" s="154">
        <f t="shared" ref="L37" si="185">L35+L36</f>
        <v>0</v>
      </c>
      <c r="M37" s="154">
        <f t="shared" ref="M37" si="186">M35+M36</f>
        <v>0</v>
      </c>
      <c r="N37" s="154">
        <f t="shared" ref="N37" si="187">N35+N36</f>
        <v>0</v>
      </c>
      <c r="O37" s="154">
        <f t="shared" ref="O37" si="188">O35+O36</f>
        <v>0</v>
      </c>
      <c r="P37" s="154">
        <f t="shared" ref="P37" si="189">P35+P36</f>
        <v>0</v>
      </c>
      <c r="Q37" s="154">
        <f t="shared" ref="Q37" si="190">Q35+Q36</f>
        <v>0</v>
      </c>
      <c r="R37" s="154">
        <f t="shared" ref="R37" si="191">R35+R36</f>
        <v>0</v>
      </c>
      <c r="S37" s="154">
        <f t="shared" ref="S37" si="192">S35+S36</f>
        <v>0</v>
      </c>
      <c r="T37" s="154">
        <f t="shared" ref="T37" si="193">T35+T36</f>
        <v>0</v>
      </c>
      <c r="U37" s="154">
        <f t="shared" ref="U37" si="194">U35+U36</f>
        <v>0</v>
      </c>
      <c r="V37" s="154">
        <f t="shared" ref="V37" si="195">V35+V36</f>
        <v>0</v>
      </c>
      <c r="W37" s="154">
        <f t="shared" ref="W37" si="196">W35+W36</f>
        <v>0</v>
      </c>
      <c r="X37" s="154">
        <f t="shared" ref="X37" si="197">X35+X36</f>
        <v>0</v>
      </c>
      <c r="Y37" s="154">
        <f t="shared" ref="Y37" si="198">Y35+Y36</f>
        <v>0</v>
      </c>
      <c r="Z37" s="154">
        <f t="shared" ref="Z37" si="199">Z35+Z36</f>
        <v>0</v>
      </c>
      <c r="AA37" s="154">
        <f t="shared" ref="AA37" si="200">AA35+AA36</f>
        <v>0</v>
      </c>
      <c r="AB37" s="154">
        <f t="shared" ref="AB37" si="201">AB35+AB36</f>
        <v>0</v>
      </c>
      <c r="AC37" s="154">
        <f t="shared" ref="AC37" si="202">AC35+AC36</f>
        <v>0</v>
      </c>
      <c r="AD37" s="154">
        <f t="shared" ref="AD37" si="203">AD35+AD36</f>
        <v>0</v>
      </c>
      <c r="AE37" s="154">
        <f t="shared" ref="AE37" si="204">AE35+AE36</f>
        <v>0</v>
      </c>
      <c r="AF37" s="154">
        <f t="shared" ref="AF37" si="205">AF35+AF36</f>
        <v>0</v>
      </c>
      <c r="AG37" s="154">
        <f t="shared" ref="AG37" si="206">AG35+AG36</f>
        <v>0</v>
      </c>
      <c r="AH37" s="154">
        <f t="shared" ref="AH37" si="207">AH35+AH36</f>
        <v>0</v>
      </c>
      <c r="AI37" s="154">
        <f t="shared" ref="AI37" si="208">AI35+AI36</f>
        <v>0</v>
      </c>
      <c r="AJ37" s="154">
        <f t="shared" ref="AJ37" si="209">AJ35+AJ36</f>
        <v>0</v>
      </c>
      <c r="AK37" s="154">
        <f t="shared" ref="AK37" si="210">AK35+AK36</f>
        <v>0</v>
      </c>
      <c r="AL37" s="154">
        <f t="shared" ref="AL37" si="211">AL35+AL36</f>
        <v>0</v>
      </c>
      <c r="AM37" s="154">
        <f t="shared" ref="AM37" si="212">AM35+AM36</f>
        <v>0</v>
      </c>
      <c r="AN37" s="154">
        <f t="shared" si="0"/>
        <v>0</v>
      </c>
    </row>
    <row r="38" customHeight="1" spans="1:40">
      <c r="A38" s="165"/>
      <c r="B38" s="166" t="s">
        <v>778</v>
      </c>
      <c r="C38" s="166"/>
      <c r="D38" s="151"/>
      <c r="E38" s="151"/>
      <c r="F38" s="151"/>
      <c r="G38" s="151"/>
      <c r="H38" s="151"/>
      <c r="I38" s="151"/>
      <c r="J38" s="151"/>
      <c r="K38" s="151"/>
      <c r="L38" s="151"/>
      <c r="M38" s="151"/>
      <c r="N38" s="151"/>
      <c r="O38" s="151"/>
      <c r="P38" s="151"/>
      <c r="Q38" s="151"/>
      <c r="R38" s="151"/>
      <c r="S38" s="151"/>
      <c r="T38" s="151"/>
      <c r="U38" s="151"/>
      <c r="V38" s="151"/>
      <c r="W38" s="151"/>
      <c r="X38" s="151"/>
      <c r="Y38" s="151"/>
      <c r="Z38" s="151"/>
      <c r="AA38" s="151"/>
      <c r="AB38" s="151"/>
      <c r="AC38" s="151"/>
      <c r="AD38" s="151"/>
      <c r="AE38" s="151"/>
      <c r="AF38" s="151"/>
      <c r="AG38" s="151"/>
      <c r="AH38" s="151"/>
      <c r="AI38" s="151"/>
      <c r="AJ38" s="151"/>
      <c r="AK38" s="151"/>
      <c r="AL38" s="151"/>
      <c r="AM38" s="151"/>
      <c r="AN38" s="154">
        <f t="shared" si="0"/>
        <v>0</v>
      </c>
    </row>
    <row r="39" customHeight="1" spans="1:40">
      <c r="A39" s="167"/>
      <c r="B39" s="166" t="s">
        <v>779</v>
      </c>
      <c r="C39" s="166"/>
      <c r="D39" s="151"/>
      <c r="E39" s="151"/>
      <c r="F39" s="151"/>
      <c r="G39" s="151"/>
      <c r="H39" s="151"/>
      <c r="I39" s="151"/>
      <c r="J39" s="151"/>
      <c r="K39" s="151"/>
      <c r="L39" s="151"/>
      <c r="M39" s="151"/>
      <c r="N39" s="151"/>
      <c r="O39" s="151"/>
      <c r="P39" s="151"/>
      <c r="Q39" s="151"/>
      <c r="R39" s="151"/>
      <c r="S39" s="151"/>
      <c r="T39" s="151"/>
      <c r="U39" s="151"/>
      <c r="V39" s="151"/>
      <c r="W39" s="151"/>
      <c r="X39" s="151"/>
      <c r="Y39" s="151"/>
      <c r="Z39" s="151"/>
      <c r="AA39" s="151"/>
      <c r="AB39" s="151"/>
      <c r="AC39" s="151"/>
      <c r="AD39" s="151"/>
      <c r="AE39" s="151"/>
      <c r="AF39" s="151"/>
      <c r="AG39" s="151"/>
      <c r="AH39" s="151"/>
      <c r="AI39" s="151"/>
      <c r="AJ39" s="151"/>
      <c r="AK39" s="151"/>
      <c r="AL39" s="151"/>
      <c r="AM39" s="151"/>
      <c r="AN39" s="154">
        <f t="shared" si="0"/>
        <v>0</v>
      </c>
    </row>
    <row r="40" customHeight="1" spans="1:40">
      <c r="A40" s="167"/>
      <c r="B40" s="166" t="s">
        <v>780</v>
      </c>
      <c r="C40" s="166"/>
      <c r="D40" s="151"/>
      <c r="E40" s="151"/>
      <c r="F40" s="151"/>
      <c r="G40" s="151"/>
      <c r="H40" s="151"/>
      <c r="I40" s="151"/>
      <c r="J40" s="151"/>
      <c r="K40" s="151"/>
      <c r="L40" s="151"/>
      <c r="M40" s="151"/>
      <c r="N40" s="151"/>
      <c r="O40" s="151"/>
      <c r="P40" s="151"/>
      <c r="Q40" s="151"/>
      <c r="R40" s="151"/>
      <c r="S40" s="151"/>
      <c r="T40" s="151"/>
      <c r="U40" s="151"/>
      <c r="V40" s="151"/>
      <c r="W40" s="151"/>
      <c r="X40" s="151"/>
      <c r="Y40" s="151"/>
      <c r="Z40" s="151"/>
      <c r="AA40" s="151"/>
      <c r="AB40" s="151"/>
      <c r="AC40" s="151"/>
      <c r="AD40" s="151"/>
      <c r="AE40" s="151"/>
      <c r="AF40" s="151"/>
      <c r="AG40" s="151"/>
      <c r="AH40" s="151"/>
      <c r="AI40" s="151"/>
      <c r="AJ40" s="151"/>
      <c r="AK40" s="151"/>
      <c r="AL40" s="151"/>
      <c r="AM40" s="151"/>
      <c r="AN40" s="154">
        <f t="shared" si="0"/>
        <v>0</v>
      </c>
    </row>
    <row r="41" customHeight="1" spans="1:40">
      <c r="A41" s="167"/>
      <c r="B41" s="166" t="s">
        <v>781</v>
      </c>
      <c r="C41" s="166"/>
      <c r="D41" s="154">
        <f>D39*D40/10000</f>
        <v>0</v>
      </c>
      <c r="E41" s="154">
        <f t="shared" ref="E41" si="213">E39*E40/10000</f>
        <v>0</v>
      </c>
      <c r="F41" s="154">
        <f t="shared" ref="F41" si="214">F39*F40/10000</f>
        <v>0</v>
      </c>
      <c r="G41" s="154">
        <f t="shared" ref="G41" si="215">G39*G40/10000</f>
        <v>0</v>
      </c>
      <c r="H41" s="154">
        <f t="shared" ref="H41" si="216">H39*H40/10000</f>
        <v>0</v>
      </c>
      <c r="I41" s="154">
        <f t="shared" ref="I41" si="217">I39*I40/10000</f>
        <v>0</v>
      </c>
      <c r="J41" s="154">
        <f t="shared" ref="J41" si="218">J39*J40/10000</f>
        <v>0</v>
      </c>
      <c r="K41" s="154">
        <f t="shared" ref="K41" si="219">K39*K40/10000</f>
        <v>0</v>
      </c>
      <c r="L41" s="154">
        <f t="shared" ref="L41" si="220">L39*L40/10000</f>
        <v>0</v>
      </c>
      <c r="M41" s="154">
        <f t="shared" ref="M41" si="221">M39*M40/10000</f>
        <v>0</v>
      </c>
      <c r="N41" s="154">
        <f t="shared" ref="N41" si="222">N39*N40/10000</f>
        <v>0</v>
      </c>
      <c r="O41" s="154">
        <f t="shared" ref="O41" si="223">O39*O40/10000</f>
        <v>0</v>
      </c>
      <c r="P41" s="154">
        <f t="shared" ref="P41" si="224">P39*P40/10000</f>
        <v>0</v>
      </c>
      <c r="Q41" s="154">
        <f t="shared" ref="Q41" si="225">Q39*Q40/10000</f>
        <v>0</v>
      </c>
      <c r="R41" s="154">
        <f t="shared" ref="R41" si="226">R39*R40/10000</f>
        <v>0</v>
      </c>
      <c r="S41" s="154">
        <f t="shared" ref="S41" si="227">S39*S40/10000</f>
        <v>0</v>
      </c>
      <c r="T41" s="154">
        <f t="shared" ref="T41" si="228">T39*T40/10000</f>
        <v>0</v>
      </c>
      <c r="U41" s="154">
        <f t="shared" ref="U41" si="229">U39*U40/10000</f>
        <v>0</v>
      </c>
      <c r="V41" s="154">
        <f t="shared" ref="V41" si="230">V39*V40/10000</f>
        <v>0</v>
      </c>
      <c r="W41" s="154">
        <f t="shared" ref="W41" si="231">W39*W40/10000</f>
        <v>0</v>
      </c>
      <c r="X41" s="154">
        <f t="shared" ref="X41" si="232">X39*X40/10000</f>
        <v>0</v>
      </c>
      <c r="Y41" s="154">
        <f t="shared" ref="Y41" si="233">Y39*Y40/10000</f>
        <v>0</v>
      </c>
      <c r="Z41" s="154">
        <f t="shared" ref="Z41" si="234">Z39*Z40/10000</f>
        <v>0</v>
      </c>
      <c r="AA41" s="154">
        <f t="shared" ref="AA41" si="235">AA39*AA40/10000</f>
        <v>0</v>
      </c>
      <c r="AB41" s="154">
        <f t="shared" ref="AB41" si="236">AB39*AB40/10000</f>
        <v>0</v>
      </c>
      <c r="AC41" s="154">
        <f t="shared" ref="AC41" si="237">AC39*AC40/10000</f>
        <v>0</v>
      </c>
      <c r="AD41" s="154">
        <f t="shared" ref="AD41" si="238">AD39*AD40/10000</f>
        <v>0</v>
      </c>
      <c r="AE41" s="154">
        <f t="shared" ref="AE41" si="239">AE39*AE40/10000</f>
        <v>0</v>
      </c>
      <c r="AF41" s="154">
        <f t="shared" ref="AF41" si="240">AF39*AF40/10000</f>
        <v>0</v>
      </c>
      <c r="AG41" s="154">
        <f t="shared" ref="AG41" si="241">AG39*AG40/10000</f>
        <v>0</v>
      </c>
      <c r="AH41" s="154">
        <f t="shared" ref="AH41" si="242">AH39*AH40/10000</f>
        <v>0</v>
      </c>
      <c r="AI41" s="154">
        <f t="shared" ref="AI41" si="243">AI39*AI40/10000</f>
        <v>0</v>
      </c>
      <c r="AJ41" s="154">
        <f t="shared" ref="AJ41" si="244">AJ39*AJ40/10000</f>
        <v>0</v>
      </c>
      <c r="AK41" s="154">
        <f t="shared" ref="AK41" si="245">AK39*AK40/10000</f>
        <v>0</v>
      </c>
      <c r="AL41" s="154">
        <f t="shared" ref="AL41" si="246">AL39*AL40/10000</f>
        <v>0</v>
      </c>
      <c r="AM41" s="154">
        <f t="shared" ref="AM41" si="247">AM39*AM40/10000</f>
        <v>0</v>
      </c>
      <c r="AN41" s="154">
        <f t="shared" si="0"/>
        <v>0</v>
      </c>
    </row>
    <row r="42" customHeight="1" spans="1:40">
      <c r="A42" s="167"/>
      <c r="B42" s="166" t="s">
        <v>782</v>
      </c>
      <c r="C42" s="166"/>
      <c r="D42" s="151"/>
      <c r="E42" s="151"/>
      <c r="F42" s="151"/>
      <c r="G42" s="151"/>
      <c r="H42" s="151"/>
      <c r="I42" s="151"/>
      <c r="J42" s="151"/>
      <c r="K42" s="151"/>
      <c r="L42" s="151"/>
      <c r="M42" s="151"/>
      <c r="N42" s="151"/>
      <c r="O42" s="151"/>
      <c r="P42" s="151"/>
      <c r="Q42" s="151"/>
      <c r="R42" s="151"/>
      <c r="S42" s="151"/>
      <c r="T42" s="151"/>
      <c r="U42" s="151"/>
      <c r="V42" s="151"/>
      <c r="W42" s="151"/>
      <c r="X42" s="151"/>
      <c r="Y42" s="151"/>
      <c r="Z42" s="151"/>
      <c r="AA42" s="151"/>
      <c r="AB42" s="151"/>
      <c r="AC42" s="151"/>
      <c r="AD42" s="151"/>
      <c r="AE42" s="151"/>
      <c r="AF42" s="151"/>
      <c r="AG42" s="151"/>
      <c r="AH42" s="151"/>
      <c r="AI42" s="151"/>
      <c r="AJ42" s="151"/>
      <c r="AK42" s="151"/>
      <c r="AL42" s="151"/>
      <c r="AM42" s="151"/>
      <c r="AN42" s="154">
        <f t="shared" si="0"/>
        <v>0</v>
      </c>
    </row>
    <row r="43" customHeight="1" spans="1:40">
      <c r="A43" s="167"/>
      <c r="B43" s="166" t="s">
        <v>783</v>
      </c>
      <c r="C43" s="166"/>
      <c r="D43" s="151"/>
      <c r="E43" s="151"/>
      <c r="F43" s="151"/>
      <c r="G43" s="151"/>
      <c r="H43" s="151"/>
      <c r="I43" s="151"/>
      <c r="J43" s="151"/>
      <c r="K43" s="151"/>
      <c r="L43" s="151"/>
      <c r="M43" s="151"/>
      <c r="N43" s="151"/>
      <c r="O43" s="151"/>
      <c r="P43" s="151"/>
      <c r="Q43" s="151"/>
      <c r="R43" s="151"/>
      <c r="S43" s="151"/>
      <c r="T43" s="151"/>
      <c r="U43" s="151"/>
      <c r="V43" s="151"/>
      <c r="W43" s="151"/>
      <c r="X43" s="151"/>
      <c r="Y43" s="151"/>
      <c r="Z43" s="151"/>
      <c r="AA43" s="151"/>
      <c r="AB43" s="151"/>
      <c r="AC43" s="151"/>
      <c r="AD43" s="151"/>
      <c r="AE43" s="151"/>
      <c r="AF43" s="151"/>
      <c r="AG43" s="151"/>
      <c r="AH43" s="151"/>
      <c r="AI43" s="151"/>
      <c r="AJ43" s="151"/>
      <c r="AK43" s="151"/>
      <c r="AL43" s="151"/>
      <c r="AM43" s="151"/>
      <c r="AN43" s="154">
        <f t="shared" si="0"/>
        <v>0</v>
      </c>
    </row>
    <row r="44" customHeight="1" spans="1:40">
      <c r="A44" s="167"/>
      <c r="B44" s="166" t="s">
        <v>784</v>
      </c>
      <c r="C44" s="166"/>
      <c r="D44" s="151"/>
      <c r="E44" s="151"/>
      <c r="F44" s="151"/>
      <c r="G44" s="151"/>
      <c r="H44" s="151"/>
      <c r="I44" s="151"/>
      <c r="J44" s="151"/>
      <c r="K44" s="151"/>
      <c r="L44" s="151"/>
      <c r="M44" s="151"/>
      <c r="N44" s="151"/>
      <c r="O44" s="151"/>
      <c r="P44" s="151"/>
      <c r="Q44" s="151"/>
      <c r="R44" s="151"/>
      <c r="S44" s="151"/>
      <c r="T44" s="151"/>
      <c r="U44" s="151"/>
      <c r="V44" s="151"/>
      <c r="W44" s="151"/>
      <c r="X44" s="151"/>
      <c r="Y44" s="151"/>
      <c r="Z44" s="151"/>
      <c r="AA44" s="151"/>
      <c r="AB44" s="151"/>
      <c r="AC44" s="151"/>
      <c r="AD44" s="151"/>
      <c r="AE44" s="151"/>
      <c r="AF44" s="151"/>
      <c r="AG44" s="151"/>
      <c r="AH44" s="151"/>
      <c r="AI44" s="151"/>
      <c r="AJ44" s="151"/>
      <c r="AK44" s="151"/>
      <c r="AL44" s="151"/>
      <c r="AM44" s="151"/>
      <c r="AN44" s="154">
        <f t="shared" si="0"/>
        <v>0</v>
      </c>
    </row>
    <row r="45" customHeight="1" spans="1:40">
      <c r="A45" s="167"/>
      <c r="B45" s="166" t="s">
        <v>785</v>
      </c>
      <c r="C45" s="166"/>
      <c r="D45" s="151"/>
      <c r="E45" s="151"/>
      <c r="F45" s="151"/>
      <c r="G45" s="151"/>
      <c r="H45" s="151"/>
      <c r="I45" s="151"/>
      <c r="J45" s="151"/>
      <c r="K45" s="151"/>
      <c r="L45" s="151"/>
      <c r="M45" s="151"/>
      <c r="N45" s="151"/>
      <c r="O45" s="151"/>
      <c r="P45" s="151"/>
      <c r="Q45" s="151"/>
      <c r="R45" s="151"/>
      <c r="S45" s="151"/>
      <c r="T45" s="151"/>
      <c r="U45" s="151"/>
      <c r="V45" s="151"/>
      <c r="W45" s="151"/>
      <c r="X45" s="151"/>
      <c r="Y45" s="151"/>
      <c r="Z45" s="151"/>
      <c r="AA45" s="151"/>
      <c r="AB45" s="151"/>
      <c r="AC45" s="151"/>
      <c r="AD45" s="151"/>
      <c r="AE45" s="151"/>
      <c r="AF45" s="151"/>
      <c r="AG45" s="151"/>
      <c r="AH45" s="151"/>
      <c r="AI45" s="151"/>
      <c r="AJ45" s="151"/>
      <c r="AK45" s="151"/>
      <c r="AL45" s="151"/>
      <c r="AM45" s="151"/>
      <c r="AN45" s="154">
        <f t="shared" si="0"/>
        <v>0</v>
      </c>
    </row>
    <row r="46" customHeight="1" spans="1:40">
      <c r="A46" s="168"/>
      <c r="B46" s="166" t="s">
        <v>786</v>
      </c>
      <c r="C46" s="166"/>
      <c r="D46" s="154">
        <f>D44+D45</f>
        <v>0</v>
      </c>
      <c r="E46" s="154">
        <f t="shared" ref="E46" si="248">E44+E45</f>
        <v>0</v>
      </c>
      <c r="F46" s="154">
        <f t="shared" ref="F46" si="249">F44+F45</f>
        <v>0</v>
      </c>
      <c r="G46" s="154">
        <f t="shared" ref="G46" si="250">G44+G45</f>
        <v>0</v>
      </c>
      <c r="H46" s="154">
        <f t="shared" ref="H46" si="251">H44+H45</f>
        <v>0</v>
      </c>
      <c r="I46" s="154">
        <f t="shared" ref="I46" si="252">I44+I45</f>
        <v>0</v>
      </c>
      <c r="J46" s="154">
        <f t="shared" ref="J46" si="253">J44+J45</f>
        <v>0</v>
      </c>
      <c r="K46" s="154">
        <f t="shared" ref="K46" si="254">K44+K45</f>
        <v>0</v>
      </c>
      <c r="L46" s="154">
        <f t="shared" ref="L46" si="255">L44+L45</f>
        <v>0</v>
      </c>
      <c r="M46" s="154">
        <f t="shared" ref="M46" si="256">M44+M45</f>
        <v>0</v>
      </c>
      <c r="N46" s="154">
        <f t="shared" ref="N46" si="257">N44+N45</f>
        <v>0</v>
      </c>
      <c r="O46" s="154">
        <f t="shared" ref="O46" si="258">O44+O45</f>
        <v>0</v>
      </c>
      <c r="P46" s="154">
        <f t="shared" ref="P46" si="259">P44+P45</f>
        <v>0</v>
      </c>
      <c r="Q46" s="154">
        <f t="shared" ref="Q46" si="260">Q44+Q45</f>
        <v>0</v>
      </c>
      <c r="R46" s="154">
        <f t="shared" ref="R46" si="261">R44+R45</f>
        <v>0</v>
      </c>
      <c r="S46" s="154">
        <f t="shared" ref="S46" si="262">S44+S45</f>
        <v>0</v>
      </c>
      <c r="T46" s="154">
        <f t="shared" ref="T46" si="263">T44+T45</f>
        <v>0</v>
      </c>
      <c r="U46" s="154">
        <f t="shared" ref="U46" si="264">U44+U45</f>
        <v>0</v>
      </c>
      <c r="V46" s="154">
        <f t="shared" ref="V46" si="265">V44+V45</f>
        <v>0</v>
      </c>
      <c r="W46" s="154">
        <f t="shared" ref="W46" si="266">W44+W45</f>
        <v>0</v>
      </c>
      <c r="X46" s="154">
        <f t="shared" ref="X46" si="267">X44+X45</f>
        <v>0</v>
      </c>
      <c r="Y46" s="154">
        <f t="shared" ref="Y46" si="268">Y44+Y45</f>
        <v>0</v>
      </c>
      <c r="Z46" s="154">
        <f t="shared" ref="Z46" si="269">Z44+Z45</f>
        <v>0</v>
      </c>
      <c r="AA46" s="154">
        <f t="shared" ref="AA46" si="270">AA44+AA45</f>
        <v>0</v>
      </c>
      <c r="AB46" s="154">
        <f t="shared" ref="AB46" si="271">AB44+AB45</f>
        <v>0</v>
      </c>
      <c r="AC46" s="154">
        <f t="shared" ref="AC46" si="272">AC44+AC45</f>
        <v>0</v>
      </c>
      <c r="AD46" s="154">
        <f t="shared" ref="AD46" si="273">AD44+AD45</f>
        <v>0</v>
      </c>
      <c r="AE46" s="154">
        <f t="shared" ref="AE46" si="274">AE44+AE45</f>
        <v>0</v>
      </c>
      <c r="AF46" s="154">
        <f t="shared" ref="AF46" si="275">AF44+AF45</f>
        <v>0</v>
      </c>
      <c r="AG46" s="154">
        <f t="shared" ref="AG46" si="276">AG44+AG45</f>
        <v>0</v>
      </c>
      <c r="AH46" s="154">
        <f t="shared" ref="AH46" si="277">AH44+AH45</f>
        <v>0</v>
      </c>
      <c r="AI46" s="154">
        <f t="shared" ref="AI46" si="278">AI44+AI45</f>
        <v>0</v>
      </c>
      <c r="AJ46" s="154">
        <f t="shared" ref="AJ46" si="279">AJ44+AJ45</f>
        <v>0</v>
      </c>
      <c r="AK46" s="154">
        <f t="shared" ref="AK46" si="280">AK44+AK45</f>
        <v>0</v>
      </c>
      <c r="AL46" s="154">
        <f t="shared" ref="AL46" si="281">AL44+AL45</f>
        <v>0</v>
      </c>
      <c r="AM46" s="154">
        <f t="shared" ref="AM46" si="282">AM44+AM45</f>
        <v>0</v>
      </c>
      <c r="AN46" s="154">
        <f t="shared" si="0"/>
        <v>0</v>
      </c>
    </row>
    <row r="47" customHeight="1" spans="1:40">
      <c r="A47" s="169" t="s">
        <v>127</v>
      </c>
      <c r="B47" s="151" t="s">
        <v>781</v>
      </c>
      <c r="C47" s="151"/>
      <c r="D47" s="154">
        <f t="shared" ref="D47:AM47" si="283">D5+D14+D23+D32+D41</f>
        <v>0</v>
      </c>
      <c r="E47" s="154">
        <f t="shared" si="283"/>
        <v>0</v>
      </c>
      <c r="F47" s="154">
        <f t="shared" si="283"/>
        <v>0</v>
      </c>
      <c r="G47" s="154">
        <f t="shared" si="283"/>
        <v>0</v>
      </c>
      <c r="H47" s="154">
        <f t="shared" si="283"/>
        <v>0</v>
      </c>
      <c r="I47" s="154">
        <f t="shared" si="283"/>
        <v>0</v>
      </c>
      <c r="J47" s="154">
        <f t="shared" si="283"/>
        <v>0</v>
      </c>
      <c r="K47" s="154">
        <f t="shared" si="283"/>
        <v>0</v>
      </c>
      <c r="L47" s="154">
        <f t="shared" si="283"/>
        <v>0</v>
      </c>
      <c r="M47" s="154">
        <f t="shared" si="283"/>
        <v>0</v>
      </c>
      <c r="N47" s="154">
        <f t="shared" si="283"/>
        <v>0</v>
      </c>
      <c r="O47" s="154">
        <f t="shared" si="283"/>
        <v>0</v>
      </c>
      <c r="P47" s="154">
        <f t="shared" si="283"/>
        <v>0</v>
      </c>
      <c r="Q47" s="154">
        <f t="shared" si="283"/>
        <v>0</v>
      </c>
      <c r="R47" s="154">
        <f t="shared" si="283"/>
        <v>0</v>
      </c>
      <c r="S47" s="154">
        <f t="shared" si="283"/>
        <v>0</v>
      </c>
      <c r="T47" s="154">
        <f t="shared" si="283"/>
        <v>0</v>
      </c>
      <c r="U47" s="154">
        <f t="shared" si="283"/>
        <v>0</v>
      </c>
      <c r="V47" s="154">
        <f t="shared" si="283"/>
        <v>0</v>
      </c>
      <c r="W47" s="154">
        <f t="shared" si="283"/>
        <v>0</v>
      </c>
      <c r="X47" s="154">
        <f t="shared" si="283"/>
        <v>0</v>
      </c>
      <c r="Y47" s="154">
        <f t="shared" si="283"/>
        <v>0</v>
      </c>
      <c r="Z47" s="154">
        <f t="shared" si="283"/>
        <v>0</v>
      </c>
      <c r="AA47" s="154">
        <f t="shared" si="283"/>
        <v>0</v>
      </c>
      <c r="AB47" s="154">
        <f t="shared" si="283"/>
        <v>0</v>
      </c>
      <c r="AC47" s="154">
        <f t="shared" si="283"/>
        <v>0</v>
      </c>
      <c r="AD47" s="154">
        <f t="shared" si="283"/>
        <v>0</v>
      </c>
      <c r="AE47" s="154">
        <f t="shared" si="283"/>
        <v>0</v>
      </c>
      <c r="AF47" s="154">
        <f t="shared" si="283"/>
        <v>0</v>
      </c>
      <c r="AG47" s="154">
        <f t="shared" si="283"/>
        <v>0</v>
      </c>
      <c r="AH47" s="154">
        <f t="shared" si="283"/>
        <v>0</v>
      </c>
      <c r="AI47" s="154">
        <f t="shared" si="283"/>
        <v>0</v>
      </c>
      <c r="AJ47" s="154">
        <f t="shared" si="283"/>
        <v>0</v>
      </c>
      <c r="AK47" s="154">
        <f t="shared" si="283"/>
        <v>0</v>
      </c>
      <c r="AL47" s="154">
        <f t="shared" si="283"/>
        <v>0</v>
      </c>
      <c r="AM47" s="154">
        <f t="shared" si="283"/>
        <v>0</v>
      </c>
      <c r="AN47" s="154">
        <f t="shared" si="0"/>
        <v>0</v>
      </c>
    </row>
    <row r="48" customHeight="1" spans="1:40">
      <c r="A48" s="169"/>
      <c r="B48" s="151" t="s">
        <v>782</v>
      </c>
      <c r="C48" s="151"/>
      <c r="D48" s="154">
        <f t="shared" ref="D48:AM48" si="284">D6+D15+D24+D33+D42</f>
        <v>0</v>
      </c>
      <c r="E48" s="154">
        <f t="shared" si="284"/>
        <v>0</v>
      </c>
      <c r="F48" s="154">
        <f t="shared" si="284"/>
        <v>0</v>
      </c>
      <c r="G48" s="154">
        <f t="shared" si="284"/>
        <v>0</v>
      </c>
      <c r="H48" s="154">
        <f t="shared" si="284"/>
        <v>0</v>
      </c>
      <c r="I48" s="154">
        <f t="shared" si="284"/>
        <v>0</v>
      </c>
      <c r="J48" s="154">
        <f t="shared" si="284"/>
        <v>0</v>
      </c>
      <c r="K48" s="154">
        <f t="shared" si="284"/>
        <v>0</v>
      </c>
      <c r="L48" s="154">
        <f t="shared" si="284"/>
        <v>0</v>
      </c>
      <c r="M48" s="154">
        <f t="shared" si="284"/>
        <v>0</v>
      </c>
      <c r="N48" s="154">
        <f t="shared" si="284"/>
        <v>0</v>
      </c>
      <c r="O48" s="154">
        <f t="shared" si="284"/>
        <v>0</v>
      </c>
      <c r="P48" s="154">
        <f t="shared" si="284"/>
        <v>0</v>
      </c>
      <c r="Q48" s="154">
        <f t="shared" si="284"/>
        <v>0</v>
      </c>
      <c r="R48" s="154">
        <f t="shared" si="284"/>
        <v>0</v>
      </c>
      <c r="S48" s="154">
        <f t="shared" si="284"/>
        <v>0</v>
      </c>
      <c r="T48" s="154">
        <f t="shared" si="284"/>
        <v>0</v>
      </c>
      <c r="U48" s="154">
        <f t="shared" si="284"/>
        <v>0</v>
      </c>
      <c r="V48" s="154">
        <f t="shared" si="284"/>
        <v>0</v>
      </c>
      <c r="W48" s="154">
        <f t="shared" si="284"/>
        <v>0</v>
      </c>
      <c r="X48" s="154">
        <f t="shared" si="284"/>
        <v>0</v>
      </c>
      <c r="Y48" s="154">
        <f t="shared" si="284"/>
        <v>0</v>
      </c>
      <c r="Z48" s="154">
        <f t="shared" si="284"/>
        <v>0</v>
      </c>
      <c r="AA48" s="154">
        <f t="shared" si="284"/>
        <v>0</v>
      </c>
      <c r="AB48" s="154">
        <f t="shared" si="284"/>
        <v>0</v>
      </c>
      <c r="AC48" s="154">
        <f t="shared" si="284"/>
        <v>0</v>
      </c>
      <c r="AD48" s="154">
        <f t="shared" si="284"/>
        <v>0</v>
      </c>
      <c r="AE48" s="154">
        <f t="shared" si="284"/>
        <v>0</v>
      </c>
      <c r="AF48" s="154">
        <f t="shared" si="284"/>
        <v>0</v>
      </c>
      <c r="AG48" s="154">
        <f t="shared" si="284"/>
        <v>0</v>
      </c>
      <c r="AH48" s="154">
        <f t="shared" si="284"/>
        <v>0</v>
      </c>
      <c r="AI48" s="154">
        <f t="shared" si="284"/>
        <v>0</v>
      </c>
      <c r="AJ48" s="154">
        <f t="shared" si="284"/>
        <v>0</v>
      </c>
      <c r="AK48" s="154">
        <f t="shared" si="284"/>
        <v>0</v>
      </c>
      <c r="AL48" s="154">
        <f t="shared" si="284"/>
        <v>0</v>
      </c>
      <c r="AM48" s="154">
        <f t="shared" si="284"/>
        <v>0</v>
      </c>
      <c r="AN48" s="154">
        <f t="shared" si="0"/>
        <v>0</v>
      </c>
    </row>
    <row r="49" customHeight="1" spans="1:40">
      <c r="A49" s="169"/>
      <c r="B49" s="151" t="s">
        <v>787</v>
      </c>
      <c r="C49" s="151"/>
      <c r="D49" s="154">
        <f t="shared" ref="D49:AM49" si="285">D47-D48</f>
        <v>0</v>
      </c>
      <c r="E49" s="154">
        <f t="shared" si="285"/>
        <v>0</v>
      </c>
      <c r="F49" s="154">
        <f t="shared" si="285"/>
        <v>0</v>
      </c>
      <c r="G49" s="154">
        <f t="shared" si="285"/>
        <v>0</v>
      </c>
      <c r="H49" s="154">
        <f t="shared" si="285"/>
        <v>0</v>
      </c>
      <c r="I49" s="154">
        <f t="shared" si="285"/>
        <v>0</v>
      </c>
      <c r="J49" s="154">
        <f t="shared" si="285"/>
        <v>0</v>
      </c>
      <c r="K49" s="154">
        <f t="shared" si="285"/>
        <v>0</v>
      </c>
      <c r="L49" s="154">
        <f t="shared" si="285"/>
        <v>0</v>
      </c>
      <c r="M49" s="154">
        <f t="shared" si="285"/>
        <v>0</v>
      </c>
      <c r="N49" s="154">
        <f t="shared" si="285"/>
        <v>0</v>
      </c>
      <c r="O49" s="154">
        <f t="shared" si="285"/>
        <v>0</v>
      </c>
      <c r="P49" s="154">
        <f t="shared" si="285"/>
        <v>0</v>
      </c>
      <c r="Q49" s="154">
        <f t="shared" si="285"/>
        <v>0</v>
      </c>
      <c r="R49" s="154">
        <f t="shared" si="285"/>
        <v>0</v>
      </c>
      <c r="S49" s="154">
        <f t="shared" si="285"/>
        <v>0</v>
      </c>
      <c r="T49" s="154">
        <f t="shared" si="285"/>
        <v>0</v>
      </c>
      <c r="U49" s="154">
        <f t="shared" si="285"/>
        <v>0</v>
      </c>
      <c r="V49" s="154">
        <f t="shared" si="285"/>
        <v>0</v>
      </c>
      <c r="W49" s="154">
        <f t="shared" si="285"/>
        <v>0</v>
      </c>
      <c r="X49" s="154">
        <f t="shared" si="285"/>
        <v>0</v>
      </c>
      <c r="Y49" s="154">
        <f t="shared" si="285"/>
        <v>0</v>
      </c>
      <c r="Z49" s="154">
        <f t="shared" si="285"/>
        <v>0</v>
      </c>
      <c r="AA49" s="154">
        <f t="shared" si="285"/>
        <v>0</v>
      </c>
      <c r="AB49" s="154">
        <f t="shared" si="285"/>
        <v>0</v>
      </c>
      <c r="AC49" s="154">
        <f t="shared" si="285"/>
        <v>0</v>
      </c>
      <c r="AD49" s="154">
        <f t="shared" si="285"/>
        <v>0</v>
      </c>
      <c r="AE49" s="154">
        <f t="shared" si="285"/>
        <v>0</v>
      </c>
      <c r="AF49" s="154">
        <f t="shared" si="285"/>
        <v>0</v>
      </c>
      <c r="AG49" s="154">
        <f t="shared" si="285"/>
        <v>0</v>
      </c>
      <c r="AH49" s="154">
        <f t="shared" si="285"/>
        <v>0</v>
      </c>
      <c r="AI49" s="154">
        <f t="shared" si="285"/>
        <v>0</v>
      </c>
      <c r="AJ49" s="154">
        <f t="shared" si="285"/>
        <v>0</v>
      </c>
      <c r="AK49" s="154">
        <f t="shared" si="285"/>
        <v>0</v>
      </c>
      <c r="AL49" s="154">
        <f t="shared" si="285"/>
        <v>0</v>
      </c>
      <c r="AM49" s="154">
        <f t="shared" si="285"/>
        <v>0</v>
      </c>
      <c r="AN49" s="154">
        <f t="shared" si="0"/>
        <v>0</v>
      </c>
    </row>
    <row r="50" customHeight="1" spans="1:40">
      <c r="A50" s="169"/>
      <c r="B50" s="151" t="s">
        <v>784</v>
      </c>
      <c r="C50" s="151"/>
      <c r="D50" s="154">
        <f t="shared" ref="D50:AM50" si="286">D8+D17+D26+D35+D44</f>
        <v>0</v>
      </c>
      <c r="E50" s="154">
        <f t="shared" si="286"/>
        <v>0</v>
      </c>
      <c r="F50" s="154">
        <f t="shared" si="286"/>
        <v>0</v>
      </c>
      <c r="G50" s="154">
        <f t="shared" si="286"/>
        <v>0</v>
      </c>
      <c r="H50" s="154">
        <f t="shared" si="286"/>
        <v>0</v>
      </c>
      <c r="I50" s="154">
        <f t="shared" si="286"/>
        <v>0</v>
      </c>
      <c r="J50" s="154">
        <f t="shared" si="286"/>
        <v>0</v>
      </c>
      <c r="K50" s="154">
        <f t="shared" si="286"/>
        <v>0</v>
      </c>
      <c r="L50" s="154">
        <f t="shared" si="286"/>
        <v>0</v>
      </c>
      <c r="M50" s="154">
        <f t="shared" si="286"/>
        <v>0</v>
      </c>
      <c r="N50" s="154">
        <f t="shared" si="286"/>
        <v>0</v>
      </c>
      <c r="O50" s="154">
        <f t="shared" si="286"/>
        <v>0</v>
      </c>
      <c r="P50" s="154">
        <f t="shared" si="286"/>
        <v>0</v>
      </c>
      <c r="Q50" s="154">
        <f t="shared" si="286"/>
        <v>0</v>
      </c>
      <c r="R50" s="154">
        <f t="shared" si="286"/>
        <v>0</v>
      </c>
      <c r="S50" s="154">
        <f t="shared" si="286"/>
        <v>0</v>
      </c>
      <c r="T50" s="154">
        <f t="shared" si="286"/>
        <v>0</v>
      </c>
      <c r="U50" s="154">
        <f t="shared" si="286"/>
        <v>0</v>
      </c>
      <c r="V50" s="154">
        <f t="shared" si="286"/>
        <v>0</v>
      </c>
      <c r="W50" s="154">
        <f t="shared" si="286"/>
        <v>0</v>
      </c>
      <c r="X50" s="154">
        <f t="shared" si="286"/>
        <v>0</v>
      </c>
      <c r="Y50" s="154">
        <f t="shared" si="286"/>
        <v>0</v>
      </c>
      <c r="Z50" s="154">
        <f t="shared" si="286"/>
        <v>0</v>
      </c>
      <c r="AA50" s="154">
        <f t="shared" si="286"/>
        <v>0</v>
      </c>
      <c r="AB50" s="154">
        <f t="shared" si="286"/>
        <v>0</v>
      </c>
      <c r="AC50" s="154">
        <f t="shared" si="286"/>
        <v>0</v>
      </c>
      <c r="AD50" s="154">
        <f t="shared" si="286"/>
        <v>0</v>
      </c>
      <c r="AE50" s="154">
        <f t="shared" si="286"/>
        <v>0</v>
      </c>
      <c r="AF50" s="154">
        <f t="shared" si="286"/>
        <v>0</v>
      </c>
      <c r="AG50" s="154">
        <f t="shared" si="286"/>
        <v>0</v>
      </c>
      <c r="AH50" s="154">
        <f t="shared" si="286"/>
        <v>0</v>
      </c>
      <c r="AI50" s="154">
        <f t="shared" si="286"/>
        <v>0</v>
      </c>
      <c r="AJ50" s="154">
        <f t="shared" si="286"/>
        <v>0</v>
      </c>
      <c r="AK50" s="154">
        <f t="shared" si="286"/>
        <v>0</v>
      </c>
      <c r="AL50" s="154">
        <f t="shared" si="286"/>
        <v>0</v>
      </c>
      <c r="AM50" s="154">
        <f t="shared" si="286"/>
        <v>0</v>
      </c>
      <c r="AN50" s="154">
        <f t="shared" si="0"/>
        <v>0</v>
      </c>
    </row>
    <row r="51" customHeight="1" spans="1:40">
      <c r="A51" s="169"/>
      <c r="B51" s="151" t="s">
        <v>785</v>
      </c>
      <c r="C51" s="151"/>
      <c r="D51" s="154">
        <f t="shared" ref="D51:AM51" si="287">D9+D18+D27+D36+D45</f>
        <v>0</v>
      </c>
      <c r="E51" s="154">
        <f t="shared" si="287"/>
        <v>0</v>
      </c>
      <c r="F51" s="154">
        <f t="shared" si="287"/>
        <v>0</v>
      </c>
      <c r="G51" s="154">
        <f t="shared" si="287"/>
        <v>0</v>
      </c>
      <c r="H51" s="154">
        <f t="shared" si="287"/>
        <v>0</v>
      </c>
      <c r="I51" s="154">
        <f t="shared" si="287"/>
        <v>0</v>
      </c>
      <c r="J51" s="154">
        <f t="shared" si="287"/>
        <v>0</v>
      </c>
      <c r="K51" s="154">
        <f t="shared" si="287"/>
        <v>0</v>
      </c>
      <c r="L51" s="154">
        <f t="shared" si="287"/>
        <v>0</v>
      </c>
      <c r="M51" s="154">
        <f t="shared" si="287"/>
        <v>0</v>
      </c>
      <c r="N51" s="154">
        <f t="shared" si="287"/>
        <v>0</v>
      </c>
      <c r="O51" s="154">
        <f t="shared" si="287"/>
        <v>0</v>
      </c>
      <c r="P51" s="154">
        <f t="shared" si="287"/>
        <v>0</v>
      </c>
      <c r="Q51" s="154">
        <f t="shared" si="287"/>
        <v>0</v>
      </c>
      <c r="R51" s="154">
        <f t="shared" si="287"/>
        <v>0</v>
      </c>
      <c r="S51" s="154">
        <f t="shared" si="287"/>
        <v>0</v>
      </c>
      <c r="T51" s="154">
        <f t="shared" si="287"/>
        <v>0</v>
      </c>
      <c r="U51" s="154">
        <f t="shared" si="287"/>
        <v>0</v>
      </c>
      <c r="V51" s="154">
        <f t="shared" si="287"/>
        <v>0</v>
      </c>
      <c r="W51" s="154">
        <f t="shared" si="287"/>
        <v>0</v>
      </c>
      <c r="X51" s="154">
        <f t="shared" si="287"/>
        <v>0</v>
      </c>
      <c r="Y51" s="154">
        <f t="shared" si="287"/>
        <v>0</v>
      </c>
      <c r="Z51" s="154">
        <f t="shared" si="287"/>
        <v>0</v>
      </c>
      <c r="AA51" s="154">
        <f t="shared" si="287"/>
        <v>0</v>
      </c>
      <c r="AB51" s="154">
        <f t="shared" si="287"/>
        <v>0</v>
      </c>
      <c r="AC51" s="154">
        <f t="shared" si="287"/>
        <v>0</v>
      </c>
      <c r="AD51" s="154">
        <f t="shared" si="287"/>
        <v>0</v>
      </c>
      <c r="AE51" s="154">
        <f t="shared" si="287"/>
        <v>0</v>
      </c>
      <c r="AF51" s="154">
        <f t="shared" si="287"/>
        <v>0</v>
      </c>
      <c r="AG51" s="154">
        <f t="shared" si="287"/>
        <v>0</v>
      </c>
      <c r="AH51" s="154">
        <f t="shared" si="287"/>
        <v>0</v>
      </c>
      <c r="AI51" s="154">
        <f t="shared" si="287"/>
        <v>0</v>
      </c>
      <c r="AJ51" s="154">
        <f t="shared" si="287"/>
        <v>0</v>
      </c>
      <c r="AK51" s="154">
        <f t="shared" si="287"/>
        <v>0</v>
      </c>
      <c r="AL51" s="154">
        <f t="shared" si="287"/>
        <v>0</v>
      </c>
      <c r="AM51" s="154">
        <f t="shared" si="287"/>
        <v>0</v>
      </c>
      <c r="AN51" s="154">
        <f t="shared" si="0"/>
        <v>0</v>
      </c>
    </row>
    <row r="52" customHeight="1" spans="1:40">
      <c r="A52" s="170"/>
      <c r="B52" s="151" t="s">
        <v>786</v>
      </c>
      <c r="C52" s="151"/>
      <c r="D52" s="154">
        <f t="shared" ref="D52:AM52" si="288">D10+D19+D28+D37+D46</f>
        <v>0</v>
      </c>
      <c r="E52" s="154">
        <f t="shared" si="288"/>
        <v>0</v>
      </c>
      <c r="F52" s="154">
        <f t="shared" si="288"/>
        <v>0</v>
      </c>
      <c r="G52" s="154">
        <f t="shared" si="288"/>
        <v>0</v>
      </c>
      <c r="H52" s="154">
        <f t="shared" si="288"/>
        <v>0</v>
      </c>
      <c r="I52" s="154">
        <f t="shared" si="288"/>
        <v>0</v>
      </c>
      <c r="J52" s="154">
        <f t="shared" si="288"/>
        <v>0</v>
      </c>
      <c r="K52" s="154">
        <f t="shared" si="288"/>
        <v>0</v>
      </c>
      <c r="L52" s="154">
        <f t="shared" si="288"/>
        <v>0</v>
      </c>
      <c r="M52" s="154">
        <f t="shared" si="288"/>
        <v>0</v>
      </c>
      <c r="N52" s="154">
        <f t="shared" si="288"/>
        <v>0</v>
      </c>
      <c r="O52" s="154">
        <f t="shared" si="288"/>
        <v>0</v>
      </c>
      <c r="P52" s="154">
        <f t="shared" si="288"/>
        <v>0</v>
      </c>
      <c r="Q52" s="154">
        <f t="shared" si="288"/>
        <v>0</v>
      </c>
      <c r="R52" s="154">
        <f t="shared" si="288"/>
        <v>0</v>
      </c>
      <c r="S52" s="154">
        <f t="shared" si="288"/>
        <v>0</v>
      </c>
      <c r="T52" s="154">
        <f t="shared" si="288"/>
        <v>0</v>
      </c>
      <c r="U52" s="154">
        <f t="shared" si="288"/>
        <v>0</v>
      </c>
      <c r="V52" s="154">
        <f t="shared" si="288"/>
        <v>0</v>
      </c>
      <c r="W52" s="154">
        <f t="shared" si="288"/>
        <v>0</v>
      </c>
      <c r="X52" s="154">
        <f t="shared" si="288"/>
        <v>0</v>
      </c>
      <c r="Y52" s="154">
        <f t="shared" si="288"/>
        <v>0</v>
      </c>
      <c r="Z52" s="154">
        <f t="shared" si="288"/>
        <v>0</v>
      </c>
      <c r="AA52" s="154">
        <f t="shared" si="288"/>
        <v>0</v>
      </c>
      <c r="AB52" s="154">
        <f t="shared" si="288"/>
        <v>0</v>
      </c>
      <c r="AC52" s="154">
        <f t="shared" si="288"/>
        <v>0</v>
      </c>
      <c r="AD52" s="154">
        <f t="shared" si="288"/>
        <v>0</v>
      </c>
      <c r="AE52" s="154">
        <f t="shared" si="288"/>
        <v>0</v>
      </c>
      <c r="AF52" s="154">
        <f t="shared" si="288"/>
        <v>0</v>
      </c>
      <c r="AG52" s="154">
        <f t="shared" si="288"/>
        <v>0</v>
      </c>
      <c r="AH52" s="154">
        <f t="shared" si="288"/>
        <v>0</v>
      </c>
      <c r="AI52" s="154">
        <f t="shared" si="288"/>
        <v>0</v>
      </c>
      <c r="AJ52" s="154">
        <f t="shared" si="288"/>
        <v>0</v>
      </c>
      <c r="AK52" s="154">
        <f t="shared" si="288"/>
        <v>0</v>
      </c>
      <c r="AL52" s="154">
        <f t="shared" si="288"/>
        <v>0</v>
      </c>
      <c r="AM52" s="154">
        <f t="shared" si="288"/>
        <v>0</v>
      </c>
      <c r="AN52" s="154">
        <f t="shared" si="0"/>
        <v>0</v>
      </c>
    </row>
    <row r="53" customHeight="1" spans="1:40">
      <c r="A53" s="14" t="s">
        <v>521</v>
      </c>
      <c r="B53" s="151"/>
      <c r="C53" s="151"/>
      <c r="D53" s="151"/>
      <c r="E53" s="151"/>
      <c r="F53" s="151"/>
      <c r="G53" s="151"/>
      <c r="H53" s="151"/>
      <c r="I53" s="151"/>
      <c r="J53" s="151"/>
      <c r="K53" s="151"/>
      <c r="L53" s="151"/>
      <c r="M53" s="151"/>
      <c r="N53" s="151"/>
      <c r="O53" s="151"/>
      <c r="P53" s="151"/>
      <c r="Q53" s="151"/>
      <c r="R53" s="151"/>
      <c r="S53" s="151"/>
      <c r="T53" s="151"/>
      <c r="U53" s="151"/>
      <c r="V53" s="151"/>
      <c r="W53" s="151"/>
      <c r="X53" s="151"/>
      <c r="Y53" s="151"/>
      <c r="Z53" s="151"/>
      <c r="AA53" s="151"/>
      <c r="AB53" s="151"/>
      <c r="AC53" s="151"/>
      <c r="AD53" s="151"/>
      <c r="AE53" s="151"/>
      <c r="AF53" s="151"/>
      <c r="AG53" s="151"/>
      <c r="AH53" s="151"/>
      <c r="AI53" s="151"/>
      <c r="AJ53" s="151"/>
      <c r="AK53" s="151"/>
      <c r="AL53" s="151"/>
      <c r="AM53" s="151"/>
      <c r="AN53" s="151"/>
    </row>
    <row r="54" customHeight="1" spans="1:40">
      <c r="A54" s="14"/>
      <c r="B54" s="151"/>
      <c r="C54" s="151"/>
      <c r="D54" s="151"/>
      <c r="E54" s="151"/>
      <c r="F54" s="151"/>
      <c r="G54" s="151"/>
      <c r="H54" s="151"/>
      <c r="I54" s="151"/>
      <c r="J54" s="151"/>
      <c r="K54" s="151"/>
      <c r="L54" s="151"/>
      <c r="M54" s="151"/>
      <c r="N54" s="151"/>
      <c r="O54" s="151"/>
      <c r="P54" s="151"/>
      <c r="Q54" s="151"/>
      <c r="R54" s="151"/>
      <c r="S54" s="151"/>
      <c r="T54" s="151"/>
      <c r="U54" s="151"/>
      <c r="V54" s="151"/>
      <c r="W54" s="151"/>
      <c r="X54" s="151"/>
      <c r="Y54" s="151"/>
      <c r="Z54" s="151"/>
      <c r="AA54" s="151"/>
      <c r="AB54" s="151"/>
      <c r="AC54" s="151"/>
      <c r="AD54" s="151"/>
      <c r="AE54" s="151"/>
      <c r="AF54" s="151"/>
      <c r="AG54" s="151"/>
      <c r="AH54" s="151"/>
      <c r="AI54" s="151"/>
      <c r="AJ54" s="151"/>
      <c r="AK54" s="151"/>
      <c r="AL54" s="151"/>
      <c r="AM54" s="151"/>
      <c r="AN54" s="151"/>
    </row>
    <row r="55" customHeight="1" spans="1:40">
      <c r="A55" s="14"/>
      <c r="B55" s="151"/>
      <c r="C55" s="151"/>
      <c r="D55" s="151"/>
      <c r="E55" s="151"/>
      <c r="F55" s="151"/>
      <c r="G55" s="151"/>
      <c r="H55" s="151"/>
      <c r="I55" s="151"/>
      <c r="J55" s="151"/>
      <c r="K55" s="151"/>
      <c r="L55" s="151"/>
      <c r="M55" s="151"/>
      <c r="N55" s="151"/>
      <c r="O55" s="151"/>
      <c r="P55" s="151"/>
      <c r="Q55" s="151"/>
      <c r="R55" s="151"/>
      <c r="S55" s="151"/>
      <c r="T55" s="151"/>
      <c r="U55" s="151"/>
      <c r="V55" s="151"/>
      <c r="W55" s="151"/>
      <c r="X55" s="151"/>
      <c r="Y55" s="151"/>
      <c r="Z55" s="151"/>
      <c r="AA55" s="151"/>
      <c r="AB55" s="151"/>
      <c r="AC55" s="151"/>
      <c r="AD55" s="151"/>
      <c r="AE55" s="151"/>
      <c r="AF55" s="151"/>
      <c r="AG55" s="151"/>
      <c r="AH55" s="151"/>
      <c r="AI55" s="151"/>
      <c r="AJ55" s="151"/>
      <c r="AK55" s="151"/>
      <c r="AL55" s="151"/>
      <c r="AM55" s="151"/>
      <c r="AN55" s="151"/>
    </row>
    <row r="56" customHeight="1" spans="1:40">
      <c r="A56" s="14"/>
      <c r="B56" s="151"/>
      <c r="C56" s="151"/>
      <c r="D56" s="151"/>
      <c r="E56" s="151"/>
      <c r="F56" s="151"/>
      <c r="G56" s="151"/>
      <c r="H56" s="151"/>
      <c r="I56" s="151"/>
      <c r="J56" s="151"/>
      <c r="K56" s="151"/>
      <c r="L56" s="151"/>
      <c r="M56" s="151"/>
      <c r="N56" s="151"/>
      <c r="O56" s="151"/>
      <c r="P56" s="151"/>
      <c r="Q56" s="151"/>
      <c r="R56" s="151"/>
      <c r="S56" s="151"/>
      <c r="T56" s="151"/>
      <c r="U56" s="151"/>
      <c r="V56" s="151"/>
      <c r="W56" s="151"/>
      <c r="X56" s="151"/>
      <c r="Y56" s="151"/>
      <c r="Z56" s="151"/>
      <c r="AA56" s="151"/>
      <c r="AB56" s="151"/>
      <c r="AC56" s="151"/>
      <c r="AD56" s="151"/>
      <c r="AE56" s="151"/>
      <c r="AF56" s="151"/>
      <c r="AG56" s="151"/>
      <c r="AH56" s="151"/>
      <c r="AI56" s="151"/>
      <c r="AJ56" s="151"/>
      <c r="AK56" s="151"/>
      <c r="AL56" s="151"/>
      <c r="AM56" s="151"/>
      <c r="AN56" s="151"/>
    </row>
    <row r="57" customHeight="1" spans="1:40">
      <c r="A57" s="14"/>
      <c r="B57" s="151"/>
      <c r="C57" s="151"/>
      <c r="D57" s="151"/>
      <c r="E57" s="151"/>
      <c r="F57" s="151"/>
      <c r="G57" s="151"/>
      <c r="H57" s="151"/>
      <c r="I57" s="151"/>
      <c r="J57" s="151"/>
      <c r="K57" s="151"/>
      <c r="L57" s="151"/>
      <c r="M57" s="151"/>
      <c r="N57" s="151"/>
      <c r="O57" s="151"/>
      <c r="P57" s="151"/>
      <c r="Q57" s="151"/>
      <c r="R57" s="151"/>
      <c r="S57" s="151"/>
      <c r="T57" s="151"/>
      <c r="U57" s="151"/>
      <c r="V57" s="151"/>
      <c r="W57" s="151"/>
      <c r="X57" s="151"/>
      <c r="Y57" s="151"/>
      <c r="Z57" s="151"/>
      <c r="AA57" s="151"/>
      <c r="AB57" s="151"/>
      <c r="AC57" s="151"/>
      <c r="AD57" s="151"/>
      <c r="AE57" s="151"/>
      <c r="AF57" s="151"/>
      <c r="AG57" s="151"/>
      <c r="AH57" s="151"/>
      <c r="AI57" s="151"/>
      <c r="AJ57" s="151"/>
      <c r="AK57" s="151"/>
      <c r="AL57" s="151"/>
      <c r="AM57" s="151"/>
      <c r="AN57" s="151"/>
    </row>
    <row r="58" customHeight="1" spans="1:40">
      <c r="A58" s="14"/>
      <c r="B58" s="151" t="s">
        <v>127</v>
      </c>
      <c r="C58" s="151"/>
      <c r="D58" s="151"/>
      <c r="E58" s="151"/>
      <c r="F58" s="151"/>
      <c r="G58" s="151"/>
      <c r="H58" s="151"/>
      <c r="I58" s="151"/>
      <c r="J58" s="151"/>
      <c r="K58" s="151"/>
      <c r="L58" s="151"/>
      <c r="M58" s="151"/>
      <c r="N58" s="151"/>
      <c r="O58" s="151"/>
      <c r="P58" s="151"/>
      <c r="Q58" s="151"/>
      <c r="R58" s="151"/>
      <c r="S58" s="151"/>
      <c r="T58" s="151"/>
      <c r="U58" s="151"/>
      <c r="V58" s="151"/>
      <c r="W58" s="151"/>
      <c r="X58" s="151"/>
      <c r="Y58" s="151"/>
      <c r="Z58" s="151"/>
      <c r="AA58" s="151"/>
      <c r="AB58" s="151"/>
      <c r="AC58" s="151"/>
      <c r="AD58" s="151"/>
      <c r="AE58" s="151"/>
      <c r="AF58" s="151"/>
      <c r="AG58" s="151"/>
      <c r="AH58" s="151"/>
      <c r="AI58" s="151"/>
      <c r="AJ58" s="151"/>
      <c r="AK58" s="151"/>
      <c r="AL58" s="151"/>
      <c r="AM58" s="151"/>
      <c r="AN58" s="151"/>
    </row>
    <row r="59" customHeight="1" spans="1:2">
      <c r="A59" s="14" t="s">
        <v>788</v>
      </c>
      <c r="B59" s="151"/>
    </row>
    <row r="60" customHeight="1" spans="1:2">
      <c r="A60" s="14"/>
      <c r="B60" s="151"/>
    </row>
    <row r="61" customHeight="1" spans="1:2">
      <c r="A61" s="14"/>
      <c r="B61" s="151"/>
    </row>
    <row r="62" customHeight="1" spans="1:2">
      <c r="A62" s="14"/>
      <c r="B62" s="151"/>
    </row>
    <row r="63" customHeight="1" spans="1:2">
      <c r="A63" s="14"/>
      <c r="B63" s="151"/>
    </row>
  </sheetData>
  <mergeCells count="8">
    <mergeCell ref="A2:A10"/>
    <mergeCell ref="A11:A19"/>
    <mergeCell ref="A20:A28"/>
    <mergeCell ref="A29:A37"/>
    <mergeCell ref="A38:A46"/>
    <mergeCell ref="A47:A52"/>
    <mergeCell ref="A53:A58"/>
    <mergeCell ref="A59:A63"/>
  </mergeCells>
  <pageMargins left="0.699305555555556" right="0.699305555555556" top="0.75" bottom="0.75" header="0.3" footer="0.3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8"/>
  <sheetViews>
    <sheetView workbookViewId="0">
      <selection activeCell="H68" sqref="H68"/>
    </sheetView>
  </sheetViews>
  <sheetFormatPr defaultColWidth="9" defaultRowHeight="15.6" outlineLevelRow="7"/>
  <cols>
    <col min="1" max="1" width="9.25" style="150" customWidth="1"/>
    <col min="2" max="3" width="10.875" style="150" customWidth="1"/>
    <col min="4" max="16384" width="9" style="150"/>
  </cols>
  <sheetData>
    <row r="1" ht="18.75" customHeight="1" spans="1:40">
      <c r="A1" s="151" t="s">
        <v>740</v>
      </c>
      <c r="B1" s="151" t="s">
        <v>741</v>
      </c>
      <c r="C1" s="151" t="s">
        <v>127</v>
      </c>
      <c r="D1" s="151" t="s">
        <v>742</v>
      </c>
      <c r="E1" s="151" t="s">
        <v>743</v>
      </c>
      <c r="F1" s="151" t="s">
        <v>744</v>
      </c>
      <c r="G1" s="151" t="s">
        <v>745</v>
      </c>
      <c r="H1" s="151" t="s">
        <v>746</v>
      </c>
      <c r="I1" s="151" t="s">
        <v>747</v>
      </c>
      <c r="J1" s="151" t="s">
        <v>748</v>
      </c>
      <c r="K1" s="151" t="s">
        <v>749</v>
      </c>
      <c r="L1" s="151" t="s">
        <v>750</v>
      </c>
      <c r="M1" s="151" t="s">
        <v>751</v>
      </c>
      <c r="N1" s="151" t="s">
        <v>752</v>
      </c>
      <c r="O1" s="151" t="s">
        <v>753</v>
      </c>
      <c r="P1" s="151" t="s">
        <v>754</v>
      </c>
      <c r="Q1" s="151" t="s">
        <v>755</v>
      </c>
      <c r="R1" s="151" t="s">
        <v>756</v>
      </c>
      <c r="S1" s="151" t="s">
        <v>757</v>
      </c>
      <c r="T1" s="151" t="s">
        <v>758</v>
      </c>
      <c r="U1" s="151" t="s">
        <v>759</v>
      </c>
      <c r="V1" s="151" t="s">
        <v>760</v>
      </c>
      <c r="W1" s="151" t="s">
        <v>761</v>
      </c>
      <c r="X1" s="151" t="s">
        <v>762</v>
      </c>
      <c r="Y1" s="151" t="s">
        <v>763</v>
      </c>
      <c r="Z1" s="151" t="s">
        <v>764</v>
      </c>
      <c r="AA1" s="151" t="s">
        <v>765</v>
      </c>
      <c r="AB1" s="151" t="s">
        <v>766</v>
      </c>
      <c r="AC1" s="151" t="s">
        <v>767</v>
      </c>
      <c r="AD1" s="151" t="s">
        <v>768</v>
      </c>
      <c r="AE1" s="151" t="s">
        <v>769</v>
      </c>
      <c r="AF1" s="151" t="s">
        <v>770</v>
      </c>
      <c r="AG1" s="151" t="s">
        <v>771</v>
      </c>
      <c r="AH1" s="151" t="s">
        <v>772</v>
      </c>
      <c r="AI1" s="151" t="s">
        <v>773</v>
      </c>
      <c r="AJ1" s="151" t="s">
        <v>774</v>
      </c>
      <c r="AK1" s="151" t="s">
        <v>775</v>
      </c>
      <c r="AL1" s="151" t="s">
        <v>776</v>
      </c>
      <c r="AM1" s="151" t="s">
        <v>777</v>
      </c>
      <c r="AN1" s="151" t="s">
        <v>43</v>
      </c>
    </row>
    <row r="2" ht="18.75" customHeight="1" spans="1:40">
      <c r="A2" s="152">
        <v>1</v>
      </c>
      <c r="B2" s="153"/>
      <c r="C2" s="153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  <c r="P2" s="151"/>
      <c r="Q2" s="151"/>
      <c r="R2" s="151"/>
      <c r="S2" s="151"/>
      <c r="T2" s="151"/>
      <c r="U2" s="151"/>
      <c r="V2" s="151"/>
      <c r="W2" s="151"/>
      <c r="X2" s="151"/>
      <c r="Y2" s="151"/>
      <c r="Z2" s="151"/>
      <c r="AA2" s="151"/>
      <c r="AB2" s="151"/>
      <c r="AC2" s="151"/>
      <c r="AD2" s="151"/>
      <c r="AE2" s="151"/>
      <c r="AF2" s="151"/>
      <c r="AG2" s="151"/>
      <c r="AH2" s="151"/>
      <c r="AI2" s="151"/>
      <c r="AJ2" s="151"/>
      <c r="AK2" s="151"/>
      <c r="AL2" s="151"/>
      <c r="AM2" s="151"/>
      <c r="AN2" s="154">
        <f>SUM(D2:AM2)</f>
        <v>0</v>
      </c>
    </row>
    <row r="3" ht="18.75" customHeight="1" spans="1:40">
      <c r="A3" s="14" t="s">
        <v>789</v>
      </c>
      <c r="B3" s="151" t="s">
        <v>790</v>
      </c>
      <c r="C3" s="151"/>
      <c r="D3" s="151"/>
      <c r="E3" s="151"/>
      <c r="F3" s="151"/>
      <c r="G3" s="151"/>
      <c r="H3" s="151"/>
      <c r="I3" s="151"/>
      <c r="J3" s="151"/>
      <c r="K3" s="151"/>
      <c r="L3" s="151"/>
      <c r="M3" s="151"/>
      <c r="N3" s="151"/>
      <c r="O3" s="151"/>
      <c r="P3" s="151"/>
      <c r="Q3" s="151"/>
      <c r="R3" s="151"/>
      <c r="S3" s="151"/>
      <c r="T3" s="151"/>
      <c r="U3" s="151"/>
      <c r="V3" s="151"/>
      <c r="W3" s="151"/>
      <c r="X3" s="151"/>
      <c r="Y3" s="151"/>
      <c r="Z3" s="151"/>
      <c r="AA3" s="151"/>
      <c r="AB3" s="151"/>
      <c r="AC3" s="151"/>
      <c r="AD3" s="151"/>
      <c r="AE3" s="151"/>
      <c r="AF3" s="151"/>
      <c r="AG3" s="151"/>
      <c r="AH3" s="151"/>
      <c r="AI3" s="151"/>
      <c r="AJ3" s="151"/>
      <c r="AK3" s="151"/>
      <c r="AL3" s="151"/>
      <c r="AM3" s="151"/>
      <c r="AN3" s="151"/>
    </row>
    <row r="4" ht="18.75" customHeight="1" spans="1:40">
      <c r="A4" s="14"/>
      <c r="B4" s="151" t="s">
        <v>791</v>
      </c>
      <c r="C4" s="151"/>
      <c r="D4" s="151"/>
      <c r="E4" s="151"/>
      <c r="F4" s="151"/>
      <c r="G4" s="151"/>
      <c r="H4" s="151"/>
      <c r="I4" s="151"/>
      <c r="J4" s="151"/>
      <c r="K4" s="151"/>
      <c r="L4" s="151"/>
      <c r="M4" s="151"/>
      <c r="N4" s="151"/>
      <c r="O4" s="151"/>
      <c r="P4" s="151"/>
      <c r="Q4" s="151"/>
      <c r="R4" s="151"/>
      <c r="S4" s="151"/>
      <c r="T4" s="151"/>
      <c r="U4" s="151"/>
      <c r="V4" s="151"/>
      <c r="W4" s="151"/>
      <c r="X4" s="151"/>
      <c r="Y4" s="151"/>
      <c r="Z4" s="151"/>
      <c r="AA4" s="151"/>
      <c r="AB4" s="151"/>
      <c r="AC4" s="151"/>
      <c r="AD4" s="151"/>
      <c r="AE4" s="151"/>
      <c r="AF4" s="151"/>
      <c r="AG4" s="151"/>
      <c r="AH4" s="151"/>
      <c r="AI4" s="151"/>
      <c r="AJ4" s="151"/>
      <c r="AK4" s="151"/>
      <c r="AL4" s="151"/>
      <c r="AM4" s="151"/>
      <c r="AN4" s="151"/>
    </row>
    <row r="5" ht="18.75" customHeight="1" spans="1:40">
      <c r="A5" s="14"/>
      <c r="B5" s="151"/>
      <c r="C5" s="151"/>
      <c r="D5" s="151"/>
      <c r="E5" s="151"/>
      <c r="F5" s="151"/>
      <c r="G5" s="151"/>
      <c r="H5" s="151"/>
      <c r="I5" s="151"/>
      <c r="J5" s="151"/>
      <c r="K5" s="151"/>
      <c r="L5" s="151"/>
      <c r="M5" s="151"/>
      <c r="N5" s="151"/>
      <c r="O5" s="151"/>
      <c r="P5" s="151"/>
      <c r="Q5" s="151"/>
      <c r="R5" s="151"/>
      <c r="S5" s="151"/>
      <c r="T5" s="151"/>
      <c r="U5" s="151"/>
      <c r="V5" s="151"/>
      <c r="W5" s="151"/>
      <c r="X5" s="151"/>
      <c r="Y5" s="151"/>
      <c r="Z5" s="151"/>
      <c r="AA5" s="151"/>
      <c r="AB5" s="151"/>
      <c r="AC5" s="151"/>
      <c r="AD5" s="151"/>
      <c r="AE5" s="151"/>
      <c r="AF5" s="151"/>
      <c r="AG5" s="151"/>
      <c r="AH5" s="151"/>
      <c r="AI5" s="151"/>
      <c r="AJ5" s="151"/>
      <c r="AK5" s="151"/>
      <c r="AL5" s="151"/>
      <c r="AM5" s="151"/>
      <c r="AN5" s="151"/>
    </row>
    <row r="6" ht="18.75" customHeight="1" spans="1:40">
      <c r="A6" s="14"/>
      <c r="B6" s="151" t="s">
        <v>791</v>
      </c>
      <c r="C6" s="151"/>
      <c r="D6" s="151"/>
      <c r="E6" s="151"/>
      <c r="F6" s="151"/>
      <c r="G6" s="151"/>
      <c r="H6" s="151"/>
      <c r="I6" s="151"/>
      <c r="J6" s="151"/>
      <c r="K6" s="151"/>
      <c r="L6" s="151"/>
      <c r="M6" s="151"/>
      <c r="N6" s="151"/>
      <c r="O6" s="151"/>
      <c r="P6" s="151"/>
      <c r="Q6" s="151"/>
      <c r="R6" s="151"/>
      <c r="S6" s="151"/>
      <c r="T6" s="151"/>
      <c r="U6" s="151"/>
      <c r="V6" s="151"/>
      <c r="W6" s="151"/>
      <c r="X6" s="151"/>
      <c r="Y6" s="151"/>
      <c r="Z6" s="151"/>
      <c r="AA6" s="151"/>
      <c r="AB6" s="151"/>
      <c r="AC6" s="151"/>
      <c r="AD6" s="151"/>
      <c r="AE6" s="151"/>
      <c r="AF6" s="151"/>
      <c r="AG6" s="151"/>
      <c r="AH6" s="151"/>
      <c r="AI6" s="151"/>
      <c r="AJ6" s="151"/>
      <c r="AK6" s="151"/>
      <c r="AL6" s="151"/>
      <c r="AM6" s="151"/>
      <c r="AN6" s="151"/>
    </row>
    <row r="7" ht="18.75" customHeight="1" spans="1:40">
      <c r="A7" s="14"/>
      <c r="B7" s="151"/>
      <c r="C7" s="151"/>
      <c r="D7" s="151"/>
      <c r="E7" s="151"/>
      <c r="F7" s="151"/>
      <c r="G7" s="151"/>
      <c r="H7" s="151"/>
      <c r="I7" s="151"/>
      <c r="J7" s="151"/>
      <c r="K7" s="151"/>
      <c r="L7" s="151"/>
      <c r="M7" s="151"/>
      <c r="N7" s="151"/>
      <c r="O7" s="151"/>
      <c r="P7" s="151"/>
      <c r="Q7" s="151"/>
      <c r="R7" s="151"/>
      <c r="S7" s="151"/>
      <c r="T7" s="151"/>
      <c r="U7" s="151"/>
      <c r="V7" s="151"/>
      <c r="W7" s="151"/>
      <c r="X7" s="151"/>
      <c r="Y7" s="151"/>
      <c r="Z7" s="151"/>
      <c r="AA7" s="151"/>
      <c r="AB7" s="151"/>
      <c r="AC7" s="151"/>
      <c r="AD7" s="151"/>
      <c r="AE7" s="151"/>
      <c r="AF7" s="151"/>
      <c r="AG7" s="151"/>
      <c r="AH7" s="151"/>
      <c r="AI7" s="151"/>
      <c r="AJ7" s="151"/>
      <c r="AK7" s="151"/>
      <c r="AL7" s="151"/>
      <c r="AM7" s="151"/>
      <c r="AN7" s="151"/>
    </row>
    <row r="8" ht="18.75" customHeight="1" spans="1:40">
      <c r="A8" s="14"/>
      <c r="B8" s="151" t="s">
        <v>127</v>
      </c>
      <c r="C8" s="151"/>
      <c r="D8" s="151"/>
      <c r="E8" s="151"/>
      <c r="F8" s="151"/>
      <c r="G8" s="151"/>
      <c r="H8" s="151"/>
      <c r="I8" s="151"/>
      <c r="J8" s="151"/>
      <c r="K8" s="151"/>
      <c r="L8" s="151"/>
      <c r="M8" s="151"/>
      <c r="N8" s="151"/>
      <c r="O8" s="151"/>
      <c r="P8" s="151"/>
      <c r="Q8" s="151"/>
      <c r="R8" s="151"/>
      <c r="S8" s="151"/>
      <c r="T8" s="151"/>
      <c r="U8" s="151"/>
      <c r="V8" s="151"/>
      <c r="W8" s="151"/>
      <c r="X8" s="151"/>
      <c r="Y8" s="151"/>
      <c r="Z8" s="151"/>
      <c r="AA8" s="151"/>
      <c r="AB8" s="151"/>
      <c r="AC8" s="151"/>
      <c r="AD8" s="151"/>
      <c r="AE8" s="151"/>
      <c r="AF8" s="151"/>
      <c r="AG8" s="151"/>
      <c r="AH8" s="151"/>
      <c r="AI8" s="151"/>
      <c r="AJ8" s="151"/>
      <c r="AK8" s="151"/>
      <c r="AL8" s="151"/>
      <c r="AM8" s="151"/>
      <c r="AN8" s="151"/>
    </row>
  </sheetData>
  <mergeCells count="1">
    <mergeCell ref="A3:A8"/>
  </mergeCells>
  <pageMargins left="0.699305555555556" right="0.699305555555556" top="0.75" bottom="0.75" header="0.3" footer="0.3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8"/>
  <sheetViews>
    <sheetView workbookViewId="0">
      <selection activeCell="H68" sqref="H68"/>
    </sheetView>
  </sheetViews>
  <sheetFormatPr defaultColWidth="9" defaultRowHeight="15.6" outlineLevelRow="7"/>
  <sheetData>
    <row r="1" s="150" customFormat="1" ht="18.75" customHeight="1" spans="1:40">
      <c r="A1" s="151" t="s">
        <v>740</v>
      </c>
      <c r="B1" s="151" t="s">
        <v>741</v>
      </c>
      <c r="C1" s="151" t="s">
        <v>127</v>
      </c>
      <c r="D1" s="151" t="s">
        <v>742</v>
      </c>
      <c r="E1" s="151" t="s">
        <v>743</v>
      </c>
      <c r="F1" s="151" t="s">
        <v>744</v>
      </c>
      <c r="G1" s="151" t="s">
        <v>745</v>
      </c>
      <c r="H1" s="151" t="s">
        <v>746</v>
      </c>
      <c r="I1" s="151" t="s">
        <v>747</v>
      </c>
      <c r="J1" s="151" t="s">
        <v>748</v>
      </c>
      <c r="K1" s="151" t="s">
        <v>749</v>
      </c>
      <c r="L1" s="151" t="s">
        <v>750</v>
      </c>
      <c r="M1" s="151" t="s">
        <v>751</v>
      </c>
      <c r="N1" s="151" t="s">
        <v>752</v>
      </c>
      <c r="O1" s="151" t="s">
        <v>753</v>
      </c>
      <c r="P1" s="151" t="s">
        <v>754</v>
      </c>
      <c r="Q1" s="151" t="s">
        <v>755</v>
      </c>
      <c r="R1" s="151" t="s">
        <v>756</v>
      </c>
      <c r="S1" s="151" t="s">
        <v>757</v>
      </c>
      <c r="T1" s="151" t="s">
        <v>758</v>
      </c>
      <c r="U1" s="151" t="s">
        <v>759</v>
      </c>
      <c r="V1" s="151" t="s">
        <v>760</v>
      </c>
      <c r="W1" s="151" t="s">
        <v>761</v>
      </c>
      <c r="X1" s="151" t="s">
        <v>762</v>
      </c>
      <c r="Y1" s="151" t="s">
        <v>763</v>
      </c>
      <c r="Z1" s="151" t="s">
        <v>764</v>
      </c>
      <c r="AA1" s="151" t="s">
        <v>765</v>
      </c>
      <c r="AB1" s="151" t="s">
        <v>766</v>
      </c>
      <c r="AC1" s="151" t="s">
        <v>767</v>
      </c>
      <c r="AD1" s="151" t="s">
        <v>768</v>
      </c>
      <c r="AE1" s="151" t="s">
        <v>769</v>
      </c>
      <c r="AF1" s="151" t="s">
        <v>770</v>
      </c>
      <c r="AG1" s="151" t="s">
        <v>771</v>
      </c>
      <c r="AH1" s="151" t="s">
        <v>772</v>
      </c>
      <c r="AI1" s="151" t="s">
        <v>773</v>
      </c>
      <c r="AJ1" s="151" t="s">
        <v>774</v>
      </c>
      <c r="AK1" s="151" t="s">
        <v>775</v>
      </c>
      <c r="AL1" s="151" t="s">
        <v>776</v>
      </c>
      <c r="AM1" s="151" t="s">
        <v>777</v>
      </c>
      <c r="AN1" s="151" t="s">
        <v>43</v>
      </c>
    </row>
    <row r="2" s="150" customFormat="1" ht="18.75" customHeight="1" spans="1:40">
      <c r="A2" s="152">
        <v>1</v>
      </c>
      <c r="B2" s="153" t="s">
        <v>792</v>
      </c>
      <c r="C2" s="153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  <c r="P2" s="151"/>
      <c r="Q2" s="151"/>
      <c r="R2" s="151"/>
      <c r="S2" s="151"/>
      <c r="T2" s="151"/>
      <c r="U2" s="151"/>
      <c r="V2" s="151"/>
      <c r="W2" s="151"/>
      <c r="X2" s="151"/>
      <c r="Y2" s="151"/>
      <c r="Z2" s="151"/>
      <c r="AA2" s="151"/>
      <c r="AB2" s="151"/>
      <c r="AC2" s="151"/>
      <c r="AD2" s="151"/>
      <c r="AE2" s="151"/>
      <c r="AF2" s="151"/>
      <c r="AG2" s="151"/>
      <c r="AH2" s="151"/>
      <c r="AI2" s="151"/>
      <c r="AJ2" s="151"/>
      <c r="AK2" s="151"/>
      <c r="AL2" s="151"/>
      <c r="AM2" s="151"/>
      <c r="AN2" s="154">
        <f>SUM(D2:AM2)</f>
        <v>0</v>
      </c>
    </row>
    <row r="3" s="150" customFormat="1" ht="18.75" customHeight="1" spans="1:40">
      <c r="A3" s="14" t="s">
        <v>789</v>
      </c>
      <c r="B3" s="151"/>
      <c r="C3" s="151"/>
      <c r="D3" s="151"/>
      <c r="E3" s="151"/>
      <c r="F3" s="151"/>
      <c r="G3" s="151"/>
      <c r="H3" s="151"/>
      <c r="I3" s="151"/>
      <c r="J3" s="151"/>
      <c r="K3" s="151"/>
      <c r="L3" s="151"/>
      <c r="M3" s="151"/>
      <c r="N3" s="151"/>
      <c r="O3" s="151"/>
      <c r="P3" s="151"/>
      <c r="Q3" s="151"/>
      <c r="R3" s="151"/>
      <c r="S3" s="151"/>
      <c r="T3" s="151"/>
      <c r="U3" s="151"/>
      <c r="V3" s="151"/>
      <c r="W3" s="151"/>
      <c r="X3" s="151"/>
      <c r="Y3" s="151"/>
      <c r="Z3" s="151"/>
      <c r="AA3" s="151"/>
      <c r="AB3" s="151"/>
      <c r="AC3" s="151"/>
      <c r="AD3" s="151"/>
      <c r="AE3" s="151"/>
      <c r="AF3" s="151"/>
      <c r="AG3" s="151"/>
      <c r="AH3" s="151"/>
      <c r="AI3" s="151"/>
      <c r="AJ3" s="151"/>
      <c r="AK3" s="151"/>
      <c r="AL3" s="151"/>
      <c r="AM3" s="151"/>
      <c r="AN3" s="151"/>
    </row>
    <row r="4" s="150" customFormat="1" ht="18.75" customHeight="1" spans="1:40">
      <c r="A4" s="14"/>
      <c r="B4" s="151"/>
      <c r="C4" s="151"/>
      <c r="D4" s="151"/>
      <c r="E4" s="151"/>
      <c r="F4" s="151"/>
      <c r="G4" s="151"/>
      <c r="H4" s="151"/>
      <c r="I4" s="151"/>
      <c r="J4" s="151"/>
      <c r="K4" s="151"/>
      <c r="L4" s="151"/>
      <c r="M4" s="151"/>
      <c r="N4" s="151"/>
      <c r="O4" s="151"/>
      <c r="P4" s="151"/>
      <c r="Q4" s="151"/>
      <c r="R4" s="151"/>
      <c r="S4" s="151"/>
      <c r="T4" s="151"/>
      <c r="U4" s="151"/>
      <c r="V4" s="151"/>
      <c r="W4" s="151"/>
      <c r="X4" s="151"/>
      <c r="Y4" s="151"/>
      <c r="Z4" s="151"/>
      <c r="AA4" s="151"/>
      <c r="AB4" s="151"/>
      <c r="AC4" s="151"/>
      <c r="AD4" s="151"/>
      <c r="AE4" s="151"/>
      <c r="AF4" s="151"/>
      <c r="AG4" s="151"/>
      <c r="AH4" s="151"/>
      <c r="AI4" s="151"/>
      <c r="AJ4" s="151"/>
      <c r="AK4" s="151"/>
      <c r="AL4" s="151"/>
      <c r="AM4" s="151"/>
      <c r="AN4" s="151"/>
    </row>
    <row r="5" s="150" customFormat="1" ht="18.75" customHeight="1" spans="1:40">
      <c r="A5" s="14"/>
      <c r="B5" s="151"/>
      <c r="C5" s="151"/>
      <c r="D5" s="151"/>
      <c r="E5" s="151"/>
      <c r="F5" s="151"/>
      <c r="G5" s="151"/>
      <c r="H5" s="151"/>
      <c r="I5" s="151"/>
      <c r="J5" s="151"/>
      <c r="K5" s="151"/>
      <c r="L5" s="151"/>
      <c r="M5" s="151"/>
      <c r="N5" s="151"/>
      <c r="O5" s="151"/>
      <c r="P5" s="151"/>
      <c r="Q5" s="151"/>
      <c r="R5" s="151"/>
      <c r="S5" s="151"/>
      <c r="T5" s="151"/>
      <c r="U5" s="151"/>
      <c r="V5" s="151"/>
      <c r="W5" s="151"/>
      <c r="X5" s="151"/>
      <c r="Y5" s="151"/>
      <c r="Z5" s="151"/>
      <c r="AA5" s="151"/>
      <c r="AB5" s="151"/>
      <c r="AC5" s="151"/>
      <c r="AD5" s="151"/>
      <c r="AE5" s="151"/>
      <c r="AF5" s="151"/>
      <c r="AG5" s="151"/>
      <c r="AH5" s="151"/>
      <c r="AI5" s="151"/>
      <c r="AJ5" s="151"/>
      <c r="AK5" s="151"/>
      <c r="AL5" s="151"/>
      <c r="AM5" s="151"/>
      <c r="AN5" s="151"/>
    </row>
    <row r="6" s="150" customFormat="1" ht="18.75" customHeight="1" spans="1:40">
      <c r="A6" s="14"/>
      <c r="B6" s="151"/>
      <c r="C6" s="151"/>
      <c r="D6" s="151"/>
      <c r="E6" s="151"/>
      <c r="F6" s="151"/>
      <c r="G6" s="151"/>
      <c r="H6" s="151"/>
      <c r="I6" s="151"/>
      <c r="J6" s="151"/>
      <c r="K6" s="151"/>
      <c r="L6" s="151"/>
      <c r="M6" s="151"/>
      <c r="N6" s="151"/>
      <c r="O6" s="151"/>
      <c r="P6" s="151"/>
      <c r="Q6" s="151"/>
      <c r="R6" s="151"/>
      <c r="S6" s="151"/>
      <c r="T6" s="151"/>
      <c r="U6" s="151"/>
      <c r="V6" s="151"/>
      <c r="W6" s="151"/>
      <c r="X6" s="151"/>
      <c r="Y6" s="151"/>
      <c r="Z6" s="151"/>
      <c r="AA6" s="151"/>
      <c r="AB6" s="151"/>
      <c r="AC6" s="151"/>
      <c r="AD6" s="151"/>
      <c r="AE6" s="151"/>
      <c r="AF6" s="151"/>
      <c r="AG6" s="151"/>
      <c r="AH6" s="151"/>
      <c r="AI6" s="151"/>
      <c r="AJ6" s="151"/>
      <c r="AK6" s="151"/>
      <c r="AL6" s="151"/>
      <c r="AM6" s="151"/>
      <c r="AN6" s="151"/>
    </row>
    <row r="7" s="150" customFormat="1" ht="18.75" customHeight="1" spans="1:40">
      <c r="A7" s="14"/>
      <c r="B7" s="151"/>
      <c r="C7" s="151"/>
      <c r="D7" s="151"/>
      <c r="E7" s="151"/>
      <c r="F7" s="151"/>
      <c r="G7" s="151"/>
      <c r="H7" s="151"/>
      <c r="I7" s="151"/>
      <c r="J7" s="151"/>
      <c r="K7" s="151"/>
      <c r="L7" s="151"/>
      <c r="M7" s="151"/>
      <c r="N7" s="151"/>
      <c r="O7" s="151"/>
      <c r="P7" s="151"/>
      <c r="Q7" s="151"/>
      <c r="R7" s="151"/>
      <c r="S7" s="151"/>
      <c r="T7" s="151"/>
      <c r="U7" s="151"/>
      <c r="V7" s="151"/>
      <c r="W7" s="151"/>
      <c r="X7" s="151"/>
      <c r="Y7" s="151"/>
      <c r="Z7" s="151"/>
      <c r="AA7" s="151"/>
      <c r="AB7" s="151"/>
      <c r="AC7" s="151"/>
      <c r="AD7" s="151"/>
      <c r="AE7" s="151"/>
      <c r="AF7" s="151"/>
      <c r="AG7" s="151"/>
      <c r="AH7" s="151"/>
      <c r="AI7" s="151"/>
      <c r="AJ7" s="151"/>
      <c r="AK7" s="151"/>
      <c r="AL7" s="151"/>
      <c r="AM7" s="151"/>
      <c r="AN7" s="151"/>
    </row>
    <row r="8" s="150" customFormat="1" ht="18.75" customHeight="1" spans="1:40">
      <c r="A8" s="14"/>
      <c r="B8" s="151" t="s">
        <v>127</v>
      </c>
      <c r="C8" s="151"/>
      <c r="D8" s="151"/>
      <c r="E8" s="151"/>
      <c r="F8" s="151"/>
      <c r="G8" s="151"/>
      <c r="H8" s="151"/>
      <c r="I8" s="151"/>
      <c r="J8" s="151"/>
      <c r="K8" s="151"/>
      <c r="L8" s="151"/>
      <c r="M8" s="151"/>
      <c r="N8" s="151"/>
      <c r="O8" s="151"/>
      <c r="P8" s="151"/>
      <c r="Q8" s="151"/>
      <c r="R8" s="151"/>
      <c r="S8" s="151"/>
      <c r="T8" s="151"/>
      <c r="U8" s="151"/>
      <c r="V8" s="151"/>
      <c r="W8" s="151"/>
      <c r="X8" s="151"/>
      <c r="Y8" s="151"/>
      <c r="Z8" s="151"/>
      <c r="AA8" s="151"/>
      <c r="AB8" s="151"/>
      <c r="AC8" s="151"/>
      <c r="AD8" s="151"/>
      <c r="AE8" s="151"/>
      <c r="AF8" s="151"/>
      <c r="AG8" s="151"/>
      <c r="AH8" s="151"/>
      <c r="AI8" s="151"/>
      <c r="AJ8" s="151"/>
      <c r="AK8" s="151"/>
      <c r="AL8" s="151"/>
      <c r="AM8" s="151"/>
      <c r="AN8" s="151"/>
    </row>
  </sheetData>
  <mergeCells count="1">
    <mergeCell ref="A3:A8"/>
  </mergeCells>
  <pageMargins left="0.699305555555556" right="0.699305555555556" top="0.75" bottom="0.75" header="0.3" footer="0.3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8"/>
  <sheetViews>
    <sheetView workbookViewId="0">
      <selection activeCell="G16" sqref="G16"/>
    </sheetView>
  </sheetViews>
  <sheetFormatPr defaultColWidth="9" defaultRowHeight="20.25" customHeight="1"/>
  <cols>
    <col min="1" max="1" width="17.5" customWidth="1"/>
    <col min="2" max="2" width="15.25" customWidth="1"/>
    <col min="3" max="3" width="16.625" style="139" customWidth="1"/>
  </cols>
  <sheetData>
    <row r="1" customHeight="1" spans="1:12">
      <c r="A1" s="140" t="s">
        <v>82</v>
      </c>
      <c r="B1" s="141" t="s">
        <v>83</v>
      </c>
      <c r="C1" s="142" t="s">
        <v>2</v>
      </c>
      <c r="H1" s="143" t="s">
        <v>793</v>
      </c>
      <c r="I1" s="149"/>
      <c r="J1" s="149"/>
      <c r="K1" s="149"/>
      <c r="L1" s="149"/>
    </row>
    <row r="2" customHeight="1" spans="1:12">
      <c r="A2" s="144" t="s">
        <v>88</v>
      </c>
      <c r="B2" s="145" t="s">
        <v>89</v>
      </c>
      <c r="C2" s="146" t="s">
        <v>17</v>
      </c>
      <c r="H2" s="147"/>
      <c r="I2" s="147"/>
      <c r="J2" s="147"/>
      <c r="K2" s="147"/>
      <c r="L2" s="147"/>
    </row>
    <row r="3" customHeight="1" spans="1:12">
      <c r="A3" s="144" t="s">
        <v>79</v>
      </c>
      <c r="B3" s="145" t="s">
        <v>93</v>
      </c>
      <c r="C3" s="146" t="s">
        <v>20</v>
      </c>
      <c r="H3" s="147"/>
      <c r="I3" s="147"/>
      <c r="J3" s="147"/>
      <c r="K3" s="147"/>
      <c r="L3" s="147"/>
    </row>
    <row r="4" customHeight="1" spans="1:12">
      <c r="A4" s="140" t="s">
        <v>86</v>
      </c>
      <c r="B4" s="145" t="s">
        <v>96</v>
      </c>
      <c r="C4" s="146" t="s">
        <v>14</v>
      </c>
      <c r="H4" s="147"/>
      <c r="I4" s="147"/>
      <c r="J4" s="147"/>
      <c r="K4" s="147"/>
      <c r="L4" s="147"/>
    </row>
    <row r="5" customHeight="1" spans="1:12">
      <c r="A5" s="140" t="s">
        <v>98</v>
      </c>
      <c r="B5" s="145"/>
      <c r="C5" s="146" t="s">
        <v>7</v>
      </c>
      <c r="H5" s="147"/>
      <c r="I5" s="147"/>
      <c r="J5" s="147"/>
      <c r="K5" s="147"/>
      <c r="L5" s="147"/>
    </row>
    <row r="6" customHeight="1" spans="1:12">
      <c r="A6" s="144" t="s">
        <v>794</v>
      </c>
      <c r="B6" s="145"/>
      <c r="C6" s="146" t="s">
        <v>11</v>
      </c>
      <c r="H6" s="147"/>
      <c r="I6" s="147"/>
      <c r="J6" s="147"/>
      <c r="K6" s="147"/>
      <c r="L6" s="147"/>
    </row>
    <row r="7" customHeight="1" spans="1:12">
      <c r="A7" s="140" t="s">
        <v>100</v>
      </c>
      <c r="B7" s="145"/>
      <c r="C7" s="146" t="s">
        <v>795</v>
      </c>
      <c r="H7" s="147"/>
      <c r="I7" s="147"/>
      <c r="J7" s="147"/>
      <c r="K7" s="147"/>
      <c r="L7" s="147"/>
    </row>
    <row r="8" customHeight="1" spans="1:12">
      <c r="A8" s="144" t="s">
        <v>102</v>
      </c>
      <c r="B8" s="145"/>
      <c r="C8" s="146" t="s">
        <v>796</v>
      </c>
      <c r="H8" s="147"/>
      <c r="I8" s="147"/>
      <c r="J8" s="147"/>
      <c r="K8" s="147"/>
      <c r="L8" s="147"/>
    </row>
    <row r="9" customHeight="1" spans="1:12">
      <c r="A9" s="144" t="s">
        <v>107</v>
      </c>
      <c r="B9" s="145"/>
      <c r="C9" s="148"/>
      <c r="H9" s="147"/>
      <c r="I9" s="147"/>
      <c r="J9" s="147"/>
      <c r="K9" s="147"/>
      <c r="L9" s="147"/>
    </row>
    <row r="10" customHeight="1" spans="1:12">
      <c r="A10" s="144" t="s">
        <v>111</v>
      </c>
      <c r="B10" s="145"/>
      <c r="C10" s="148"/>
      <c r="H10" s="147"/>
      <c r="I10" s="147"/>
      <c r="J10" s="147"/>
      <c r="K10" s="147"/>
      <c r="L10" s="147"/>
    </row>
    <row r="11" customHeight="1" spans="1:3">
      <c r="A11" s="140" t="s">
        <v>114</v>
      </c>
      <c r="B11" s="145"/>
      <c r="C11" s="148"/>
    </row>
    <row r="12" customHeight="1" spans="1:3">
      <c r="A12" s="140" t="s">
        <v>116</v>
      </c>
      <c r="B12" s="145"/>
      <c r="C12" s="148"/>
    </row>
    <row r="13" customHeight="1" spans="1:3">
      <c r="A13" s="140" t="s">
        <v>118</v>
      </c>
      <c r="B13" s="145"/>
      <c r="C13" s="148"/>
    </row>
    <row r="14" customHeight="1" spans="1:3">
      <c r="A14" s="140" t="s">
        <v>122</v>
      </c>
      <c r="B14" s="145"/>
      <c r="C14" s="148"/>
    </row>
    <row r="15" customHeight="1" spans="1:3">
      <c r="A15" s="144" t="s">
        <v>797</v>
      </c>
      <c r="B15" s="145"/>
      <c r="C15" s="148"/>
    </row>
    <row r="16" customHeight="1" spans="1:3">
      <c r="A16" s="144" t="s">
        <v>798</v>
      </c>
      <c r="B16" s="145"/>
      <c r="C16" s="148"/>
    </row>
    <row r="17" customHeight="1" spans="1:3">
      <c r="A17" s="140"/>
      <c r="B17" s="145"/>
      <c r="C17" s="148"/>
    </row>
    <row r="18" customHeight="1" spans="1:3">
      <c r="A18" s="140"/>
      <c r="B18" s="145"/>
      <c r="C18" s="148"/>
    </row>
  </sheetData>
  <mergeCells count="1">
    <mergeCell ref="H1:L1"/>
  </mergeCells>
  <pageMargins left="0.699305555555556" right="0.699305555555556" top="0.75" bottom="0.75" header="0.3" footer="0.3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F14"/>
  <sheetViews>
    <sheetView workbookViewId="0">
      <selection activeCell="D14" sqref="D14"/>
    </sheetView>
  </sheetViews>
  <sheetFormatPr defaultColWidth="9" defaultRowHeight="15.6" outlineLevelCol="5"/>
  <cols>
    <col min="2" max="3" width="13.625" customWidth="1"/>
    <col min="4" max="4" width="12.875" customWidth="1"/>
    <col min="5" max="5" width="13.625" customWidth="1"/>
    <col min="6" max="6" width="122.25" customWidth="1"/>
  </cols>
  <sheetData>
    <row r="1" ht="16.35"/>
    <row r="2" ht="27" customHeight="1" spans="2:6">
      <c r="B2" s="131" t="s">
        <v>528</v>
      </c>
      <c r="C2" s="131" t="s">
        <v>799</v>
      </c>
      <c r="D2" s="131" t="s">
        <v>628</v>
      </c>
      <c r="E2" s="131" t="s">
        <v>629</v>
      </c>
      <c r="F2" s="131" t="s">
        <v>630</v>
      </c>
    </row>
    <row r="3" ht="27" customHeight="1" spans="2:6">
      <c r="B3" s="132" t="s">
        <v>66</v>
      </c>
      <c r="C3" s="133">
        <v>71304.53</v>
      </c>
      <c r="D3" s="133">
        <v>70247.86</v>
      </c>
      <c r="E3" s="133">
        <f>C3-D3</f>
        <v>1056.67</v>
      </c>
      <c r="F3" s="132" t="s">
        <v>800</v>
      </c>
    </row>
    <row r="4" ht="27" customHeight="1" spans="2:6">
      <c r="B4" s="132" t="s">
        <v>68</v>
      </c>
      <c r="C4" s="133">
        <v>70789.96</v>
      </c>
      <c r="D4" s="133">
        <v>69462.86</v>
      </c>
      <c r="E4" s="133">
        <f t="shared" ref="E4:E11" si="0">C4-D4</f>
        <v>1327.10000000001</v>
      </c>
      <c r="F4" s="132" t="s">
        <v>632</v>
      </c>
    </row>
    <row r="5" ht="27" customHeight="1" spans="2:6">
      <c r="B5" s="134" t="s">
        <v>801</v>
      </c>
      <c r="C5" s="133">
        <v>65833.48</v>
      </c>
      <c r="D5" s="133">
        <v>66200.8</v>
      </c>
      <c r="E5" s="133">
        <f t="shared" si="0"/>
        <v>-367.320000000007</v>
      </c>
      <c r="F5" s="132" t="s">
        <v>634</v>
      </c>
    </row>
    <row r="6" ht="27" customHeight="1" spans="2:6">
      <c r="B6" s="134" t="s">
        <v>802</v>
      </c>
      <c r="C6" s="133">
        <v>22299.71</v>
      </c>
      <c r="D6" s="133">
        <v>22299.71</v>
      </c>
      <c r="E6" s="133">
        <f t="shared" si="0"/>
        <v>0</v>
      </c>
      <c r="F6" s="132" t="s">
        <v>803</v>
      </c>
    </row>
    <row r="7" ht="27" customHeight="1" spans="2:6">
      <c r="B7" s="134" t="s">
        <v>804</v>
      </c>
      <c r="C7" s="133">
        <v>33179.91</v>
      </c>
      <c r="D7" s="133">
        <v>32866.76</v>
      </c>
      <c r="E7" s="133">
        <f t="shared" si="0"/>
        <v>313.150000000001</v>
      </c>
      <c r="F7" s="132" t="s">
        <v>805</v>
      </c>
    </row>
    <row r="8" ht="27" customHeight="1" spans="2:6">
      <c r="B8" s="134" t="s">
        <v>806</v>
      </c>
      <c r="C8" s="133">
        <v>4814.6614282353</v>
      </c>
      <c r="D8" s="133">
        <v>4801.04</v>
      </c>
      <c r="E8" s="133">
        <f t="shared" si="0"/>
        <v>13.6214282352985</v>
      </c>
      <c r="F8" s="132" t="s">
        <v>807</v>
      </c>
    </row>
    <row r="9" ht="27" customHeight="1" spans="2:6">
      <c r="B9" s="134" t="s">
        <v>808</v>
      </c>
      <c r="C9" s="133">
        <v>4053.81758399817</v>
      </c>
      <c r="D9" s="133">
        <v>4282.07</v>
      </c>
      <c r="E9" s="133">
        <f t="shared" si="0"/>
        <v>-228.252416001828</v>
      </c>
      <c r="F9" s="132" t="s">
        <v>809</v>
      </c>
    </row>
    <row r="10" ht="27" customHeight="1" spans="2:6">
      <c r="B10" s="134" t="s">
        <v>810</v>
      </c>
      <c r="C10" s="133">
        <v>1485.37715253817</v>
      </c>
      <c r="D10" s="133">
        <v>1951.22</v>
      </c>
      <c r="E10" s="133">
        <f t="shared" si="0"/>
        <v>-465.842847461827</v>
      </c>
      <c r="F10" s="132" t="s">
        <v>811</v>
      </c>
    </row>
    <row r="11" ht="27" customHeight="1" spans="2:6">
      <c r="B11" s="134" t="s">
        <v>648</v>
      </c>
      <c r="C11" s="135">
        <v>0.0245932798120307</v>
      </c>
      <c r="D11" s="136">
        <v>0.0321</v>
      </c>
      <c r="E11" s="137">
        <f t="shared" si="0"/>
        <v>-0.00750672018796928</v>
      </c>
      <c r="F11" s="132" t="s">
        <v>812</v>
      </c>
    </row>
    <row r="14" spans="3:4">
      <c r="C14" s="138"/>
      <c r="D14" s="138">
        <f>D5-D6-D7-D8-D9-D10</f>
        <v>2.04636307898909e-12</v>
      </c>
    </row>
  </sheetData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7"/>
  <sheetViews>
    <sheetView workbookViewId="0">
      <selection activeCell="J10" sqref="J10"/>
    </sheetView>
  </sheetViews>
  <sheetFormatPr defaultColWidth="9" defaultRowHeight="14.4"/>
  <cols>
    <col min="1" max="1" width="9" style="115"/>
    <col min="2" max="2" width="24.5" style="115" customWidth="1"/>
    <col min="3" max="3" width="13.6333333333333" style="115" customWidth="1"/>
    <col min="4" max="4" width="17.25" style="115" customWidth="1"/>
    <col min="5" max="5" width="9.75" style="115" customWidth="1"/>
    <col min="6" max="6" width="13.6333333333333" style="115" hidden="1" customWidth="1"/>
    <col min="7" max="7" width="17.25" style="115" hidden="1" customWidth="1"/>
    <col min="8" max="8" width="9.75" style="115" hidden="1" customWidth="1"/>
    <col min="9" max="9" width="14.6333333333333" style="115" customWidth="1"/>
    <col min="10" max="10" width="15.1333333333333" style="115" customWidth="1"/>
    <col min="11" max="11" width="11" style="115" customWidth="1"/>
    <col min="12" max="12" width="11.5" style="115" customWidth="1"/>
    <col min="13" max="13" width="48.6333333333333" style="115" customWidth="1"/>
    <col min="14" max="14" width="14.1333333333333" style="115"/>
    <col min="15" max="15" width="9.63333333333333" style="115"/>
    <col min="16" max="16384" width="9" style="115"/>
  </cols>
  <sheetData>
    <row r="1" s="115" customFormat="1" ht="30.95" customHeight="1" spans="3:13">
      <c r="C1" s="116" t="s">
        <v>813</v>
      </c>
      <c r="D1" s="116"/>
      <c r="E1" s="116"/>
      <c r="F1" s="116" t="s">
        <v>814</v>
      </c>
      <c r="G1" s="116"/>
      <c r="H1" s="116"/>
      <c r="I1" s="115" t="s">
        <v>815</v>
      </c>
      <c r="L1" s="115" t="s">
        <v>816</v>
      </c>
      <c r="M1" s="115" t="s">
        <v>5</v>
      </c>
    </row>
    <row r="2" s="115" customFormat="1" ht="27.95" customHeight="1" spans="1:13">
      <c r="A2" s="51">
        <v>1</v>
      </c>
      <c r="B2" s="117" t="s">
        <v>817</v>
      </c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</row>
    <row r="3" s="115" customFormat="1" ht="27.95" customHeight="1" spans="1:13">
      <c r="A3" s="51"/>
      <c r="B3" s="117" t="s">
        <v>818</v>
      </c>
      <c r="C3" s="117">
        <v>70247.86</v>
      </c>
      <c r="D3" s="117"/>
      <c r="E3" s="117"/>
      <c r="F3" s="117">
        <f>F4+F7</f>
        <v>71194.73</v>
      </c>
      <c r="G3" s="117"/>
      <c r="H3" s="117"/>
      <c r="I3" s="117">
        <f>I4+I7</f>
        <v>71194.59</v>
      </c>
      <c r="J3" s="117"/>
      <c r="K3" s="117"/>
      <c r="L3" s="117">
        <f t="shared" ref="L3:L14" si="0">I3-C3</f>
        <v>946.729999999996</v>
      </c>
      <c r="M3" s="126" t="s">
        <v>819</v>
      </c>
    </row>
    <row r="4" s="115" customFormat="1" ht="26.25" customHeight="1" spans="1:13">
      <c r="A4" s="51"/>
      <c r="B4" s="118" t="s">
        <v>820</v>
      </c>
      <c r="C4" s="119">
        <v>49185</v>
      </c>
      <c r="D4" s="120" t="s">
        <v>821</v>
      </c>
      <c r="E4" s="120">
        <v>32384</v>
      </c>
      <c r="F4" s="119">
        <f>H4+H5+H6</f>
        <v>48874.73</v>
      </c>
      <c r="G4" s="120" t="s">
        <v>821</v>
      </c>
      <c r="H4" s="120">
        <v>31651.48</v>
      </c>
      <c r="I4" s="119">
        <f>K4+K5+K6</f>
        <v>48874.59</v>
      </c>
      <c r="J4" s="51" t="s">
        <v>821</v>
      </c>
      <c r="K4" s="120">
        <v>31783.7</v>
      </c>
      <c r="L4" s="117">
        <f t="shared" ref="L4:L6" si="1">K4-E4</f>
        <v>-600.299999999999</v>
      </c>
      <c r="M4" s="127" t="s">
        <v>822</v>
      </c>
    </row>
    <row r="5" s="115" customFormat="1" ht="28.5" customHeight="1" spans="1:13">
      <c r="A5" s="51"/>
      <c r="B5" s="121"/>
      <c r="C5" s="122"/>
      <c r="D5" s="120" t="s">
        <v>823</v>
      </c>
      <c r="E5" s="120">
        <v>16016</v>
      </c>
      <c r="F5" s="122"/>
      <c r="G5" s="120" t="s">
        <v>823</v>
      </c>
      <c r="H5" s="120">
        <v>16715.35</v>
      </c>
      <c r="I5" s="122"/>
      <c r="J5" s="51" t="s">
        <v>823</v>
      </c>
      <c r="K5" s="120">
        <v>16582.99</v>
      </c>
      <c r="L5" s="117">
        <f t="shared" si="1"/>
        <v>566.990000000002</v>
      </c>
      <c r="M5" s="123"/>
    </row>
    <row r="6" s="115" customFormat="1" ht="27.95" customHeight="1" spans="1:13">
      <c r="A6" s="51"/>
      <c r="B6" s="121"/>
      <c r="C6" s="122"/>
      <c r="D6" s="123" t="s">
        <v>824</v>
      </c>
      <c r="E6" s="120">
        <v>785</v>
      </c>
      <c r="F6" s="122"/>
      <c r="G6" s="123" t="s">
        <v>825</v>
      </c>
      <c r="H6" s="120">
        <v>507.9</v>
      </c>
      <c r="I6" s="122"/>
      <c r="J6" s="128" t="s">
        <v>825</v>
      </c>
      <c r="K6" s="120">
        <v>507.9</v>
      </c>
      <c r="L6" s="117">
        <f t="shared" si="1"/>
        <v>-277.1</v>
      </c>
      <c r="M6" s="129"/>
    </row>
    <row r="7" s="115" customFormat="1" ht="27.95" customHeight="1" spans="1:13">
      <c r="A7" s="51"/>
      <c r="B7" s="117" t="s">
        <v>826</v>
      </c>
      <c r="C7" s="117">
        <v>21062.86</v>
      </c>
      <c r="D7" s="117"/>
      <c r="E7" s="117"/>
      <c r="F7" s="117">
        <v>22320</v>
      </c>
      <c r="G7" s="117"/>
      <c r="H7" s="117"/>
      <c r="I7" s="117">
        <v>22320</v>
      </c>
      <c r="J7" s="117"/>
      <c r="K7" s="117"/>
      <c r="L7" s="117">
        <f t="shared" si="0"/>
        <v>1257.14</v>
      </c>
      <c r="M7" s="126" t="s">
        <v>827</v>
      </c>
    </row>
    <row r="8" s="115" customFormat="1" ht="27.95" customHeight="1" spans="1:13">
      <c r="A8" s="51"/>
      <c r="B8" s="117" t="s">
        <v>828</v>
      </c>
      <c r="C8" s="117">
        <v>508</v>
      </c>
      <c r="D8" s="117"/>
      <c r="E8" s="117"/>
      <c r="F8" s="117">
        <v>498</v>
      </c>
      <c r="G8" s="117"/>
      <c r="H8" s="117"/>
      <c r="I8" s="117">
        <v>506</v>
      </c>
      <c r="J8" s="117"/>
      <c r="K8" s="117"/>
      <c r="L8" s="117">
        <f t="shared" si="0"/>
        <v>-2</v>
      </c>
      <c r="M8" s="117"/>
    </row>
    <row r="9" s="115" customFormat="1" ht="27.95" customHeight="1" spans="1:13">
      <c r="A9" s="51">
        <v>2</v>
      </c>
      <c r="B9" s="117" t="s">
        <v>829</v>
      </c>
      <c r="C9" s="124">
        <v>32866.7595998725</v>
      </c>
      <c r="D9" s="124"/>
      <c r="E9" s="124"/>
      <c r="F9" s="124">
        <f>F10+F11+F12+F13+F14</f>
        <v>33176.72</v>
      </c>
      <c r="G9" s="124"/>
      <c r="H9" s="124"/>
      <c r="I9" s="124">
        <f>I10+I11+I12+I13+I14</f>
        <v>32929.67</v>
      </c>
      <c r="J9" s="117"/>
      <c r="K9" s="117"/>
      <c r="L9" s="130">
        <f t="shared" si="0"/>
        <v>62.9104001274973</v>
      </c>
      <c r="M9" s="117" t="s">
        <v>830</v>
      </c>
    </row>
    <row r="10" s="115" customFormat="1" ht="106" customHeight="1" spans="1:13">
      <c r="A10" s="117"/>
      <c r="B10" s="125" t="s">
        <v>170</v>
      </c>
      <c r="C10" s="124">
        <v>2291.53452539704</v>
      </c>
      <c r="D10" s="124"/>
      <c r="E10" s="124"/>
      <c r="F10" s="124">
        <v>2424.01</v>
      </c>
      <c r="G10" s="124"/>
      <c r="H10" s="124"/>
      <c r="I10" s="117">
        <v>2178.41</v>
      </c>
      <c r="J10" s="117"/>
      <c r="K10" s="117"/>
      <c r="L10" s="130">
        <f t="shared" si="0"/>
        <v>-113.12452539704</v>
      </c>
      <c r="M10" s="126" t="s">
        <v>831</v>
      </c>
    </row>
    <row r="11" s="115" customFormat="1" ht="71" customHeight="1" spans="1:13">
      <c r="A11" s="117"/>
      <c r="B11" s="125" t="s">
        <v>306</v>
      </c>
      <c r="C11" s="124">
        <v>25997.8104037156</v>
      </c>
      <c r="D11" s="124"/>
      <c r="E11" s="124"/>
      <c r="F11" s="124">
        <v>26368.04</v>
      </c>
      <c r="G11" s="124"/>
      <c r="H11" s="124"/>
      <c r="I11" s="117">
        <v>26250.58</v>
      </c>
      <c r="J11" s="117"/>
      <c r="K11" s="117"/>
      <c r="L11" s="130">
        <f t="shared" si="0"/>
        <v>252.769596284401</v>
      </c>
      <c r="M11" s="126" t="s">
        <v>832</v>
      </c>
    </row>
    <row r="12" s="115" customFormat="1" ht="99" customHeight="1" spans="1:13">
      <c r="A12" s="117"/>
      <c r="B12" s="125" t="s">
        <v>390</v>
      </c>
      <c r="C12" s="124">
        <v>3514.13589316012</v>
      </c>
      <c r="D12" s="124"/>
      <c r="E12" s="124"/>
      <c r="F12" s="124">
        <v>3397.12</v>
      </c>
      <c r="G12" s="124"/>
      <c r="H12" s="124"/>
      <c r="I12" s="117">
        <v>3517.55</v>
      </c>
      <c r="J12" s="117"/>
      <c r="K12" s="117"/>
      <c r="L12" s="130">
        <f t="shared" si="0"/>
        <v>3.41410683988033</v>
      </c>
      <c r="M12" s="126" t="s">
        <v>833</v>
      </c>
    </row>
    <row r="13" s="115" customFormat="1" ht="27.95" customHeight="1" spans="1:13">
      <c r="A13" s="117"/>
      <c r="B13" s="125" t="s">
        <v>490</v>
      </c>
      <c r="C13" s="124">
        <v>577.56311848834</v>
      </c>
      <c r="D13" s="124"/>
      <c r="E13" s="124"/>
      <c r="F13" s="124">
        <v>497.25</v>
      </c>
      <c r="G13" s="124"/>
      <c r="H13" s="124"/>
      <c r="I13" s="117">
        <v>496.48</v>
      </c>
      <c r="J13" s="117"/>
      <c r="K13" s="117"/>
      <c r="L13" s="130">
        <f t="shared" si="0"/>
        <v>-81.08311848834</v>
      </c>
      <c r="M13" s="126" t="s">
        <v>834</v>
      </c>
    </row>
    <row r="14" s="115" customFormat="1" ht="27.95" customHeight="1" spans="1:13">
      <c r="A14" s="117"/>
      <c r="B14" s="125" t="s">
        <v>514</v>
      </c>
      <c r="C14" s="124">
        <v>485.715659111417</v>
      </c>
      <c r="D14" s="124"/>
      <c r="E14" s="124"/>
      <c r="F14" s="124">
        <v>490.3</v>
      </c>
      <c r="G14" s="124"/>
      <c r="H14" s="124"/>
      <c r="I14" s="117">
        <v>486.65</v>
      </c>
      <c r="J14" s="117"/>
      <c r="K14" s="117"/>
      <c r="L14" s="130">
        <f t="shared" si="0"/>
        <v>0.934340888582994</v>
      </c>
      <c r="M14" s="117"/>
    </row>
    <row r="15" s="115" customFormat="1" ht="20" customHeight="1"/>
    <row r="16" s="115" customFormat="1" ht="22" customHeight="1"/>
    <row r="17" s="115" customFormat="1" ht="20" customHeight="1"/>
  </sheetData>
  <mergeCells count="7">
    <mergeCell ref="C1:E1"/>
    <mergeCell ref="F1:H1"/>
    <mergeCell ref="B4:B6"/>
    <mergeCell ref="C4:C6"/>
    <mergeCell ref="F4:F6"/>
    <mergeCell ref="I4:I6"/>
    <mergeCell ref="M4:M6"/>
  </mergeCells>
  <pageMargins left="0.75" right="0.75" top="1" bottom="1" header="0.5" footer="0.5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Q36"/>
  <sheetViews>
    <sheetView zoomScale="60" zoomScaleNormal="60" workbookViewId="0">
      <pane xSplit="2" ySplit="3" topLeftCell="C4" activePane="bottomRight" state="frozen"/>
      <selection/>
      <selection pane="topRight"/>
      <selection pane="bottomLeft"/>
      <selection pane="bottomRight" activeCell="I12" sqref="I12"/>
    </sheetView>
  </sheetViews>
  <sheetFormatPr defaultColWidth="9" defaultRowHeight="15.6"/>
  <cols>
    <col min="1" max="1" width="13.125" customWidth="1"/>
    <col min="3" max="8" width="9" customWidth="1"/>
    <col min="9" max="9" width="13.375"/>
    <col min="10" max="11" width="9.25"/>
    <col min="14" max="14" width="12.125"/>
    <col min="15" max="15" width="15.7083333333333" customWidth="1"/>
    <col min="21" max="22" width="10.5" customWidth="1"/>
    <col min="28" max="28" width="8.75" customWidth="1"/>
    <col min="41" max="41" width="13.625" customWidth="1"/>
    <col min="53" max="53" width="9.125"/>
  </cols>
  <sheetData>
    <row r="1" ht="23.4" spans="1:41">
      <c r="A1" s="97" t="s">
        <v>835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  <c r="Y1" s="97"/>
      <c r="Z1" s="97"/>
      <c r="AA1" s="97"/>
      <c r="AB1" s="97"/>
      <c r="AC1" s="97"/>
      <c r="AD1" s="97"/>
      <c r="AE1" s="97"/>
      <c r="AF1" s="97"/>
      <c r="AG1" s="97"/>
      <c r="AH1" s="97"/>
      <c r="AI1" s="97"/>
      <c r="AJ1" s="97"/>
      <c r="AK1" s="97"/>
      <c r="AL1" s="97"/>
      <c r="AM1" s="97"/>
      <c r="AN1" s="97"/>
      <c r="AO1" s="97"/>
    </row>
    <row r="2" ht="37" customHeight="1" spans="1:41">
      <c r="A2" s="98" t="s">
        <v>836</v>
      </c>
      <c r="B2" s="99" t="s">
        <v>837</v>
      </c>
      <c r="C2" s="100" t="s">
        <v>838</v>
      </c>
      <c r="D2" s="101"/>
      <c r="E2" s="98" t="s">
        <v>839</v>
      </c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 t="s">
        <v>840</v>
      </c>
      <c r="R2" s="98"/>
      <c r="S2" s="98"/>
      <c r="T2" s="98"/>
      <c r="U2" s="98"/>
      <c r="V2" s="98"/>
      <c r="W2" s="98"/>
      <c r="X2" s="98"/>
      <c r="Y2" s="98"/>
      <c r="Z2" s="98"/>
      <c r="AA2" s="98"/>
      <c r="AB2" s="98"/>
      <c r="AC2" s="98" t="s">
        <v>841</v>
      </c>
      <c r="AD2" s="98"/>
      <c r="AE2" s="98"/>
      <c r="AF2" s="98"/>
      <c r="AG2" s="98"/>
      <c r="AH2" s="98"/>
      <c r="AI2" s="98"/>
      <c r="AJ2" s="98"/>
      <c r="AK2" s="98"/>
      <c r="AL2" s="98"/>
      <c r="AM2" s="98"/>
      <c r="AN2" s="98"/>
      <c r="AO2" s="99" t="s">
        <v>127</v>
      </c>
    </row>
    <row r="3" ht="37" customHeight="1" spans="1:43">
      <c r="A3" s="99" t="s">
        <v>842</v>
      </c>
      <c r="B3" s="99"/>
      <c r="C3" s="99" t="s">
        <v>843</v>
      </c>
      <c r="D3" s="99" t="s">
        <v>844</v>
      </c>
      <c r="E3" s="99" t="s">
        <v>845</v>
      </c>
      <c r="F3" s="102" t="s">
        <v>846</v>
      </c>
      <c r="G3" s="99" t="s">
        <v>847</v>
      </c>
      <c r="H3" s="99" t="s">
        <v>848</v>
      </c>
      <c r="I3" s="111" t="s">
        <v>849</v>
      </c>
      <c r="J3" s="99" t="s">
        <v>850</v>
      </c>
      <c r="K3" s="99" t="s">
        <v>851</v>
      </c>
      <c r="L3" s="99" t="s">
        <v>852</v>
      </c>
      <c r="M3" s="99" t="s">
        <v>853</v>
      </c>
      <c r="N3" s="99" t="s">
        <v>854</v>
      </c>
      <c r="O3" s="99" t="s">
        <v>843</v>
      </c>
      <c r="P3" s="99" t="s">
        <v>844</v>
      </c>
      <c r="Q3" s="99" t="s">
        <v>845</v>
      </c>
      <c r="R3" s="99" t="s">
        <v>846</v>
      </c>
      <c r="S3" s="99" t="s">
        <v>847</v>
      </c>
      <c r="T3" s="99" t="s">
        <v>848</v>
      </c>
      <c r="U3" s="99" t="s">
        <v>849</v>
      </c>
      <c r="V3" s="99" t="s">
        <v>850</v>
      </c>
      <c r="W3" s="99" t="s">
        <v>851</v>
      </c>
      <c r="X3" s="99" t="s">
        <v>852</v>
      </c>
      <c r="Y3" s="99" t="s">
        <v>853</v>
      </c>
      <c r="Z3" s="99" t="s">
        <v>854</v>
      </c>
      <c r="AA3" s="99" t="s">
        <v>843</v>
      </c>
      <c r="AB3" s="102" t="s">
        <v>844</v>
      </c>
      <c r="AC3" s="99" t="s">
        <v>845</v>
      </c>
      <c r="AD3" s="99" t="s">
        <v>846</v>
      </c>
      <c r="AE3" s="99" t="s">
        <v>847</v>
      </c>
      <c r="AF3" s="99" t="s">
        <v>848</v>
      </c>
      <c r="AG3" s="99" t="s">
        <v>849</v>
      </c>
      <c r="AH3" s="99" t="s">
        <v>850</v>
      </c>
      <c r="AI3" s="99" t="s">
        <v>851</v>
      </c>
      <c r="AJ3" s="99" t="s">
        <v>852</v>
      </c>
      <c r="AK3" s="102" t="s">
        <v>853</v>
      </c>
      <c r="AL3" s="99" t="s">
        <v>854</v>
      </c>
      <c r="AM3" s="99" t="s">
        <v>843</v>
      </c>
      <c r="AN3" s="99" t="s">
        <v>844</v>
      </c>
      <c r="AO3" s="99"/>
      <c r="AQ3">
        <f>经济指标!I9</f>
        <v>184</v>
      </c>
    </row>
    <row r="4" ht="37" customHeight="1" spans="1:43">
      <c r="A4" s="99" t="s">
        <v>783</v>
      </c>
      <c r="B4" s="99" t="str">
        <f>经济指标!C9</f>
        <v>洋房</v>
      </c>
      <c r="C4" s="103"/>
      <c r="D4" s="103"/>
      <c r="E4" s="104"/>
      <c r="F4" s="104"/>
      <c r="G4" s="104"/>
      <c r="H4" s="104"/>
      <c r="I4" s="104"/>
      <c r="J4" s="104"/>
      <c r="K4" s="104"/>
      <c r="L4" s="104"/>
      <c r="M4" s="104">
        <v>50</v>
      </c>
      <c r="N4" s="104">
        <v>12</v>
      </c>
      <c r="O4" s="104">
        <v>13</v>
      </c>
      <c r="P4" s="104">
        <v>8</v>
      </c>
      <c r="Q4" s="104">
        <v>2</v>
      </c>
      <c r="R4" s="104">
        <v>3</v>
      </c>
      <c r="S4" s="104">
        <v>8</v>
      </c>
      <c r="T4" s="104">
        <v>13</v>
      </c>
      <c r="U4" s="104">
        <v>18</v>
      </c>
      <c r="V4" s="104">
        <v>12</v>
      </c>
      <c r="W4" s="104">
        <v>10</v>
      </c>
      <c r="X4" s="104">
        <v>10</v>
      </c>
      <c r="Y4" s="104">
        <v>10</v>
      </c>
      <c r="Z4" s="104">
        <v>15</v>
      </c>
      <c r="AA4" s="104"/>
      <c r="AB4" s="104"/>
      <c r="AC4" s="104"/>
      <c r="AD4" s="104"/>
      <c r="AE4" s="104"/>
      <c r="AF4" s="104"/>
      <c r="AG4" s="104"/>
      <c r="AH4" s="104"/>
      <c r="AI4" s="104"/>
      <c r="AJ4" s="104"/>
      <c r="AK4" s="104"/>
      <c r="AL4" s="104"/>
      <c r="AM4" s="104"/>
      <c r="AN4" s="104"/>
      <c r="AO4" s="103">
        <f>SUM(C4:AN4)</f>
        <v>184</v>
      </c>
      <c r="AQ4">
        <f>AQ3-AO4</f>
        <v>0</v>
      </c>
    </row>
    <row r="5" ht="37" customHeight="1" spans="1:41">
      <c r="A5" s="102" t="s">
        <v>855</v>
      </c>
      <c r="B5" s="102"/>
      <c r="C5" s="102"/>
      <c r="D5" s="102"/>
      <c r="E5" s="105"/>
      <c r="F5" s="105"/>
      <c r="G5" s="105"/>
      <c r="H5" s="105"/>
      <c r="I5" s="105">
        <f>I4*经济指标!$K$9</f>
        <v>0</v>
      </c>
      <c r="J5" s="105">
        <f>J4*经济指标!$K$9</f>
        <v>0</v>
      </c>
      <c r="K5" s="105">
        <f>K4*经济指标!$K$9</f>
        <v>0</v>
      </c>
      <c r="L5" s="105">
        <f>L4*经济指标!$K$9</f>
        <v>0</v>
      </c>
      <c r="M5" s="105">
        <f>M4*经济指标!$K$9</f>
        <v>8598.59782608696</v>
      </c>
      <c r="N5" s="105">
        <f>N4*经济指标!$K$9</f>
        <v>2063.66347826087</v>
      </c>
      <c r="O5" s="105">
        <f>O4*经济指标!$K$9</f>
        <v>2235.63543478261</v>
      </c>
      <c r="P5" s="105">
        <f>P4*经济指标!$K$9</f>
        <v>1375.77565217391</v>
      </c>
      <c r="Q5" s="105">
        <f>Q4*经济指标!$K$9</f>
        <v>343.943913043478</v>
      </c>
      <c r="R5" s="105">
        <f>R4*经济指标!$K$9</f>
        <v>515.915869565217</v>
      </c>
      <c r="S5" s="105">
        <f>S4*经济指标!$K$9</f>
        <v>1375.77565217391</v>
      </c>
      <c r="T5" s="105">
        <f>T4*经济指标!$K$9</f>
        <v>2235.63543478261</v>
      </c>
      <c r="U5" s="105">
        <f>U4*经济指标!$K$9</f>
        <v>3095.4952173913</v>
      </c>
      <c r="V5" s="105">
        <f>V4*经济指标!$K$9</f>
        <v>2063.66347826087</v>
      </c>
      <c r="W5" s="105">
        <f>W4*经济指标!$K$9</f>
        <v>1719.71956521739</v>
      </c>
      <c r="X5" s="105">
        <f>X4*经济指标!$K$9</f>
        <v>1719.71956521739</v>
      </c>
      <c r="Y5" s="105">
        <f>Y4*经济指标!$K$9</f>
        <v>1719.71956521739</v>
      </c>
      <c r="Z5" s="105">
        <f>Z4*经济指标!$K$9</f>
        <v>2579.57934782609</v>
      </c>
      <c r="AA5" s="105">
        <f>AA4*经济指标!$K$9</f>
        <v>0</v>
      </c>
      <c r="AB5" s="105">
        <f>AB4*经济指标!$K$9</f>
        <v>0</v>
      </c>
      <c r="AC5" s="105">
        <f>AC4*经济指标!$K$9</f>
        <v>0</v>
      </c>
      <c r="AD5" s="105">
        <f>AD4*经济指标!$K$9</f>
        <v>0</v>
      </c>
      <c r="AE5" s="105">
        <f>AE4*经济指标!$K$9</f>
        <v>0</v>
      </c>
      <c r="AF5" s="105">
        <f>AF4*经济指标!$K$9</f>
        <v>0</v>
      </c>
      <c r="AG5" s="105">
        <f>AG4*经济指标!$K$9</f>
        <v>0</v>
      </c>
      <c r="AH5" s="105">
        <f>AH4*经济指标!$K$9</f>
        <v>0</v>
      </c>
      <c r="AI5" s="105">
        <f>AI4*经济指标!$K$9</f>
        <v>0</v>
      </c>
      <c r="AJ5" s="105">
        <f>AJ4*经济指标!$K$9</f>
        <v>0</v>
      </c>
      <c r="AK5" s="105">
        <f>AK4*经济指标!$K$9</f>
        <v>0</v>
      </c>
      <c r="AL5" s="105">
        <f>AL4*经济指标!$K$9</f>
        <v>0</v>
      </c>
      <c r="AM5" s="105">
        <f>AM4*经济指标!$K$9</f>
        <v>0</v>
      </c>
      <c r="AN5" s="105">
        <f>AN4*经济指标!$K$9</f>
        <v>0</v>
      </c>
      <c r="AO5" s="114">
        <f t="shared" ref="AO4:AO9" si="0">SUM(C5:AN5)</f>
        <v>31642.84</v>
      </c>
    </row>
    <row r="6" ht="37" customHeight="1" spans="1:41">
      <c r="A6" s="102" t="s">
        <v>856</v>
      </c>
      <c r="B6" s="102"/>
      <c r="C6" s="102"/>
      <c r="D6" s="102"/>
      <c r="E6" s="105"/>
      <c r="F6" s="105"/>
      <c r="G6" s="105"/>
      <c r="H6" s="105"/>
      <c r="I6" s="105">
        <f>I5*预计销售收入及费用情况表!$D$7/10000</f>
        <v>0</v>
      </c>
      <c r="J6" s="105">
        <f>J5*预计销售收入及费用情况表!$D$7/10000</f>
        <v>0</v>
      </c>
      <c r="K6" s="105">
        <f>K5*预计销售收入及费用情况表!$D$7/10000</f>
        <v>0</v>
      </c>
      <c r="L6" s="105">
        <f>L5*预计销售收入及费用情况表!$D$7/10000</f>
        <v>0</v>
      </c>
      <c r="M6" s="105">
        <f>M5*预计销售收入及费用情况表!$D$7/10000</f>
        <v>11608.1070652174</v>
      </c>
      <c r="N6" s="105">
        <f>N5*预计销售收入及费用情况表!$D$7/10000</f>
        <v>2785.94569565217</v>
      </c>
      <c r="O6" s="105">
        <f>O5*预计销售收入及费用情况表!$D$7/10000</f>
        <v>3018.10783695652</v>
      </c>
      <c r="P6" s="105">
        <f>P5*预计销售收入及费用情况表!$D$7/10000</f>
        <v>1857.29713043478</v>
      </c>
      <c r="Q6" s="105">
        <f>Q5*预计销售收入及费用情况表!$D$7/10000</f>
        <v>464.324282608696</v>
      </c>
      <c r="R6" s="105">
        <f>R5*预计销售收入及费用情况表!$D$7/10000</f>
        <v>696.486423913043</v>
      </c>
      <c r="S6" s="105">
        <f>S5*预计销售收入及费用情况表!$D$7/10000</f>
        <v>1857.29713043478</v>
      </c>
      <c r="T6" s="105">
        <f>T5*预计销售收入及费用情况表!$D$7/10000</f>
        <v>3018.10783695652</v>
      </c>
      <c r="U6" s="105">
        <f>U5*预计销售收入及费用情况表!$D$7/10000</f>
        <v>4178.91854347826</v>
      </c>
      <c r="V6" s="105">
        <f>V5*预计销售收入及费用情况表!$D$7/10000</f>
        <v>2785.94569565217</v>
      </c>
      <c r="W6" s="105">
        <f>W5*预计销售收入及费用情况表!$D$7/10000</f>
        <v>2321.62141304348</v>
      </c>
      <c r="X6" s="105">
        <f>X5*预计销售收入及费用情况表!$D$7/10000</f>
        <v>2321.62141304348</v>
      </c>
      <c r="Y6" s="105">
        <f>Y5*预计销售收入及费用情况表!$D$7/10000</f>
        <v>2321.62141304348</v>
      </c>
      <c r="Z6" s="105">
        <f>Z5*预计销售收入及费用情况表!$D$7/10000</f>
        <v>3482.43211956522</v>
      </c>
      <c r="AA6" s="105">
        <f>AA5*预计销售收入及费用情况表!$D$7/10000</f>
        <v>0</v>
      </c>
      <c r="AB6" s="105">
        <f>AB5*预计销售收入及费用情况表!$D$7/10000</f>
        <v>0</v>
      </c>
      <c r="AC6" s="105">
        <f>AC5*预计销售收入及费用情况表!$D$7/10000</f>
        <v>0</v>
      </c>
      <c r="AD6" s="105">
        <f>AD5*预计销售收入及费用情况表!$D$7/10000</f>
        <v>0</v>
      </c>
      <c r="AE6" s="105">
        <f>AE5*预计销售收入及费用情况表!$D$7/10000</f>
        <v>0</v>
      </c>
      <c r="AF6" s="105">
        <f>AF5*预计销售收入及费用情况表!$D$7/10000</f>
        <v>0</v>
      </c>
      <c r="AG6" s="105">
        <f>AG5*预计销售收入及费用情况表!$D$7/10000</f>
        <v>0</v>
      </c>
      <c r="AH6" s="105">
        <f>AH5*预计销售收入及费用情况表!$D$7/10000</f>
        <v>0</v>
      </c>
      <c r="AI6" s="105">
        <f>AI5*预计销售收入及费用情况表!$D$7/10000</f>
        <v>0</v>
      </c>
      <c r="AJ6" s="105">
        <f>AJ5*预计销售收入及费用情况表!$D$7/10000</f>
        <v>0</v>
      </c>
      <c r="AK6" s="105">
        <f>AK5*预计销售收入及费用情况表!$D$7/10000</f>
        <v>0</v>
      </c>
      <c r="AL6" s="105">
        <f>AL5*预计销售收入及费用情况表!$D$7/10000</f>
        <v>0</v>
      </c>
      <c r="AM6" s="105">
        <f>AM5*预计销售收入及费用情况表!$D$7/10000</f>
        <v>0</v>
      </c>
      <c r="AN6" s="105">
        <f>AN5*预计销售收入及费用情况表!$D$7/10000</f>
        <v>0</v>
      </c>
      <c r="AO6" s="114">
        <f t="shared" si="0"/>
        <v>42717.834</v>
      </c>
    </row>
    <row r="7" ht="37" customHeight="1" spans="1:41">
      <c r="A7" s="102" t="s">
        <v>857</v>
      </c>
      <c r="B7" s="99"/>
      <c r="C7" s="99"/>
      <c r="D7" s="99"/>
      <c r="E7" s="105"/>
      <c r="F7" s="105"/>
      <c r="G7" s="105"/>
      <c r="H7" s="105"/>
      <c r="I7" s="105">
        <f t="shared" ref="I7:AW7" si="1">I6*0.3</f>
        <v>0</v>
      </c>
      <c r="J7" s="105">
        <f t="shared" si="1"/>
        <v>0</v>
      </c>
      <c r="K7" s="105">
        <f t="shared" si="1"/>
        <v>0</v>
      </c>
      <c r="L7" s="105">
        <f t="shared" si="1"/>
        <v>0</v>
      </c>
      <c r="M7" s="105">
        <f t="shared" si="1"/>
        <v>3482.43211956522</v>
      </c>
      <c r="N7" s="105">
        <f t="shared" si="1"/>
        <v>835.783708695652</v>
      </c>
      <c r="O7" s="105">
        <f t="shared" si="1"/>
        <v>905.432351086957</v>
      </c>
      <c r="P7" s="105">
        <f t="shared" si="1"/>
        <v>557.189139130435</v>
      </c>
      <c r="Q7" s="105">
        <f t="shared" si="1"/>
        <v>139.297284782609</v>
      </c>
      <c r="R7" s="105">
        <f t="shared" si="1"/>
        <v>208.945927173913</v>
      </c>
      <c r="S7" s="105">
        <f t="shared" si="1"/>
        <v>557.189139130435</v>
      </c>
      <c r="T7" s="105">
        <f t="shared" si="1"/>
        <v>905.432351086957</v>
      </c>
      <c r="U7" s="105">
        <f t="shared" si="1"/>
        <v>1253.67556304348</v>
      </c>
      <c r="V7" s="105">
        <f t="shared" si="1"/>
        <v>835.783708695652</v>
      </c>
      <c r="W7" s="105">
        <f t="shared" si="1"/>
        <v>696.486423913044</v>
      </c>
      <c r="X7" s="105">
        <f t="shared" si="1"/>
        <v>696.486423913044</v>
      </c>
      <c r="Y7" s="105">
        <f t="shared" si="1"/>
        <v>696.486423913044</v>
      </c>
      <c r="Z7" s="105">
        <f t="shared" si="1"/>
        <v>1044.72963586957</v>
      </c>
      <c r="AA7" s="105">
        <f t="shared" si="1"/>
        <v>0</v>
      </c>
      <c r="AB7" s="105">
        <f t="shared" si="1"/>
        <v>0</v>
      </c>
      <c r="AC7" s="105">
        <f t="shared" si="1"/>
        <v>0</v>
      </c>
      <c r="AD7" s="105">
        <f t="shared" si="1"/>
        <v>0</v>
      </c>
      <c r="AE7" s="105">
        <f t="shared" si="1"/>
        <v>0</v>
      </c>
      <c r="AF7" s="105">
        <f t="shared" si="1"/>
        <v>0</v>
      </c>
      <c r="AG7" s="105">
        <f t="shared" si="1"/>
        <v>0</v>
      </c>
      <c r="AH7" s="105">
        <f t="shared" si="1"/>
        <v>0</v>
      </c>
      <c r="AI7" s="105">
        <f t="shared" si="1"/>
        <v>0</v>
      </c>
      <c r="AJ7" s="105">
        <f t="shared" si="1"/>
        <v>0</v>
      </c>
      <c r="AK7" s="105">
        <f t="shared" si="1"/>
        <v>0</v>
      </c>
      <c r="AL7" s="105">
        <f t="shared" si="1"/>
        <v>0</v>
      </c>
      <c r="AM7" s="105">
        <f t="shared" si="1"/>
        <v>0</v>
      </c>
      <c r="AN7" s="105">
        <f t="shared" si="1"/>
        <v>0</v>
      </c>
      <c r="AO7" s="114">
        <f t="shared" si="0"/>
        <v>12815.3502</v>
      </c>
    </row>
    <row r="8" ht="37" customHeight="1" spans="1:41">
      <c r="A8" s="99" t="s">
        <v>858</v>
      </c>
      <c r="B8" s="99"/>
      <c r="C8" s="99"/>
      <c r="D8" s="99"/>
      <c r="E8" s="105"/>
      <c r="F8" s="105"/>
      <c r="G8" s="105"/>
      <c r="H8" s="105"/>
      <c r="I8" s="105">
        <f>H6*0.35+G6*0.35</f>
        <v>0</v>
      </c>
      <c r="J8" s="105">
        <f t="shared" ref="J8:AN8" si="2">I6*0.35+H6*0.35</f>
        <v>0</v>
      </c>
      <c r="K8" s="105">
        <f t="shared" si="2"/>
        <v>0</v>
      </c>
      <c r="L8" s="105">
        <f t="shared" si="2"/>
        <v>0</v>
      </c>
      <c r="M8" s="105">
        <f t="shared" si="2"/>
        <v>0</v>
      </c>
      <c r="N8" s="105">
        <f t="shared" si="2"/>
        <v>4062.83747282609</v>
      </c>
      <c r="O8" s="105">
        <f t="shared" si="2"/>
        <v>5037.91846630435</v>
      </c>
      <c r="P8" s="105">
        <f t="shared" si="2"/>
        <v>2031.41873641304</v>
      </c>
      <c r="Q8" s="105">
        <f t="shared" si="2"/>
        <v>1706.39173858696</v>
      </c>
      <c r="R8" s="105">
        <f t="shared" si="2"/>
        <v>812.567494565217</v>
      </c>
      <c r="S8" s="105">
        <f t="shared" si="2"/>
        <v>406.283747282609</v>
      </c>
      <c r="T8" s="105">
        <f t="shared" si="2"/>
        <v>893.824244021739</v>
      </c>
      <c r="U8" s="105">
        <f t="shared" si="2"/>
        <v>1706.39173858696</v>
      </c>
      <c r="V8" s="105">
        <f t="shared" si="2"/>
        <v>2518.95923315217</v>
      </c>
      <c r="W8" s="105">
        <f t="shared" si="2"/>
        <v>2437.70248369565</v>
      </c>
      <c r="X8" s="105">
        <f t="shared" si="2"/>
        <v>1787.64848804348</v>
      </c>
      <c r="Y8" s="105">
        <f t="shared" si="2"/>
        <v>1625.13498913044</v>
      </c>
      <c r="Z8" s="105">
        <f t="shared" si="2"/>
        <v>1625.13498913044</v>
      </c>
      <c r="AA8" s="105">
        <f t="shared" si="2"/>
        <v>2031.41873641304</v>
      </c>
      <c r="AB8" s="105">
        <f t="shared" si="2"/>
        <v>1218.85124184783</v>
      </c>
      <c r="AC8" s="105">
        <f t="shared" si="2"/>
        <v>0</v>
      </c>
      <c r="AD8" s="105">
        <f t="shared" si="2"/>
        <v>0</v>
      </c>
      <c r="AE8" s="105">
        <f t="shared" si="2"/>
        <v>0</v>
      </c>
      <c r="AF8" s="105">
        <f t="shared" si="2"/>
        <v>0</v>
      </c>
      <c r="AG8" s="105">
        <f t="shared" si="2"/>
        <v>0</v>
      </c>
      <c r="AH8" s="105">
        <f t="shared" si="2"/>
        <v>0</v>
      </c>
      <c r="AI8" s="105">
        <f t="shared" si="2"/>
        <v>0</v>
      </c>
      <c r="AJ8" s="105">
        <f t="shared" si="2"/>
        <v>0</v>
      </c>
      <c r="AK8" s="105">
        <f t="shared" si="2"/>
        <v>0</v>
      </c>
      <c r="AL8" s="105">
        <f t="shared" si="2"/>
        <v>0</v>
      </c>
      <c r="AM8" s="105">
        <f t="shared" si="2"/>
        <v>0</v>
      </c>
      <c r="AN8" s="105">
        <f t="shared" si="2"/>
        <v>0</v>
      </c>
      <c r="AO8" s="114">
        <f t="shared" si="0"/>
        <v>29902.4838</v>
      </c>
    </row>
    <row r="9" ht="37" customHeight="1" spans="1:41">
      <c r="A9" s="99" t="s">
        <v>783</v>
      </c>
      <c r="B9" s="99" t="str">
        <f>经济指标!C10</f>
        <v>别墅</v>
      </c>
      <c r="C9" s="103">
        <v>66</v>
      </c>
      <c r="D9" s="103"/>
      <c r="E9" s="104"/>
      <c r="F9" s="104"/>
      <c r="G9" s="104"/>
      <c r="H9" s="104"/>
      <c r="I9" s="104"/>
      <c r="J9" s="104"/>
      <c r="K9" s="104"/>
      <c r="L9" s="104"/>
      <c r="M9" s="104"/>
      <c r="N9" s="104"/>
      <c r="O9" s="104"/>
      <c r="P9" s="104"/>
      <c r="Q9" s="104"/>
      <c r="R9" s="104"/>
      <c r="S9" s="104"/>
      <c r="T9" s="104"/>
      <c r="U9" s="104"/>
      <c r="V9" s="104"/>
      <c r="W9" s="104"/>
      <c r="X9" s="104"/>
      <c r="Y9" s="104"/>
      <c r="Z9" s="104"/>
      <c r="AA9" s="104"/>
      <c r="AB9" s="104"/>
      <c r="AC9" s="104"/>
      <c r="AD9" s="104"/>
      <c r="AE9" s="104"/>
      <c r="AF9" s="104"/>
      <c r="AG9" s="104"/>
      <c r="AH9" s="104"/>
      <c r="AI9" s="104"/>
      <c r="AJ9" s="104"/>
      <c r="AK9" s="104"/>
      <c r="AL9" s="104"/>
      <c r="AM9" s="104"/>
      <c r="AN9" s="104">
        <v>0</v>
      </c>
      <c r="AO9" s="103">
        <f t="shared" si="0"/>
        <v>66</v>
      </c>
    </row>
    <row r="10" ht="37" customHeight="1" spans="1:41">
      <c r="A10" s="102" t="s">
        <v>855</v>
      </c>
      <c r="B10" s="102"/>
      <c r="C10" s="102">
        <f>C9*经济指标!$K$10</f>
        <v>16692.48</v>
      </c>
      <c r="D10" s="102">
        <f>D9*经济指标!$K$10</f>
        <v>0</v>
      </c>
      <c r="E10" s="102">
        <f>E9*经济指标!$K$10</f>
        <v>0</v>
      </c>
      <c r="F10" s="102">
        <f>F9*经济指标!$K$10</f>
        <v>0</v>
      </c>
      <c r="G10" s="102">
        <f>G9*经济指标!$K$10</f>
        <v>0</v>
      </c>
      <c r="H10" s="102">
        <f>H9*经济指标!$K$10</f>
        <v>0</v>
      </c>
      <c r="I10" s="102">
        <f>I9*经济指标!$K$10</f>
        <v>0</v>
      </c>
      <c r="J10" s="102">
        <f>J9*经济指标!$K$10</f>
        <v>0</v>
      </c>
      <c r="K10" s="102">
        <f>K9*经济指标!$K$10</f>
        <v>0</v>
      </c>
      <c r="L10" s="102">
        <f>L9*经济指标!$K$10</f>
        <v>0</v>
      </c>
      <c r="M10" s="102">
        <f>M9*经济指标!$K$10</f>
        <v>0</v>
      </c>
      <c r="N10" s="102">
        <f>N9*经济指标!$K$10</f>
        <v>0</v>
      </c>
      <c r="O10" s="102">
        <f>O9*经济指标!$K$10</f>
        <v>0</v>
      </c>
      <c r="P10" s="102">
        <f>P9*经济指标!$K$10</f>
        <v>0</v>
      </c>
      <c r="Q10" s="102">
        <f>Q9*经济指标!$K$10</f>
        <v>0</v>
      </c>
      <c r="R10" s="102">
        <f>R9*经济指标!$K$10</f>
        <v>0</v>
      </c>
      <c r="S10" s="102">
        <f>S9*经济指标!$K$10</f>
        <v>0</v>
      </c>
      <c r="T10" s="102">
        <f>T9*经济指标!$K$10</f>
        <v>0</v>
      </c>
      <c r="U10" s="102">
        <f>U9*经济指标!$K$10</f>
        <v>0</v>
      </c>
      <c r="V10" s="102">
        <f>V9*经济指标!$K$10</f>
        <v>0</v>
      </c>
      <c r="W10" s="102">
        <f>W9*经济指标!$K$10</f>
        <v>0</v>
      </c>
      <c r="X10" s="102">
        <f>X9*经济指标!$K$10</f>
        <v>0</v>
      </c>
      <c r="Y10" s="102">
        <f>Y9*经济指标!$K$10</f>
        <v>0</v>
      </c>
      <c r="Z10" s="102">
        <f>Z9*经济指标!$K$10</f>
        <v>0</v>
      </c>
      <c r="AA10" s="102">
        <f>AA9*经济指标!$K$10</f>
        <v>0</v>
      </c>
      <c r="AB10" s="102">
        <f>AB9*经济指标!$K$10</f>
        <v>0</v>
      </c>
      <c r="AC10" s="102">
        <f>AC9*经济指标!$K$10</f>
        <v>0</v>
      </c>
      <c r="AD10" s="102">
        <f>AD9*经济指标!$K$10</f>
        <v>0</v>
      </c>
      <c r="AE10" s="102">
        <f>AE9*经济指标!$K$10</f>
        <v>0</v>
      </c>
      <c r="AF10" s="102">
        <f>AF9*经济指标!$K$10</f>
        <v>0</v>
      </c>
      <c r="AG10" s="102">
        <f>AG9*经济指标!$K$10</f>
        <v>0</v>
      </c>
      <c r="AH10" s="102">
        <f>AH9*经济指标!$K$10</f>
        <v>0</v>
      </c>
      <c r="AI10" s="102">
        <f>AI9*经济指标!$K$10</f>
        <v>0</v>
      </c>
      <c r="AJ10" s="102">
        <f>AJ9*经济指标!$K$10</f>
        <v>0</v>
      </c>
      <c r="AK10" s="102">
        <f>AK9*经济指标!$K$10</f>
        <v>0</v>
      </c>
      <c r="AL10" s="102">
        <f>AL9*经济指标!$K$10</f>
        <v>0</v>
      </c>
      <c r="AM10" s="102">
        <f>AM9*经济指标!$K$10</f>
        <v>0</v>
      </c>
      <c r="AN10" s="102">
        <f>AN9*经济指标!$K$10</f>
        <v>0</v>
      </c>
      <c r="AO10" s="114">
        <f t="shared" ref="AO10:AO26" si="3">SUM(C10:AN10)</f>
        <v>16692.48</v>
      </c>
    </row>
    <row r="11" ht="37" customHeight="1" spans="1:41">
      <c r="A11" s="102" t="s">
        <v>856</v>
      </c>
      <c r="B11" s="102"/>
      <c r="C11" s="102">
        <f>C10*预计销售收入及费用情况表!$D$8/10000</f>
        <v>19196.352</v>
      </c>
      <c r="D11" s="102">
        <f>D10*预计销售收入及费用情况表!$D$8/10000</f>
        <v>0</v>
      </c>
      <c r="E11" s="102">
        <f>E10*预计销售收入及费用情况表!$D$8/10000</f>
        <v>0</v>
      </c>
      <c r="F11" s="102">
        <f>F10*预计销售收入及费用情况表!$D$8/10000</f>
        <v>0</v>
      </c>
      <c r="G11" s="102">
        <f>G10*预计销售收入及费用情况表!$D$8/10000</f>
        <v>0</v>
      </c>
      <c r="H11" s="102">
        <f>H10*预计销售收入及费用情况表!$D$8/10000</f>
        <v>0</v>
      </c>
      <c r="I11" s="102">
        <f>I10*预计销售收入及费用情况表!$D$8/10000</f>
        <v>0</v>
      </c>
      <c r="J11" s="102">
        <f>J10*预计销售收入及费用情况表!$D$8/10000</f>
        <v>0</v>
      </c>
      <c r="K11" s="102">
        <f>K10*预计销售收入及费用情况表!$D$8/10000</f>
        <v>0</v>
      </c>
      <c r="L11" s="102">
        <f>L10*预计销售收入及费用情况表!$D$8/10000</f>
        <v>0</v>
      </c>
      <c r="M11" s="102">
        <f>M10*预计销售收入及费用情况表!$D$8/10000</f>
        <v>0</v>
      </c>
      <c r="N11" s="102">
        <f>N10*预计销售收入及费用情况表!$D$8/10000</f>
        <v>0</v>
      </c>
      <c r="O11" s="102">
        <f>O10*预计销售收入及费用情况表!$D$8/10000</f>
        <v>0</v>
      </c>
      <c r="P11" s="102">
        <f>P10*预计销售收入及费用情况表!$D$8/10000</f>
        <v>0</v>
      </c>
      <c r="Q11" s="102">
        <f>Q10*预计销售收入及费用情况表!$D$8/10000</f>
        <v>0</v>
      </c>
      <c r="R11" s="102">
        <f>R10*预计销售收入及费用情况表!$D$8/10000</f>
        <v>0</v>
      </c>
      <c r="S11" s="102">
        <f>S10*预计销售收入及费用情况表!$D$8/10000</f>
        <v>0</v>
      </c>
      <c r="T11" s="102">
        <f>T10*预计销售收入及费用情况表!$D$8/10000</f>
        <v>0</v>
      </c>
      <c r="U11" s="102">
        <f>U10*预计销售收入及费用情况表!$D$8/10000</f>
        <v>0</v>
      </c>
      <c r="V11" s="102">
        <f>V10*预计销售收入及费用情况表!$D$8/10000</f>
        <v>0</v>
      </c>
      <c r="W11" s="102">
        <f>W10*预计销售收入及费用情况表!$D$8/10000</f>
        <v>0</v>
      </c>
      <c r="X11" s="102">
        <f>X10*预计销售收入及费用情况表!$D$8/10000</f>
        <v>0</v>
      </c>
      <c r="Y11" s="102">
        <f>Y10*预计销售收入及费用情况表!$D$8/10000</f>
        <v>0</v>
      </c>
      <c r="Z11" s="102">
        <f>Z10*预计销售收入及费用情况表!$D$8/10000</f>
        <v>0</v>
      </c>
      <c r="AA11" s="102">
        <f>AA10*预计销售收入及费用情况表!$D$8/10000</f>
        <v>0</v>
      </c>
      <c r="AB11" s="102">
        <f>AB10*预计销售收入及费用情况表!$D$8/10000</f>
        <v>0</v>
      </c>
      <c r="AC11" s="102">
        <f>AC10*预计销售收入及费用情况表!$D$8/10000</f>
        <v>0</v>
      </c>
      <c r="AD11" s="102">
        <f>AD10*预计销售收入及费用情况表!$D$8/10000</f>
        <v>0</v>
      </c>
      <c r="AE11" s="102">
        <f>AE10*预计销售收入及费用情况表!$D$8/10000</f>
        <v>0</v>
      </c>
      <c r="AF11" s="102">
        <f>AF10*预计销售收入及费用情况表!$D$8/10000</f>
        <v>0</v>
      </c>
      <c r="AG11" s="102">
        <f>AG10*预计销售收入及费用情况表!$D$8/10000</f>
        <v>0</v>
      </c>
      <c r="AH11" s="102">
        <f>AH10*预计销售收入及费用情况表!$D$8/10000</f>
        <v>0</v>
      </c>
      <c r="AI11" s="102">
        <f>AI10*预计销售收入及费用情况表!$D$8/10000</f>
        <v>0</v>
      </c>
      <c r="AJ11" s="102">
        <f>AJ10*预计销售收入及费用情况表!$D$8/10000</f>
        <v>0</v>
      </c>
      <c r="AK11" s="102">
        <f>AK10*预计销售收入及费用情况表!$D$8/10000</f>
        <v>0</v>
      </c>
      <c r="AL11" s="102">
        <f>AL10*预计销售收入及费用情况表!$D$8/10000</f>
        <v>0</v>
      </c>
      <c r="AM11" s="102">
        <f>AM10*预计销售收入及费用情况表!$D$8/10000</f>
        <v>0</v>
      </c>
      <c r="AN11" s="102">
        <f>AN10*预计销售收入及费用情况表!$D$8/10000</f>
        <v>0</v>
      </c>
      <c r="AO11" s="114">
        <f t="shared" si="3"/>
        <v>19196.352</v>
      </c>
    </row>
    <row r="12" ht="37" customHeight="1" spans="1:41">
      <c r="A12" s="102" t="s">
        <v>857</v>
      </c>
      <c r="B12" s="102"/>
      <c r="C12" s="102"/>
      <c r="D12" s="102"/>
      <c r="E12" s="105"/>
      <c r="F12" s="105"/>
      <c r="G12" s="105"/>
      <c r="H12" s="105"/>
      <c r="I12" s="105">
        <v>9900</v>
      </c>
      <c r="J12" s="105"/>
      <c r="K12" s="105"/>
      <c r="L12" s="105"/>
      <c r="M12" s="105"/>
      <c r="N12" s="105"/>
      <c r="O12" s="105"/>
      <c r="P12" s="105"/>
      <c r="Q12" s="105"/>
      <c r="R12" s="105"/>
      <c r="S12" s="105"/>
      <c r="T12" s="105"/>
      <c r="U12" s="105"/>
      <c r="V12" s="105"/>
      <c r="W12" s="105"/>
      <c r="X12" s="105"/>
      <c r="Y12" s="105"/>
      <c r="Z12" s="105"/>
      <c r="AA12" s="105"/>
      <c r="AB12" s="105"/>
      <c r="AC12" s="105"/>
      <c r="AD12" s="105"/>
      <c r="AE12" s="105"/>
      <c r="AF12" s="105"/>
      <c r="AG12" s="105"/>
      <c r="AH12" s="105"/>
      <c r="AI12" s="105"/>
      <c r="AJ12" s="105"/>
      <c r="AK12" s="105"/>
      <c r="AL12" s="105"/>
      <c r="AM12" s="105"/>
      <c r="AN12" s="105"/>
      <c r="AO12" s="114">
        <f t="shared" si="3"/>
        <v>9900</v>
      </c>
    </row>
    <row r="13" ht="37" customHeight="1" spans="1:41">
      <c r="A13" s="99" t="s">
        <v>858</v>
      </c>
      <c r="B13" s="99"/>
      <c r="C13" s="99"/>
      <c r="D13" s="99"/>
      <c r="E13" s="105"/>
      <c r="F13" s="105"/>
      <c r="G13" s="105"/>
      <c r="H13" s="105"/>
      <c r="I13" s="105"/>
      <c r="J13" s="105"/>
      <c r="K13" s="105"/>
      <c r="L13" s="105"/>
      <c r="M13" s="105"/>
      <c r="N13" s="105">
        <f>O13</f>
        <v>4648.176</v>
      </c>
      <c r="O13" s="105">
        <f>(预计销售收入及费用情况表!E8-I12)*0.5</f>
        <v>4648.176</v>
      </c>
      <c r="P13" s="105"/>
      <c r="Q13" s="105"/>
      <c r="R13" s="105"/>
      <c r="S13" s="105"/>
      <c r="T13" s="105"/>
      <c r="U13" s="105"/>
      <c r="V13" s="105"/>
      <c r="W13" s="105"/>
      <c r="X13" s="105"/>
      <c r="Y13" s="105"/>
      <c r="Z13" s="105"/>
      <c r="AA13" s="105"/>
      <c r="AB13" s="105"/>
      <c r="AC13" s="105"/>
      <c r="AD13" s="105"/>
      <c r="AE13" s="105"/>
      <c r="AF13" s="105"/>
      <c r="AG13" s="105"/>
      <c r="AH13" s="105"/>
      <c r="AI13" s="105"/>
      <c r="AJ13" s="105"/>
      <c r="AK13" s="105"/>
      <c r="AL13" s="105"/>
      <c r="AM13" s="105"/>
      <c r="AN13" s="105"/>
      <c r="AO13" s="114">
        <f t="shared" si="3"/>
        <v>9296.352</v>
      </c>
    </row>
    <row r="14" ht="37" hidden="1" customHeight="1" spans="1:41">
      <c r="A14" s="99" t="s">
        <v>783</v>
      </c>
      <c r="B14" s="99"/>
      <c r="C14" s="103"/>
      <c r="D14" s="103"/>
      <c r="E14" s="104"/>
      <c r="F14" s="104"/>
      <c r="G14" s="104"/>
      <c r="H14" s="104"/>
      <c r="I14" s="104"/>
      <c r="J14" s="104"/>
      <c r="K14" s="104"/>
      <c r="L14" s="104"/>
      <c r="M14" s="104"/>
      <c r="N14" s="104"/>
      <c r="O14" s="104"/>
      <c r="P14" s="104"/>
      <c r="Q14" s="104"/>
      <c r="R14" s="104"/>
      <c r="S14" s="104"/>
      <c r="T14" s="104"/>
      <c r="U14" s="104"/>
      <c r="V14" s="104"/>
      <c r="W14" s="104"/>
      <c r="X14" s="104"/>
      <c r="Y14" s="104"/>
      <c r="Z14" s="104"/>
      <c r="AA14" s="104"/>
      <c r="AB14" s="104"/>
      <c r="AC14" s="104"/>
      <c r="AD14" s="104"/>
      <c r="AE14" s="104"/>
      <c r="AF14" s="104"/>
      <c r="AG14" s="104"/>
      <c r="AH14" s="104"/>
      <c r="AI14" s="104"/>
      <c r="AJ14" s="104"/>
      <c r="AK14" s="104"/>
      <c r="AL14" s="104">
        <v>0</v>
      </c>
      <c r="AM14" s="104">
        <v>0</v>
      </c>
      <c r="AN14" s="104">
        <v>0</v>
      </c>
      <c r="AO14" s="103">
        <f t="shared" si="3"/>
        <v>0</v>
      </c>
    </row>
    <row r="15" ht="37" hidden="1" customHeight="1" spans="1:41">
      <c r="A15" s="102" t="s">
        <v>855</v>
      </c>
      <c r="B15" s="102"/>
      <c r="C15" s="102"/>
      <c r="D15" s="102"/>
      <c r="E15" s="105"/>
      <c r="F15" s="105"/>
      <c r="G15" s="105"/>
      <c r="H15" s="105"/>
      <c r="I15" s="105">
        <f>I14*经济指标!$K$10</f>
        <v>0</v>
      </c>
      <c r="J15" s="105">
        <f>J14*经济指标!$K$10</f>
        <v>0</v>
      </c>
      <c r="K15" s="105">
        <f>K14*经济指标!$K$10</f>
        <v>0</v>
      </c>
      <c r="L15" s="105">
        <f>L14*经济指标!$K$10</f>
        <v>0</v>
      </c>
      <c r="M15" s="105">
        <f>M14*经济指标!$K$10</f>
        <v>0</v>
      </c>
      <c r="N15" s="105">
        <f>N14*经济指标!$K$10</f>
        <v>0</v>
      </c>
      <c r="O15" s="105">
        <f>O14*经济指标!$K$10</f>
        <v>0</v>
      </c>
      <c r="P15" s="105">
        <f>P14*经济指标!$K$10</f>
        <v>0</v>
      </c>
      <c r="Q15" s="105">
        <f>Q14*经济指标!$K$10</f>
        <v>0</v>
      </c>
      <c r="R15" s="105">
        <f>R14*经济指标!$K$10</f>
        <v>0</v>
      </c>
      <c r="S15" s="105">
        <f>S14*经济指标!$K$10</f>
        <v>0</v>
      </c>
      <c r="T15" s="105">
        <f>T14*经济指标!$K$10</f>
        <v>0</v>
      </c>
      <c r="U15" s="105">
        <f>U14*经济指标!$K$10</f>
        <v>0</v>
      </c>
      <c r="V15" s="105">
        <f>V14*经济指标!$K$10</f>
        <v>0</v>
      </c>
      <c r="W15" s="105">
        <f>W14*经济指标!$K$10</f>
        <v>0</v>
      </c>
      <c r="X15" s="105">
        <f>X14*经济指标!$K$10</f>
        <v>0</v>
      </c>
      <c r="Y15" s="105">
        <f>Y14*经济指标!$K$10</f>
        <v>0</v>
      </c>
      <c r="Z15" s="105">
        <f>Z14*经济指标!$K$10</f>
        <v>0</v>
      </c>
      <c r="AA15" s="105">
        <f>AA14*经济指标!$K$10</f>
        <v>0</v>
      </c>
      <c r="AB15" s="105">
        <f>AB14*经济指标!$K$10</f>
        <v>0</v>
      </c>
      <c r="AC15" s="105">
        <f>AC14*经济指标!$K$10</f>
        <v>0</v>
      </c>
      <c r="AD15" s="105">
        <f>AD14*经济指标!$K$10</f>
        <v>0</v>
      </c>
      <c r="AE15" s="105">
        <f>AE14*经济指标!$K$10</f>
        <v>0</v>
      </c>
      <c r="AF15" s="105">
        <f>AF14*经济指标!$K$10</f>
        <v>0</v>
      </c>
      <c r="AG15" s="105">
        <f>AG14*经济指标!$K$10</f>
        <v>0</v>
      </c>
      <c r="AH15" s="105">
        <f>AH14*经济指标!$K$10</f>
        <v>0</v>
      </c>
      <c r="AI15" s="105">
        <f>AI14*经济指标!$K$10</f>
        <v>0</v>
      </c>
      <c r="AJ15" s="105">
        <f>AJ14*经济指标!$K$10</f>
        <v>0</v>
      </c>
      <c r="AK15" s="105">
        <f>AK14*经济指标!$K$10</f>
        <v>0</v>
      </c>
      <c r="AL15" s="105">
        <f>AL14*经济指标!$K$10</f>
        <v>0</v>
      </c>
      <c r="AM15" s="105">
        <f>AM14*经济指标!$K$10</f>
        <v>0</v>
      </c>
      <c r="AN15" s="105">
        <f>AN14*经济指标!$K$10</f>
        <v>0</v>
      </c>
      <c r="AO15" s="102">
        <f t="shared" si="3"/>
        <v>0</v>
      </c>
    </row>
    <row r="16" ht="37" hidden="1" customHeight="1" spans="1:41">
      <c r="A16" s="102" t="s">
        <v>856</v>
      </c>
      <c r="B16" s="102"/>
      <c r="C16" s="102"/>
      <c r="D16" s="102"/>
      <c r="E16" s="105"/>
      <c r="F16" s="105"/>
      <c r="G16" s="105"/>
      <c r="H16" s="105"/>
      <c r="I16" s="105">
        <f>I15*预计销售收入及费用情况表!$D$8/10000</f>
        <v>0</v>
      </c>
      <c r="J16" s="105">
        <f>J15*预计销售收入及费用情况表!$D$8/10000</f>
        <v>0</v>
      </c>
      <c r="K16" s="105">
        <f>K15*预计销售收入及费用情况表!$D$8/10000</f>
        <v>0</v>
      </c>
      <c r="L16" s="105">
        <f>L15*预计销售收入及费用情况表!$D$8/10000</f>
        <v>0</v>
      </c>
      <c r="M16" s="105">
        <f>M15*预计销售收入及费用情况表!$D$8/10000</f>
        <v>0</v>
      </c>
      <c r="N16" s="105">
        <f>N15*预计销售收入及费用情况表!$D$8/10000</f>
        <v>0</v>
      </c>
      <c r="O16" s="105">
        <f>O15*预计销售收入及费用情况表!$D$8/10000</f>
        <v>0</v>
      </c>
      <c r="P16" s="105">
        <f>P15*预计销售收入及费用情况表!$D$8/10000</f>
        <v>0</v>
      </c>
      <c r="Q16" s="105">
        <f>Q15*预计销售收入及费用情况表!$D$8/10000</f>
        <v>0</v>
      </c>
      <c r="R16" s="105">
        <f>R15*预计销售收入及费用情况表!$D$8/10000</f>
        <v>0</v>
      </c>
      <c r="S16" s="105">
        <f>S15*预计销售收入及费用情况表!$D$8/10000</f>
        <v>0</v>
      </c>
      <c r="T16" s="105">
        <f>T15*预计销售收入及费用情况表!$D$8/10000</f>
        <v>0</v>
      </c>
      <c r="U16" s="105">
        <f>U15*预计销售收入及费用情况表!$D$8/10000</f>
        <v>0</v>
      </c>
      <c r="V16" s="105">
        <f>V15*预计销售收入及费用情况表!$D$8/10000</f>
        <v>0</v>
      </c>
      <c r="W16" s="105">
        <f>W15*预计销售收入及费用情况表!$D$8/10000</f>
        <v>0</v>
      </c>
      <c r="X16" s="105">
        <f>X15*预计销售收入及费用情况表!$D$8/10000</f>
        <v>0</v>
      </c>
      <c r="Y16" s="105">
        <f>Y15*预计销售收入及费用情况表!$D$8/10000</f>
        <v>0</v>
      </c>
      <c r="Z16" s="105">
        <f>Z15*预计销售收入及费用情况表!$D$8/10000</f>
        <v>0</v>
      </c>
      <c r="AA16" s="105">
        <f>AA15*预计销售收入及费用情况表!$D$8/10000</f>
        <v>0</v>
      </c>
      <c r="AB16" s="105">
        <f>AB15*预计销售收入及费用情况表!$D$8/10000</f>
        <v>0</v>
      </c>
      <c r="AC16" s="105">
        <f>AC15*预计销售收入及费用情况表!$D$8/10000</f>
        <v>0</v>
      </c>
      <c r="AD16" s="105">
        <f>AD15*预计销售收入及费用情况表!$D$8/10000</f>
        <v>0</v>
      </c>
      <c r="AE16" s="105">
        <f>AE15*预计销售收入及费用情况表!$D$8/10000</f>
        <v>0</v>
      </c>
      <c r="AF16" s="105">
        <f>AF15*预计销售收入及费用情况表!$D$8/10000</f>
        <v>0</v>
      </c>
      <c r="AG16" s="105">
        <f>AG15*预计销售收入及费用情况表!$D$8/10000</f>
        <v>0</v>
      </c>
      <c r="AH16" s="105">
        <f>AH15*预计销售收入及费用情况表!$D$8/10000</f>
        <v>0</v>
      </c>
      <c r="AI16" s="105">
        <f>AI15*预计销售收入及费用情况表!$D$8/10000</f>
        <v>0</v>
      </c>
      <c r="AJ16" s="105">
        <f>AJ15*预计销售收入及费用情况表!$D$8/10000</f>
        <v>0</v>
      </c>
      <c r="AK16" s="105">
        <f>AK15*预计销售收入及费用情况表!$D$8/10000</f>
        <v>0</v>
      </c>
      <c r="AL16" s="105">
        <f>AL15*预计销售收入及费用情况表!$D$8/10000</f>
        <v>0</v>
      </c>
      <c r="AM16" s="105">
        <f>AM15*预计销售收入及费用情况表!$D$8/10000</f>
        <v>0</v>
      </c>
      <c r="AN16" s="105">
        <f>AN15*预计销售收入及费用情况表!$D$8/10000</f>
        <v>0</v>
      </c>
      <c r="AO16" s="102">
        <f t="shared" si="3"/>
        <v>0</v>
      </c>
    </row>
    <row r="17" ht="37" hidden="1" customHeight="1" spans="1:41">
      <c r="A17" s="102" t="s">
        <v>857</v>
      </c>
      <c r="B17" s="102"/>
      <c r="C17" s="102"/>
      <c r="D17" s="102"/>
      <c r="E17" s="105"/>
      <c r="F17" s="105"/>
      <c r="G17" s="105"/>
      <c r="H17" s="105"/>
      <c r="I17" s="105">
        <f t="shared" ref="I17:AW17" si="4">I16*0.3</f>
        <v>0</v>
      </c>
      <c r="J17" s="105">
        <f t="shared" si="4"/>
        <v>0</v>
      </c>
      <c r="K17" s="105">
        <f t="shared" si="4"/>
        <v>0</v>
      </c>
      <c r="L17" s="105">
        <f t="shared" si="4"/>
        <v>0</v>
      </c>
      <c r="M17" s="105">
        <f t="shared" si="4"/>
        <v>0</v>
      </c>
      <c r="N17" s="105">
        <f t="shared" si="4"/>
        <v>0</v>
      </c>
      <c r="O17" s="105">
        <f t="shared" si="4"/>
        <v>0</v>
      </c>
      <c r="P17" s="105">
        <f t="shared" si="4"/>
        <v>0</v>
      </c>
      <c r="Q17" s="105">
        <f t="shared" si="4"/>
        <v>0</v>
      </c>
      <c r="R17" s="105">
        <f t="shared" si="4"/>
        <v>0</v>
      </c>
      <c r="S17" s="105">
        <f t="shared" si="4"/>
        <v>0</v>
      </c>
      <c r="T17" s="105">
        <f t="shared" si="4"/>
        <v>0</v>
      </c>
      <c r="U17" s="105">
        <f t="shared" si="4"/>
        <v>0</v>
      </c>
      <c r="V17" s="105">
        <f t="shared" si="4"/>
        <v>0</v>
      </c>
      <c r="W17" s="105">
        <f t="shared" si="4"/>
        <v>0</v>
      </c>
      <c r="X17" s="105">
        <f t="shared" si="4"/>
        <v>0</v>
      </c>
      <c r="Y17" s="105">
        <f t="shared" si="4"/>
        <v>0</v>
      </c>
      <c r="Z17" s="105">
        <f t="shared" si="4"/>
        <v>0</v>
      </c>
      <c r="AA17" s="105">
        <f t="shared" si="4"/>
        <v>0</v>
      </c>
      <c r="AB17" s="105">
        <f t="shared" si="4"/>
        <v>0</v>
      </c>
      <c r="AC17" s="105">
        <f t="shared" si="4"/>
        <v>0</v>
      </c>
      <c r="AD17" s="105">
        <f t="shared" si="4"/>
        <v>0</v>
      </c>
      <c r="AE17" s="105">
        <f t="shared" si="4"/>
        <v>0</v>
      </c>
      <c r="AF17" s="105">
        <f t="shared" si="4"/>
        <v>0</v>
      </c>
      <c r="AG17" s="105">
        <f t="shared" si="4"/>
        <v>0</v>
      </c>
      <c r="AH17" s="105">
        <f t="shared" si="4"/>
        <v>0</v>
      </c>
      <c r="AI17" s="105">
        <f t="shared" si="4"/>
        <v>0</v>
      </c>
      <c r="AJ17" s="105">
        <f t="shared" si="4"/>
        <v>0</v>
      </c>
      <c r="AK17" s="105">
        <f t="shared" si="4"/>
        <v>0</v>
      </c>
      <c r="AL17" s="105">
        <f t="shared" si="4"/>
        <v>0</v>
      </c>
      <c r="AM17" s="105">
        <f t="shared" si="4"/>
        <v>0</v>
      </c>
      <c r="AN17" s="105">
        <f t="shared" si="4"/>
        <v>0</v>
      </c>
      <c r="AO17" s="102">
        <f t="shared" si="3"/>
        <v>0</v>
      </c>
    </row>
    <row r="18" ht="37" hidden="1" customHeight="1" spans="1:41">
      <c r="A18" s="99" t="s">
        <v>858</v>
      </c>
      <c r="B18" s="99"/>
      <c r="C18" s="99"/>
      <c r="D18" s="99"/>
      <c r="E18" s="105"/>
      <c r="F18" s="105"/>
      <c r="G18" s="105"/>
      <c r="H18" s="105"/>
      <c r="I18" s="105">
        <f t="shared" ref="I18:AW18" si="5">H16*0.7</f>
        <v>0</v>
      </c>
      <c r="J18" s="105">
        <f t="shared" si="5"/>
        <v>0</v>
      </c>
      <c r="K18" s="105">
        <f t="shared" si="5"/>
        <v>0</v>
      </c>
      <c r="L18" s="105">
        <f t="shared" si="5"/>
        <v>0</v>
      </c>
      <c r="M18" s="105">
        <f t="shared" si="5"/>
        <v>0</v>
      </c>
      <c r="N18" s="105">
        <f t="shared" si="5"/>
        <v>0</v>
      </c>
      <c r="O18" s="105">
        <f t="shared" si="5"/>
        <v>0</v>
      </c>
      <c r="P18" s="105">
        <f t="shared" si="5"/>
        <v>0</v>
      </c>
      <c r="Q18" s="105">
        <f t="shared" si="5"/>
        <v>0</v>
      </c>
      <c r="R18" s="105">
        <f t="shared" si="5"/>
        <v>0</v>
      </c>
      <c r="S18" s="105">
        <f t="shared" si="5"/>
        <v>0</v>
      </c>
      <c r="T18" s="105">
        <f t="shared" si="5"/>
        <v>0</v>
      </c>
      <c r="U18" s="105">
        <f t="shared" si="5"/>
        <v>0</v>
      </c>
      <c r="V18" s="105">
        <f t="shared" si="5"/>
        <v>0</v>
      </c>
      <c r="W18" s="105">
        <f t="shared" si="5"/>
        <v>0</v>
      </c>
      <c r="X18" s="105">
        <f t="shared" si="5"/>
        <v>0</v>
      </c>
      <c r="Y18" s="105">
        <f t="shared" si="5"/>
        <v>0</v>
      </c>
      <c r="Z18" s="105">
        <f t="shared" si="5"/>
        <v>0</v>
      </c>
      <c r="AA18" s="105">
        <f t="shared" si="5"/>
        <v>0</v>
      </c>
      <c r="AB18" s="105">
        <f t="shared" si="5"/>
        <v>0</v>
      </c>
      <c r="AC18" s="105">
        <f t="shared" si="5"/>
        <v>0</v>
      </c>
      <c r="AD18" s="105">
        <f t="shared" si="5"/>
        <v>0</v>
      </c>
      <c r="AE18" s="105">
        <f t="shared" si="5"/>
        <v>0</v>
      </c>
      <c r="AF18" s="105">
        <f t="shared" si="5"/>
        <v>0</v>
      </c>
      <c r="AG18" s="105">
        <f t="shared" si="5"/>
        <v>0</v>
      </c>
      <c r="AH18" s="105">
        <f t="shared" si="5"/>
        <v>0</v>
      </c>
      <c r="AI18" s="105">
        <f t="shared" si="5"/>
        <v>0</v>
      </c>
      <c r="AJ18" s="105">
        <f t="shared" si="5"/>
        <v>0</v>
      </c>
      <c r="AK18" s="105">
        <f t="shared" si="5"/>
        <v>0</v>
      </c>
      <c r="AL18" s="105">
        <f t="shared" si="5"/>
        <v>0</v>
      </c>
      <c r="AM18" s="105">
        <f t="shared" si="5"/>
        <v>0</v>
      </c>
      <c r="AN18" s="105">
        <f t="shared" si="5"/>
        <v>0</v>
      </c>
      <c r="AO18" s="102">
        <f t="shared" si="3"/>
        <v>0</v>
      </c>
    </row>
    <row r="19" ht="37" hidden="1" customHeight="1" spans="1:41">
      <c r="A19" s="99" t="s">
        <v>783</v>
      </c>
      <c r="B19" s="99"/>
      <c r="C19" s="103"/>
      <c r="D19" s="103"/>
      <c r="E19" s="104"/>
      <c r="F19" s="104"/>
      <c r="G19" s="104"/>
      <c r="H19" s="104"/>
      <c r="I19" s="104">
        <v>0</v>
      </c>
      <c r="J19" s="104">
        <v>0</v>
      </c>
      <c r="K19" s="104">
        <v>0</v>
      </c>
      <c r="L19" s="104">
        <v>0</v>
      </c>
      <c r="M19" s="104">
        <v>0</v>
      </c>
      <c r="N19" s="104">
        <v>0</v>
      </c>
      <c r="O19" s="104">
        <v>0</v>
      </c>
      <c r="P19" s="104">
        <v>0</v>
      </c>
      <c r="Q19" s="104">
        <v>0</v>
      </c>
      <c r="R19" s="104">
        <v>0</v>
      </c>
      <c r="S19" s="104">
        <v>0</v>
      </c>
      <c r="T19" s="104">
        <v>0</v>
      </c>
      <c r="U19" s="104">
        <v>0</v>
      </c>
      <c r="V19" s="104">
        <v>0</v>
      </c>
      <c r="W19" s="104">
        <v>0</v>
      </c>
      <c r="X19" s="104">
        <v>0</v>
      </c>
      <c r="Y19" s="104">
        <v>0</v>
      </c>
      <c r="Z19" s="104">
        <v>0</v>
      </c>
      <c r="AA19" s="104">
        <v>0</v>
      </c>
      <c r="AB19" s="104">
        <v>0</v>
      </c>
      <c r="AC19" s="104">
        <v>0</v>
      </c>
      <c r="AD19" s="104">
        <v>0</v>
      </c>
      <c r="AE19" s="104">
        <v>0</v>
      </c>
      <c r="AF19" s="104">
        <v>0</v>
      </c>
      <c r="AG19" s="104">
        <v>0</v>
      </c>
      <c r="AH19" s="104">
        <v>0</v>
      </c>
      <c r="AI19" s="104">
        <v>0</v>
      </c>
      <c r="AJ19" s="104">
        <v>0</v>
      </c>
      <c r="AK19" s="104">
        <v>0</v>
      </c>
      <c r="AL19" s="104">
        <v>0</v>
      </c>
      <c r="AM19" s="104">
        <v>0</v>
      </c>
      <c r="AN19" s="104">
        <v>0</v>
      </c>
      <c r="AO19" s="103">
        <f t="shared" si="3"/>
        <v>0</v>
      </c>
    </row>
    <row r="20" ht="37" hidden="1" customHeight="1" spans="1:41">
      <c r="A20" s="102" t="s">
        <v>856</v>
      </c>
      <c r="B20" s="102"/>
      <c r="C20" s="102"/>
      <c r="D20" s="102"/>
      <c r="E20" s="105"/>
      <c r="F20" s="105"/>
      <c r="G20" s="105"/>
      <c r="H20" s="105"/>
      <c r="I20" s="105">
        <v>0</v>
      </c>
      <c r="J20" s="105">
        <v>0</v>
      </c>
      <c r="K20" s="105">
        <v>0</v>
      </c>
      <c r="L20" s="105">
        <v>0</v>
      </c>
      <c r="M20" s="105">
        <v>0</v>
      </c>
      <c r="N20" s="105">
        <v>0</v>
      </c>
      <c r="O20" s="105">
        <v>0</v>
      </c>
      <c r="P20" s="105">
        <v>0</v>
      </c>
      <c r="Q20" s="105">
        <v>0</v>
      </c>
      <c r="R20" s="105">
        <v>0</v>
      </c>
      <c r="S20" s="105">
        <v>0</v>
      </c>
      <c r="T20" s="105">
        <v>0</v>
      </c>
      <c r="U20" s="105">
        <v>0</v>
      </c>
      <c r="V20" s="105">
        <v>0</v>
      </c>
      <c r="W20" s="105">
        <v>0</v>
      </c>
      <c r="X20" s="105">
        <v>0</v>
      </c>
      <c r="Y20" s="105">
        <v>0</v>
      </c>
      <c r="Z20" s="105">
        <v>0</v>
      </c>
      <c r="AA20" s="105">
        <v>0</v>
      </c>
      <c r="AB20" s="105">
        <v>0</v>
      </c>
      <c r="AC20" s="105">
        <v>0</v>
      </c>
      <c r="AD20" s="105">
        <v>0</v>
      </c>
      <c r="AE20" s="105">
        <v>0</v>
      </c>
      <c r="AF20" s="105">
        <v>0</v>
      </c>
      <c r="AG20" s="113">
        <v>0</v>
      </c>
      <c r="AH20" s="105">
        <v>0</v>
      </c>
      <c r="AI20" s="105">
        <v>0</v>
      </c>
      <c r="AJ20" s="105">
        <v>0</v>
      </c>
      <c r="AK20" s="105">
        <v>0</v>
      </c>
      <c r="AL20" s="105">
        <v>0</v>
      </c>
      <c r="AM20" s="105">
        <v>0</v>
      </c>
      <c r="AN20" s="105">
        <v>0</v>
      </c>
      <c r="AO20" s="102">
        <f t="shared" si="3"/>
        <v>0</v>
      </c>
    </row>
    <row r="21" ht="37" hidden="1" customHeight="1" spans="1:41">
      <c r="A21" s="99" t="s">
        <v>857</v>
      </c>
      <c r="B21" s="99"/>
      <c r="C21" s="99"/>
      <c r="D21" s="99"/>
      <c r="E21" s="105"/>
      <c r="F21" s="105"/>
      <c r="G21" s="105"/>
      <c r="H21" s="105"/>
      <c r="I21" s="112">
        <f t="shared" ref="E21:AW21" si="6">I20*0.5</f>
        <v>0</v>
      </c>
      <c r="J21" s="112">
        <f t="shared" si="6"/>
        <v>0</v>
      </c>
      <c r="K21" s="112">
        <f t="shared" si="6"/>
        <v>0</v>
      </c>
      <c r="L21" s="112">
        <f t="shared" si="6"/>
        <v>0</v>
      </c>
      <c r="M21" s="112">
        <f t="shared" si="6"/>
        <v>0</v>
      </c>
      <c r="N21" s="112">
        <f t="shared" si="6"/>
        <v>0</v>
      </c>
      <c r="O21" s="112">
        <f t="shared" si="6"/>
        <v>0</v>
      </c>
      <c r="P21" s="112">
        <f t="shared" si="6"/>
        <v>0</v>
      </c>
      <c r="Q21" s="112">
        <f t="shared" si="6"/>
        <v>0</v>
      </c>
      <c r="R21" s="112">
        <f t="shared" si="6"/>
        <v>0</v>
      </c>
      <c r="S21" s="112">
        <f t="shared" si="6"/>
        <v>0</v>
      </c>
      <c r="T21" s="112">
        <f t="shared" si="6"/>
        <v>0</v>
      </c>
      <c r="U21" s="112">
        <f t="shared" si="6"/>
        <v>0</v>
      </c>
      <c r="V21" s="112">
        <f t="shared" si="6"/>
        <v>0</v>
      </c>
      <c r="W21" s="112">
        <f t="shared" si="6"/>
        <v>0</v>
      </c>
      <c r="X21" s="112">
        <f t="shared" si="6"/>
        <v>0</v>
      </c>
      <c r="Y21" s="112">
        <f t="shared" si="6"/>
        <v>0</v>
      </c>
      <c r="Z21" s="112">
        <f t="shared" si="6"/>
        <v>0</v>
      </c>
      <c r="AA21" s="112">
        <f t="shared" si="6"/>
        <v>0</v>
      </c>
      <c r="AB21" s="112">
        <f t="shared" si="6"/>
        <v>0</v>
      </c>
      <c r="AC21" s="112">
        <f t="shared" si="6"/>
        <v>0</v>
      </c>
      <c r="AD21" s="112">
        <f t="shared" si="6"/>
        <v>0</v>
      </c>
      <c r="AE21" s="112">
        <f t="shared" si="6"/>
        <v>0</v>
      </c>
      <c r="AF21" s="112">
        <f t="shared" si="6"/>
        <v>0</v>
      </c>
      <c r="AG21" s="112">
        <f t="shared" si="6"/>
        <v>0</v>
      </c>
      <c r="AH21" s="112">
        <f t="shared" si="6"/>
        <v>0</v>
      </c>
      <c r="AI21" s="112">
        <f t="shared" si="6"/>
        <v>0</v>
      </c>
      <c r="AJ21" s="112">
        <f t="shared" si="6"/>
        <v>0</v>
      </c>
      <c r="AK21" s="112">
        <f t="shared" si="6"/>
        <v>0</v>
      </c>
      <c r="AL21" s="112">
        <f t="shared" si="6"/>
        <v>0</v>
      </c>
      <c r="AM21" s="112">
        <f t="shared" si="6"/>
        <v>0</v>
      </c>
      <c r="AN21" s="112">
        <f t="shared" si="6"/>
        <v>0</v>
      </c>
      <c r="AO21" s="102">
        <f t="shared" si="3"/>
        <v>0</v>
      </c>
    </row>
    <row r="22" ht="37" hidden="1" customHeight="1" spans="1:41">
      <c r="A22" s="102" t="s">
        <v>858</v>
      </c>
      <c r="B22" s="102"/>
      <c r="C22" s="102"/>
      <c r="D22" s="102"/>
      <c r="E22" s="105"/>
      <c r="F22" s="105"/>
      <c r="G22" s="105"/>
      <c r="H22" s="105"/>
      <c r="I22" s="105">
        <f t="shared" ref="F22:AW22" si="7">H20*0.5</f>
        <v>0</v>
      </c>
      <c r="J22" s="105">
        <f t="shared" si="7"/>
        <v>0</v>
      </c>
      <c r="K22" s="105">
        <f t="shared" si="7"/>
        <v>0</v>
      </c>
      <c r="L22" s="105">
        <f t="shared" si="7"/>
        <v>0</v>
      </c>
      <c r="M22" s="105">
        <f t="shared" si="7"/>
        <v>0</v>
      </c>
      <c r="N22" s="105">
        <f t="shared" si="7"/>
        <v>0</v>
      </c>
      <c r="O22" s="105">
        <f t="shared" si="7"/>
        <v>0</v>
      </c>
      <c r="P22" s="105">
        <f t="shared" si="7"/>
        <v>0</v>
      </c>
      <c r="Q22" s="105">
        <f t="shared" si="7"/>
        <v>0</v>
      </c>
      <c r="R22" s="105">
        <f t="shared" si="7"/>
        <v>0</v>
      </c>
      <c r="S22" s="105">
        <f t="shared" si="7"/>
        <v>0</v>
      </c>
      <c r="T22" s="105">
        <f t="shared" si="7"/>
        <v>0</v>
      </c>
      <c r="U22" s="105">
        <f t="shared" si="7"/>
        <v>0</v>
      </c>
      <c r="V22" s="105">
        <f t="shared" si="7"/>
        <v>0</v>
      </c>
      <c r="W22" s="105">
        <f t="shared" si="7"/>
        <v>0</v>
      </c>
      <c r="X22" s="105">
        <f t="shared" si="7"/>
        <v>0</v>
      </c>
      <c r="Y22" s="105">
        <f t="shared" si="7"/>
        <v>0</v>
      </c>
      <c r="Z22" s="105">
        <f t="shared" si="7"/>
        <v>0</v>
      </c>
      <c r="AA22" s="105">
        <f t="shared" si="7"/>
        <v>0</v>
      </c>
      <c r="AB22" s="105">
        <f t="shared" si="7"/>
        <v>0</v>
      </c>
      <c r="AC22" s="105">
        <f t="shared" si="7"/>
        <v>0</v>
      </c>
      <c r="AD22" s="105">
        <f t="shared" si="7"/>
        <v>0</v>
      </c>
      <c r="AE22" s="105">
        <f t="shared" si="7"/>
        <v>0</v>
      </c>
      <c r="AF22" s="105">
        <f t="shared" si="7"/>
        <v>0</v>
      </c>
      <c r="AG22" s="105">
        <f t="shared" si="7"/>
        <v>0</v>
      </c>
      <c r="AH22" s="105">
        <f t="shared" si="7"/>
        <v>0</v>
      </c>
      <c r="AI22" s="105">
        <f t="shared" si="7"/>
        <v>0</v>
      </c>
      <c r="AJ22" s="105">
        <f t="shared" si="7"/>
        <v>0</v>
      </c>
      <c r="AK22" s="105">
        <f t="shared" si="7"/>
        <v>0</v>
      </c>
      <c r="AL22" s="105">
        <f t="shared" si="7"/>
        <v>0</v>
      </c>
      <c r="AM22" s="105">
        <f t="shared" si="7"/>
        <v>0</v>
      </c>
      <c r="AN22" s="105">
        <f t="shared" si="7"/>
        <v>0</v>
      </c>
      <c r="AO22" s="102">
        <f t="shared" si="3"/>
        <v>0</v>
      </c>
    </row>
    <row r="23" ht="37" customHeight="1" spans="1:43">
      <c r="A23" s="99" t="s">
        <v>783</v>
      </c>
      <c r="B23" s="99" t="s">
        <v>859</v>
      </c>
      <c r="C23" s="103"/>
      <c r="D23" s="103"/>
      <c r="E23" s="104"/>
      <c r="F23" s="104"/>
      <c r="G23" s="104"/>
      <c r="H23" s="104"/>
      <c r="I23" s="104">
        <v>0</v>
      </c>
      <c r="J23" s="104">
        <v>0</v>
      </c>
      <c r="K23" s="104">
        <v>0</v>
      </c>
      <c r="L23" s="104">
        <v>0</v>
      </c>
      <c r="M23" s="104">
        <v>132</v>
      </c>
      <c r="N23" s="104">
        <v>0</v>
      </c>
      <c r="O23" s="104">
        <v>10</v>
      </c>
      <c r="P23" s="104">
        <v>10</v>
      </c>
      <c r="Q23" s="104">
        <v>2</v>
      </c>
      <c r="R23" s="104">
        <v>3</v>
      </c>
      <c r="S23" s="104">
        <v>5</v>
      </c>
      <c r="T23" s="104">
        <v>6</v>
      </c>
      <c r="U23" s="104">
        <v>8</v>
      </c>
      <c r="V23" s="104">
        <v>5</v>
      </c>
      <c r="W23" s="104">
        <v>5</v>
      </c>
      <c r="X23" s="104">
        <v>5</v>
      </c>
      <c r="Y23" s="104">
        <v>6</v>
      </c>
      <c r="Z23" s="104">
        <v>8</v>
      </c>
      <c r="AA23" s="104">
        <v>10</v>
      </c>
      <c r="AB23" s="104">
        <v>10</v>
      </c>
      <c r="AC23" s="104">
        <v>20</v>
      </c>
      <c r="AD23" s="104">
        <v>20</v>
      </c>
      <c r="AE23" s="104">
        <v>25</v>
      </c>
      <c r="AF23" s="104">
        <v>25</v>
      </c>
      <c r="AG23" s="104">
        <v>28</v>
      </c>
      <c r="AH23" s="104">
        <v>25</v>
      </c>
      <c r="AI23" s="104">
        <v>25</v>
      </c>
      <c r="AJ23" s="104">
        <v>25</v>
      </c>
      <c r="AK23" s="104">
        <v>30</v>
      </c>
      <c r="AL23" s="104">
        <v>20</v>
      </c>
      <c r="AM23" s="104">
        <v>20</v>
      </c>
      <c r="AN23" s="104"/>
      <c r="AO23" s="103">
        <f t="shared" si="3"/>
        <v>488</v>
      </c>
      <c r="AQ23">
        <f>预计销售收入及费用情况表!C20+预计销售收入及费用情况表!C21</f>
        <v>491</v>
      </c>
    </row>
    <row r="24" ht="37" customHeight="1" spans="1:43">
      <c r="A24" s="102" t="s">
        <v>856</v>
      </c>
      <c r="B24" s="102"/>
      <c r="C24" s="102"/>
      <c r="D24" s="102"/>
      <c r="E24" s="105"/>
      <c r="F24" s="105"/>
      <c r="G24" s="105"/>
      <c r="H24" s="105"/>
      <c r="I24" s="105">
        <f>I23*预计销售收入及费用情况表!$D$20</f>
        <v>0</v>
      </c>
      <c r="J24" s="105">
        <f>J23*预计销售收入及费用情况表!$D$20</f>
        <v>0</v>
      </c>
      <c r="K24" s="105">
        <f>K23*预计销售收入及费用情况表!$D$20</f>
        <v>0</v>
      </c>
      <c r="L24" s="105">
        <f>L23*预计销售收入及费用情况表!$D$20</f>
        <v>0</v>
      </c>
      <c r="M24" s="105">
        <f>M23*预计销售收入及费用情况表!$D$20</f>
        <v>1056</v>
      </c>
      <c r="N24" s="105">
        <f>N23*预计销售收入及费用情况表!$D$20</f>
        <v>0</v>
      </c>
      <c r="O24" s="105">
        <f>O23*预计销售收入及费用情况表!$D$20</f>
        <v>80</v>
      </c>
      <c r="P24" s="105">
        <f>P23*预计销售收入及费用情况表!$D$20</f>
        <v>80</v>
      </c>
      <c r="Q24" s="105">
        <f>Q23*预计销售收入及费用情况表!$D$20</f>
        <v>16</v>
      </c>
      <c r="R24" s="105">
        <f>R23*预计销售收入及费用情况表!$D$20</f>
        <v>24</v>
      </c>
      <c r="S24" s="105">
        <f>S23*预计销售收入及费用情况表!$D$20</f>
        <v>40</v>
      </c>
      <c r="T24" s="105">
        <f>T23*预计销售收入及费用情况表!$D$20</f>
        <v>48</v>
      </c>
      <c r="U24" s="105">
        <f>U23*预计销售收入及费用情况表!$D$20</f>
        <v>64</v>
      </c>
      <c r="V24" s="105">
        <f>V23*预计销售收入及费用情况表!$D$20</f>
        <v>40</v>
      </c>
      <c r="W24" s="105">
        <f>W23*预计销售收入及费用情况表!$D$20</f>
        <v>40</v>
      </c>
      <c r="X24" s="105">
        <f>X23*预计销售收入及费用情况表!$D$20</f>
        <v>40</v>
      </c>
      <c r="Y24" s="105">
        <f>Y23*预计销售收入及费用情况表!$D$20</f>
        <v>48</v>
      </c>
      <c r="Z24" s="105">
        <f>Z23*预计销售收入及费用情况表!$D$20</f>
        <v>64</v>
      </c>
      <c r="AA24" s="105">
        <f>AA23*预计销售收入及费用情况表!$D$20</f>
        <v>80</v>
      </c>
      <c r="AB24" s="105">
        <f>AB23*预计销售收入及费用情况表!$D$20</f>
        <v>80</v>
      </c>
      <c r="AC24" s="105">
        <f>AC23*预计销售收入及费用情况表!$D$20</f>
        <v>160</v>
      </c>
      <c r="AD24" s="105">
        <f>AD23*预计销售收入及费用情况表!$D$20</f>
        <v>160</v>
      </c>
      <c r="AE24" s="105">
        <f>AE23*预计销售收入及费用情况表!$D$20</f>
        <v>200</v>
      </c>
      <c r="AF24" s="105">
        <f>AF23*预计销售收入及费用情况表!$D$20</f>
        <v>200</v>
      </c>
      <c r="AG24" s="105">
        <f>AG23*预计销售收入及费用情况表!$D$20</f>
        <v>224</v>
      </c>
      <c r="AH24" s="105">
        <f>AH23*预计销售收入及费用情况表!$D$20</f>
        <v>200</v>
      </c>
      <c r="AI24" s="105">
        <f>AI23*预计销售收入及费用情况表!$D$20</f>
        <v>200</v>
      </c>
      <c r="AJ24" s="105">
        <f>AJ23*预计销售收入及费用情况表!$D$20</f>
        <v>200</v>
      </c>
      <c r="AK24" s="105">
        <f>AK23*预计销售收入及费用情况表!$D$20</f>
        <v>240</v>
      </c>
      <c r="AL24" s="105">
        <f>AL23*预计销售收入及费用情况表!$D$20</f>
        <v>160</v>
      </c>
      <c r="AM24" s="105">
        <f>AM23*预计销售收入及费用情况表!$D$20</f>
        <v>160</v>
      </c>
      <c r="AN24" s="105">
        <f>AN23*预计销售收入及费用情况表!$D$20</f>
        <v>0</v>
      </c>
      <c r="AO24" s="114">
        <f t="shared" si="3"/>
        <v>3904</v>
      </c>
      <c r="AQ24">
        <f>AQ23-AO23</f>
        <v>3</v>
      </c>
    </row>
    <row r="25" ht="37" customHeight="1" spans="1:41">
      <c r="A25" s="99" t="s">
        <v>857</v>
      </c>
      <c r="B25" s="99"/>
      <c r="C25" s="99"/>
      <c r="D25" s="99"/>
      <c r="E25" s="105"/>
      <c r="F25" s="105"/>
      <c r="G25" s="105"/>
      <c r="H25" s="105"/>
      <c r="I25" s="105">
        <f>I24*0.5</f>
        <v>0</v>
      </c>
      <c r="J25" s="105">
        <f t="shared" ref="J25:AN25" si="8">J24*0.5</f>
        <v>0</v>
      </c>
      <c r="K25" s="105">
        <f t="shared" si="8"/>
        <v>0</v>
      </c>
      <c r="L25" s="105">
        <f t="shared" si="8"/>
        <v>0</v>
      </c>
      <c r="M25" s="105">
        <f t="shared" si="8"/>
        <v>528</v>
      </c>
      <c r="N25" s="105">
        <f t="shared" si="8"/>
        <v>0</v>
      </c>
      <c r="O25" s="105">
        <f t="shared" si="8"/>
        <v>40</v>
      </c>
      <c r="P25" s="105">
        <f t="shared" si="8"/>
        <v>40</v>
      </c>
      <c r="Q25" s="105">
        <f t="shared" si="8"/>
        <v>8</v>
      </c>
      <c r="R25" s="105">
        <f t="shared" si="8"/>
        <v>12</v>
      </c>
      <c r="S25" s="105">
        <f t="shared" si="8"/>
        <v>20</v>
      </c>
      <c r="T25" s="105">
        <f t="shared" si="8"/>
        <v>24</v>
      </c>
      <c r="U25" s="105">
        <f t="shared" si="8"/>
        <v>32</v>
      </c>
      <c r="V25" s="105">
        <f t="shared" si="8"/>
        <v>20</v>
      </c>
      <c r="W25" s="105">
        <f t="shared" si="8"/>
        <v>20</v>
      </c>
      <c r="X25" s="105">
        <f t="shared" si="8"/>
        <v>20</v>
      </c>
      <c r="Y25" s="105">
        <f t="shared" si="8"/>
        <v>24</v>
      </c>
      <c r="Z25" s="105">
        <f t="shared" si="8"/>
        <v>32</v>
      </c>
      <c r="AA25" s="105">
        <f t="shared" si="8"/>
        <v>40</v>
      </c>
      <c r="AB25" s="105">
        <f t="shared" si="8"/>
        <v>40</v>
      </c>
      <c r="AC25" s="105">
        <f t="shared" si="8"/>
        <v>80</v>
      </c>
      <c r="AD25" s="105">
        <f t="shared" si="8"/>
        <v>80</v>
      </c>
      <c r="AE25" s="105">
        <f t="shared" si="8"/>
        <v>100</v>
      </c>
      <c r="AF25" s="105">
        <f t="shared" si="8"/>
        <v>100</v>
      </c>
      <c r="AG25" s="105">
        <f t="shared" si="8"/>
        <v>112</v>
      </c>
      <c r="AH25" s="105">
        <f t="shared" si="8"/>
        <v>100</v>
      </c>
      <c r="AI25" s="105">
        <f t="shared" si="8"/>
        <v>100</v>
      </c>
      <c r="AJ25" s="105">
        <f t="shared" si="8"/>
        <v>100</v>
      </c>
      <c r="AK25" s="105">
        <f t="shared" si="8"/>
        <v>120</v>
      </c>
      <c r="AL25" s="105">
        <f t="shared" si="8"/>
        <v>80</v>
      </c>
      <c r="AM25" s="105">
        <f t="shared" si="8"/>
        <v>80</v>
      </c>
      <c r="AN25" s="105">
        <f t="shared" si="8"/>
        <v>0</v>
      </c>
      <c r="AO25" s="114">
        <f t="shared" si="3"/>
        <v>1952</v>
      </c>
    </row>
    <row r="26" ht="37" customHeight="1" spans="1:41">
      <c r="A26" s="102" t="s">
        <v>858</v>
      </c>
      <c r="B26" s="102"/>
      <c r="C26" s="102"/>
      <c r="D26" s="102"/>
      <c r="E26" s="105"/>
      <c r="F26" s="105"/>
      <c r="G26" s="105"/>
      <c r="H26" s="105"/>
      <c r="I26" s="105">
        <f>I24*0.5</f>
        <v>0</v>
      </c>
      <c r="J26" s="105">
        <f t="shared" ref="J26:AN26" si="9">J24*0.5</f>
        <v>0</v>
      </c>
      <c r="K26" s="105">
        <f t="shared" si="9"/>
        <v>0</v>
      </c>
      <c r="L26" s="105">
        <f t="shared" si="9"/>
        <v>0</v>
      </c>
      <c r="M26" s="105">
        <f t="shared" si="9"/>
        <v>528</v>
      </c>
      <c r="N26" s="105">
        <f t="shared" si="9"/>
        <v>0</v>
      </c>
      <c r="O26" s="105">
        <f t="shared" si="9"/>
        <v>40</v>
      </c>
      <c r="P26" s="105">
        <f t="shared" si="9"/>
        <v>40</v>
      </c>
      <c r="Q26" s="105">
        <f t="shared" si="9"/>
        <v>8</v>
      </c>
      <c r="R26" s="105">
        <f t="shared" si="9"/>
        <v>12</v>
      </c>
      <c r="S26" s="105">
        <f t="shared" si="9"/>
        <v>20</v>
      </c>
      <c r="T26" s="105">
        <f t="shared" si="9"/>
        <v>24</v>
      </c>
      <c r="U26" s="105">
        <f t="shared" si="9"/>
        <v>32</v>
      </c>
      <c r="V26" s="105">
        <f t="shared" si="9"/>
        <v>20</v>
      </c>
      <c r="W26" s="105">
        <f t="shared" si="9"/>
        <v>20</v>
      </c>
      <c r="X26" s="105">
        <f t="shared" si="9"/>
        <v>20</v>
      </c>
      <c r="Y26" s="105">
        <f t="shared" si="9"/>
        <v>24</v>
      </c>
      <c r="Z26" s="105">
        <f t="shared" si="9"/>
        <v>32</v>
      </c>
      <c r="AA26" s="105">
        <f t="shared" si="9"/>
        <v>40</v>
      </c>
      <c r="AB26" s="105">
        <f t="shared" si="9"/>
        <v>40</v>
      </c>
      <c r="AC26" s="105">
        <f t="shared" si="9"/>
        <v>80</v>
      </c>
      <c r="AD26" s="105">
        <f t="shared" si="9"/>
        <v>80</v>
      </c>
      <c r="AE26" s="105">
        <f t="shared" si="9"/>
        <v>100</v>
      </c>
      <c r="AF26" s="105">
        <f t="shared" si="9"/>
        <v>100</v>
      </c>
      <c r="AG26" s="105">
        <f t="shared" si="9"/>
        <v>112</v>
      </c>
      <c r="AH26" s="105">
        <f t="shared" si="9"/>
        <v>100</v>
      </c>
      <c r="AI26" s="105">
        <f t="shared" si="9"/>
        <v>100</v>
      </c>
      <c r="AJ26" s="105">
        <f t="shared" si="9"/>
        <v>100</v>
      </c>
      <c r="AK26" s="105">
        <f t="shared" si="9"/>
        <v>120</v>
      </c>
      <c r="AL26" s="105">
        <f t="shared" si="9"/>
        <v>80</v>
      </c>
      <c r="AM26" s="105">
        <f t="shared" si="9"/>
        <v>80</v>
      </c>
      <c r="AN26" s="105">
        <f t="shared" si="9"/>
        <v>0</v>
      </c>
      <c r="AO26" s="114">
        <f t="shared" si="3"/>
        <v>1952</v>
      </c>
    </row>
    <row r="27" ht="37" customHeight="1" spans="1:41">
      <c r="A27" s="106" t="s">
        <v>860</v>
      </c>
      <c r="B27" s="106"/>
      <c r="C27" s="107">
        <f t="shared" ref="C27:H27" si="10">C6+C11+C16+C24+C20</f>
        <v>19196.352</v>
      </c>
      <c r="D27" s="107">
        <f t="shared" si="10"/>
        <v>0</v>
      </c>
      <c r="E27" s="107">
        <f t="shared" si="10"/>
        <v>0</v>
      </c>
      <c r="F27" s="107">
        <f t="shared" si="10"/>
        <v>0</v>
      </c>
      <c r="G27" s="107">
        <f t="shared" si="10"/>
        <v>0</v>
      </c>
      <c r="H27" s="107">
        <f t="shared" si="10"/>
        <v>0</v>
      </c>
      <c r="I27" s="107">
        <f t="shared" ref="I27:AX27" si="11">I6+I11+I16+I24+I20</f>
        <v>0</v>
      </c>
      <c r="J27" s="107">
        <f t="shared" si="11"/>
        <v>0</v>
      </c>
      <c r="K27" s="107">
        <f t="shared" si="11"/>
        <v>0</v>
      </c>
      <c r="L27" s="107">
        <f t="shared" si="11"/>
        <v>0</v>
      </c>
      <c r="M27" s="107">
        <f t="shared" si="11"/>
        <v>12664.1070652174</v>
      </c>
      <c r="N27" s="107">
        <f t="shared" si="11"/>
        <v>2785.94569565217</v>
      </c>
      <c r="O27" s="107">
        <f t="shared" si="11"/>
        <v>3098.10783695652</v>
      </c>
      <c r="P27" s="107">
        <f t="shared" si="11"/>
        <v>1937.29713043478</v>
      </c>
      <c r="Q27" s="107">
        <f t="shared" si="11"/>
        <v>480.324282608696</v>
      </c>
      <c r="R27" s="107">
        <f t="shared" si="11"/>
        <v>720.486423913043</v>
      </c>
      <c r="S27" s="107">
        <f t="shared" si="11"/>
        <v>1897.29713043478</v>
      </c>
      <c r="T27" s="107">
        <f t="shared" si="11"/>
        <v>3066.10783695652</v>
      </c>
      <c r="U27" s="107">
        <f t="shared" si="11"/>
        <v>4242.91854347826</v>
      </c>
      <c r="V27" s="107">
        <f t="shared" si="11"/>
        <v>2825.94569565217</v>
      </c>
      <c r="W27" s="107">
        <f t="shared" si="11"/>
        <v>2361.62141304348</v>
      </c>
      <c r="X27" s="107">
        <f t="shared" si="11"/>
        <v>2361.62141304348</v>
      </c>
      <c r="Y27" s="107">
        <f t="shared" si="11"/>
        <v>2369.62141304348</v>
      </c>
      <c r="Z27" s="107">
        <f t="shared" si="11"/>
        <v>3546.43211956522</v>
      </c>
      <c r="AA27" s="107">
        <f t="shared" si="11"/>
        <v>80</v>
      </c>
      <c r="AB27" s="107">
        <f t="shared" si="11"/>
        <v>80</v>
      </c>
      <c r="AC27" s="107">
        <f t="shared" si="11"/>
        <v>160</v>
      </c>
      <c r="AD27" s="107">
        <f t="shared" si="11"/>
        <v>160</v>
      </c>
      <c r="AE27" s="107">
        <f t="shared" si="11"/>
        <v>200</v>
      </c>
      <c r="AF27" s="107">
        <f t="shared" si="11"/>
        <v>200</v>
      </c>
      <c r="AG27" s="107">
        <f t="shared" si="11"/>
        <v>224</v>
      </c>
      <c r="AH27" s="107">
        <f t="shared" si="11"/>
        <v>200</v>
      </c>
      <c r="AI27" s="107">
        <f t="shared" si="11"/>
        <v>200</v>
      </c>
      <c r="AJ27" s="107">
        <f t="shared" si="11"/>
        <v>200</v>
      </c>
      <c r="AK27" s="107">
        <f t="shared" si="11"/>
        <v>240</v>
      </c>
      <c r="AL27" s="107">
        <f t="shared" si="11"/>
        <v>160</v>
      </c>
      <c r="AM27" s="107">
        <f t="shared" si="11"/>
        <v>160</v>
      </c>
      <c r="AN27" s="107">
        <f t="shared" si="11"/>
        <v>0</v>
      </c>
      <c r="AO27" s="107">
        <f t="shared" si="11"/>
        <v>65818.186</v>
      </c>
    </row>
    <row r="28" ht="37" customHeight="1" spans="1:41">
      <c r="A28" s="102" t="s">
        <v>861</v>
      </c>
      <c r="B28" s="102"/>
      <c r="C28" s="105">
        <f t="shared" ref="C28:H28" si="12">C7+C12+C17+C25+C21</f>
        <v>0</v>
      </c>
      <c r="D28" s="105">
        <f t="shared" si="12"/>
        <v>0</v>
      </c>
      <c r="E28" s="105">
        <f t="shared" si="12"/>
        <v>0</v>
      </c>
      <c r="F28" s="105">
        <f t="shared" si="12"/>
        <v>0</v>
      </c>
      <c r="G28" s="105">
        <f t="shared" si="12"/>
        <v>0</v>
      </c>
      <c r="H28" s="105">
        <f t="shared" si="12"/>
        <v>0</v>
      </c>
      <c r="I28" s="105">
        <f t="shared" ref="I28:AX28" si="13">I7+I12+I17+I25+I21</f>
        <v>9900</v>
      </c>
      <c r="J28" s="105">
        <f t="shared" si="13"/>
        <v>0</v>
      </c>
      <c r="K28" s="105">
        <f t="shared" si="13"/>
        <v>0</v>
      </c>
      <c r="L28" s="105">
        <f t="shared" si="13"/>
        <v>0</v>
      </c>
      <c r="M28" s="105">
        <f t="shared" si="13"/>
        <v>4010.43211956522</v>
      </c>
      <c r="N28" s="105">
        <f t="shared" si="13"/>
        <v>835.783708695652</v>
      </c>
      <c r="O28" s="105">
        <f t="shared" si="13"/>
        <v>945.432351086957</v>
      </c>
      <c r="P28" s="105">
        <f t="shared" si="13"/>
        <v>597.189139130435</v>
      </c>
      <c r="Q28" s="105">
        <f t="shared" si="13"/>
        <v>147.297284782609</v>
      </c>
      <c r="R28" s="105">
        <f t="shared" si="13"/>
        <v>220.945927173913</v>
      </c>
      <c r="S28" s="105">
        <f t="shared" si="13"/>
        <v>577.189139130435</v>
      </c>
      <c r="T28" s="105">
        <f t="shared" si="13"/>
        <v>929.432351086957</v>
      </c>
      <c r="U28" s="105">
        <f t="shared" si="13"/>
        <v>1285.67556304348</v>
      </c>
      <c r="V28" s="105">
        <f t="shared" si="13"/>
        <v>855.783708695652</v>
      </c>
      <c r="W28" s="105">
        <f t="shared" si="13"/>
        <v>716.486423913044</v>
      </c>
      <c r="X28" s="105">
        <f t="shared" si="13"/>
        <v>716.486423913044</v>
      </c>
      <c r="Y28" s="105">
        <f t="shared" si="13"/>
        <v>720.486423913044</v>
      </c>
      <c r="Z28" s="105">
        <f t="shared" si="13"/>
        <v>1076.72963586957</v>
      </c>
      <c r="AA28" s="105">
        <f t="shared" si="13"/>
        <v>40</v>
      </c>
      <c r="AB28" s="105">
        <f t="shared" si="13"/>
        <v>40</v>
      </c>
      <c r="AC28" s="105">
        <f t="shared" si="13"/>
        <v>80</v>
      </c>
      <c r="AD28" s="105">
        <f t="shared" si="13"/>
        <v>80</v>
      </c>
      <c r="AE28" s="105">
        <f t="shared" si="13"/>
        <v>100</v>
      </c>
      <c r="AF28" s="105">
        <f t="shared" si="13"/>
        <v>100</v>
      </c>
      <c r="AG28" s="105">
        <f t="shared" si="13"/>
        <v>112</v>
      </c>
      <c r="AH28" s="105">
        <f t="shared" si="13"/>
        <v>100</v>
      </c>
      <c r="AI28" s="105">
        <f t="shared" si="13"/>
        <v>100</v>
      </c>
      <c r="AJ28" s="105">
        <f t="shared" si="13"/>
        <v>100</v>
      </c>
      <c r="AK28" s="105">
        <f t="shared" si="13"/>
        <v>120</v>
      </c>
      <c r="AL28" s="105">
        <f t="shared" si="13"/>
        <v>80</v>
      </c>
      <c r="AM28" s="105">
        <f t="shared" si="13"/>
        <v>80</v>
      </c>
      <c r="AN28" s="105">
        <f t="shared" si="13"/>
        <v>0</v>
      </c>
      <c r="AO28" s="105">
        <f t="shared" si="13"/>
        <v>24667.3502</v>
      </c>
    </row>
    <row r="29" ht="37" customHeight="1" spans="1:41">
      <c r="A29" s="108" t="s">
        <v>862</v>
      </c>
      <c r="B29" s="108"/>
      <c r="C29" s="105">
        <f t="shared" ref="C29:H29" si="14">C8+C13+C18+C26+C22</f>
        <v>0</v>
      </c>
      <c r="D29" s="105">
        <f t="shared" si="14"/>
        <v>0</v>
      </c>
      <c r="E29" s="105">
        <f t="shared" si="14"/>
        <v>0</v>
      </c>
      <c r="F29" s="105">
        <f t="shared" si="14"/>
        <v>0</v>
      </c>
      <c r="G29" s="105">
        <f t="shared" si="14"/>
        <v>0</v>
      </c>
      <c r="H29" s="105">
        <f t="shared" si="14"/>
        <v>0</v>
      </c>
      <c r="I29" s="105">
        <f t="shared" ref="I29:AX29" si="15">I8+I13+I18+I26+I22</f>
        <v>0</v>
      </c>
      <c r="J29" s="105">
        <f t="shared" si="15"/>
        <v>0</v>
      </c>
      <c r="K29" s="105">
        <f t="shared" si="15"/>
        <v>0</v>
      </c>
      <c r="L29" s="105">
        <f t="shared" si="15"/>
        <v>0</v>
      </c>
      <c r="M29" s="105">
        <f t="shared" si="15"/>
        <v>528</v>
      </c>
      <c r="N29" s="105">
        <f t="shared" si="15"/>
        <v>8711.01347282609</v>
      </c>
      <c r="O29" s="105">
        <f t="shared" si="15"/>
        <v>9726.09446630435</v>
      </c>
      <c r="P29" s="105">
        <f t="shared" si="15"/>
        <v>2071.41873641304</v>
      </c>
      <c r="Q29" s="105">
        <f t="shared" si="15"/>
        <v>1714.39173858696</v>
      </c>
      <c r="R29" s="105">
        <f t="shared" si="15"/>
        <v>824.567494565217</v>
      </c>
      <c r="S29" s="105">
        <f t="shared" si="15"/>
        <v>426.283747282609</v>
      </c>
      <c r="T29" s="105">
        <f t="shared" si="15"/>
        <v>917.824244021739</v>
      </c>
      <c r="U29" s="105">
        <f t="shared" si="15"/>
        <v>1738.39173858696</v>
      </c>
      <c r="V29" s="105">
        <f t="shared" si="15"/>
        <v>2538.95923315217</v>
      </c>
      <c r="W29" s="105">
        <f t="shared" si="15"/>
        <v>2457.70248369565</v>
      </c>
      <c r="X29" s="105">
        <f t="shared" si="15"/>
        <v>1807.64848804348</v>
      </c>
      <c r="Y29" s="105">
        <f t="shared" si="15"/>
        <v>1649.13498913044</v>
      </c>
      <c r="Z29" s="105">
        <f t="shared" si="15"/>
        <v>1657.13498913044</v>
      </c>
      <c r="AA29" s="105">
        <f t="shared" si="15"/>
        <v>2071.41873641304</v>
      </c>
      <c r="AB29" s="105">
        <f t="shared" si="15"/>
        <v>1258.85124184783</v>
      </c>
      <c r="AC29" s="105">
        <f t="shared" si="15"/>
        <v>80</v>
      </c>
      <c r="AD29" s="105">
        <f t="shared" si="15"/>
        <v>80</v>
      </c>
      <c r="AE29" s="105">
        <f t="shared" si="15"/>
        <v>100</v>
      </c>
      <c r="AF29" s="105">
        <f t="shared" si="15"/>
        <v>100</v>
      </c>
      <c r="AG29" s="105">
        <f t="shared" si="15"/>
        <v>112</v>
      </c>
      <c r="AH29" s="105">
        <f t="shared" si="15"/>
        <v>100</v>
      </c>
      <c r="AI29" s="105">
        <f t="shared" si="15"/>
        <v>100</v>
      </c>
      <c r="AJ29" s="105">
        <f t="shared" si="15"/>
        <v>100</v>
      </c>
      <c r="AK29" s="105">
        <f t="shared" si="15"/>
        <v>120</v>
      </c>
      <c r="AL29" s="105">
        <f t="shared" si="15"/>
        <v>80</v>
      </c>
      <c r="AM29" s="105">
        <f t="shared" si="15"/>
        <v>80</v>
      </c>
      <c r="AN29" s="105">
        <f t="shared" si="15"/>
        <v>0</v>
      </c>
      <c r="AO29" s="105">
        <f t="shared" si="15"/>
        <v>41150.8358</v>
      </c>
    </row>
    <row r="30" ht="37" customHeight="1" spans="1:41">
      <c r="A30" s="109" t="s">
        <v>863</v>
      </c>
      <c r="B30" s="109"/>
      <c r="C30" s="110">
        <f t="shared" ref="C30:H30" si="16">C28+C29</f>
        <v>0</v>
      </c>
      <c r="D30" s="110">
        <f t="shared" si="16"/>
        <v>0</v>
      </c>
      <c r="E30" s="110">
        <f t="shared" si="16"/>
        <v>0</v>
      </c>
      <c r="F30" s="110">
        <f t="shared" si="16"/>
        <v>0</v>
      </c>
      <c r="G30" s="110">
        <f t="shared" si="16"/>
        <v>0</v>
      </c>
      <c r="H30" s="110">
        <f t="shared" si="16"/>
        <v>0</v>
      </c>
      <c r="I30" s="110">
        <f t="shared" ref="I30:AX30" si="17">I28+I29</f>
        <v>9900</v>
      </c>
      <c r="J30" s="110">
        <f t="shared" si="17"/>
        <v>0</v>
      </c>
      <c r="K30" s="110">
        <f t="shared" si="17"/>
        <v>0</v>
      </c>
      <c r="L30" s="110">
        <f t="shared" si="17"/>
        <v>0</v>
      </c>
      <c r="M30" s="110">
        <f t="shared" si="17"/>
        <v>4538.43211956522</v>
      </c>
      <c r="N30" s="110">
        <f t="shared" si="17"/>
        <v>9546.79718152174</v>
      </c>
      <c r="O30" s="110">
        <f t="shared" si="17"/>
        <v>10671.5268173913</v>
      </c>
      <c r="P30" s="110">
        <f t="shared" si="17"/>
        <v>2668.60787554348</v>
      </c>
      <c r="Q30" s="110">
        <f t="shared" si="17"/>
        <v>1861.68902336957</v>
      </c>
      <c r="R30" s="110">
        <f t="shared" si="17"/>
        <v>1045.51342173913</v>
      </c>
      <c r="S30" s="110">
        <f t="shared" si="17"/>
        <v>1003.47288641304</v>
      </c>
      <c r="T30" s="110">
        <f t="shared" si="17"/>
        <v>1847.2565951087</v>
      </c>
      <c r="U30" s="110">
        <f t="shared" si="17"/>
        <v>3024.06730163044</v>
      </c>
      <c r="V30" s="110">
        <f t="shared" si="17"/>
        <v>3394.74294184783</v>
      </c>
      <c r="W30" s="110">
        <f t="shared" si="17"/>
        <v>3174.1889076087</v>
      </c>
      <c r="X30" s="110">
        <f t="shared" si="17"/>
        <v>2524.13491195652</v>
      </c>
      <c r="Y30" s="110">
        <f t="shared" si="17"/>
        <v>2369.62141304348</v>
      </c>
      <c r="Z30" s="110">
        <f t="shared" si="17"/>
        <v>2733.864625</v>
      </c>
      <c r="AA30" s="110">
        <f t="shared" si="17"/>
        <v>2111.41873641304</v>
      </c>
      <c r="AB30" s="110">
        <f t="shared" si="17"/>
        <v>1298.85124184783</v>
      </c>
      <c r="AC30" s="110">
        <f t="shared" si="17"/>
        <v>160</v>
      </c>
      <c r="AD30" s="110">
        <f t="shared" si="17"/>
        <v>160</v>
      </c>
      <c r="AE30" s="110">
        <f t="shared" si="17"/>
        <v>200</v>
      </c>
      <c r="AF30" s="110">
        <f t="shared" si="17"/>
        <v>200</v>
      </c>
      <c r="AG30" s="110">
        <f t="shared" si="17"/>
        <v>224</v>
      </c>
      <c r="AH30" s="110">
        <f t="shared" si="17"/>
        <v>200</v>
      </c>
      <c r="AI30" s="110">
        <f t="shared" si="17"/>
        <v>200</v>
      </c>
      <c r="AJ30" s="110">
        <f t="shared" si="17"/>
        <v>200</v>
      </c>
      <c r="AK30" s="110">
        <f t="shared" si="17"/>
        <v>240</v>
      </c>
      <c r="AL30" s="110">
        <f t="shared" si="17"/>
        <v>160</v>
      </c>
      <c r="AM30" s="110">
        <f t="shared" si="17"/>
        <v>160</v>
      </c>
      <c r="AN30" s="110">
        <f t="shared" si="17"/>
        <v>0</v>
      </c>
      <c r="AO30" s="110">
        <f t="shared" si="17"/>
        <v>65818.186</v>
      </c>
    </row>
    <row r="31" ht="37" customHeight="1" spans="41:41">
      <c r="AO31">
        <f>AO30-预计销售收入及费用情况表!E23</f>
        <v>-24</v>
      </c>
    </row>
    <row r="32" ht="37" customHeight="1"/>
    <row r="33" ht="37" customHeight="1"/>
    <row r="34" ht="37" customHeight="1"/>
    <row r="35" ht="37" customHeight="1"/>
    <row r="36" ht="37" customHeight="1"/>
  </sheetData>
  <mergeCells count="16">
    <mergeCell ref="A1:AO1"/>
    <mergeCell ref="C2:D2"/>
    <mergeCell ref="E2:P2"/>
    <mergeCell ref="Q2:AB2"/>
    <mergeCell ref="AC2:AN2"/>
    <mergeCell ref="A27:B27"/>
    <mergeCell ref="A28:B28"/>
    <mergeCell ref="A29:B29"/>
    <mergeCell ref="A30:B30"/>
    <mergeCell ref="B2:B3"/>
    <mergeCell ref="B4:B8"/>
    <mergeCell ref="B9:B13"/>
    <mergeCell ref="B14:B18"/>
    <mergeCell ref="B19:B22"/>
    <mergeCell ref="B23:B26"/>
    <mergeCell ref="AO2:AO3"/>
  </mergeCells>
  <pageMargins left="0.75" right="0.75" top="1" bottom="1" header="0.5" footer="0.5"/>
  <headerFooter/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38"/>
  <sheetViews>
    <sheetView workbookViewId="0">
      <selection activeCell="J9" sqref="J9"/>
    </sheetView>
  </sheetViews>
  <sheetFormatPr defaultColWidth="9" defaultRowHeight="14.4"/>
  <cols>
    <col min="1" max="1" width="6.875" style="39" customWidth="1"/>
    <col min="2" max="3" width="7" style="39" customWidth="1"/>
    <col min="4" max="4" width="9" style="39"/>
    <col min="5" max="9" width="9" style="39" hidden="1" customWidth="1"/>
    <col min="10" max="10" width="16.625" style="39" customWidth="1"/>
    <col min="11" max="11" width="11.25" style="43" customWidth="1"/>
    <col min="12" max="12" width="13.125" style="43" customWidth="1"/>
    <col min="13" max="13" width="10.75" style="39" customWidth="1"/>
    <col min="14" max="14" width="8.75" style="39" customWidth="1"/>
    <col min="15" max="15" width="10.375" style="39" customWidth="1"/>
    <col min="16" max="16" width="12.75" style="39" customWidth="1"/>
    <col min="17" max="17" width="13.875" style="39" customWidth="1"/>
    <col min="18" max="18" width="13.125" style="39" customWidth="1"/>
    <col min="19" max="19" width="4" style="39" customWidth="1"/>
    <col min="20" max="20" width="17" style="44" customWidth="1"/>
    <col min="21" max="21" width="14" style="45" customWidth="1"/>
    <col min="22" max="22" width="12.875" style="45" customWidth="1"/>
    <col min="23" max="23" width="12.875" style="46" customWidth="1"/>
    <col min="24" max="26" width="17.625" style="45" customWidth="1"/>
    <col min="27" max="27" width="11.5" style="43"/>
    <col min="28" max="28" width="13.75" style="43"/>
    <col min="29" max="16384" width="9" style="39"/>
  </cols>
  <sheetData>
    <row r="1" s="39" customFormat="1" ht="38" customHeight="1" spans="1:28">
      <c r="A1" s="47" t="s">
        <v>864</v>
      </c>
      <c r="B1" s="47"/>
      <c r="C1" s="47"/>
      <c r="D1" s="47"/>
      <c r="E1" s="47"/>
      <c r="F1" s="47"/>
      <c r="G1" s="47"/>
      <c r="H1" s="47"/>
      <c r="I1" s="47"/>
      <c r="J1" s="47"/>
      <c r="K1" s="57"/>
      <c r="L1" s="57"/>
      <c r="M1" s="47"/>
      <c r="N1" s="47"/>
      <c r="O1" s="47"/>
      <c r="P1" s="47"/>
      <c r="T1" s="45"/>
      <c r="U1" s="45"/>
      <c r="V1" s="45"/>
      <c r="W1" s="46"/>
      <c r="X1" s="45"/>
      <c r="Y1" s="45"/>
      <c r="Z1" s="45"/>
      <c r="AA1" s="43"/>
      <c r="AB1" s="43"/>
    </row>
    <row r="2" s="40" customFormat="1" ht="23" customHeight="1" spans="1:28">
      <c r="A2" s="48" t="s">
        <v>865</v>
      </c>
      <c r="B2" s="48" t="s">
        <v>64</v>
      </c>
      <c r="C2" s="48" t="s">
        <v>866</v>
      </c>
      <c r="D2" s="48" t="s">
        <v>867</v>
      </c>
      <c r="E2" s="48" t="s">
        <v>868</v>
      </c>
      <c r="F2" s="48" t="s">
        <v>663</v>
      </c>
      <c r="G2" s="48" t="s">
        <v>868</v>
      </c>
      <c r="H2" s="48" t="s">
        <v>663</v>
      </c>
      <c r="I2" s="48" t="s">
        <v>868</v>
      </c>
      <c r="J2" s="48" t="s">
        <v>869</v>
      </c>
      <c r="K2" s="58" t="s">
        <v>547</v>
      </c>
      <c r="L2" s="58" t="s">
        <v>870</v>
      </c>
      <c r="M2" s="48" t="s">
        <v>871</v>
      </c>
      <c r="N2" s="48" t="s">
        <v>872</v>
      </c>
      <c r="O2" s="48" t="s">
        <v>873</v>
      </c>
      <c r="P2" s="48" t="s">
        <v>874</v>
      </c>
      <c r="Q2" s="48" t="s">
        <v>875</v>
      </c>
      <c r="R2" s="48" t="s">
        <v>876</v>
      </c>
      <c r="T2" s="73"/>
      <c r="U2" s="73" t="s">
        <v>877</v>
      </c>
      <c r="V2" s="73" t="s">
        <v>878</v>
      </c>
      <c r="W2" s="74" t="s">
        <v>879</v>
      </c>
      <c r="X2" s="73"/>
      <c r="Y2" s="73" t="s">
        <v>880</v>
      </c>
      <c r="Z2" s="73" t="s">
        <v>878</v>
      </c>
      <c r="AA2" s="94"/>
      <c r="AB2" s="94"/>
    </row>
    <row r="3" s="41" customFormat="1" ht="23" customHeight="1" spans="1:28">
      <c r="A3" s="49" t="s">
        <v>881</v>
      </c>
      <c r="B3" s="49" t="s">
        <v>79</v>
      </c>
      <c r="C3" s="49" t="s">
        <v>882</v>
      </c>
      <c r="D3" s="49">
        <v>32</v>
      </c>
      <c r="E3" s="49">
        <v>166</v>
      </c>
      <c r="F3" s="49">
        <v>32</v>
      </c>
      <c r="G3" s="49"/>
      <c r="H3" s="49"/>
      <c r="I3" s="49"/>
      <c r="J3" s="49"/>
      <c r="K3" s="59">
        <v>13500</v>
      </c>
      <c r="L3" s="59">
        <f t="shared" ref="L3:L14" si="0">K3*P3/10000</f>
        <v>7429.18852173913</v>
      </c>
      <c r="M3" s="49">
        <v>2024.4</v>
      </c>
      <c r="N3" s="49" t="s">
        <v>883</v>
      </c>
      <c r="O3" s="59">
        <f>经济指标!$K$9</f>
        <v>171.971956521739</v>
      </c>
      <c r="P3" s="59">
        <f t="shared" ref="P3:P14" si="1">O3*D3</f>
        <v>5503.10260869565</v>
      </c>
      <c r="Q3" s="75">
        <f t="shared" ref="Q3:Q14" si="2">4000*P3/10000</f>
        <v>2201.24104347826</v>
      </c>
      <c r="R3" s="75"/>
      <c r="T3" s="76" t="s">
        <v>884</v>
      </c>
      <c r="U3" s="77">
        <f>4000*P16/10000</f>
        <v>6676.992</v>
      </c>
      <c r="V3" s="78">
        <v>1</v>
      </c>
      <c r="W3" s="79" t="s">
        <v>885</v>
      </c>
      <c r="X3" s="76" t="s">
        <v>884</v>
      </c>
      <c r="Y3" s="77">
        <f>4000*P17/10000</f>
        <v>13207.4462608696</v>
      </c>
      <c r="Z3" s="78">
        <v>1</v>
      </c>
      <c r="AA3" s="95"/>
      <c r="AB3" s="95"/>
    </row>
    <row r="4" s="41" customFormat="1" ht="23" customHeight="1" spans="1:28">
      <c r="A4" s="49" t="s">
        <v>886</v>
      </c>
      <c r="B4" s="49" t="s">
        <v>79</v>
      </c>
      <c r="C4" s="49" t="s">
        <v>882</v>
      </c>
      <c r="D4" s="49">
        <v>32</v>
      </c>
      <c r="E4" s="49">
        <v>186</v>
      </c>
      <c r="F4" s="49">
        <v>32</v>
      </c>
      <c r="G4" s="49"/>
      <c r="H4" s="49"/>
      <c r="I4" s="49"/>
      <c r="J4" s="49"/>
      <c r="K4" s="59">
        <v>13500</v>
      </c>
      <c r="L4" s="59">
        <f t="shared" si="0"/>
        <v>7429.18852173913</v>
      </c>
      <c r="M4" s="49">
        <v>2024.3</v>
      </c>
      <c r="N4" s="49" t="s">
        <v>883</v>
      </c>
      <c r="O4" s="59">
        <f>经济指标!$K$9</f>
        <v>171.971956521739</v>
      </c>
      <c r="P4" s="59">
        <f t="shared" si="1"/>
        <v>5503.10260869565</v>
      </c>
      <c r="Q4" s="75">
        <f t="shared" si="2"/>
        <v>2201.24104347826</v>
      </c>
      <c r="R4" s="75"/>
      <c r="T4" s="80" t="s">
        <v>887</v>
      </c>
      <c r="U4" s="81">
        <f>$U$3*V4</f>
        <v>5341.5936</v>
      </c>
      <c r="V4" s="82">
        <v>0.8</v>
      </c>
      <c r="W4" s="83"/>
      <c r="X4" s="80" t="s">
        <v>887</v>
      </c>
      <c r="Y4" s="81">
        <f>$Y$3*Z4</f>
        <v>10565.9570086957</v>
      </c>
      <c r="Z4" s="82">
        <v>0.8</v>
      </c>
      <c r="AA4" s="95"/>
      <c r="AB4" s="95"/>
    </row>
    <row r="5" s="41" customFormat="1" ht="23" customHeight="1" spans="1:28">
      <c r="A5" s="49" t="s">
        <v>888</v>
      </c>
      <c r="B5" s="49" t="s">
        <v>79</v>
      </c>
      <c r="C5" s="49" t="s">
        <v>882</v>
      </c>
      <c r="D5" s="49">
        <v>32</v>
      </c>
      <c r="E5" s="49">
        <v>166</v>
      </c>
      <c r="F5" s="49">
        <v>32</v>
      </c>
      <c r="G5" s="49"/>
      <c r="H5" s="49"/>
      <c r="I5" s="49"/>
      <c r="J5" s="60" t="s">
        <v>889</v>
      </c>
      <c r="K5" s="59">
        <v>13500</v>
      </c>
      <c r="L5" s="59">
        <f t="shared" si="0"/>
        <v>7429.18852173913</v>
      </c>
      <c r="M5" s="49">
        <v>2023.9</v>
      </c>
      <c r="N5" s="49" t="s">
        <v>890</v>
      </c>
      <c r="O5" s="59">
        <f>经济指标!$K$9</f>
        <v>171.971956521739</v>
      </c>
      <c r="P5" s="59">
        <f t="shared" si="1"/>
        <v>5503.10260869565</v>
      </c>
      <c r="Q5" s="75">
        <f t="shared" si="2"/>
        <v>2201.24104347826</v>
      </c>
      <c r="R5" s="75">
        <f t="shared" ref="R5:R11" si="3">P5*7500/10000</f>
        <v>4127.32695652174</v>
      </c>
      <c r="T5" s="84" t="s">
        <v>891</v>
      </c>
      <c r="U5" s="77">
        <f>$U$3*V5</f>
        <v>5007.744</v>
      </c>
      <c r="V5" s="78">
        <v>0.75</v>
      </c>
      <c r="W5" s="85"/>
      <c r="X5" s="84" t="s">
        <v>891</v>
      </c>
      <c r="Y5" s="77">
        <f>$Y$3*Z5</f>
        <v>9905.58469565217</v>
      </c>
      <c r="Z5" s="78">
        <v>0.75</v>
      </c>
      <c r="AA5" s="95"/>
      <c r="AB5" s="95"/>
    </row>
    <row r="6" s="41" customFormat="1" ht="23" customHeight="1" spans="1:28">
      <c r="A6" s="49" t="s">
        <v>892</v>
      </c>
      <c r="B6" s="49" t="s">
        <v>79</v>
      </c>
      <c r="C6" s="49" t="s">
        <v>882</v>
      </c>
      <c r="D6" s="49">
        <v>32</v>
      </c>
      <c r="E6" s="49">
        <v>142</v>
      </c>
      <c r="F6" s="49">
        <v>32</v>
      </c>
      <c r="G6" s="49"/>
      <c r="H6" s="49"/>
      <c r="I6" s="49"/>
      <c r="J6" s="49" t="s">
        <v>889</v>
      </c>
      <c r="K6" s="59">
        <v>13500</v>
      </c>
      <c r="L6" s="59">
        <f t="shared" si="0"/>
        <v>7429.18852173913</v>
      </c>
      <c r="M6" s="49">
        <v>2023.9</v>
      </c>
      <c r="N6" s="49" t="s">
        <v>890</v>
      </c>
      <c r="O6" s="59">
        <f>经济指标!$K$9</f>
        <v>171.971956521739</v>
      </c>
      <c r="P6" s="59">
        <f t="shared" si="1"/>
        <v>5503.10260869565</v>
      </c>
      <c r="Q6" s="75">
        <f t="shared" si="2"/>
        <v>2201.24104347826</v>
      </c>
      <c r="R6" s="75">
        <f t="shared" si="3"/>
        <v>4127.32695652174</v>
      </c>
      <c r="T6" s="84" t="s">
        <v>893</v>
      </c>
      <c r="U6" s="77">
        <f>$U$3*V6</f>
        <v>4340.0448</v>
      </c>
      <c r="V6" s="78">
        <v>0.65</v>
      </c>
      <c r="W6" s="85"/>
      <c r="X6" s="84" t="s">
        <v>893</v>
      </c>
      <c r="Y6" s="77">
        <f>$Y$3*Z6</f>
        <v>8584.84006956522</v>
      </c>
      <c r="Z6" s="78">
        <v>0.65</v>
      </c>
      <c r="AA6" s="95"/>
      <c r="AB6" s="95"/>
    </row>
    <row r="7" s="41" customFormat="1" ht="23" customHeight="1" spans="1:28">
      <c r="A7" s="50" t="s">
        <v>894</v>
      </c>
      <c r="B7" s="50" t="s">
        <v>895</v>
      </c>
      <c r="C7" s="50" t="s">
        <v>896</v>
      </c>
      <c r="D7" s="50">
        <v>12</v>
      </c>
      <c r="E7" s="50">
        <v>288</v>
      </c>
      <c r="F7" s="50">
        <v>8</v>
      </c>
      <c r="G7" s="50">
        <v>258</v>
      </c>
      <c r="H7" s="50">
        <v>4</v>
      </c>
      <c r="I7" s="50"/>
      <c r="J7" s="50" t="s">
        <v>889</v>
      </c>
      <c r="K7" s="61">
        <v>11500</v>
      </c>
      <c r="L7" s="61">
        <f t="shared" si="0"/>
        <v>3490.24581818182</v>
      </c>
      <c r="M7" s="50" t="s">
        <v>897</v>
      </c>
      <c r="N7" s="50" t="s">
        <v>890</v>
      </c>
      <c r="O7" s="61">
        <f>经济指标!$K$10</f>
        <v>252.916363636364</v>
      </c>
      <c r="P7" s="61">
        <f t="shared" si="1"/>
        <v>3034.99636363636</v>
      </c>
      <c r="Q7" s="86">
        <f t="shared" si="2"/>
        <v>1213.99854545455</v>
      </c>
      <c r="R7" s="86">
        <f t="shared" si="3"/>
        <v>2276.24727272727</v>
      </c>
      <c r="T7" s="84" t="s">
        <v>898</v>
      </c>
      <c r="U7" s="77">
        <f>$U$3*V7</f>
        <v>4006.1952</v>
      </c>
      <c r="V7" s="78">
        <v>0.6</v>
      </c>
      <c r="W7" s="85"/>
      <c r="X7" s="84" t="s">
        <v>898</v>
      </c>
      <c r="Y7" s="77">
        <f>$Y$3*Z7</f>
        <v>7924.46775652174</v>
      </c>
      <c r="Z7" s="78">
        <v>0.6</v>
      </c>
      <c r="AA7" s="95"/>
      <c r="AB7" s="95"/>
    </row>
    <row r="8" s="41" customFormat="1" ht="23" customHeight="1" spans="1:28">
      <c r="A8" s="50" t="s">
        <v>899</v>
      </c>
      <c r="B8" s="50" t="s">
        <v>895</v>
      </c>
      <c r="C8" s="50" t="s">
        <v>896</v>
      </c>
      <c r="D8" s="50">
        <v>6</v>
      </c>
      <c r="E8" s="50">
        <v>288</v>
      </c>
      <c r="F8" s="50">
        <v>4</v>
      </c>
      <c r="G8" s="50">
        <v>258</v>
      </c>
      <c r="H8" s="50">
        <v>2</v>
      </c>
      <c r="I8" s="50"/>
      <c r="J8" s="50" t="s">
        <v>889</v>
      </c>
      <c r="K8" s="61">
        <v>11500</v>
      </c>
      <c r="L8" s="61">
        <f t="shared" si="0"/>
        <v>1745.12290909091</v>
      </c>
      <c r="M8" s="50" t="s">
        <v>897</v>
      </c>
      <c r="N8" s="50" t="s">
        <v>890</v>
      </c>
      <c r="O8" s="61">
        <f>经济指标!$K$10</f>
        <v>252.916363636364</v>
      </c>
      <c r="P8" s="61">
        <f t="shared" si="1"/>
        <v>1517.49818181818</v>
      </c>
      <c r="Q8" s="86">
        <f t="shared" si="2"/>
        <v>606.999272727273</v>
      </c>
      <c r="R8" s="86">
        <f t="shared" si="3"/>
        <v>1138.12363636364</v>
      </c>
      <c r="T8" s="87" t="s">
        <v>900</v>
      </c>
      <c r="U8" s="81">
        <f>$U$3*V8</f>
        <v>3004.6464</v>
      </c>
      <c r="V8" s="82">
        <v>0.45</v>
      </c>
      <c r="W8" s="88"/>
      <c r="X8" s="87" t="s">
        <v>900</v>
      </c>
      <c r="Y8" s="81">
        <f>$Y$3*Z8</f>
        <v>5943.35081739131</v>
      </c>
      <c r="Z8" s="82">
        <v>0.45</v>
      </c>
      <c r="AA8" s="95"/>
      <c r="AB8" s="95"/>
    </row>
    <row r="9" s="41" customFormat="1" ht="23" customHeight="1" spans="1:28">
      <c r="A9" s="50" t="s">
        <v>901</v>
      </c>
      <c r="B9" s="50" t="s">
        <v>895</v>
      </c>
      <c r="C9" s="50" t="s">
        <v>896</v>
      </c>
      <c r="D9" s="50">
        <v>12</v>
      </c>
      <c r="E9" s="50">
        <v>288</v>
      </c>
      <c r="F9" s="50">
        <v>8</v>
      </c>
      <c r="G9" s="50">
        <v>258</v>
      </c>
      <c r="H9" s="50">
        <v>4</v>
      </c>
      <c r="I9" s="50"/>
      <c r="J9" s="50" t="s">
        <v>889</v>
      </c>
      <c r="K9" s="61">
        <v>11500</v>
      </c>
      <c r="L9" s="61">
        <f t="shared" si="0"/>
        <v>3490.24581818182</v>
      </c>
      <c r="M9" s="50" t="s">
        <v>897</v>
      </c>
      <c r="N9" s="50" t="s">
        <v>890</v>
      </c>
      <c r="O9" s="61">
        <f>经济指标!$K$10</f>
        <v>252.916363636364</v>
      </c>
      <c r="P9" s="61">
        <f t="shared" si="1"/>
        <v>3034.99636363636</v>
      </c>
      <c r="Q9" s="86">
        <f t="shared" si="2"/>
        <v>1213.99854545455</v>
      </c>
      <c r="R9" s="86">
        <f t="shared" si="3"/>
        <v>2276.24727272727</v>
      </c>
      <c r="T9" s="84" t="s">
        <v>902</v>
      </c>
      <c r="U9" s="77">
        <f>$U$3*V9</f>
        <v>2336.9472</v>
      </c>
      <c r="V9" s="78">
        <v>0.35</v>
      </c>
      <c r="W9" s="85"/>
      <c r="X9" s="84" t="s">
        <v>902</v>
      </c>
      <c r="Y9" s="77">
        <f>$Y$3*Z9</f>
        <v>4622.60619130435</v>
      </c>
      <c r="Z9" s="78">
        <v>0.35</v>
      </c>
      <c r="AA9" s="95"/>
      <c r="AB9" s="95"/>
    </row>
    <row r="10" s="41" customFormat="1" ht="23" customHeight="1" spans="1:28">
      <c r="A10" s="50" t="s">
        <v>903</v>
      </c>
      <c r="B10" s="50" t="s">
        <v>895</v>
      </c>
      <c r="C10" s="50" t="s">
        <v>896</v>
      </c>
      <c r="D10" s="50">
        <v>12</v>
      </c>
      <c r="E10" s="50">
        <v>288</v>
      </c>
      <c r="F10" s="50">
        <v>8</v>
      </c>
      <c r="G10" s="50">
        <v>258</v>
      </c>
      <c r="H10" s="50">
        <v>4</v>
      </c>
      <c r="I10" s="50"/>
      <c r="J10" s="50" t="s">
        <v>889</v>
      </c>
      <c r="K10" s="61">
        <v>11500</v>
      </c>
      <c r="L10" s="61">
        <f t="shared" si="0"/>
        <v>3490.24581818182</v>
      </c>
      <c r="M10" s="50" t="s">
        <v>897</v>
      </c>
      <c r="N10" s="50" t="s">
        <v>890</v>
      </c>
      <c r="O10" s="61">
        <f>经济指标!$K$10</f>
        <v>252.916363636364</v>
      </c>
      <c r="P10" s="61">
        <f t="shared" si="1"/>
        <v>3034.99636363636</v>
      </c>
      <c r="Q10" s="86">
        <f t="shared" si="2"/>
        <v>1213.99854545455</v>
      </c>
      <c r="R10" s="86">
        <f t="shared" si="3"/>
        <v>2276.24727272727</v>
      </c>
      <c r="T10" s="84" t="s">
        <v>904</v>
      </c>
      <c r="U10" s="77">
        <f>$U$3*V10</f>
        <v>2003.0976</v>
      </c>
      <c r="V10" s="78">
        <v>0.3</v>
      </c>
      <c r="W10" s="85"/>
      <c r="X10" s="84" t="s">
        <v>904</v>
      </c>
      <c r="Y10" s="77">
        <f>$Y$3*Z10</f>
        <v>3962.23387826087</v>
      </c>
      <c r="Z10" s="78">
        <v>0.3</v>
      </c>
      <c r="AA10" s="95"/>
      <c r="AB10" s="95"/>
    </row>
    <row r="11" s="41" customFormat="1" ht="23" customHeight="1" spans="1:28">
      <c r="A11" s="50" t="s">
        <v>905</v>
      </c>
      <c r="B11" s="50" t="s">
        <v>906</v>
      </c>
      <c r="C11" s="50" t="s">
        <v>896</v>
      </c>
      <c r="D11" s="50">
        <v>12</v>
      </c>
      <c r="E11" s="50">
        <v>238</v>
      </c>
      <c r="F11" s="50">
        <v>2</v>
      </c>
      <c r="G11" s="50">
        <v>218</v>
      </c>
      <c r="H11" s="50">
        <v>6</v>
      </c>
      <c r="I11" s="50">
        <v>208</v>
      </c>
      <c r="J11" s="50" t="s">
        <v>889</v>
      </c>
      <c r="K11" s="61">
        <v>11500</v>
      </c>
      <c r="L11" s="61">
        <f t="shared" si="0"/>
        <v>3490.24581818182</v>
      </c>
      <c r="M11" s="50" t="s">
        <v>897</v>
      </c>
      <c r="N11" s="50" t="s">
        <v>890</v>
      </c>
      <c r="O11" s="61">
        <f>经济指标!$K$10</f>
        <v>252.916363636364</v>
      </c>
      <c r="P11" s="61">
        <f t="shared" si="1"/>
        <v>3034.99636363636</v>
      </c>
      <c r="Q11" s="86">
        <f t="shared" si="2"/>
        <v>1213.99854545455</v>
      </c>
      <c r="R11" s="86">
        <f t="shared" si="3"/>
        <v>2276.24727272727</v>
      </c>
      <c r="T11" s="84" t="s">
        <v>907</v>
      </c>
      <c r="U11" s="77">
        <f>$U$3*V11</f>
        <v>1335.3984</v>
      </c>
      <c r="V11" s="78">
        <v>0.2</v>
      </c>
      <c r="W11" s="85"/>
      <c r="X11" s="84" t="s">
        <v>907</v>
      </c>
      <c r="Y11" s="77">
        <f>$Y$3*Z11</f>
        <v>2641.48925217391</v>
      </c>
      <c r="Z11" s="78">
        <v>0.2</v>
      </c>
      <c r="AA11" s="95"/>
      <c r="AB11" s="95"/>
    </row>
    <row r="12" s="41" customFormat="1" ht="23" customHeight="1" spans="1:28">
      <c r="A12" s="49" t="s">
        <v>908</v>
      </c>
      <c r="B12" s="49" t="s">
        <v>79</v>
      </c>
      <c r="C12" s="49" t="s">
        <v>882</v>
      </c>
      <c r="D12" s="49">
        <v>32</v>
      </c>
      <c r="E12" s="49">
        <v>186</v>
      </c>
      <c r="F12" s="49">
        <v>32</v>
      </c>
      <c r="G12" s="49"/>
      <c r="H12" s="49"/>
      <c r="I12" s="49"/>
      <c r="J12" s="49"/>
      <c r="K12" s="59">
        <v>13500</v>
      </c>
      <c r="L12" s="59">
        <f t="shared" si="0"/>
        <v>7429.18852173913</v>
      </c>
      <c r="M12" s="49">
        <v>2024.5</v>
      </c>
      <c r="N12" s="49" t="s">
        <v>883</v>
      </c>
      <c r="O12" s="59">
        <f>经济指标!$K$9</f>
        <v>171.971956521739</v>
      </c>
      <c r="P12" s="59">
        <f t="shared" si="1"/>
        <v>5503.10260869565</v>
      </c>
      <c r="Q12" s="75">
        <f t="shared" si="2"/>
        <v>2201.24104347826</v>
      </c>
      <c r="R12" s="75"/>
      <c r="T12" s="80" t="s">
        <v>909</v>
      </c>
      <c r="U12" s="81">
        <f>$U$3*V12</f>
        <v>667.6992</v>
      </c>
      <c r="V12" s="82">
        <v>0.1</v>
      </c>
      <c r="W12" s="83"/>
      <c r="X12" s="80" t="s">
        <v>909</v>
      </c>
      <c r="Y12" s="81">
        <f>$Y$3*Z12</f>
        <v>1320.74462608696</v>
      </c>
      <c r="Z12" s="82">
        <v>0.1</v>
      </c>
      <c r="AA12" s="95"/>
      <c r="AB12" s="95"/>
    </row>
    <row r="13" s="41" customFormat="1" ht="23" customHeight="1" spans="1:28">
      <c r="A13" s="50" t="s">
        <v>910</v>
      </c>
      <c r="B13" s="50" t="s">
        <v>906</v>
      </c>
      <c r="C13" s="50" t="s">
        <v>896</v>
      </c>
      <c r="D13" s="50">
        <v>12</v>
      </c>
      <c r="E13" s="50">
        <v>238</v>
      </c>
      <c r="F13" s="50">
        <v>2</v>
      </c>
      <c r="G13" s="50">
        <v>218</v>
      </c>
      <c r="H13" s="50">
        <v>6</v>
      </c>
      <c r="I13" s="50">
        <v>208</v>
      </c>
      <c r="J13" s="50" t="s">
        <v>889</v>
      </c>
      <c r="K13" s="61">
        <v>11500</v>
      </c>
      <c r="L13" s="61">
        <f t="shared" si="0"/>
        <v>3490.24581818182</v>
      </c>
      <c r="M13" s="50" t="s">
        <v>897</v>
      </c>
      <c r="N13" s="50" t="s">
        <v>890</v>
      </c>
      <c r="O13" s="61">
        <f>经济指标!$K$10</f>
        <v>252.916363636364</v>
      </c>
      <c r="P13" s="61">
        <f t="shared" si="1"/>
        <v>3034.99636363636</v>
      </c>
      <c r="Q13" s="86">
        <f t="shared" si="2"/>
        <v>1213.99854545455</v>
      </c>
      <c r="R13" s="86">
        <f>P13*7500/10000</f>
        <v>2276.24727272727</v>
      </c>
      <c r="T13" s="80" t="s">
        <v>911</v>
      </c>
      <c r="U13" s="81">
        <f>$U$3*V13</f>
        <v>333.8496</v>
      </c>
      <c r="V13" s="82">
        <v>0.05</v>
      </c>
      <c r="W13" s="83"/>
      <c r="X13" s="80" t="s">
        <v>911</v>
      </c>
      <c r="Y13" s="81">
        <f>$Y$3*Z13</f>
        <v>660.372313043478</v>
      </c>
      <c r="Z13" s="82">
        <v>0.05</v>
      </c>
      <c r="AA13" s="95"/>
      <c r="AB13" s="95"/>
    </row>
    <row r="14" s="41" customFormat="1" ht="23" customHeight="1" spans="1:28">
      <c r="A14" s="49" t="s">
        <v>912</v>
      </c>
      <c r="B14" s="49" t="s">
        <v>79</v>
      </c>
      <c r="C14" s="49" t="s">
        <v>882</v>
      </c>
      <c r="D14" s="49">
        <v>32</v>
      </c>
      <c r="E14" s="49">
        <v>166</v>
      </c>
      <c r="F14" s="49">
        <v>32</v>
      </c>
      <c r="G14" s="49"/>
      <c r="H14" s="49"/>
      <c r="I14" s="49"/>
      <c r="J14" s="49"/>
      <c r="K14" s="59">
        <v>13500</v>
      </c>
      <c r="L14" s="59">
        <f t="shared" si="0"/>
        <v>7429.18852173913</v>
      </c>
      <c r="M14" s="49">
        <v>2024.7</v>
      </c>
      <c r="N14" s="49" t="s">
        <v>883</v>
      </c>
      <c r="O14" s="59">
        <f>经济指标!$K$9</f>
        <v>171.971956521739</v>
      </c>
      <c r="P14" s="59">
        <f t="shared" si="1"/>
        <v>5503.10260869565</v>
      </c>
      <c r="Q14" s="75">
        <f t="shared" si="2"/>
        <v>2201.24104347826</v>
      </c>
      <c r="R14" s="75"/>
      <c r="T14" s="84" t="s">
        <v>913</v>
      </c>
      <c r="U14" s="77">
        <f>$U$3*V14</f>
        <v>200.30976</v>
      </c>
      <c r="V14" s="78">
        <v>0.03</v>
      </c>
      <c r="W14" s="85"/>
      <c r="X14" s="84" t="s">
        <v>913</v>
      </c>
      <c r="Y14" s="77">
        <f>$Y$3*Z14</f>
        <v>396.223387826087</v>
      </c>
      <c r="Z14" s="78">
        <v>0.03</v>
      </c>
      <c r="AA14" s="95"/>
      <c r="AB14" s="95"/>
    </row>
    <row r="15" s="41" customFormat="1" ht="23" customHeight="1" spans="1:28">
      <c r="A15" s="51" t="s">
        <v>127</v>
      </c>
      <c r="B15" s="51" t="s">
        <v>914</v>
      </c>
      <c r="C15" s="51" t="s">
        <v>914</v>
      </c>
      <c r="D15" s="51">
        <f>SUM(D3:D14)</f>
        <v>258</v>
      </c>
      <c r="E15" s="51" t="s">
        <v>914</v>
      </c>
      <c r="F15" s="51" t="s">
        <v>914</v>
      </c>
      <c r="G15" s="51" t="s">
        <v>914</v>
      </c>
      <c r="H15" s="51" t="s">
        <v>914</v>
      </c>
      <c r="I15" s="51" t="s">
        <v>914</v>
      </c>
      <c r="J15" s="51" t="s">
        <v>914</v>
      </c>
      <c r="K15" s="62" t="s">
        <v>914</v>
      </c>
      <c r="L15" s="62">
        <f t="shared" ref="L15:Q15" si="4">SUM(L3:L14)</f>
        <v>63771.4831304348</v>
      </c>
      <c r="M15" s="51" t="s">
        <v>914</v>
      </c>
      <c r="N15" s="51" t="s">
        <v>914</v>
      </c>
      <c r="O15" s="51"/>
      <c r="P15" s="63">
        <f t="shared" si="4"/>
        <v>49711.0956521739</v>
      </c>
      <c r="Q15" s="63">
        <f t="shared" si="4"/>
        <v>19884.4382608696</v>
      </c>
      <c r="R15" s="63"/>
      <c r="T15" s="84" t="s">
        <v>915</v>
      </c>
      <c r="U15" s="77">
        <f>$U$3*V15</f>
        <v>0</v>
      </c>
      <c r="V15" s="78">
        <v>0</v>
      </c>
      <c r="W15" s="85"/>
      <c r="X15" s="84" t="s">
        <v>915</v>
      </c>
      <c r="Y15" s="77">
        <f>$Y$3*Z15</f>
        <v>0</v>
      </c>
      <c r="Z15" s="78">
        <v>0</v>
      </c>
      <c r="AA15" s="95"/>
      <c r="AB15" s="95"/>
    </row>
    <row r="16" s="42" customFormat="1" ht="24" customHeight="1" spans="1:28">
      <c r="A16" s="52" t="s">
        <v>916</v>
      </c>
      <c r="B16" s="53"/>
      <c r="C16" s="54"/>
      <c r="D16" s="54"/>
      <c r="E16" s="54"/>
      <c r="F16" s="54"/>
      <c r="G16" s="54"/>
      <c r="H16" s="54"/>
      <c r="I16" s="54"/>
      <c r="J16" s="54"/>
      <c r="K16" s="64"/>
      <c r="L16" s="64">
        <f>K16*P16/10000</f>
        <v>0</v>
      </c>
      <c r="M16" s="54"/>
      <c r="N16" s="54"/>
      <c r="O16" s="54"/>
      <c r="P16" s="64">
        <f>P7+P8+P9+P10+P11+P13</f>
        <v>16692.48</v>
      </c>
      <c r="Q16" s="64">
        <f>Q7+Q8+Q9+Q10+Q11+Q13</f>
        <v>6676.992</v>
      </c>
      <c r="R16" s="64">
        <f>SUM(R3:R14)</f>
        <v>20774.0139130435</v>
      </c>
      <c r="T16" s="89"/>
      <c r="U16" s="90"/>
      <c r="V16" s="89"/>
      <c r="W16" s="89"/>
      <c r="X16" s="89"/>
      <c r="Y16" s="89"/>
      <c r="Z16" s="89"/>
      <c r="AA16" s="96"/>
      <c r="AB16" s="96"/>
    </row>
    <row r="17" s="40" customFormat="1" ht="24" customHeight="1" spans="1:28">
      <c r="A17" s="55" t="s">
        <v>917</v>
      </c>
      <c r="B17" s="56"/>
      <c r="C17" s="54"/>
      <c r="D17" s="54"/>
      <c r="E17" s="54"/>
      <c r="F17" s="54"/>
      <c r="G17" s="54"/>
      <c r="H17" s="54"/>
      <c r="I17" s="54"/>
      <c r="J17" s="54"/>
      <c r="K17" s="64"/>
      <c r="L17" s="64">
        <f>K17*P17/10000</f>
        <v>0</v>
      </c>
      <c r="M17" s="54"/>
      <c r="N17" s="54"/>
      <c r="O17" s="54"/>
      <c r="P17" s="64">
        <f>P15-P16</f>
        <v>33018.6156521739</v>
      </c>
      <c r="Q17" s="64">
        <f>Q15-Q16</f>
        <v>13207.4462608696</v>
      </c>
      <c r="R17" s="64"/>
      <c r="T17" s="91"/>
      <c r="U17" s="92"/>
      <c r="V17" s="91"/>
      <c r="W17" s="93"/>
      <c r="X17" s="91"/>
      <c r="Y17" s="91"/>
      <c r="Z17" s="91"/>
      <c r="AA17" s="94"/>
      <c r="AB17" s="94"/>
    </row>
    <row r="18" s="40" customFormat="1" ht="24" customHeight="1" spans="1:28">
      <c r="A18" s="55" t="s">
        <v>918</v>
      </c>
      <c r="B18" s="56"/>
      <c r="C18" s="54"/>
      <c r="D18" s="54"/>
      <c r="E18" s="54"/>
      <c r="F18" s="54"/>
      <c r="G18" s="54"/>
      <c r="H18" s="54"/>
      <c r="I18" s="54"/>
      <c r="J18" s="54"/>
      <c r="K18" s="64"/>
      <c r="L18" s="64"/>
      <c r="M18" s="54"/>
      <c r="N18" s="54"/>
      <c r="O18" s="54"/>
      <c r="P18" s="64"/>
      <c r="Q18" s="64">
        <f>Q16+Q5+Q6</f>
        <v>11079.4740869565</v>
      </c>
      <c r="R18" s="64"/>
      <c r="T18" s="91"/>
      <c r="U18" s="92"/>
      <c r="V18" s="91"/>
      <c r="W18" s="93"/>
      <c r="X18" s="91"/>
      <c r="Y18" s="91"/>
      <c r="Z18" s="91"/>
      <c r="AA18" s="94"/>
      <c r="AB18" s="94"/>
    </row>
    <row r="19" s="40" customFormat="1" ht="24" customHeight="1" spans="1:28">
      <c r="A19" s="55"/>
      <c r="B19" s="56"/>
      <c r="C19" s="54"/>
      <c r="D19" s="54"/>
      <c r="E19" s="54"/>
      <c r="F19" s="54"/>
      <c r="G19" s="54"/>
      <c r="H19" s="54"/>
      <c r="I19" s="54"/>
      <c r="J19" s="54"/>
      <c r="K19" s="64"/>
      <c r="L19" s="64"/>
      <c r="M19" s="54"/>
      <c r="N19" s="54"/>
      <c r="O19" s="54"/>
      <c r="P19" s="64"/>
      <c r="Q19" s="64"/>
      <c r="R19" s="64"/>
      <c r="T19" s="91"/>
      <c r="U19" s="92"/>
      <c r="V19" s="91"/>
      <c r="W19" s="93"/>
      <c r="X19" s="91"/>
      <c r="Y19" s="91"/>
      <c r="Z19" s="91"/>
      <c r="AA19" s="94"/>
      <c r="AB19" s="94"/>
    </row>
    <row r="20" s="39" customFormat="1" spans="11:28">
      <c r="K20" s="43"/>
      <c r="L20" s="65"/>
      <c r="T20" s="45"/>
      <c r="U20" s="45"/>
      <c r="V20" s="45"/>
      <c r="W20" s="46"/>
      <c r="X20" s="45"/>
      <c r="Y20" s="45"/>
      <c r="Z20" s="45"/>
      <c r="AA20" s="43"/>
      <c r="AB20" s="43"/>
    </row>
    <row r="21" s="39" customFormat="1" spans="11:28">
      <c r="K21" s="43"/>
      <c r="L21" s="43"/>
      <c r="T21" s="45"/>
      <c r="U21" s="45"/>
      <c r="V21" s="45"/>
      <c r="W21" s="46"/>
      <c r="X21" s="45"/>
      <c r="Y21" s="45"/>
      <c r="Z21" s="45"/>
      <c r="AA21" s="43"/>
      <c r="AB21" s="43"/>
    </row>
    <row r="22" s="39" customFormat="1" ht="30" customHeight="1" spans="10:28">
      <c r="J22" s="66" t="s">
        <v>792</v>
      </c>
      <c r="K22" s="66" t="s">
        <v>919</v>
      </c>
      <c r="L22" s="67" t="s">
        <v>920</v>
      </c>
      <c r="M22" s="67" t="s">
        <v>921</v>
      </c>
      <c r="N22" s="67" t="s">
        <v>922</v>
      </c>
      <c r="O22" s="67" t="s">
        <v>923</v>
      </c>
      <c r="P22" s="67" t="s">
        <v>924</v>
      </c>
      <c r="Q22" s="67" t="s">
        <v>925</v>
      </c>
      <c r="R22" s="67" t="s">
        <v>926</v>
      </c>
      <c r="T22" s="45"/>
      <c r="U22" s="45"/>
      <c r="V22" s="45"/>
      <c r="W22" s="46"/>
      <c r="X22" s="45"/>
      <c r="Y22" s="45"/>
      <c r="Z22" s="45"/>
      <c r="AA22" s="43"/>
      <c r="AB22" s="43"/>
    </row>
    <row r="23" s="39" customFormat="1" ht="30" customHeight="1" spans="10:28">
      <c r="J23" s="62" t="s">
        <v>927</v>
      </c>
      <c r="K23" s="68">
        <v>0.2</v>
      </c>
      <c r="L23" s="69">
        <v>0.55</v>
      </c>
      <c r="M23" s="69">
        <v>0.65</v>
      </c>
      <c r="N23" s="69">
        <v>0.7</v>
      </c>
      <c r="O23" s="69">
        <v>0.8</v>
      </c>
      <c r="P23" s="69">
        <v>0.9</v>
      </c>
      <c r="Q23" s="69">
        <v>0.95</v>
      </c>
      <c r="R23" s="69">
        <v>1</v>
      </c>
      <c r="T23" s="45"/>
      <c r="U23" s="45"/>
      <c r="V23" s="45"/>
      <c r="W23" s="46"/>
      <c r="X23" s="45"/>
      <c r="Y23" s="45"/>
      <c r="Z23" s="45"/>
      <c r="AA23" s="43"/>
      <c r="AB23" s="43"/>
    </row>
    <row r="24" s="39" customFormat="1" ht="30" customHeight="1" spans="10:28">
      <c r="J24" s="62" t="s">
        <v>928</v>
      </c>
      <c r="K24" s="69">
        <v>0.2</v>
      </c>
      <c r="L24" s="69">
        <f>L23-K24</f>
        <v>0.35</v>
      </c>
      <c r="M24" s="69">
        <f t="shared" ref="M24:R24" si="5">M23-L23</f>
        <v>0.1</v>
      </c>
      <c r="N24" s="69">
        <f t="shared" si="5"/>
        <v>0.0499999999999999</v>
      </c>
      <c r="O24" s="69">
        <f t="shared" si="5"/>
        <v>0.1</v>
      </c>
      <c r="P24" s="69">
        <f t="shared" si="5"/>
        <v>0.1</v>
      </c>
      <c r="Q24" s="69">
        <f t="shared" si="5"/>
        <v>0.0499999999999999</v>
      </c>
      <c r="R24" s="69">
        <f t="shared" si="5"/>
        <v>0.05</v>
      </c>
      <c r="T24" s="45"/>
      <c r="U24" s="45"/>
      <c r="V24" s="45"/>
      <c r="W24" s="46"/>
      <c r="X24" s="45"/>
      <c r="Y24" s="45"/>
      <c r="Z24" s="45"/>
      <c r="AA24" s="43"/>
      <c r="AB24" s="43"/>
    </row>
    <row r="25" s="39" customFormat="1" ht="30" customHeight="1" spans="10:28">
      <c r="J25" s="62" t="s">
        <v>929</v>
      </c>
      <c r="K25" s="62"/>
      <c r="L25" s="70">
        <v>0.55</v>
      </c>
      <c r="M25" s="70">
        <v>0.65</v>
      </c>
      <c r="N25" s="71">
        <v>0.7</v>
      </c>
      <c r="O25" s="71">
        <v>0.8</v>
      </c>
      <c r="P25" s="69">
        <v>0.9</v>
      </c>
      <c r="Q25" s="68"/>
      <c r="R25" s="68"/>
      <c r="T25" s="45"/>
      <c r="U25" s="45"/>
      <c r="V25" s="45"/>
      <c r="W25" s="46"/>
      <c r="X25" s="45"/>
      <c r="Y25" s="45"/>
      <c r="Z25" s="45"/>
      <c r="AA25" s="43"/>
      <c r="AB25" s="43"/>
    </row>
    <row r="26" ht="30" customHeight="1" spans="10:18">
      <c r="J26" s="62" t="s">
        <v>930</v>
      </c>
      <c r="K26" s="62"/>
      <c r="L26" s="70">
        <v>0.55</v>
      </c>
      <c r="M26" s="70">
        <v>0.65</v>
      </c>
      <c r="N26" s="71">
        <v>0.7</v>
      </c>
      <c r="O26" s="71">
        <v>0.8</v>
      </c>
      <c r="P26" s="69">
        <v>0.9</v>
      </c>
      <c r="Q26" s="68"/>
      <c r="R26" s="68"/>
    </row>
    <row r="27" ht="30" customHeight="1" spans="10:18">
      <c r="J27" s="62" t="s">
        <v>931</v>
      </c>
      <c r="K27" s="70">
        <v>0.2</v>
      </c>
      <c r="L27" s="70">
        <v>0.55</v>
      </c>
      <c r="M27" s="71">
        <v>0.65</v>
      </c>
      <c r="N27" s="69">
        <v>0.7</v>
      </c>
      <c r="O27" s="69">
        <v>0.8</v>
      </c>
      <c r="P27" s="69">
        <v>0.9</v>
      </c>
      <c r="Q27" s="68"/>
      <c r="R27" s="68"/>
    </row>
    <row r="28" ht="30" customHeight="1" spans="10:18">
      <c r="J28" s="62" t="s">
        <v>932</v>
      </c>
      <c r="K28" s="62"/>
      <c r="L28" s="72">
        <v>0.55</v>
      </c>
      <c r="M28" s="71">
        <v>0.65</v>
      </c>
      <c r="N28" s="69">
        <v>0.7</v>
      </c>
      <c r="O28" s="69">
        <v>0.8</v>
      </c>
      <c r="P28" s="69">
        <v>0.9</v>
      </c>
      <c r="Q28" s="68"/>
      <c r="R28" s="68"/>
    </row>
    <row r="29" ht="30" customHeight="1" spans="10:18">
      <c r="J29" s="62" t="s">
        <v>933</v>
      </c>
      <c r="K29" s="68"/>
      <c r="L29" s="69">
        <v>0.55</v>
      </c>
      <c r="M29" s="71">
        <v>0.65</v>
      </c>
      <c r="N29" s="69">
        <v>0.7</v>
      </c>
      <c r="O29" s="69">
        <v>0.8</v>
      </c>
      <c r="P29" s="69">
        <v>0.9</v>
      </c>
      <c r="Q29" s="68"/>
      <c r="R29" s="68"/>
    </row>
    <row r="30" ht="30" customHeight="1" spans="10:18">
      <c r="J30" s="62" t="s">
        <v>934</v>
      </c>
      <c r="K30" s="68"/>
      <c r="L30" s="68"/>
      <c r="M30" s="69">
        <v>0.65</v>
      </c>
      <c r="N30" s="69">
        <v>0.7</v>
      </c>
      <c r="O30" s="69">
        <v>0.8</v>
      </c>
      <c r="P30" s="69">
        <v>0.9</v>
      </c>
      <c r="Q30" s="68"/>
      <c r="R30" s="68"/>
    </row>
    <row r="31" ht="24" customHeight="1"/>
    <row r="32" ht="24" customHeight="1"/>
    <row r="33" ht="24" customHeight="1"/>
    <row r="34" ht="24" customHeight="1"/>
    <row r="35" ht="24" customHeight="1"/>
    <row r="36" ht="24" customHeight="1"/>
    <row r="37" ht="24" customHeight="1"/>
    <row r="38" ht="24" customHeight="1"/>
  </sheetData>
  <mergeCells count="5">
    <mergeCell ref="A1:N1"/>
    <mergeCell ref="A16:B16"/>
    <mergeCell ref="A17:B17"/>
    <mergeCell ref="A18:B18"/>
    <mergeCell ref="A19:B19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E10" sqref="E10"/>
    </sheetView>
  </sheetViews>
  <sheetFormatPr defaultColWidth="9" defaultRowHeight="15.6"/>
  <cols>
    <col min="1" max="1" width="12.25" customWidth="1"/>
    <col min="2" max="2" width="13.625" customWidth="1"/>
    <col min="3" max="3" width="17.125" customWidth="1"/>
    <col min="4" max="4" width="19.375" customWidth="1"/>
    <col min="5" max="5" width="14.625" customWidth="1"/>
    <col min="6" max="7" width="12.75" customWidth="1"/>
    <col min="8" max="8" width="12.375" customWidth="1"/>
    <col min="9" max="9" width="11.625" customWidth="1"/>
    <col min="11" max="11" width="12.625" customWidth="1"/>
  </cols>
  <sheetData>
    <row r="1" ht="24.95" customHeight="1" spans="1:11">
      <c r="A1" s="272" t="s">
        <v>0</v>
      </c>
      <c r="B1" s="140" t="s">
        <v>29</v>
      </c>
      <c r="C1" s="272" t="s">
        <v>30</v>
      </c>
      <c r="D1" s="272" t="s">
        <v>31</v>
      </c>
      <c r="E1" s="272" t="s">
        <v>32</v>
      </c>
      <c r="F1" s="272" t="s">
        <v>33</v>
      </c>
      <c r="G1" s="272" t="s">
        <v>34</v>
      </c>
      <c r="H1" s="272" t="s">
        <v>35</v>
      </c>
      <c r="I1" s="272" t="s">
        <v>36</v>
      </c>
      <c r="J1" s="272" t="s">
        <v>37</v>
      </c>
      <c r="K1" s="272" t="s">
        <v>5</v>
      </c>
    </row>
    <row r="2" s="150" customFormat="1" ht="24.95" customHeight="1" spans="1:11">
      <c r="A2" s="151"/>
      <c r="B2" s="151"/>
      <c r="C2" s="151"/>
      <c r="D2" s="151"/>
      <c r="E2" s="151"/>
      <c r="F2" s="151"/>
      <c r="G2" s="151"/>
      <c r="H2" s="151"/>
      <c r="I2" s="151"/>
      <c r="J2" s="731"/>
      <c r="K2" s="151"/>
    </row>
    <row r="3" ht="24.95" customHeight="1" spans="1:11">
      <c r="A3" s="140"/>
      <c r="B3" s="140"/>
      <c r="C3" s="730"/>
      <c r="D3" s="730"/>
      <c r="E3" s="730"/>
      <c r="F3" s="730"/>
      <c r="G3" s="730"/>
      <c r="H3" s="730"/>
      <c r="I3" s="730"/>
      <c r="J3" s="731"/>
      <c r="K3" s="140"/>
    </row>
    <row r="4" ht="24.95" customHeight="1" spans="1:11">
      <c r="A4" s="140"/>
      <c r="B4" s="140"/>
      <c r="C4" s="140"/>
      <c r="D4" s="140"/>
      <c r="E4" s="140"/>
      <c r="F4" s="140"/>
      <c r="G4" s="140"/>
      <c r="H4" s="140"/>
      <c r="I4" s="140"/>
      <c r="J4" s="140"/>
      <c r="K4" s="140"/>
    </row>
    <row r="5" ht="24.95" customHeight="1" spans="1:11">
      <c r="A5" s="140"/>
      <c r="B5" s="140"/>
      <c r="C5" s="140"/>
      <c r="D5" s="140"/>
      <c r="E5" s="140"/>
      <c r="F5" s="140"/>
      <c r="G5" s="140"/>
      <c r="H5" s="140"/>
      <c r="I5" s="140"/>
      <c r="J5" s="140"/>
      <c r="K5" s="140"/>
    </row>
    <row r="6" ht="24.95" customHeight="1" spans="1:11">
      <c r="A6" s="140"/>
      <c r="B6" s="140"/>
      <c r="C6" s="140"/>
      <c r="D6" s="140"/>
      <c r="E6" s="140"/>
      <c r="F6" s="140"/>
      <c r="G6" s="140"/>
      <c r="H6" s="140"/>
      <c r="I6" s="140"/>
      <c r="J6" s="140"/>
      <c r="K6" s="140"/>
    </row>
    <row r="7" ht="24.95" customHeight="1" spans="1:11">
      <c r="A7" s="140"/>
      <c r="B7" s="140"/>
      <c r="C7" s="140"/>
      <c r="D7" s="140"/>
      <c r="E7" s="140"/>
      <c r="F7" s="140"/>
      <c r="G7" s="140"/>
      <c r="H7" s="140"/>
      <c r="I7" s="140"/>
      <c r="J7" s="140"/>
      <c r="K7" s="140"/>
    </row>
    <row r="8" ht="24.95" customHeight="1" spans="1:11">
      <c r="A8" s="140"/>
      <c r="B8" s="140"/>
      <c r="C8" s="140"/>
      <c r="D8" s="140"/>
      <c r="E8" s="140"/>
      <c r="F8" s="140"/>
      <c r="G8" s="272"/>
      <c r="H8" s="140"/>
      <c r="I8" s="140"/>
      <c r="J8" s="140"/>
      <c r="K8" s="140"/>
    </row>
    <row r="9" ht="24.95" customHeight="1" spans="1:11">
      <c r="A9" s="140"/>
      <c r="B9" s="140"/>
      <c r="C9" s="140"/>
      <c r="D9" s="140"/>
      <c r="E9" s="140"/>
      <c r="F9" s="140"/>
      <c r="G9" s="140"/>
      <c r="H9" s="140"/>
      <c r="I9" s="140"/>
      <c r="J9" s="140"/>
      <c r="K9" s="140"/>
    </row>
    <row r="10" ht="24.95" customHeight="1" spans="1:11">
      <c r="A10" s="140"/>
      <c r="B10" s="140"/>
      <c r="C10" s="140"/>
      <c r="D10" s="140"/>
      <c r="E10" s="140"/>
      <c r="F10" s="140"/>
      <c r="G10" s="140"/>
      <c r="H10" s="140"/>
      <c r="I10" s="140"/>
      <c r="J10" s="140"/>
      <c r="K10" s="140"/>
    </row>
    <row r="11" ht="24.95" customHeight="1" spans="1:11">
      <c r="A11" s="140"/>
      <c r="B11" s="140"/>
      <c r="C11" s="140"/>
      <c r="D11" s="140"/>
      <c r="E11" s="140"/>
      <c r="F11" s="140"/>
      <c r="G11" s="140"/>
      <c r="H11" s="140"/>
      <c r="I11" s="140"/>
      <c r="J11" s="140"/>
      <c r="K11" s="140"/>
    </row>
    <row r="12" ht="24.95" customHeight="1" spans="1:11">
      <c r="A12" s="140"/>
      <c r="B12" s="140"/>
      <c r="C12" s="140"/>
      <c r="D12" s="140"/>
      <c r="E12" s="140"/>
      <c r="F12" s="140"/>
      <c r="G12" s="140"/>
      <c r="H12" s="140"/>
      <c r="I12" s="140"/>
      <c r="J12" s="140"/>
      <c r="K12" s="140"/>
    </row>
    <row r="13" ht="24.95" customHeight="1" spans="1:11">
      <c r="A13" s="140"/>
      <c r="B13" s="140"/>
      <c r="C13" s="140"/>
      <c r="D13" s="140"/>
      <c r="E13" s="140"/>
      <c r="F13" s="140"/>
      <c r="G13" s="140"/>
      <c r="H13" s="140"/>
      <c r="I13" s="140"/>
      <c r="J13" s="140"/>
      <c r="K13" s="140"/>
    </row>
    <row r="14" ht="24.95" customHeight="1" spans="1:11">
      <c r="A14" s="140"/>
      <c r="B14" s="140"/>
      <c r="C14" s="140"/>
      <c r="D14" s="140"/>
      <c r="E14" s="140"/>
      <c r="F14" s="140"/>
      <c r="G14" s="140"/>
      <c r="H14" s="140"/>
      <c r="I14" s="140"/>
      <c r="J14" s="140"/>
      <c r="K14" s="140"/>
    </row>
    <row r="15" ht="24.95" customHeight="1" spans="1:11">
      <c r="A15" s="140"/>
      <c r="B15" s="140"/>
      <c r="C15" s="140"/>
      <c r="D15" s="140"/>
      <c r="E15" s="140"/>
      <c r="F15" s="140"/>
      <c r="G15" s="140"/>
      <c r="H15" s="140"/>
      <c r="I15" s="140"/>
      <c r="J15" s="140"/>
      <c r="K15" s="140"/>
    </row>
    <row r="16" ht="24.95" customHeight="1" spans="1:11">
      <c r="A16" s="140"/>
      <c r="B16" s="140"/>
      <c r="C16" s="140"/>
      <c r="D16" s="140"/>
      <c r="E16" s="140"/>
      <c r="F16" s="140"/>
      <c r="G16" s="140"/>
      <c r="H16" s="140"/>
      <c r="I16" s="140"/>
      <c r="J16" s="140"/>
      <c r="K16" s="140"/>
    </row>
    <row r="17" ht="24.95" customHeight="1" spans="1:11">
      <c r="A17" s="140"/>
      <c r="B17" s="140"/>
      <c r="C17" s="140"/>
      <c r="D17" s="140"/>
      <c r="E17" s="140"/>
      <c r="F17" s="140"/>
      <c r="G17" s="140"/>
      <c r="H17" s="140"/>
      <c r="I17" s="140"/>
      <c r="J17" s="140"/>
      <c r="K17" s="140"/>
    </row>
    <row r="18" ht="24.95" customHeight="1" spans="1:11">
      <c r="A18" s="140"/>
      <c r="B18" s="140"/>
      <c r="C18" s="140"/>
      <c r="D18" s="140"/>
      <c r="E18" s="140"/>
      <c r="F18" s="140"/>
      <c r="G18" s="140"/>
      <c r="H18" s="140"/>
      <c r="I18" s="140"/>
      <c r="J18" s="140"/>
      <c r="K18" s="140"/>
    </row>
    <row r="19" ht="24.95" customHeight="1" spans="1:11">
      <c r="A19" s="140"/>
      <c r="B19" s="140"/>
      <c r="C19" s="140"/>
      <c r="D19" s="140"/>
      <c r="E19" s="140"/>
      <c r="F19" s="140"/>
      <c r="G19" s="140"/>
      <c r="H19" s="140"/>
      <c r="I19" s="140"/>
      <c r="J19" s="140"/>
      <c r="K19" s="140"/>
    </row>
    <row r="20" ht="24.95" customHeight="1" spans="1:11">
      <c r="A20" s="140"/>
      <c r="B20" s="140"/>
      <c r="C20" s="140"/>
      <c r="D20" s="140"/>
      <c r="E20" s="140"/>
      <c r="F20" s="140"/>
      <c r="G20" s="140"/>
      <c r="H20" s="140"/>
      <c r="I20" s="140"/>
      <c r="J20" s="140"/>
      <c r="K20" s="140"/>
    </row>
  </sheetData>
  <pageMargins left="0.75" right="0.75" top="1" bottom="1" header="0.5" footer="0.5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BK65"/>
  <sheetViews>
    <sheetView zoomScale="70" zoomScaleNormal="70" topLeftCell="A2" workbookViewId="0">
      <pane xSplit="2" topLeftCell="G1" activePane="topRight" state="frozen"/>
      <selection/>
      <selection pane="topRight" activeCell="M11" sqref="M11"/>
    </sheetView>
  </sheetViews>
  <sheetFormatPr defaultColWidth="9" defaultRowHeight="15.6"/>
  <cols>
    <col min="1" max="1" width="20.625" style="2" customWidth="1"/>
    <col min="2" max="2" width="16.875" style="2" customWidth="1"/>
    <col min="3" max="3" width="15.175" style="2" customWidth="1"/>
    <col min="4" max="5" width="15.25" style="2" customWidth="1"/>
    <col min="6" max="6" width="14.1" style="2" customWidth="1"/>
    <col min="7" max="8" width="15.25" style="2" customWidth="1"/>
    <col min="9" max="9" width="29.1083333333333" style="2" customWidth="1"/>
    <col min="10" max="10" width="15.25" style="2" customWidth="1"/>
    <col min="11" max="11" width="16.7833333333333" style="2" customWidth="1"/>
    <col min="12" max="12" width="16.425" style="2" customWidth="1"/>
    <col min="13" max="13" width="26.4" style="2" customWidth="1"/>
    <col min="14" max="14" width="18.3916666666667" style="2" customWidth="1"/>
    <col min="15" max="15" width="20.525" style="2" customWidth="1"/>
    <col min="16" max="16" width="19.9916666666667" style="2" customWidth="1"/>
    <col min="17" max="18" width="15.25" style="2" customWidth="1"/>
    <col min="19" max="19" width="16.5666666666667" style="2" customWidth="1"/>
    <col min="20" max="20" width="19.9916666666667" style="2" customWidth="1"/>
    <col min="21" max="21" width="15.25" style="2" customWidth="1"/>
    <col min="22" max="22" width="23.9" style="2" customWidth="1"/>
    <col min="23" max="23" width="15.25" style="2" customWidth="1"/>
    <col min="24" max="24" width="21.2416666666667" style="2" customWidth="1"/>
    <col min="25" max="25" width="15.25" style="2" customWidth="1"/>
    <col min="26" max="26" width="19.5333333333333" style="2" customWidth="1"/>
    <col min="27" max="28" width="15.25" style="2" customWidth="1"/>
    <col min="29" max="29" width="22.65" style="2" customWidth="1"/>
    <col min="30" max="40" width="14.125" style="2" customWidth="1"/>
    <col min="41" max="52" width="14.125" style="2" hidden="1" customWidth="1"/>
    <col min="53" max="57" width="12.875" style="2" hidden="1" customWidth="1"/>
    <col min="58" max="58" width="13.75" style="2" customWidth="1"/>
    <col min="59" max="60" width="18.925" style="2" customWidth="1"/>
    <col min="61" max="16384" width="9" style="2"/>
  </cols>
  <sheetData>
    <row r="1" s="2" customFormat="1" ht="43" customHeight="1" spans="1:4">
      <c r="A1" s="7" t="s">
        <v>935</v>
      </c>
      <c r="B1" s="7"/>
      <c r="C1" s="7"/>
      <c r="D1" s="7"/>
    </row>
    <row r="2" s="3" customFormat="1" ht="58" customHeight="1" spans="1:59">
      <c r="A2" s="8" t="s">
        <v>936</v>
      </c>
      <c r="B2" s="8"/>
      <c r="C2" s="8" t="s">
        <v>937</v>
      </c>
      <c r="D2" s="8"/>
      <c r="E2" s="8"/>
      <c r="F2" s="8"/>
      <c r="G2" s="8"/>
      <c r="H2" s="8"/>
      <c r="I2" s="23" t="s">
        <v>938</v>
      </c>
      <c r="J2" s="8"/>
      <c r="K2" s="8"/>
      <c r="L2" s="23" t="s">
        <v>939</v>
      </c>
      <c r="M2" s="24" t="s">
        <v>940</v>
      </c>
      <c r="N2" s="8"/>
      <c r="O2" s="23"/>
      <c r="P2" s="23" t="s">
        <v>941</v>
      </c>
      <c r="Q2" s="8" t="s">
        <v>942</v>
      </c>
      <c r="R2" s="8"/>
      <c r="S2" s="23" t="s">
        <v>943</v>
      </c>
      <c r="T2" s="23" t="s">
        <v>944</v>
      </c>
      <c r="U2" s="8"/>
      <c r="V2" s="24" t="s">
        <v>945</v>
      </c>
      <c r="W2" s="8"/>
      <c r="X2" s="8" t="s">
        <v>946</v>
      </c>
      <c r="Y2" s="8"/>
      <c r="Z2" s="8" t="s">
        <v>947</v>
      </c>
      <c r="AA2" s="8"/>
      <c r="AB2" s="8"/>
      <c r="AC2" s="8" t="s">
        <v>948</v>
      </c>
      <c r="AD2" s="8"/>
      <c r="AE2" s="8"/>
      <c r="AF2" s="8"/>
      <c r="AG2" s="8" t="s">
        <v>949</v>
      </c>
      <c r="AH2" s="8"/>
      <c r="AI2" s="8"/>
      <c r="AJ2" s="8"/>
      <c r="AK2" s="8" t="s">
        <v>950</v>
      </c>
      <c r="AL2" s="8" t="s">
        <v>951</v>
      </c>
      <c r="AM2" s="8" t="s">
        <v>952</v>
      </c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</row>
    <row r="3" s="4" customFormat="1" ht="30" customHeight="1" spans="1:59">
      <c r="A3" s="9" t="s">
        <v>953</v>
      </c>
      <c r="B3" s="9"/>
      <c r="C3" s="9"/>
      <c r="D3" s="9"/>
      <c r="E3" s="9"/>
      <c r="F3" s="9"/>
      <c r="G3" s="9"/>
      <c r="H3" s="9"/>
      <c r="I3" s="9" t="s">
        <v>954</v>
      </c>
      <c r="J3" s="9"/>
      <c r="K3" s="9"/>
      <c r="L3" s="9"/>
      <c r="M3" s="9" t="s">
        <v>955</v>
      </c>
      <c r="N3" s="9"/>
      <c r="O3" s="9"/>
      <c r="P3" s="9"/>
      <c r="Q3" s="9"/>
      <c r="R3" s="9"/>
      <c r="S3" s="9"/>
      <c r="T3" s="9" t="s">
        <v>956</v>
      </c>
      <c r="U3" s="9" t="s">
        <v>957</v>
      </c>
      <c r="V3" s="9"/>
      <c r="W3" s="9" t="s">
        <v>958</v>
      </c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</row>
    <row r="4" s="5" customFormat="1" ht="31" customHeight="1" spans="1:59">
      <c r="A4" s="10" t="s">
        <v>528</v>
      </c>
      <c r="B4" s="10" t="s">
        <v>127</v>
      </c>
      <c r="C4" s="10">
        <v>44866</v>
      </c>
      <c r="D4" s="10">
        <v>44896</v>
      </c>
      <c r="E4" s="10">
        <v>44927</v>
      </c>
      <c r="F4" s="10">
        <v>44958</v>
      </c>
      <c r="G4" s="10">
        <v>44986</v>
      </c>
      <c r="H4" s="10">
        <v>45017</v>
      </c>
      <c r="I4" s="10">
        <v>45047</v>
      </c>
      <c r="J4" s="10">
        <v>45078</v>
      </c>
      <c r="K4" s="10">
        <v>45108</v>
      </c>
      <c r="L4" s="10">
        <v>45141</v>
      </c>
      <c r="M4" s="10">
        <v>45170</v>
      </c>
      <c r="N4" s="10">
        <v>45200</v>
      </c>
      <c r="O4" s="10">
        <v>45231</v>
      </c>
      <c r="P4" s="10">
        <v>45261</v>
      </c>
      <c r="Q4" s="10">
        <v>45292</v>
      </c>
      <c r="R4" s="10">
        <v>45323</v>
      </c>
      <c r="S4" s="10">
        <v>45352</v>
      </c>
      <c r="T4" s="10">
        <v>45383</v>
      </c>
      <c r="U4" s="10">
        <v>45413</v>
      </c>
      <c r="V4" s="10">
        <v>45444</v>
      </c>
      <c r="W4" s="10">
        <v>45474</v>
      </c>
      <c r="X4" s="10">
        <v>45505</v>
      </c>
      <c r="Y4" s="10">
        <v>45536</v>
      </c>
      <c r="Z4" s="10">
        <v>45566</v>
      </c>
      <c r="AA4" s="10">
        <v>45597</v>
      </c>
      <c r="AB4" s="10">
        <v>45627</v>
      </c>
      <c r="AC4" s="10">
        <v>45658</v>
      </c>
      <c r="AD4" s="10">
        <v>45689</v>
      </c>
      <c r="AE4" s="10">
        <v>45717</v>
      </c>
      <c r="AF4" s="10">
        <v>45748</v>
      </c>
      <c r="AG4" s="10">
        <v>45778</v>
      </c>
      <c r="AH4" s="10">
        <v>45809</v>
      </c>
      <c r="AI4" s="10">
        <v>45839</v>
      </c>
      <c r="AJ4" s="10">
        <v>45870</v>
      </c>
      <c r="AK4" s="10">
        <v>45901</v>
      </c>
      <c r="AL4" s="10">
        <v>45931</v>
      </c>
      <c r="AM4" s="10">
        <v>45962</v>
      </c>
      <c r="AN4" s="10">
        <v>45992</v>
      </c>
      <c r="AO4" s="10">
        <v>46023</v>
      </c>
      <c r="AP4" s="10">
        <v>46054</v>
      </c>
      <c r="AQ4" s="10">
        <v>46082</v>
      </c>
      <c r="AR4" s="10">
        <v>46113</v>
      </c>
      <c r="AS4" s="10">
        <v>46143</v>
      </c>
      <c r="AT4" s="10">
        <v>46174</v>
      </c>
      <c r="AU4" s="10">
        <v>46204</v>
      </c>
      <c r="AV4" s="10">
        <v>46235</v>
      </c>
      <c r="AW4" s="10">
        <v>46266</v>
      </c>
      <c r="AX4" s="10">
        <v>46296</v>
      </c>
      <c r="AY4" s="10">
        <v>46327</v>
      </c>
      <c r="AZ4" s="10">
        <v>46357</v>
      </c>
      <c r="BA4" s="10">
        <v>46388</v>
      </c>
      <c r="BB4" s="10">
        <v>46419</v>
      </c>
      <c r="BC4" s="10">
        <v>46447</v>
      </c>
      <c r="BD4" s="10">
        <v>46478</v>
      </c>
      <c r="BE4" s="10">
        <v>46508</v>
      </c>
      <c r="BF4" s="10" t="s">
        <v>127</v>
      </c>
      <c r="BG4" s="10" t="s">
        <v>43</v>
      </c>
    </row>
    <row r="5" s="2" customFormat="1" ht="29" customHeight="1" spans="1:59">
      <c r="A5" s="11" t="s">
        <v>959</v>
      </c>
      <c r="B5" s="12">
        <v>0</v>
      </c>
      <c r="C5" s="12">
        <v>0</v>
      </c>
      <c r="D5" s="12">
        <f t="shared" ref="D5:BE5" si="0">C20</f>
        <v>-4270.51293204</v>
      </c>
      <c r="E5" s="12">
        <f t="shared" si="0"/>
        <v>-4270.51293204</v>
      </c>
      <c r="F5" s="12">
        <f t="shared" si="0"/>
        <v>-4270.51293204</v>
      </c>
      <c r="G5" s="12">
        <f t="shared" si="0"/>
        <v>-4270.51293204</v>
      </c>
      <c r="H5" s="12">
        <f t="shared" si="0"/>
        <v>-4522.40299937333</v>
      </c>
      <c r="I5" s="12">
        <f t="shared" si="0"/>
        <v>-5086.37141670667</v>
      </c>
      <c r="J5" s="12">
        <f t="shared" si="0"/>
        <v>-2752.2492321</v>
      </c>
      <c r="K5" s="12">
        <f t="shared" si="0"/>
        <v>-3527.81918594709</v>
      </c>
      <c r="L5" s="12">
        <f t="shared" si="0"/>
        <v>-3921.86532446043</v>
      </c>
      <c r="M5" s="12">
        <f t="shared" si="0"/>
        <v>-26055.7544219517</v>
      </c>
      <c r="N5" s="12">
        <f t="shared" si="0"/>
        <v>-20550.4101604651</v>
      </c>
      <c r="O5" s="12">
        <f t="shared" si="0"/>
        <v>-20658.0645291619</v>
      </c>
      <c r="P5" s="12">
        <f t="shared" si="0"/>
        <v>-14161.4635223676</v>
      </c>
      <c r="Q5" s="12">
        <f t="shared" si="0"/>
        <v>-4330.41785641491</v>
      </c>
      <c r="R5" s="12">
        <f t="shared" si="0"/>
        <v>-2190.84345271978</v>
      </c>
      <c r="S5" s="12">
        <f t="shared" si="0"/>
        <v>-704.375840239197</v>
      </c>
      <c r="T5" s="12">
        <f t="shared" si="0"/>
        <v>-1062.09624722887</v>
      </c>
      <c r="U5" s="12">
        <f t="shared" si="0"/>
        <v>775.260481429392</v>
      </c>
      <c r="V5" s="12">
        <f t="shared" si="0"/>
        <v>751.972458568609</v>
      </c>
      <c r="W5" s="12">
        <f t="shared" si="0"/>
        <v>2014.19130452165</v>
      </c>
      <c r="X5" s="12">
        <f t="shared" si="0"/>
        <v>1193.80600918127</v>
      </c>
      <c r="Y5" s="12">
        <f t="shared" si="0"/>
        <v>1597.13430403806</v>
      </c>
      <c r="Z5" s="12">
        <f t="shared" si="0"/>
        <v>2450.23094636968</v>
      </c>
      <c r="AA5" s="12">
        <f t="shared" si="0"/>
        <v>3332.31277167598</v>
      </c>
      <c r="AB5" s="12">
        <f t="shared" si="0"/>
        <v>5333.41321709804</v>
      </c>
      <c r="AC5" s="12">
        <f t="shared" si="0"/>
        <v>4555.28612247592</v>
      </c>
      <c r="AD5" s="12">
        <f t="shared" si="0"/>
        <v>5800.94662764833</v>
      </c>
      <c r="AE5" s="12">
        <f t="shared" si="0"/>
        <v>8732.63215549127</v>
      </c>
      <c r="AF5" s="12">
        <f t="shared" si="0"/>
        <v>7039.4562476466</v>
      </c>
      <c r="AG5" s="12">
        <f t="shared" si="0"/>
        <v>5460.29183406249</v>
      </c>
      <c r="AH5" s="12">
        <f t="shared" si="0"/>
        <v>5313.92883052185</v>
      </c>
      <c r="AI5" s="12">
        <f t="shared" si="0"/>
        <v>5438.87362953407</v>
      </c>
      <c r="AJ5" s="12">
        <f t="shared" si="0"/>
        <v>5591.63775634443</v>
      </c>
      <c r="AK5" s="12">
        <f t="shared" si="0"/>
        <v>5732.15188315479</v>
      </c>
      <c r="AL5" s="12">
        <f t="shared" si="0"/>
        <v>5932.13600996515</v>
      </c>
      <c r="AM5" s="12">
        <f t="shared" si="0"/>
        <v>6056.03132943606</v>
      </c>
      <c r="AN5" s="12">
        <f t="shared" si="0"/>
        <v>7181.43617662935</v>
      </c>
      <c r="AO5" s="12">
        <f t="shared" si="0"/>
        <v>1464.71917873393</v>
      </c>
      <c r="AP5" s="12">
        <f t="shared" si="0"/>
        <v>1464.71917873393</v>
      </c>
      <c r="AQ5" s="12">
        <f t="shared" si="0"/>
        <v>1464.71917873393</v>
      </c>
      <c r="AR5" s="12">
        <f t="shared" si="0"/>
        <v>1464.71917873393</v>
      </c>
      <c r="AS5" s="12">
        <f t="shared" si="0"/>
        <v>1464.71917873393</v>
      </c>
      <c r="AT5" s="12">
        <f t="shared" si="0"/>
        <v>1464.71917873393</v>
      </c>
      <c r="AU5" s="12">
        <f t="shared" si="0"/>
        <v>1464.71917873393</v>
      </c>
      <c r="AV5" s="12">
        <f t="shared" si="0"/>
        <v>1464.71917873393</v>
      </c>
      <c r="AW5" s="12">
        <f t="shared" si="0"/>
        <v>1464.71917873393</v>
      </c>
      <c r="AX5" s="12">
        <f t="shared" si="0"/>
        <v>1464.71917873393</v>
      </c>
      <c r="AY5" s="12">
        <f t="shared" si="0"/>
        <v>1464.71917873393</v>
      </c>
      <c r="AZ5" s="12">
        <f t="shared" si="0"/>
        <v>1464.71917873393</v>
      </c>
      <c r="BA5" s="12">
        <f t="shared" si="0"/>
        <v>1464.71917873393</v>
      </c>
      <c r="BB5" s="12">
        <f t="shared" si="0"/>
        <v>1464.71917873393</v>
      </c>
      <c r="BC5" s="12">
        <f t="shared" si="0"/>
        <v>1464.71917873393</v>
      </c>
      <c r="BD5" s="12">
        <f t="shared" si="0"/>
        <v>1464.71917873393</v>
      </c>
      <c r="BE5" s="12">
        <f t="shared" si="0"/>
        <v>1464.71917873393</v>
      </c>
      <c r="BF5" s="12">
        <v>0</v>
      </c>
      <c r="BG5" s="12"/>
    </row>
    <row r="6" s="2" customFormat="1" ht="29" customHeight="1" spans="1:59">
      <c r="A6" s="11" t="s">
        <v>960</v>
      </c>
      <c r="B6" s="12">
        <f>B7+B8</f>
        <v>65818.186</v>
      </c>
      <c r="C6" s="12">
        <f t="shared" ref="C6:AN6" si="1">C7+C8</f>
        <v>0</v>
      </c>
      <c r="D6" s="12">
        <f t="shared" si="1"/>
        <v>0</v>
      </c>
      <c r="E6" s="12">
        <f t="shared" si="1"/>
        <v>0</v>
      </c>
      <c r="F6" s="12">
        <f t="shared" si="1"/>
        <v>0</v>
      </c>
      <c r="G6" s="12">
        <f t="shared" si="1"/>
        <v>0</v>
      </c>
      <c r="H6" s="12">
        <f t="shared" si="1"/>
        <v>0</v>
      </c>
      <c r="I6" s="12">
        <f t="shared" si="1"/>
        <v>9900</v>
      </c>
      <c r="J6" s="12">
        <f t="shared" si="1"/>
        <v>0</v>
      </c>
      <c r="K6" s="12">
        <f t="shared" si="1"/>
        <v>0</v>
      </c>
      <c r="L6" s="12">
        <f t="shared" si="1"/>
        <v>0</v>
      </c>
      <c r="M6" s="12">
        <f t="shared" si="1"/>
        <v>4538.43211956522</v>
      </c>
      <c r="N6" s="12">
        <f t="shared" si="1"/>
        <v>9546.79718152174</v>
      </c>
      <c r="O6" s="12">
        <f t="shared" si="1"/>
        <v>10671.5268173913</v>
      </c>
      <c r="P6" s="12">
        <f t="shared" si="1"/>
        <v>2668.60787554348</v>
      </c>
      <c r="Q6" s="12">
        <f t="shared" si="1"/>
        <v>1861.68902336957</v>
      </c>
      <c r="R6" s="12">
        <f t="shared" si="1"/>
        <v>1045.51342173913</v>
      </c>
      <c r="S6" s="12">
        <f t="shared" si="1"/>
        <v>1003.47288641304</v>
      </c>
      <c r="T6" s="12">
        <f t="shared" si="1"/>
        <v>1847.2565951087</v>
      </c>
      <c r="U6" s="12">
        <f t="shared" si="1"/>
        <v>3024.06730163044</v>
      </c>
      <c r="V6" s="12">
        <f t="shared" si="1"/>
        <v>3394.74294184783</v>
      </c>
      <c r="W6" s="12">
        <f t="shared" si="1"/>
        <v>3174.1889076087</v>
      </c>
      <c r="X6" s="12">
        <f t="shared" si="1"/>
        <v>2524.13491195652</v>
      </c>
      <c r="Y6" s="12">
        <f t="shared" si="1"/>
        <v>2369.62141304348</v>
      </c>
      <c r="Z6" s="12">
        <f t="shared" si="1"/>
        <v>2733.864625</v>
      </c>
      <c r="AA6" s="12">
        <f t="shared" si="1"/>
        <v>2111.41873641304</v>
      </c>
      <c r="AB6" s="12">
        <f t="shared" si="1"/>
        <v>1298.85124184783</v>
      </c>
      <c r="AC6" s="12">
        <f t="shared" si="1"/>
        <v>160</v>
      </c>
      <c r="AD6" s="12">
        <f t="shared" si="1"/>
        <v>160</v>
      </c>
      <c r="AE6" s="12">
        <f t="shared" si="1"/>
        <v>200</v>
      </c>
      <c r="AF6" s="12">
        <f t="shared" si="1"/>
        <v>200</v>
      </c>
      <c r="AG6" s="12">
        <f t="shared" si="1"/>
        <v>224</v>
      </c>
      <c r="AH6" s="12">
        <f t="shared" si="1"/>
        <v>200</v>
      </c>
      <c r="AI6" s="12">
        <f t="shared" si="1"/>
        <v>200</v>
      </c>
      <c r="AJ6" s="12">
        <f t="shared" si="1"/>
        <v>200</v>
      </c>
      <c r="AK6" s="12">
        <f t="shared" si="1"/>
        <v>240</v>
      </c>
      <c r="AL6" s="12">
        <f t="shared" si="1"/>
        <v>160</v>
      </c>
      <c r="AM6" s="12">
        <f t="shared" si="1"/>
        <v>160</v>
      </c>
      <c r="AN6" s="12">
        <f t="shared" si="1"/>
        <v>0</v>
      </c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>
        <f t="shared" ref="BF6:BF8" si="2">SUM(C6:BE6)</f>
        <v>65818.186</v>
      </c>
      <c r="BG6" s="12">
        <f t="shared" ref="BG6:BG20" si="3">B6-BF6</f>
        <v>0</v>
      </c>
    </row>
    <row r="7" s="2" customFormat="1" ht="29" customHeight="1" spans="1:59">
      <c r="A7" s="11" t="s">
        <v>961</v>
      </c>
      <c r="B7" s="12">
        <f>推售计划!AO30-推售计划!AO26-推售计划!AO25</f>
        <v>61914.186</v>
      </c>
      <c r="C7" s="13">
        <f>推售计划!C30-推售计划!C26-推售计划!C25</f>
        <v>0</v>
      </c>
      <c r="D7" s="13">
        <f>推售计划!D30-推售计划!D26-推售计划!D25</f>
        <v>0</v>
      </c>
      <c r="E7" s="13">
        <f>推售计划!E30-推售计划!E26-推售计划!E25</f>
        <v>0</v>
      </c>
      <c r="F7" s="13">
        <f>推售计划!F30-推售计划!F26-推售计划!F25</f>
        <v>0</v>
      </c>
      <c r="G7" s="13">
        <f>推售计划!G30-推售计划!G26-推售计划!G25</f>
        <v>0</v>
      </c>
      <c r="H7" s="13">
        <f>推售计划!H30-推售计划!H26-推售计划!H25</f>
        <v>0</v>
      </c>
      <c r="I7" s="13">
        <f>推售计划!I30-推售计划!I26-推售计划!I25</f>
        <v>9900</v>
      </c>
      <c r="J7" s="13">
        <f>推售计划!J30-推售计划!J26-推售计划!J25</f>
        <v>0</v>
      </c>
      <c r="K7" s="13">
        <f>推售计划!K30-推售计划!K26-推售计划!K25</f>
        <v>0</v>
      </c>
      <c r="L7" s="13">
        <f>推售计划!L30-推售计划!L26-推售计划!L25</f>
        <v>0</v>
      </c>
      <c r="M7" s="13">
        <f>推售计划!M30-推售计划!M26-推售计划!M25</f>
        <v>3482.43211956522</v>
      </c>
      <c r="N7" s="13">
        <f>推售计划!N30-推售计划!N26-推售计划!N25</f>
        <v>9546.79718152174</v>
      </c>
      <c r="O7" s="13">
        <f>推售计划!O30-推售计划!O26-推售计划!O25</f>
        <v>10591.5268173913</v>
      </c>
      <c r="P7" s="13">
        <f>推售计划!P30-推售计划!P26-推售计划!P25</f>
        <v>2588.60787554348</v>
      </c>
      <c r="Q7" s="13">
        <f>推售计划!Q30-推售计划!Q26-推售计划!Q25</f>
        <v>1845.68902336957</v>
      </c>
      <c r="R7" s="13">
        <f>推售计划!R30-推售计划!R26-推售计划!R25</f>
        <v>1021.51342173913</v>
      </c>
      <c r="S7" s="13">
        <f>推售计划!S30-推售计划!S26-推售计划!S25</f>
        <v>963.472886413044</v>
      </c>
      <c r="T7" s="13">
        <f>推售计划!T30-推售计划!T26-推售计划!T25</f>
        <v>1799.2565951087</v>
      </c>
      <c r="U7" s="13">
        <f>推售计划!U30-推售计划!U26-推售计划!U25</f>
        <v>2960.06730163044</v>
      </c>
      <c r="V7" s="13">
        <f>推售计划!V30-推售计划!V26-推售计划!V25</f>
        <v>3354.74294184783</v>
      </c>
      <c r="W7" s="13">
        <f>推售计划!W30-推售计划!W26-推售计划!W25</f>
        <v>3134.1889076087</v>
      </c>
      <c r="X7" s="13">
        <f>推售计划!X30-推售计划!X26-推售计划!X25</f>
        <v>2484.13491195652</v>
      </c>
      <c r="Y7" s="13">
        <f>推售计划!Y30-推售计划!Y26-推售计划!Y25</f>
        <v>2321.62141304348</v>
      </c>
      <c r="Z7" s="13">
        <f>推售计划!Z30-推售计划!Z26-推售计划!Z25</f>
        <v>2669.864625</v>
      </c>
      <c r="AA7" s="13">
        <f>推售计划!AA30-推售计划!AA26-推售计划!AA25</f>
        <v>2031.41873641304</v>
      </c>
      <c r="AB7" s="13">
        <f>推售计划!AB30-推售计划!AB26-推售计划!AB25</f>
        <v>1218.85124184783</v>
      </c>
      <c r="AC7" s="13">
        <f>推售计划!AC30-推售计划!AC26-推售计划!AC25</f>
        <v>0</v>
      </c>
      <c r="AD7" s="13">
        <f>推售计划!AD30-推售计划!AD26-推售计划!AD25</f>
        <v>0</v>
      </c>
      <c r="AE7" s="13">
        <f>推售计划!AE30-推售计划!AE26-推售计划!AE25</f>
        <v>0</v>
      </c>
      <c r="AF7" s="13">
        <f>推售计划!AF30-推售计划!AF26-推售计划!AF25</f>
        <v>0</v>
      </c>
      <c r="AG7" s="13">
        <f>推售计划!AG30-推售计划!AG26-推售计划!AG25</f>
        <v>0</v>
      </c>
      <c r="AH7" s="13">
        <f>推售计划!AH30-推售计划!AH26-推售计划!AH25</f>
        <v>0</v>
      </c>
      <c r="AI7" s="13">
        <f>推售计划!AI30-推售计划!AI26-推售计划!AI25</f>
        <v>0</v>
      </c>
      <c r="AJ7" s="13">
        <f>推售计划!AJ30-推售计划!AJ26-推售计划!AJ25</f>
        <v>0</v>
      </c>
      <c r="AK7" s="13">
        <f>推售计划!AK30-推售计划!AK26-推售计划!AK25</f>
        <v>0</v>
      </c>
      <c r="AL7" s="13">
        <f>推售计划!AL30-推售计划!AL26-推售计划!AL25</f>
        <v>0</v>
      </c>
      <c r="AM7" s="13">
        <f>推售计划!AM30-推售计划!AM26-推售计划!AM25</f>
        <v>0</v>
      </c>
      <c r="AN7" s="13">
        <f>推售计划!AN30-推售计划!AN26-推售计划!AN25</f>
        <v>0</v>
      </c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>
        <f t="shared" si="2"/>
        <v>61914.186</v>
      </c>
      <c r="BG7" s="14">
        <f t="shared" si="3"/>
        <v>0</v>
      </c>
    </row>
    <row r="8" s="2" customFormat="1" ht="29" customHeight="1" spans="1:63">
      <c r="A8" s="11" t="s">
        <v>627</v>
      </c>
      <c r="B8" s="12">
        <f>推售计划!AO25+推售计划!AO26</f>
        <v>3904</v>
      </c>
      <c r="C8" s="13">
        <f>推售计划!C25+推售计划!C26</f>
        <v>0</v>
      </c>
      <c r="D8" s="13">
        <f>推售计划!D25+推售计划!D26</f>
        <v>0</v>
      </c>
      <c r="E8" s="13">
        <f>推售计划!E25+推售计划!E26</f>
        <v>0</v>
      </c>
      <c r="F8" s="13">
        <f>推售计划!F25+推售计划!F26</f>
        <v>0</v>
      </c>
      <c r="G8" s="13">
        <f>推售计划!G25+推售计划!G26</f>
        <v>0</v>
      </c>
      <c r="H8" s="13">
        <f>推售计划!H25+推售计划!H26</f>
        <v>0</v>
      </c>
      <c r="I8" s="13">
        <f>推售计划!I25+推售计划!I26</f>
        <v>0</v>
      </c>
      <c r="J8" s="13">
        <f>推售计划!J25+推售计划!J26</f>
        <v>0</v>
      </c>
      <c r="K8" s="13">
        <f>推售计划!K25+推售计划!K26</f>
        <v>0</v>
      </c>
      <c r="L8" s="13">
        <f>推售计划!L25+推售计划!L26</f>
        <v>0</v>
      </c>
      <c r="M8" s="13">
        <f>推售计划!M25+推售计划!M26</f>
        <v>1056</v>
      </c>
      <c r="N8" s="13">
        <f>推售计划!N25+推售计划!N26</f>
        <v>0</v>
      </c>
      <c r="O8" s="13">
        <f>推售计划!O25+推售计划!O26</f>
        <v>80</v>
      </c>
      <c r="P8" s="13">
        <f>推售计划!P25+推售计划!P26</f>
        <v>80</v>
      </c>
      <c r="Q8" s="13">
        <f>推售计划!Q25+推售计划!Q26</f>
        <v>16</v>
      </c>
      <c r="R8" s="13">
        <f>推售计划!R25+推售计划!R26</f>
        <v>24</v>
      </c>
      <c r="S8" s="13">
        <f>推售计划!S25+推售计划!S26</f>
        <v>40</v>
      </c>
      <c r="T8" s="13">
        <f>推售计划!T25+推售计划!T26</f>
        <v>48</v>
      </c>
      <c r="U8" s="13">
        <f>推售计划!U25+推售计划!U26</f>
        <v>64</v>
      </c>
      <c r="V8" s="13">
        <f>推售计划!V25+推售计划!V26</f>
        <v>40</v>
      </c>
      <c r="W8" s="13">
        <f>推售计划!W25+推售计划!W26</f>
        <v>40</v>
      </c>
      <c r="X8" s="13">
        <f>推售计划!X25+推售计划!X26</f>
        <v>40</v>
      </c>
      <c r="Y8" s="13">
        <f>推售计划!Y25+推售计划!Y26</f>
        <v>48</v>
      </c>
      <c r="Z8" s="13">
        <f>推售计划!Z25+推售计划!Z26</f>
        <v>64</v>
      </c>
      <c r="AA8" s="13">
        <f>推售计划!AA25+推售计划!AA26</f>
        <v>80</v>
      </c>
      <c r="AB8" s="13">
        <f>推售计划!AB25+推售计划!AB26</f>
        <v>80</v>
      </c>
      <c r="AC8" s="13">
        <f>推售计划!AC25+推售计划!AC26</f>
        <v>160</v>
      </c>
      <c r="AD8" s="13">
        <f>推售计划!AD25+推售计划!AD26</f>
        <v>160</v>
      </c>
      <c r="AE8" s="13">
        <f>推售计划!AE25+推售计划!AE26</f>
        <v>200</v>
      </c>
      <c r="AF8" s="13">
        <f>推售计划!AF25+推售计划!AF26</f>
        <v>200</v>
      </c>
      <c r="AG8" s="13">
        <f>推售计划!AG25+推售计划!AG26</f>
        <v>224</v>
      </c>
      <c r="AH8" s="13">
        <f>推售计划!AH25+推售计划!AH26</f>
        <v>200</v>
      </c>
      <c r="AI8" s="13">
        <f>推售计划!AI25+推售计划!AI26</f>
        <v>200</v>
      </c>
      <c r="AJ8" s="13">
        <f>推售计划!AJ25+推售计划!AJ26</f>
        <v>200</v>
      </c>
      <c r="AK8" s="13">
        <f>推售计划!AK25+推售计划!AK26</f>
        <v>240</v>
      </c>
      <c r="AL8" s="13">
        <f>推售计划!AL25+推售计划!AL26</f>
        <v>160</v>
      </c>
      <c r="AM8" s="13">
        <f>推售计划!AM25+推售计划!AM26</f>
        <v>160</v>
      </c>
      <c r="AN8" s="13">
        <f>推售计划!AN25+推售计划!AN26</f>
        <v>0</v>
      </c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>
        <f t="shared" si="2"/>
        <v>3904</v>
      </c>
      <c r="BG8" s="14">
        <f t="shared" si="3"/>
        <v>0</v>
      </c>
      <c r="BK8" s="33"/>
    </row>
    <row r="9" s="2" customFormat="1" ht="29" customHeight="1" spans="1:59">
      <c r="A9" s="11" t="s">
        <v>962</v>
      </c>
      <c r="B9" s="12">
        <f>SUM(B10:B19)</f>
        <v>64359.3603011812</v>
      </c>
      <c r="C9" s="12">
        <f t="shared" ref="B9:BF9" si="4">SUM(C10:C19)</f>
        <v>4270.51293204</v>
      </c>
      <c r="D9" s="12">
        <f t="shared" si="4"/>
        <v>0</v>
      </c>
      <c r="E9" s="12">
        <f t="shared" si="4"/>
        <v>0</v>
      </c>
      <c r="F9" s="12">
        <f t="shared" si="4"/>
        <v>0</v>
      </c>
      <c r="G9" s="12">
        <f t="shared" si="4"/>
        <v>251.890067333333</v>
      </c>
      <c r="H9" s="12">
        <f t="shared" si="4"/>
        <v>563.968417333333</v>
      </c>
      <c r="I9" s="12">
        <f t="shared" si="4"/>
        <v>7565.87781539333</v>
      </c>
      <c r="J9" s="12">
        <f t="shared" si="4"/>
        <v>775.569953847095</v>
      </c>
      <c r="K9" s="12">
        <f t="shared" si="4"/>
        <v>394.046138513333</v>
      </c>
      <c r="L9" s="12">
        <f t="shared" si="4"/>
        <v>22133.8890974913</v>
      </c>
      <c r="M9" s="12">
        <f t="shared" si="4"/>
        <v>-966.912141921449</v>
      </c>
      <c r="N9" s="12">
        <f t="shared" si="4"/>
        <v>9654.45155021861</v>
      </c>
      <c r="O9" s="12">
        <f t="shared" si="4"/>
        <v>4174.925810597</v>
      </c>
      <c r="P9" s="12">
        <f t="shared" si="4"/>
        <v>-7162.43779040925</v>
      </c>
      <c r="Q9" s="12">
        <f t="shared" si="4"/>
        <v>-277.885380325559</v>
      </c>
      <c r="R9" s="12">
        <f t="shared" si="4"/>
        <v>-440.954190741455</v>
      </c>
      <c r="S9" s="12">
        <f t="shared" si="4"/>
        <v>1361.19329340272</v>
      </c>
      <c r="T9" s="12">
        <f t="shared" si="4"/>
        <v>9.89986645043291</v>
      </c>
      <c r="U9" s="12">
        <f t="shared" si="4"/>
        <v>3047.35532449122</v>
      </c>
      <c r="V9" s="12">
        <f t="shared" si="4"/>
        <v>2132.52409589479</v>
      </c>
      <c r="W9" s="12">
        <f t="shared" si="4"/>
        <v>3994.57420294907</v>
      </c>
      <c r="X9" s="12">
        <f t="shared" si="4"/>
        <v>2120.80661709973</v>
      </c>
      <c r="Y9" s="12">
        <f t="shared" si="4"/>
        <v>1516.52477071186</v>
      </c>
      <c r="Z9" s="12">
        <f t="shared" si="4"/>
        <v>1851.78279969369</v>
      </c>
      <c r="AA9" s="12">
        <f t="shared" si="4"/>
        <v>110.318290990984</v>
      </c>
      <c r="AB9" s="12">
        <f t="shared" si="4"/>
        <v>2076.97833646995</v>
      </c>
      <c r="AC9" s="12">
        <f t="shared" si="4"/>
        <v>-1085.66050517242</v>
      </c>
      <c r="AD9" s="12">
        <f t="shared" si="4"/>
        <v>-2771.68552784294</v>
      </c>
      <c r="AE9" s="12">
        <f t="shared" si="4"/>
        <v>1893.17590784467</v>
      </c>
      <c r="AF9" s="12">
        <f t="shared" si="4"/>
        <v>1779.16441358411</v>
      </c>
      <c r="AG9" s="12">
        <f t="shared" si="4"/>
        <v>370.363003540636</v>
      </c>
      <c r="AH9" s="12">
        <f t="shared" si="4"/>
        <v>75.0552009877841</v>
      </c>
      <c r="AI9" s="12">
        <f t="shared" si="4"/>
        <v>47.2358731896384</v>
      </c>
      <c r="AJ9" s="12">
        <f t="shared" si="4"/>
        <v>59.4858731896384</v>
      </c>
      <c r="AK9" s="12">
        <f t="shared" si="4"/>
        <v>40.0158731896384</v>
      </c>
      <c r="AL9" s="12">
        <f t="shared" si="4"/>
        <v>36.1046805290879</v>
      </c>
      <c r="AM9" s="12">
        <f t="shared" si="4"/>
        <v>-965.404847193289</v>
      </c>
      <c r="AN9" s="12">
        <f t="shared" si="4"/>
        <v>5716.71699789542</v>
      </c>
      <c r="AO9" s="12">
        <f t="shared" si="4"/>
        <v>0</v>
      </c>
      <c r="AP9" s="12">
        <f t="shared" si="4"/>
        <v>0</v>
      </c>
      <c r="AQ9" s="12">
        <f t="shared" si="4"/>
        <v>0</v>
      </c>
      <c r="AR9" s="12">
        <f t="shared" si="4"/>
        <v>0</v>
      </c>
      <c r="AS9" s="12">
        <f t="shared" si="4"/>
        <v>0</v>
      </c>
      <c r="AT9" s="12">
        <f t="shared" si="4"/>
        <v>0</v>
      </c>
      <c r="AU9" s="12">
        <f t="shared" si="4"/>
        <v>0</v>
      </c>
      <c r="AV9" s="12">
        <f t="shared" si="4"/>
        <v>0</v>
      </c>
      <c r="AW9" s="12">
        <f t="shared" si="4"/>
        <v>0</v>
      </c>
      <c r="AX9" s="12">
        <f t="shared" si="4"/>
        <v>0</v>
      </c>
      <c r="AY9" s="12">
        <f t="shared" si="4"/>
        <v>0</v>
      </c>
      <c r="AZ9" s="12">
        <f t="shared" si="4"/>
        <v>0</v>
      </c>
      <c r="BA9" s="12">
        <f t="shared" si="4"/>
        <v>0</v>
      </c>
      <c r="BB9" s="12">
        <f t="shared" si="4"/>
        <v>0</v>
      </c>
      <c r="BC9" s="12">
        <f t="shared" si="4"/>
        <v>0</v>
      </c>
      <c r="BD9" s="12">
        <f t="shared" si="4"/>
        <v>0</v>
      </c>
      <c r="BE9" s="12">
        <f t="shared" si="4"/>
        <v>0</v>
      </c>
      <c r="BF9" s="12">
        <f t="shared" si="4"/>
        <v>64353.466821266</v>
      </c>
      <c r="BG9" s="12">
        <f t="shared" si="3"/>
        <v>5.89347991516843</v>
      </c>
    </row>
    <row r="10" s="2" customFormat="1" ht="29" customHeight="1" spans="1:59">
      <c r="A10" s="11" t="s">
        <v>34</v>
      </c>
      <c r="B10" s="12">
        <f>项目利润情况表!B14</f>
        <v>22299.7135837381</v>
      </c>
      <c r="C10" s="13">
        <f>成本测算明细!D11*0.2</f>
        <v>4270.51293204</v>
      </c>
      <c r="D10" s="13"/>
      <c r="E10" s="13"/>
      <c r="F10" s="13"/>
      <c r="G10" s="13"/>
      <c r="H10" s="13"/>
      <c r="I10" s="13">
        <f>成本测算明细!D11*0.3</f>
        <v>6405.76939806</v>
      </c>
      <c r="J10" s="13"/>
      <c r="K10" s="13"/>
      <c r="L10" s="13">
        <f>成本测算明细!D11*0.5+成本测算明细!D12+成本测算明细!D16+成本测算明细!D18</f>
        <v>11623.4312536381</v>
      </c>
      <c r="M10" s="13">
        <f>[8]开发计划预算!P2</f>
        <v>0</v>
      </c>
      <c r="N10" s="13">
        <f>[8]开发计划预算!Q2</f>
        <v>0</v>
      </c>
      <c r="O10" s="13">
        <f>[8]开发计划预算!R2</f>
        <v>0</v>
      </c>
      <c r="P10" s="13">
        <f>[8]开发计划预算!S2</f>
        <v>0</v>
      </c>
      <c r="Q10" s="13">
        <f>[8]开发计划预算!T2</f>
        <v>0</v>
      </c>
      <c r="R10" s="13">
        <f>[8]开发计划预算!U2</f>
        <v>0</v>
      </c>
      <c r="S10" s="13">
        <f>[8]开发计划预算!V2</f>
        <v>0</v>
      </c>
      <c r="T10" s="13">
        <f>[8]开发计划预算!W2</f>
        <v>0</v>
      </c>
      <c r="U10" s="13">
        <f>[8]开发计划预算!X2</f>
        <v>0</v>
      </c>
      <c r="V10" s="13">
        <f>[8]开发计划预算!Y2</f>
        <v>0</v>
      </c>
      <c r="W10" s="13">
        <f>[8]开发计划预算!Z2</f>
        <v>0</v>
      </c>
      <c r="X10" s="13">
        <f>[8]开发计划预算!AA2</f>
        <v>0</v>
      </c>
      <c r="Y10" s="13">
        <f>[8]开发计划预算!AB2</f>
        <v>0</v>
      </c>
      <c r="Z10" s="13">
        <f>[8]开发计划预算!AC2</f>
        <v>0</v>
      </c>
      <c r="AA10" s="13">
        <f>[8]开发计划预算!AD2</f>
        <v>0</v>
      </c>
      <c r="AB10" s="13">
        <f>[8]开发计划预算!AE2</f>
        <v>0</v>
      </c>
      <c r="AC10" s="13">
        <f>[8]开发计划预算!AF2</f>
        <v>0</v>
      </c>
      <c r="AD10" s="13">
        <f>[8]开发计划预算!AG2</f>
        <v>0</v>
      </c>
      <c r="AE10" s="13">
        <f>[8]开发计划预算!AH2</f>
        <v>0</v>
      </c>
      <c r="AF10" s="13">
        <f>[8]开发计划预算!AI2</f>
        <v>0</v>
      </c>
      <c r="AG10" s="13">
        <f>[8]开发计划预算!AJ2</f>
        <v>0</v>
      </c>
      <c r="AH10" s="13">
        <f>[8]开发计划预算!AK2</f>
        <v>0</v>
      </c>
      <c r="AI10" s="13">
        <f>[8]开发计划预算!AL2</f>
        <v>0</v>
      </c>
      <c r="AJ10" s="13">
        <f>[8]开发计划预算!AM2</f>
        <v>0</v>
      </c>
      <c r="AK10" s="13">
        <f>[8]开发计划预算!AN2</f>
        <v>0</v>
      </c>
      <c r="AL10" s="13">
        <f>[8]开发计划预算!AO2</f>
        <v>0</v>
      </c>
      <c r="AM10" s="13">
        <f>[8]开发计划预算!AP2</f>
        <v>0</v>
      </c>
      <c r="AN10" s="13">
        <f>[8]开发计划预算!AQ2</f>
        <v>0</v>
      </c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>
        <f t="shared" ref="BF10:BF19" si="5">SUM(C10:BE10)</f>
        <v>22299.7135837381</v>
      </c>
      <c r="BG10" s="13">
        <f t="shared" si="3"/>
        <v>0</v>
      </c>
    </row>
    <row r="11" s="2" customFormat="1" ht="29" customHeight="1" spans="1:59">
      <c r="A11" s="11" t="s">
        <v>35</v>
      </c>
      <c r="B11" s="12">
        <f>项目利润情况表!B15</f>
        <v>33188.941500233</v>
      </c>
      <c r="C11" s="13"/>
      <c r="D11" s="13"/>
      <c r="E11" s="13"/>
      <c r="F11" s="13"/>
      <c r="G11" s="13">
        <v>114</v>
      </c>
      <c r="H11" s="13">
        <f>1319-900</f>
        <v>419</v>
      </c>
      <c r="I11" s="13">
        <f>98.62+900</f>
        <v>998.62</v>
      </c>
      <c r="J11" s="13">
        <v>69</v>
      </c>
      <c r="K11" s="13">
        <v>318</v>
      </c>
      <c r="L11" s="13">
        <v>274</v>
      </c>
      <c r="M11" s="13">
        <v>2321.7232</v>
      </c>
      <c r="N11" s="13">
        <v>1048.41446716</v>
      </c>
      <c r="O11" s="25">
        <v>541.1</v>
      </c>
      <c r="P11" s="13">
        <v>1037.14906666667</v>
      </c>
      <c r="Q11" s="13">
        <v>169.788701884</v>
      </c>
      <c r="R11" s="13">
        <v>164.167387648</v>
      </c>
      <c r="S11" s="13">
        <v>990.99</v>
      </c>
      <c r="T11" s="13">
        <v>570.6712</v>
      </c>
      <c r="U11" s="13">
        <v>654.670715</v>
      </c>
      <c r="V11" s="13">
        <v>2200.5936</v>
      </c>
      <c r="W11" s="13">
        <v>3878.5066884</v>
      </c>
      <c r="X11" s="13">
        <v>2118.829495484</v>
      </c>
      <c r="Y11" s="13">
        <v>1404.560435712</v>
      </c>
      <c r="Z11" s="13">
        <v>2134.686191456</v>
      </c>
      <c r="AA11" s="13">
        <v>477.1726</v>
      </c>
      <c r="AB11" s="13">
        <v>645.606266746667</v>
      </c>
      <c r="AC11" s="13">
        <v>767.2437572</v>
      </c>
      <c r="AD11" s="13">
        <v>433.090656576</v>
      </c>
      <c r="AE11" s="13">
        <v>1845.9627986</v>
      </c>
      <c r="AF11" s="13">
        <v>1741.062497</v>
      </c>
      <c r="AG11" s="13">
        <v>1326.343</v>
      </c>
      <c r="AH11" s="13">
        <v>34.732</v>
      </c>
      <c r="AI11" s="13">
        <v>10</v>
      </c>
      <c r="AJ11" s="13">
        <v>24.1</v>
      </c>
      <c r="AK11" s="13">
        <v>0</v>
      </c>
      <c r="AL11" s="13">
        <v>0</v>
      </c>
      <c r="AM11" s="13">
        <v>0</v>
      </c>
      <c r="AN11" s="13">
        <v>4446.12</v>
      </c>
      <c r="AO11" s="14"/>
      <c r="AP11" s="14"/>
      <c r="AQ11" s="14"/>
      <c r="AR11" s="13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  <c r="BE11" s="14"/>
      <c r="BF11" s="13">
        <f t="shared" si="5"/>
        <v>33179.9047255333</v>
      </c>
      <c r="BG11" s="13">
        <f t="shared" si="3"/>
        <v>9.03677469973627</v>
      </c>
    </row>
    <row r="12" s="2" customFormat="1" ht="29" customHeight="1" spans="1:59">
      <c r="A12" s="11" t="s">
        <v>521</v>
      </c>
      <c r="B12" s="12">
        <f>成本测算明细!D188</f>
        <v>1437.77502</v>
      </c>
      <c r="C12" s="13"/>
      <c r="D12" s="13"/>
      <c r="E12" s="13"/>
      <c r="F12" s="13"/>
      <c r="G12" s="13">
        <v>8.6</v>
      </c>
      <c r="H12" s="13">
        <f>57+20</f>
        <v>77</v>
      </c>
      <c r="I12" s="13">
        <f>34.2+20</f>
        <v>54.2</v>
      </c>
      <c r="J12" s="13">
        <v>30.8</v>
      </c>
      <c r="K12" s="13">
        <v>36.7</v>
      </c>
      <c r="L12" s="13">
        <v>43.2</v>
      </c>
      <c r="M12" s="13">
        <v>82.3</v>
      </c>
      <c r="N12" s="13">
        <v>219.2</v>
      </c>
      <c r="O12" s="13">
        <v>88.2</v>
      </c>
      <c r="P12" s="13">
        <v>87.6</v>
      </c>
      <c r="Q12" s="13">
        <v>62.7</v>
      </c>
      <c r="R12" s="13">
        <v>39</v>
      </c>
      <c r="S12" s="13">
        <v>52.6</v>
      </c>
      <c r="T12" s="13">
        <v>71.5</v>
      </c>
      <c r="U12" s="13">
        <v>74.2</v>
      </c>
      <c r="V12" s="13">
        <v>63.7</v>
      </c>
      <c r="W12" s="13">
        <v>53.8</v>
      </c>
      <c r="X12" s="13">
        <v>52.5</v>
      </c>
      <c r="Y12" s="13">
        <v>55.1</v>
      </c>
      <c r="Z12" s="13">
        <v>51.5</v>
      </c>
      <c r="AA12" s="13">
        <v>50.1</v>
      </c>
      <c r="AB12" s="13">
        <f>39.7-16.58</f>
        <v>23.12</v>
      </c>
      <c r="AC12" s="13">
        <f>12.5</f>
        <v>12.5</v>
      </c>
      <c r="AD12" s="13">
        <v>6</v>
      </c>
      <c r="AE12" s="13">
        <v>6</v>
      </c>
      <c r="AF12" s="13">
        <v>5</v>
      </c>
      <c r="AG12" s="13">
        <v>5</v>
      </c>
      <c r="AH12" s="13">
        <v>5</v>
      </c>
      <c r="AI12" s="13">
        <v>4</v>
      </c>
      <c r="AJ12" s="13">
        <v>4</v>
      </c>
      <c r="AK12" s="13">
        <v>8</v>
      </c>
      <c r="AL12" s="13">
        <v>2.01</v>
      </c>
      <c r="AM12" s="13"/>
      <c r="AN12" s="13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3">
        <f t="shared" si="5"/>
        <v>1435.13</v>
      </c>
      <c r="BG12" s="14">
        <f t="shared" si="3"/>
        <v>2.64501999999993</v>
      </c>
    </row>
    <row r="13" s="2" customFormat="1" ht="29" customHeight="1" spans="1:59">
      <c r="A13" s="11" t="s">
        <v>522</v>
      </c>
      <c r="B13" s="12">
        <f>成本测算明细!D189</f>
        <v>1316.84372</v>
      </c>
      <c r="C13" s="13"/>
      <c r="D13" s="13"/>
      <c r="E13" s="13"/>
      <c r="F13" s="13"/>
      <c r="G13" s="13">
        <f>49.2900673333333+80</f>
        <v>129.290067333333</v>
      </c>
      <c r="H13" s="13">
        <f>27.9684173333333+40</f>
        <v>67.9684173333333</v>
      </c>
      <c r="I13" s="13">
        <f>39.4884173333333+67.8</f>
        <v>107.288417333333</v>
      </c>
      <c r="J13" s="13">
        <v>39.9901373333333</v>
      </c>
      <c r="K13" s="13">
        <v>39.3461385133333</v>
      </c>
      <c r="L13" s="13">
        <v>39.6961385133333</v>
      </c>
      <c r="M13" s="13">
        <v>41.9861385133333</v>
      </c>
      <c r="N13" s="13">
        <v>49.8961385133333</v>
      </c>
      <c r="O13" s="13">
        <v>39.6961385133333</v>
      </c>
      <c r="P13" s="13">
        <v>41.4911385133333</v>
      </c>
      <c r="Q13" s="13">
        <v>40.85209518</v>
      </c>
      <c r="R13" s="13">
        <v>43.43209518</v>
      </c>
      <c r="S13" s="13">
        <v>49.29603348</v>
      </c>
      <c r="T13" s="13">
        <v>38.92603348</v>
      </c>
      <c r="U13" s="13">
        <v>39.54603348</v>
      </c>
      <c r="V13" s="13">
        <v>40.04603348</v>
      </c>
      <c r="W13" s="13">
        <v>39.6209418426</v>
      </c>
      <c r="X13" s="13">
        <v>41.1209418426</v>
      </c>
      <c r="Y13" s="13">
        <v>39.4009418426</v>
      </c>
      <c r="Z13" s="13">
        <v>29.4209418426</v>
      </c>
      <c r="AA13" s="13">
        <v>29.6709418426</v>
      </c>
      <c r="AB13" s="13">
        <v>33.4909418426</v>
      </c>
      <c r="AC13" s="13">
        <v>27.4385862232667</v>
      </c>
      <c r="AD13" s="13">
        <v>22.5185862232667</v>
      </c>
      <c r="AE13" s="13">
        <v>30.9378798868667</v>
      </c>
      <c r="AF13" s="13">
        <v>20.2578798868667</v>
      </c>
      <c r="AG13" s="13">
        <v>20.3978798868667</v>
      </c>
      <c r="AH13" s="13">
        <v>20.9378798868667</v>
      </c>
      <c r="AI13" s="13">
        <v>20.3918364923907</v>
      </c>
      <c r="AJ13" s="13">
        <v>18.5418364923907</v>
      </c>
      <c r="AK13" s="13">
        <v>19.1718364923907</v>
      </c>
      <c r="AL13" s="13">
        <v>18.6818364923907</v>
      </c>
      <c r="AM13" s="13">
        <v>18.5418364923907</v>
      </c>
      <c r="AN13" s="13">
        <v>17.38</v>
      </c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4"/>
      <c r="BC13" s="14"/>
      <c r="BD13" s="14"/>
      <c r="BE13" s="14"/>
      <c r="BF13" s="13">
        <f t="shared" si="5"/>
        <v>1316.67072020489</v>
      </c>
      <c r="BG13" s="14">
        <f t="shared" si="3"/>
        <v>0.172999795110172</v>
      </c>
    </row>
    <row r="14" s="2" customFormat="1" ht="29" customHeight="1" spans="1:59">
      <c r="A14" s="11" t="s">
        <v>520</v>
      </c>
      <c r="B14" s="12">
        <f>成本测算明细!D187</f>
        <v>2062.8587032353</v>
      </c>
      <c r="C14" s="13"/>
      <c r="D14" s="13"/>
      <c r="E14" s="14"/>
      <c r="F14" s="14"/>
      <c r="G14" s="14"/>
      <c r="H14" s="14"/>
      <c r="I14" s="14"/>
      <c r="J14" s="14"/>
      <c r="K14" s="14"/>
      <c r="L14" s="14">
        <f>成本测算明细!D11*0.5*4.75%/12*6</f>
        <v>253.561705339875</v>
      </c>
      <c r="M14" s="14"/>
      <c r="N14" s="14"/>
      <c r="O14" s="14"/>
      <c r="P14" s="14"/>
      <c r="Q14" s="14"/>
      <c r="R14" s="14"/>
      <c r="S14" s="14"/>
      <c r="T14" s="14"/>
      <c r="U14" s="32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38">
        <f>M25</f>
        <v>1809.29699789542</v>
      </c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3">
        <f t="shared" si="5"/>
        <v>2062.8587032353</v>
      </c>
      <c r="BG14" s="14">
        <f t="shared" si="3"/>
        <v>0</v>
      </c>
    </row>
    <row r="15" s="2" customFormat="1" ht="29" customHeight="1" spans="1:59">
      <c r="A15" s="11" t="s">
        <v>788</v>
      </c>
      <c r="B15" s="12">
        <f>税金计算表!R36+项目利润情况表!B20</f>
        <v>4053.22777397474</v>
      </c>
      <c r="C15" s="13"/>
      <c r="D15" s="13"/>
      <c r="E15" s="13"/>
      <c r="F15" s="13">
        <f>推售计划!E30/1.09*0.07</f>
        <v>0</v>
      </c>
      <c r="G15" s="13">
        <f>推售计划!F30/1.09*0.07</f>
        <v>0</v>
      </c>
      <c r="H15" s="13">
        <f>推售计划!G30/1.09*0.07</f>
        <v>0</v>
      </c>
      <c r="I15" s="13">
        <f>推售计划!H30/1.09*0.07</f>
        <v>0</v>
      </c>
      <c r="J15" s="13">
        <f>推售计划!I30/1.09*0.07</f>
        <v>635.779816513761</v>
      </c>
      <c r="K15" s="13">
        <f>推售计划!J30/1.09*0.07</f>
        <v>0</v>
      </c>
      <c r="L15" s="13">
        <f>推售计划!K30/1.09*0.07</f>
        <v>0</v>
      </c>
      <c r="M15" s="13">
        <f>推售计划!L30/1.09*0.07</f>
        <v>0</v>
      </c>
      <c r="N15" s="13">
        <f>推售计划!M30/1.09*0.07</f>
        <v>291.458943458317</v>
      </c>
      <c r="O15" s="13">
        <f>推售计划!N30/1.09*0.07</f>
        <v>613.097066703231</v>
      </c>
      <c r="P15" s="13">
        <f>推售计划!O30/1.09*0.07</f>
        <v>685.327410291185</v>
      </c>
      <c r="Q15" s="13">
        <f>推售计划!P30/1.09*0.07</f>
        <v>171.378487420223</v>
      </c>
      <c r="R15" s="13">
        <f>推售计划!Q30/1.09*0.07</f>
        <v>119.55801067511</v>
      </c>
      <c r="S15" s="13">
        <f>推售计划!R30/1.09*0.07</f>
        <v>67.1430637814121</v>
      </c>
      <c r="T15" s="13">
        <f>推售计划!S30/1.09*0.07</f>
        <v>64.443212888911</v>
      </c>
      <c r="U15" s="13">
        <f>推售计划!T30/1.09*0.07</f>
        <v>118.631157484045</v>
      </c>
      <c r="V15" s="13">
        <f>推售计划!U30/1.09*0.07</f>
        <v>194.206156985441</v>
      </c>
      <c r="W15" s="13">
        <f>推售计划!V30/1.09*0.07</f>
        <v>218.011014614081</v>
      </c>
      <c r="X15" s="13">
        <f>推售计划!W30/1.09*0.07</f>
        <v>203.846994066614</v>
      </c>
      <c r="Y15" s="13">
        <f>推售计划!X30/1.09*0.07</f>
        <v>162.100407189868</v>
      </c>
      <c r="Z15" s="13">
        <f>推售计划!Y30/1.09*0.07</f>
        <v>152.177521938572</v>
      </c>
      <c r="AA15" s="13">
        <f>推售计划!Z30/1.09*0.07</f>
        <v>175.569287844037</v>
      </c>
      <c r="AB15" s="13">
        <f>推售计划!AA30/1.09*0.07</f>
        <v>135.595698668728</v>
      </c>
      <c r="AC15" s="13">
        <f>推售计划!AB30/1.09*0.07</f>
        <v>83.4124650727962</v>
      </c>
      <c r="AD15" s="13">
        <f>推售计划!AC30/1.09*0.07</f>
        <v>10.2752293577982</v>
      </c>
      <c r="AE15" s="13">
        <f>推售计划!AD30/1.09*0.07</f>
        <v>10.2752293577982</v>
      </c>
      <c r="AF15" s="13">
        <f>推售计划!AE30/1.09*0.07</f>
        <v>12.8440366972477</v>
      </c>
      <c r="AG15" s="13">
        <f>推售计划!AF30/1.09*0.07</f>
        <v>12.8440366972477</v>
      </c>
      <c r="AH15" s="13">
        <f>推售计划!AG30/1.09*0.07</f>
        <v>14.3853211009174</v>
      </c>
      <c r="AI15" s="13">
        <f>推售计划!AH30/1.09*0.07</f>
        <v>12.8440366972477</v>
      </c>
      <c r="AJ15" s="13">
        <f>推售计划!AI30/1.09*0.07</f>
        <v>12.8440366972477</v>
      </c>
      <c r="AK15" s="13">
        <f>推售计划!AJ30/1.09*0.07</f>
        <v>12.8440366972477</v>
      </c>
      <c r="AL15" s="13">
        <f>推售计划!AK30/1.09*0.07</f>
        <v>15.4128440366972</v>
      </c>
      <c r="AM15" s="13">
        <f>推售计划!AL30/1.09*0.07</f>
        <v>10.2752293577982</v>
      </c>
      <c r="AN15" s="13">
        <v>-163.75</v>
      </c>
      <c r="AO15" s="13"/>
      <c r="AP15" s="13">
        <f t="shared" ref="AP15:BE15" si="6">AO6/1.09*0.06</f>
        <v>0</v>
      </c>
      <c r="AQ15" s="13">
        <f t="shared" si="6"/>
        <v>0</v>
      </c>
      <c r="AR15" s="13">
        <f t="shared" si="6"/>
        <v>0</v>
      </c>
      <c r="AS15" s="13">
        <f t="shared" si="6"/>
        <v>0</v>
      </c>
      <c r="AT15" s="13">
        <f t="shared" si="6"/>
        <v>0</v>
      </c>
      <c r="AU15" s="13">
        <f t="shared" si="6"/>
        <v>0</v>
      </c>
      <c r="AV15" s="13">
        <f t="shared" si="6"/>
        <v>0</v>
      </c>
      <c r="AW15" s="13">
        <f t="shared" si="6"/>
        <v>0</v>
      </c>
      <c r="AX15" s="13">
        <f t="shared" si="6"/>
        <v>0</v>
      </c>
      <c r="AY15" s="13">
        <f t="shared" si="6"/>
        <v>0</v>
      </c>
      <c r="AZ15" s="13">
        <f t="shared" si="6"/>
        <v>0</v>
      </c>
      <c r="BA15" s="13">
        <f t="shared" si="6"/>
        <v>0</v>
      </c>
      <c r="BB15" s="13">
        <f t="shared" si="6"/>
        <v>0</v>
      </c>
      <c r="BC15" s="13">
        <f t="shared" si="6"/>
        <v>0</v>
      </c>
      <c r="BD15" s="13">
        <f t="shared" si="6"/>
        <v>0</v>
      </c>
      <c r="BE15" s="13">
        <f t="shared" si="6"/>
        <v>0</v>
      </c>
      <c r="BF15" s="13">
        <f t="shared" si="5"/>
        <v>4052.83075229358</v>
      </c>
      <c r="BG15" s="13">
        <f t="shared" si="3"/>
        <v>0.39702168115673</v>
      </c>
    </row>
    <row r="16" s="2" customFormat="1" ht="29" customHeight="1" spans="1:59">
      <c r="A16" s="11" t="s">
        <v>963</v>
      </c>
      <c r="B16" s="12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>
        <f>(推售计划!L29-推售计划!L26)*0.01</f>
        <v>0</v>
      </c>
      <c r="N16" s="13">
        <f>(推售计划!M29-推售计划!M26)*0.01</f>
        <v>0</v>
      </c>
      <c r="O16" s="13">
        <f>(推售计划!N29-推售计划!N26)*0.01</f>
        <v>87.1101347282609</v>
      </c>
      <c r="P16" s="13">
        <f>(推售计划!O29-推售计划!O26)*0.01</f>
        <v>96.8609446630435</v>
      </c>
      <c r="Q16" s="13">
        <f>(推售计划!P29-推售计划!P26)*0.01</f>
        <v>20.3141873641304</v>
      </c>
      <c r="R16" s="13">
        <f>(推售计划!Q29-推售计划!Q26)*0.01</f>
        <v>17.0639173858696</v>
      </c>
      <c r="S16" s="13">
        <f>(推售计划!R29-推售计划!R26)*0.01</f>
        <v>8.12567494565218</v>
      </c>
      <c r="T16" s="13">
        <f>(推售计划!S29-推售计划!S26)*0.01</f>
        <v>4.06283747282609</v>
      </c>
      <c r="U16" s="13">
        <f>(推售计划!T29-推售计划!T26)*0.01</f>
        <v>8.93824244021739</v>
      </c>
      <c r="V16" s="13">
        <f>(推售计划!U29-推售计划!U26)*0.01</f>
        <v>17.0639173858696</v>
      </c>
      <c r="W16" s="13">
        <f>(推售计划!V29-推售计划!V26)*0.01</f>
        <v>25.1895923315217</v>
      </c>
      <c r="X16" s="13">
        <f>(推售计划!W29-推售计划!W26)*0.01</f>
        <v>24.3770248369565</v>
      </c>
      <c r="Y16" s="13">
        <f>(推售计划!X29-推售计划!X26)*0.01</f>
        <v>17.8764848804348</v>
      </c>
      <c r="Z16" s="13">
        <f>(推售计划!Y29-推售计划!Y26)*0.01</f>
        <v>16.2513498913044</v>
      </c>
      <c r="AA16" s="13">
        <f>(推售计划!Z29-推售计划!Z26)*0.01</f>
        <v>16.2513498913044</v>
      </c>
      <c r="AB16" s="13">
        <f>(推售计划!AA29-推售计划!AA26)*0.01</f>
        <v>20.3141873641304</v>
      </c>
      <c r="AC16" s="13">
        <f>(推售计划!AB29-推售计划!AB26)*0.01</f>
        <v>12.1885124184783</v>
      </c>
      <c r="AD16" s="13">
        <f>(推售计划!AC29-推售计划!AC26)*0.01</f>
        <v>0</v>
      </c>
      <c r="AE16" s="13">
        <f>(推售计划!AD29-推售计划!AD26)*0.01</f>
        <v>0</v>
      </c>
      <c r="AF16" s="13">
        <f>(推售计划!AE29-推售计划!AE26)*0.01</f>
        <v>0</v>
      </c>
      <c r="AG16" s="13">
        <f>(推售计划!AF29-推售计划!AF26)*0.01</f>
        <v>0</v>
      </c>
      <c r="AH16" s="13">
        <f>(推售计划!AG29-推售计划!AG26)*0.01</f>
        <v>0</v>
      </c>
      <c r="AI16" s="13">
        <f>(推售计划!AH29-推售计划!AH26)*0.01</f>
        <v>0</v>
      </c>
      <c r="AJ16" s="13">
        <f>(推售计划!AI29-推售计划!AI26)*0.01</f>
        <v>0</v>
      </c>
      <c r="AK16" s="13">
        <f>(推售计划!AJ29-推售计划!AJ26)*0.01</f>
        <v>0</v>
      </c>
      <c r="AL16" s="13">
        <f>(推售计划!AK29-推售计划!AK26)*0.01</f>
        <v>0</v>
      </c>
      <c r="AM16" s="13">
        <f>(推售计划!AL29-推售计划!AL26)*0.01</f>
        <v>0</v>
      </c>
      <c r="AN16" s="13">
        <v>-392.33</v>
      </c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4"/>
      <c r="BC16" s="14"/>
      <c r="BD16" s="14"/>
      <c r="BE16" s="14"/>
      <c r="BF16" s="13">
        <f t="shared" si="5"/>
        <v>-0.341641999999979</v>
      </c>
      <c r="BG16" s="13">
        <f t="shared" si="3"/>
        <v>0.341641999999979</v>
      </c>
    </row>
    <row r="17" s="2" customFormat="1" ht="29" customHeight="1" spans="1:59">
      <c r="A17" s="11" t="s">
        <v>964</v>
      </c>
      <c r="B17" s="12"/>
      <c r="C17" s="13"/>
      <c r="D17" s="13"/>
      <c r="E17" s="14"/>
      <c r="F17" s="14"/>
      <c r="G17" s="14"/>
      <c r="H17" s="14"/>
      <c r="I17" s="14"/>
      <c r="J17" s="14"/>
      <c r="K17" s="14"/>
      <c r="L17" s="13">
        <v>9900</v>
      </c>
      <c r="M17" s="14">
        <f>M7</f>
        <v>3482.43211956522</v>
      </c>
      <c r="N17" s="14">
        <f t="shared" ref="M17:AH17" si="7">N7</f>
        <v>9546.79718152174</v>
      </c>
      <c r="O17" s="14">
        <f t="shared" si="7"/>
        <v>10591.5268173913</v>
      </c>
      <c r="P17" s="14">
        <f t="shared" si="7"/>
        <v>2588.60787554348</v>
      </c>
      <c r="Q17" s="14">
        <f t="shared" si="7"/>
        <v>1845.68902336957</v>
      </c>
      <c r="R17" s="14">
        <f t="shared" si="7"/>
        <v>1021.51342173913</v>
      </c>
      <c r="S17" s="14">
        <f t="shared" si="7"/>
        <v>963.472886413044</v>
      </c>
      <c r="T17" s="14">
        <f t="shared" si="7"/>
        <v>1799.2565951087</v>
      </c>
      <c r="U17" s="14">
        <f t="shared" si="7"/>
        <v>2960.06730163044</v>
      </c>
      <c r="V17" s="14">
        <f t="shared" si="7"/>
        <v>3354.74294184783</v>
      </c>
      <c r="W17" s="14">
        <f t="shared" si="7"/>
        <v>3134.1889076087</v>
      </c>
      <c r="X17" s="14">
        <f t="shared" si="7"/>
        <v>2484.13491195652</v>
      </c>
      <c r="Y17" s="14">
        <f t="shared" si="7"/>
        <v>2321.62141304348</v>
      </c>
      <c r="Z17" s="14">
        <f t="shared" si="7"/>
        <v>2669.864625</v>
      </c>
      <c r="AA17" s="14">
        <f t="shared" si="7"/>
        <v>2031.41873641304</v>
      </c>
      <c r="AB17" s="14">
        <f t="shared" si="7"/>
        <v>1218.85124184783</v>
      </c>
      <c r="AC17" s="14">
        <f t="shared" si="7"/>
        <v>0</v>
      </c>
      <c r="AD17" s="14">
        <f t="shared" si="7"/>
        <v>0</v>
      </c>
      <c r="AE17" s="14">
        <f t="shared" si="7"/>
        <v>0</v>
      </c>
      <c r="AF17" s="14">
        <f t="shared" si="7"/>
        <v>0</v>
      </c>
      <c r="AG17" s="14">
        <f t="shared" si="7"/>
        <v>0</v>
      </c>
      <c r="AH17" s="14">
        <f t="shared" si="7"/>
        <v>0</v>
      </c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/>
      <c r="BE17" s="14"/>
      <c r="BF17" s="13">
        <f t="shared" si="5"/>
        <v>61914.186</v>
      </c>
      <c r="BG17" s="13">
        <f t="shared" si="3"/>
        <v>-61914.186</v>
      </c>
    </row>
    <row r="18" s="2" customFormat="1" ht="29" customHeight="1" spans="1:60">
      <c r="A18" s="11" t="s">
        <v>965</v>
      </c>
      <c r="B18" s="12"/>
      <c r="C18" s="13"/>
      <c r="D18" s="13"/>
      <c r="E18" s="14"/>
      <c r="F18" s="14"/>
      <c r="G18" s="14"/>
      <c r="H18" s="14"/>
      <c r="I18" s="14"/>
      <c r="J18" s="14"/>
      <c r="K18" s="14"/>
      <c r="L18" s="13"/>
      <c r="M18" s="14">
        <f>-(L17-监管资金节点!Q16*0.45)</f>
        <v>-6895.3536</v>
      </c>
      <c r="N18" s="14">
        <f>-(M17-监管资金节点!Q5*0.45-监管资金节点!Q6*0.45)</f>
        <v>-1501.31518043478</v>
      </c>
      <c r="O18" s="14">
        <f>-(N17-监管资金节点!Q4*0.8)</f>
        <v>-7785.80434673913</v>
      </c>
      <c r="P18" s="14">
        <f>-O17-(监管资金节点!Q16+监管资金节点!Q5+监管资金节点!Q6)*0.1</f>
        <v>-11699.474226087</v>
      </c>
      <c r="Q18" s="14">
        <f>-P17</f>
        <v>-2588.60787554348</v>
      </c>
      <c r="R18" s="14">
        <f>-Q17</f>
        <v>-1845.68902336957</v>
      </c>
      <c r="S18" s="14">
        <f>-监管资金节点!Q4*0.35</f>
        <v>-770.434365217391</v>
      </c>
      <c r="T18" s="14">
        <f>-(监管资金节点!Q16+监管资金节点!Q5+监管资金节点!Q6)*0.05-S17-R17</f>
        <v>-2538.9600125</v>
      </c>
      <c r="U18" s="14">
        <f>-(T17-监管资金节点!Q3*0.45)</f>
        <v>-808.698125543478</v>
      </c>
      <c r="V18" s="14">
        <f>-(U17-监管资金节点!Q12*0.45)-(监管资金节点!Q16+监管资金节点!Q5+监管资金节点!Q6)*0.1-(监管资金节点!Q3+监管资金节点!Q4+监管资金节点!Q12)*0.1</f>
        <v>-3737.82855380435</v>
      </c>
      <c r="W18" s="14">
        <f>-V17</f>
        <v>-3354.74294184783</v>
      </c>
      <c r="X18" s="14">
        <f>-(W17-监管资金节点!Q14*0.35)-(监管资金节点!Q3+监管资金节点!Q4+监管资金节点!Q12+监管资金节点!Q14)*0.05</f>
        <v>-2804.00275108696</v>
      </c>
      <c r="Y18" s="14">
        <f>-X17</f>
        <v>-2484.13491195652</v>
      </c>
      <c r="Z18" s="14">
        <f>-Y17-(监管资金节点!Q3+监管资金节点!Q4+监管资金节点!Q12+监管资金节点!Q14)*0.1</f>
        <v>-3202.11783043478</v>
      </c>
      <c r="AA18" s="14">
        <f>-Z17</f>
        <v>-2669.864625</v>
      </c>
      <c r="AB18" s="14"/>
      <c r="AC18" s="14">
        <f>-(监管资金节点!Q16+监管资金节点!Q17)*(20%-10%)</f>
        <v>-1988.44382608696</v>
      </c>
      <c r="AD18" s="14">
        <v>-3243.57</v>
      </c>
      <c r="AE18" s="14"/>
      <c r="AF18" s="14"/>
      <c r="AG18" s="14">
        <f>-(监管资金节点!Q16+监管资金节点!Q17)*(10%-5%)</f>
        <v>-994.221913043478</v>
      </c>
      <c r="AH18" s="14"/>
      <c r="AI18" s="14"/>
      <c r="AJ18" s="14"/>
      <c r="AK18" s="14"/>
      <c r="AL18" s="14"/>
      <c r="AM18" s="14">
        <f>-(监管资金节点!Q16+监管资金节点!Q17)*5%</f>
        <v>-994.221913043478</v>
      </c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  <c r="BF18" s="13">
        <f t="shared" si="5"/>
        <v>-61907.4860217391</v>
      </c>
      <c r="BG18" s="13">
        <f t="shared" si="3"/>
        <v>61907.4860217391</v>
      </c>
      <c r="BH18" s="21">
        <f>SUM(BG17:BG18)</f>
        <v>-6.69997826087638</v>
      </c>
    </row>
    <row r="19" s="2" customFormat="1" ht="29" customHeight="1" spans="1:59">
      <c r="A19" s="11" t="s">
        <v>212</v>
      </c>
      <c r="B19" s="12"/>
      <c r="C19" s="13"/>
      <c r="D19" s="13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33"/>
      <c r="V19" s="14"/>
      <c r="W19" s="14"/>
      <c r="X19" s="14"/>
      <c r="Y19" s="33"/>
      <c r="Z19" s="33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4"/>
      <c r="AV19" s="14"/>
      <c r="AW19" s="14"/>
      <c r="AX19" s="14"/>
      <c r="AY19" s="14"/>
      <c r="AZ19" s="14"/>
      <c r="BA19" s="14"/>
      <c r="BB19" s="14"/>
      <c r="BC19" s="14"/>
      <c r="BD19" s="14"/>
      <c r="BE19" s="14"/>
      <c r="BF19" s="13">
        <f t="shared" si="5"/>
        <v>0</v>
      </c>
      <c r="BG19" s="13">
        <f t="shared" si="3"/>
        <v>0</v>
      </c>
    </row>
    <row r="20" s="2" customFormat="1" ht="29" customHeight="1" spans="1:59">
      <c r="A20" s="11" t="s">
        <v>966</v>
      </c>
      <c r="B20" s="12">
        <f>B6-B9</f>
        <v>1458.82569881883</v>
      </c>
      <c r="C20" s="12">
        <f t="shared" ref="C20:BF20" si="8">C5+C6-C9</f>
        <v>-4270.51293204</v>
      </c>
      <c r="D20" s="12">
        <f t="shared" si="8"/>
        <v>-4270.51293204</v>
      </c>
      <c r="E20" s="12">
        <f t="shared" si="8"/>
        <v>-4270.51293204</v>
      </c>
      <c r="F20" s="12">
        <f t="shared" si="8"/>
        <v>-4270.51293204</v>
      </c>
      <c r="G20" s="12">
        <f t="shared" si="8"/>
        <v>-4522.40299937333</v>
      </c>
      <c r="H20" s="12">
        <f t="shared" si="8"/>
        <v>-5086.37141670667</v>
      </c>
      <c r="I20" s="12">
        <f t="shared" si="8"/>
        <v>-2752.2492321</v>
      </c>
      <c r="J20" s="12">
        <f t="shared" si="8"/>
        <v>-3527.81918594709</v>
      </c>
      <c r="K20" s="12">
        <f t="shared" si="8"/>
        <v>-3921.86532446043</v>
      </c>
      <c r="L20" s="12">
        <f t="shared" si="8"/>
        <v>-26055.7544219517</v>
      </c>
      <c r="M20" s="12">
        <f t="shared" si="8"/>
        <v>-20550.4101604651</v>
      </c>
      <c r="N20" s="12">
        <f t="shared" si="8"/>
        <v>-20658.0645291619</v>
      </c>
      <c r="O20" s="12">
        <f t="shared" si="8"/>
        <v>-14161.4635223676</v>
      </c>
      <c r="P20" s="12">
        <f t="shared" si="8"/>
        <v>-4330.41785641491</v>
      </c>
      <c r="Q20" s="12">
        <f t="shared" si="8"/>
        <v>-2190.84345271978</v>
      </c>
      <c r="R20" s="12">
        <f t="shared" si="8"/>
        <v>-704.375840239197</v>
      </c>
      <c r="S20" s="12">
        <f t="shared" si="8"/>
        <v>-1062.09624722887</v>
      </c>
      <c r="T20" s="12">
        <f t="shared" si="8"/>
        <v>775.260481429392</v>
      </c>
      <c r="U20" s="12">
        <f t="shared" si="8"/>
        <v>751.972458568609</v>
      </c>
      <c r="V20" s="12">
        <f t="shared" si="8"/>
        <v>2014.19130452165</v>
      </c>
      <c r="W20" s="12">
        <f t="shared" si="8"/>
        <v>1193.80600918127</v>
      </c>
      <c r="X20" s="12">
        <f t="shared" si="8"/>
        <v>1597.13430403806</v>
      </c>
      <c r="Y20" s="12">
        <f t="shared" si="8"/>
        <v>2450.23094636968</v>
      </c>
      <c r="Z20" s="12">
        <f t="shared" si="8"/>
        <v>3332.31277167598</v>
      </c>
      <c r="AA20" s="12">
        <f t="shared" si="8"/>
        <v>5333.41321709804</v>
      </c>
      <c r="AB20" s="12">
        <f t="shared" si="8"/>
        <v>4555.28612247592</v>
      </c>
      <c r="AC20" s="12">
        <f t="shared" si="8"/>
        <v>5800.94662764833</v>
      </c>
      <c r="AD20" s="12">
        <f t="shared" si="8"/>
        <v>8732.63215549127</v>
      </c>
      <c r="AE20" s="12">
        <f t="shared" si="8"/>
        <v>7039.4562476466</v>
      </c>
      <c r="AF20" s="12">
        <f t="shared" si="8"/>
        <v>5460.29183406249</v>
      </c>
      <c r="AG20" s="12">
        <f t="shared" si="8"/>
        <v>5313.92883052185</v>
      </c>
      <c r="AH20" s="12">
        <f t="shared" si="8"/>
        <v>5438.87362953407</v>
      </c>
      <c r="AI20" s="12">
        <f t="shared" si="8"/>
        <v>5591.63775634443</v>
      </c>
      <c r="AJ20" s="12">
        <f t="shared" si="8"/>
        <v>5732.15188315479</v>
      </c>
      <c r="AK20" s="12">
        <f t="shared" si="8"/>
        <v>5932.13600996515</v>
      </c>
      <c r="AL20" s="12">
        <f t="shared" si="8"/>
        <v>6056.03132943606</v>
      </c>
      <c r="AM20" s="12">
        <f t="shared" si="8"/>
        <v>7181.43617662935</v>
      </c>
      <c r="AN20" s="12">
        <f t="shared" si="8"/>
        <v>1464.71917873393</v>
      </c>
      <c r="AO20" s="12">
        <f t="shared" si="8"/>
        <v>1464.71917873393</v>
      </c>
      <c r="AP20" s="12">
        <f t="shared" si="8"/>
        <v>1464.71917873393</v>
      </c>
      <c r="AQ20" s="12">
        <f t="shared" si="8"/>
        <v>1464.71917873393</v>
      </c>
      <c r="AR20" s="12">
        <f t="shared" si="8"/>
        <v>1464.71917873393</v>
      </c>
      <c r="AS20" s="12">
        <f t="shared" si="8"/>
        <v>1464.71917873393</v>
      </c>
      <c r="AT20" s="12">
        <f t="shared" si="8"/>
        <v>1464.71917873393</v>
      </c>
      <c r="AU20" s="12">
        <f t="shared" si="8"/>
        <v>1464.71917873393</v>
      </c>
      <c r="AV20" s="12">
        <f t="shared" si="8"/>
        <v>1464.71917873393</v>
      </c>
      <c r="AW20" s="12">
        <f t="shared" si="8"/>
        <v>1464.71917873393</v>
      </c>
      <c r="AX20" s="12">
        <f t="shared" si="8"/>
        <v>1464.71917873393</v>
      </c>
      <c r="AY20" s="12">
        <f t="shared" si="8"/>
        <v>1464.71917873393</v>
      </c>
      <c r="AZ20" s="12">
        <f t="shared" si="8"/>
        <v>1464.71917873393</v>
      </c>
      <c r="BA20" s="12">
        <f t="shared" si="8"/>
        <v>1464.71917873393</v>
      </c>
      <c r="BB20" s="12">
        <f t="shared" si="8"/>
        <v>1464.71917873393</v>
      </c>
      <c r="BC20" s="12">
        <f t="shared" si="8"/>
        <v>1464.71917873393</v>
      </c>
      <c r="BD20" s="12">
        <f t="shared" si="8"/>
        <v>1464.71917873393</v>
      </c>
      <c r="BE20" s="12">
        <f t="shared" si="8"/>
        <v>1464.71917873393</v>
      </c>
      <c r="BF20" s="12">
        <f t="shared" si="8"/>
        <v>1464.71917873398</v>
      </c>
      <c r="BG20" s="12">
        <f t="shared" si="3"/>
        <v>-5.89347991515046</v>
      </c>
    </row>
    <row r="21" s="2" customFormat="1" ht="29" customHeight="1" spans="1:59">
      <c r="A21" s="11" t="s">
        <v>967</v>
      </c>
      <c r="B21" s="12">
        <f>B20</f>
        <v>1458.82569881883</v>
      </c>
      <c r="C21" s="12">
        <f t="shared" ref="C21:BF21" si="9">C6-C9</f>
        <v>-4270.51293204</v>
      </c>
      <c r="D21" s="12">
        <f t="shared" si="9"/>
        <v>0</v>
      </c>
      <c r="E21" s="12">
        <f t="shared" si="9"/>
        <v>0</v>
      </c>
      <c r="F21" s="12">
        <f t="shared" si="9"/>
        <v>0</v>
      </c>
      <c r="G21" s="12">
        <f t="shared" si="9"/>
        <v>-251.890067333333</v>
      </c>
      <c r="H21" s="12">
        <f t="shared" si="9"/>
        <v>-563.968417333333</v>
      </c>
      <c r="I21" s="12">
        <f t="shared" si="9"/>
        <v>2334.12218460667</v>
      </c>
      <c r="J21" s="12">
        <f t="shared" si="9"/>
        <v>-775.569953847095</v>
      </c>
      <c r="K21" s="12">
        <f t="shared" si="9"/>
        <v>-394.046138513333</v>
      </c>
      <c r="L21" s="12">
        <f t="shared" si="9"/>
        <v>-22133.8890974913</v>
      </c>
      <c r="M21" s="12">
        <f t="shared" si="9"/>
        <v>5505.34426148667</v>
      </c>
      <c r="N21" s="12">
        <f t="shared" si="9"/>
        <v>-107.654368696869</v>
      </c>
      <c r="O21" s="12">
        <f t="shared" si="9"/>
        <v>6496.60100679431</v>
      </c>
      <c r="P21" s="12">
        <f t="shared" si="9"/>
        <v>9831.04566595273</v>
      </c>
      <c r="Q21" s="12">
        <f t="shared" si="9"/>
        <v>2139.57440369512</v>
      </c>
      <c r="R21" s="12">
        <f t="shared" si="9"/>
        <v>1486.46761248059</v>
      </c>
      <c r="S21" s="12">
        <f t="shared" si="9"/>
        <v>-357.720406989673</v>
      </c>
      <c r="T21" s="12">
        <f t="shared" si="9"/>
        <v>1837.35672865826</v>
      </c>
      <c r="U21" s="12">
        <f t="shared" si="9"/>
        <v>-23.2880228607837</v>
      </c>
      <c r="V21" s="12">
        <f t="shared" si="9"/>
        <v>1262.21884595304</v>
      </c>
      <c r="W21" s="12">
        <f t="shared" si="9"/>
        <v>-820.385295340376</v>
      </c>
      <c r="X21" s="12">
        <f t="shared" si="9"/>
        <v>403.328294856788</v>
      </c>
      <c r="Y21" s="12">
        <f t="shared" si="9"/>
        <v>853.096642331619</v>
      </c>
      <c r="Z21" s="12">
        <f t="shared" si="9"/>
        <v>882.081825306306</v>
      </c>
      <c r="AA21" s="12">
        <f t="shared" si="9"/>
        <v>2001.10044542206</v>
      </c>
      <c r="AB21" s="12">
        <f t="shared" si="9"/>
        <v>-778.127094622125</v>
      </c>
      <c r="AC21" s="12">
        <f t="shared" si="9"/>
        <v>1245.66050517242</v>
      </c>
      <c r="AD21" s="12">
        <f t="shared" si="9"/>
        <v>2931.68552784294</v>
      </c>
      <c r="AE21" s="12">
        <f t="shared" si="9"/>
        <v>-1693.17590784467</v>
      </c>
      <c r="AF21" s="12">
        <f t="shared" si="9"/>
        <v>-1579.16441358411</v>
      </c>
      <c r="AG21" s="12">
        <f t="shared" si="9"/>
        <v>-146.363003540636</v>
      </c>
      <c r="AH21" s="12">
        <f t="shared" si="9"/>
        <v>124.944799012216</v>
      </c>
      <c r="AI21" s="12">
        <f t="shared" si="9"/>
        <v>152.764126810362</v>
      </c>
      <c r="AJ21" s="12">
        <f t="shared" si="9"/>
        <v>140.514126810362</v>
      </c>
      <c r="AK21" s="12">
        <f t="shared" si="9"/>
        <v>199.984126810362</v>
      </c>
      <c r="AL21" s="12">
        <f t="shared" si="9"/>
        <v>123.895319470912</v>
      </c>
      <c r="AM21" s="12">
        <f t="shared" si="9"/>
        <v>1125.40484719329</v>
      </c>
      <c r="AN21" s="12">
        <f t="shared" si="9"/>
        <v>-5716.71699789542</v>
      </c>
      <c r="AO21" s="12">
        <f t="shared" si="9"/>
        <v>0</v>
      </c>
      <c r="AP21" s="12">
        <f t="shared" si="9"/>
        <v>0</v>
      </c>
      <c r="AQ21" s="12">
        <f t="shared" si="9"/>
        <v>0</v>
      </c>
      <c r="AR21" s="12">
        <f t="shared" si="9"/>
        <v>0</v>
      </c>
      <c r="AS21" s="12">
        <f t="shared" si="9"/>
        <v>0</v>
      </c>
      <c r="AT21" s="12">
        <f t="shared" si="9"/>
        <v>0</v>
      </c>
      <c r="AU21" s="12">
        <f t="shared" si="9"/>
        <v>0</v>
      </c>
      <c r="AV21" s="12">
        <f t="shared" si="9"/>
        <v>0</v>
      </c>
      <c r="AW21" s="12">
        <f t="shared" si="9"/>
        <v>0</v>
      </c>
      <c r="AX21" s="12">
        <f t="shared" si="9"/>
        <v>0</v>
      </c>
      <c r="AY21" s="12">
        <f t="shared" si="9"/>
        <v>0</v>
      </c>
      <c r="AZ21" s="12">
        <f t="shared" si="9"/>
        <v>0</v>
      </c>
      <c r="BA21" s="12">
        <f t="shared" si="9"/>
        <v>0</v>
      </c>
      <c r="BB21" s="12">
        <f t="shared" si="9"/>
        <v>0</v>
      </c>
      <c r="BC21" s="12">
        <f t="shared" si="9"/>
        <v>0</v>
      </c>
      <c r="BD21" s="12">
        <f t="shared" si="9"/>
        <v>0</v>
      </c>
      <c r="BE21" s="12">
        <f t="shared" si="9"/>
        <v>0</v>
      </c>
      <c r="BF21" s="12">
        <f t="shared" si="9"/>
        <v>1464.71917873398</v>
      </c>
      <c r="BG21" s="12"/>
    </row>
    <row r="22" s="2" customFormat="1" ht="29" customHeight="1" spans="1:59">
      <c r="A22" s="15" t="s">
        <v>968</v>
      </c>
      <c r="B22" s="16">
        <f>IRR(C21:AZ21,)*12</f>
        <v>0.188712524208835</v>
      </c>
      <c r="C22" s="16"/>
      <c r="D22" s="16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3"/>
      <c r="P22" s="14"/>
      <c r="Q22" s="34"/>
      <c r="R22" s="34"/>
      <c r="S22" s="34"/>
      <c r="T22" s="35" t="s">
        <v>969</v>
      </c>
      <c r="U22" s="13"/>
      <c r="V22" s="33"/>
      <c r="X22" s="13"/>
      <c r="Y22" s="34"/>
      <c r="Z22" s="34"/>
      <c r="AB22" s="14"/>
      <c r="AC22" s="14"/>
      <c r="AD22" s="13"/>
      <c r="AE22" s="13"/>
      <c r="AF22" s="13"/>
      <c r="AG22" s="13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14"/>
      <c r="BC22" s="14"/>
      <c r="BD22" s="14"/>
      <c r="BE22" s="14"/>
      <c r="BF22" s="13">
        <f>SUM(E22:BE22)</f>
        <v>0</v>
      </c>
      <c r="BG22" s="14">
        <v>0</v>
      </c>
    </row>
    <row r="23" s="2" customFormat="1" ht="29" customHeight="1" spans="1:59">
      <c r="A23" s="15" t="s">
        <v>970</v>
      </c>
      <c r="B23" s="14"/>
      <c r="C23" s="17">
        <v>1</v>
      </c>
      <c r="D23" s="17">
        <v>2</v>
      </c>
      <c r="E23" s="17">
        <v>3</v>
      </c>
      <c r="F23" s="17">
        <v>4</v>
      </c>
      <c r="G23" s="17">
        <v>5</v>
      </c>
      <c r="H23" s="17">
        <v>6</v>
      </c>
      <c r="I23" s="17">
        <v>7</v>
      </c>
      <c r="J23" s="17">
        <v>8</v>
      </c>
      <c r="K23" s="17">
        <v>9</v>
      </c>
      <c r="L23" s="17">
        <v>10</v>
      </c>
      <c r="M23" s="17">
        <v>11</v>
      </c>
      <c r="N23" s="17">
        <v>12</v>
      </c>
      <c r="O23" s="17">
        <v>13</v>
      </c>
      <c r="P23" s="17">
        <v>14</v>
      </c>
      <c r="Q23" s="17">
        <v>15</v>
      </c>
      <c r="R23" s="17">
        <v>16</v>
      </c>
      <c r="S23" s="17">
        <v>17</v>
      </c>
      <c r="T23" s="17">
        <v>18</v>
      </c>
      <c r="U23" s="36">
        <v>19</v>
      </c>
      <c r="V23" s="17">
        <v>20</v>
      </c>
      <c r="W23" s="17">
        <v>21</v>
      </c>
      <c r="X23" s="17">
        <v>22</v>
      </c>
      <c r="Y23" s="17">
        <v>23</v>
      </c>
      <c r="Z23" s="17">
        <v>24</v>
      </c>
      <c r="AA23" s="17">
        <v>25</v>
      </c>
      <c r="AB23" s="17">
        <v>26</v>
      </c>
      <c r="AC23" s="17">
        <v>27</v>
      </c>
      <c r="AD23" s="17">
        <v>28</v>
      </c>
      <c r="AE23" s="17">
        <v>29</v>
      </c>
      <c r="AF23" s="17">
        <v>30</v>
      </c>
      <c r="AG23" s="17">
        <v>31</v>
      </c>
      <c r="AH23" s="17">
        <v>32</v>
      </c>
      <c r="AI23" s="17">
        <v>33</v>
      </c>
      <c r="AJ23" s="17">
        <v>34</v>
      </c>
      <c r="AK23" s="17">
        <v>35</v>
      </c>
      <c r="AL23" s="17">
        <v>36</v>
      </c>
      <c r="AM23" s="17">
        <v>37</v>
      </c>
      <c r="AN23" s="17">
        <v>38</v>
      </c>
      <c r="AO23" s="17">
        <v>39</v>
      </c>
      <c r="AP23" s="17">
        <v>40</v>
      </c>
      <c r="AQ23" s="17">
        <v>41</v>
      </c>
      <c r="AR23" s="17">
        <v>42</v>
      </c>
      <c r="AS23" s="17">
        <v>43</v>
      </c>
      <c r="AT23" s="17">
        <v>44</v>
      </c>
      <c r="AU23" s="17">
        <v>45</v>
      </c>
      <c r="AV23" s="17">
        <v>46</v>
      </c>
      <c r="AW23" s="17">
        <v>47</v>
      </c>
      <c r="AX23" s="17">
        <v>48</v>
      </c>
      <c r="AY23" s="14"/>
      <c r="AZ23" s="14"/>
      <c r="BA23" s="14"/>
      <c r="BB23" s="14"/>
      <c r="BC23" s="14"/>
      <c r="BD23" s="14"/>
      <c r="BE23" s="14"/>
      <c r="BF23" s="13"/>
      <c r="BG23" s="14"/>
    </row>
    <row r="24" s="2" customFormat="1" ht="28" customHeight="1" spans="9:15">
      <c r="I24" s="6"/>
      <c r="M24" s="2" t="s">
        <v>971</v>
      </c>
      <c r="O24" s="26"/>
    </row>
    <row r="25" s="6" customFormat="1" ht="22" customHeight="1" spans="1:29">
      <c r="A25" s="6" t="s">
        <v>972</v>
      </c>
      <c r="C25" s="18">
        <f>-C21*$C$27*C26/12</f>
        <v>512.4615518448</v>
      </c>
      <c r="D25" s="18">
        <f>-D21*$C$27*D26/12</f>
        <v>0</v>
      </c>
      <c r="E25" s="18">
        <f t="shared" ref="D25:L25" si="10">-E21*$C$27*E26/12</f>
        <v>0</v>
      </c>
      <c r="F25" s="18">
        <f t="shared" si="10"/>
        <v>0</v>
      </c>
      <c r="G25" s="18">
        <f t="shared" si="10"/>
        <v>23.5097396177778</v>
      </c>
      <c r="H25" s="18">
        <f t="shared" si="10"/>
        <v>48.8772628355555</v>
      </c>
      <c r="I25" s="18">
        <f t="shared" si="10"/>
        <v>-186.729774768534</v>
      </c>
      <c r="J25" s="18">
        <f t="shared" si="10"/>
        <v>56.875129948787</v>
      </c>
      <c r="K25" s="18">
        <f t="shared" si="10"/>
        <v>26.2697425675556</v>
      </c>
      <c r="L25" s="18">
        <f t="shared" si="10"/>
        <v>1328.03334584948</v>
      </c>
      <c r="M25" s="18">
        <f>SUM(C25:L25)</f>
        <v>1809.29699789542</v>
      </c>
      <c r="N25" s="18"/>
      <c r="O25" s="18"/>
      <c r="P25" s="18"/>
      <c r="Q25" s="18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</row>
    <row r="26" s="6" customFormat="1" ht="22" customHeight="1" spans="1:12">
      <c r="A26" s="6" t="s">
        <v>973</v>
      </c>
      <c r="C26" s="6">
        <v>18</v>
      </c>
      <c r="D26" s="6">
        <f t="shared" ref="D26:L26" si="11">C26-1</f>
        <v>17</v>
      </c>
      <c r="E26" s="6">
        <f t="shared" si="11"/>
        <v>16</v>
      </c>
      <c r="F26" s="6">
        <f t="shared" si="11"/>
        <v>15</v>
      </c>
      <c r="G26" s="6">
        <f t="shared" si="11"/>
        <v>14</v>
      </c>
      <c r="H26" s="6">
        <f t="shared" si="11"/>
        <v>13</v>
      </c>
      <c r="I26" s="6">
        <f t="shared" si="11"/>
        <v>12</v>
      </c>
      <c r="J26" s="6">
        <f t="shared" si="11"/>
        <v>11</v>
      </c>
      <c r="K26" s="6">
        <f t="shared" si="11"/>
        <v>10</v>
      </c>
      <c r="L26" s="6">
        <f t="shared" si="11"/>
        <v>9</v>
      </c>
    </row>
    <row r="27" s="6" customFormat="1" ht="22" customHeight="1" spans="1:6">
      <c r="A27" s="6" t="s">
        <v>974</v>
      </c>
      <c r="C27" s="19">
        <f>[7]项目资金筹措!C17</f>
        <v>0.08</v>
      </c>
      <c r="F27" s="20"/>
    </row>
    <row r="28" s="2" customFormat="1" ht="37.15" customHeight="1" spans="3:20">
      <c r="C28" s="21"/>
      <c r="D28" s="21"/>
      <c r="E28" s="21">
        <v>3960</v>
      </c>
      <c r="F28" s="21">
        <v>180</v>
      </c>
      <c r="G28" s="21">
        <f>E28*C27/365*180</f>
        <v>156.230136986301</v>
      </c>
      <c r="H28" s="21"/>
      <c r="I28" s="21"/>
      <c r="J28" s="21"/>
      <c r="K28" s="21"/>
      <c r="L28" s="21"/>
      <c r="M28" s="21">
        <v>38427</v>
      </c>
      <c r="N28" s="21">
        <v>3960</v>
      </c>
      <c r="O28" s="21">
        <f>M28-N28</f>
        <v>34467</v>
      </c>
      <c r="P28" s="21"/>
      <c r="Q28" s="21"/>
      <c r="R28" s="21"/>
      <c r="S28" s="21"/>
      <c r="T28" s="21"/>
    </row>
    <row r="29" s="2" customFormat="1" ht="37.15" customHeight="1" spans="3:20">
      <c r="C29" s="21"/>
      <c r="D29" s="21"/>
      <c r="E29" s="21">
        <v>5940</v>
      </c>
      <c r="F29" s="21">
        <v>90</v>
      </c>
      <c r="G29" s="21">
        <f>E29*C27/365*90</f>
        <v>117.172602739726</v>
      </c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</row>
    <row r="30" s="2" customFormat="1" ht="37.15" customHeight="1" spans="7:14">
      <c r="G30" s="2">
        <f>SUM(G28:G29)</f>
        <v>273.402739726027</v>
      </c>
      <c r="M30" s="2">
        <f>L32+P32</f>
        <v>19334.128</v>
      </c>
      <c r="N30" s="2">
        <f>M30*0.35</f>
        <v>6766.9448</v>
      </c>
    </row>
    <row r="31" s="2" customFormat="1" ht="37.15" customHeight="1" spans="5:17">
      <c r="E31" s="22"/>
      <c r="F31" s="22"/>
      <c r="G31" s="22"/>
      <c r="H31" s="22"/>
      <c r="I31" s="22"/>
      <c r="J31" s="22"/>
      <c r="L31" s="2" t="s">
        <v>877</v>
      </c>
      <c r="M31" s="2" t="s">
        <v>878</v>
      </c>
      <c r="N31" s="2" t="s">
        <v>879</v>
      </c>
      <c r="P31" s="2" t="s">
        <v>880</v>
      </c>
      <c r="Q31" s="2" t="s">
        <v>878</v>
      </c>
    </row>
    <row r="32" s="2" customFormat="1" ht="37.15" customHeight="1" spans="11:17">
      <c r="K32" s="22" t="s">
        <v>884</v>
      </c>
      <c r="L32" s="21">
        <f>4000*经济指标!E10/10000</f>
        <v>6676.992</v>
      </c>
      <c r="M32" s="27">
        <v>1</v>
      </c>
      <c r="N32" s="22" t="s">
        <v>885</v>
      </c>
      <c r="O32" s="22" t="s">
        <v>884</v>
      </c>
      <c r="P32" s="21">
        <f>4000*经济指标!E9/10000</f>
        <v>12657.136</v>
      </c>
      <c r="Q32" s="27">
        <v>1</v>
      </c>
    </row>
    <row r="33" s="2" customFormat="1" ht="37.15" customHeight="1" spans="11:17">
      <c r="K33" s="28" t="s">
        <v>887</v>
      </c>
      <c r="L33" s="29">
        <f t="shared" ref="L33:L44" si="12">$L$32*M33</f>
        <v>5341.5936</v>
      </c>
      <c r="M33" s="30">
        <v>0.8</v>
      </c>
      <c r="N33" s="28"/>
      <c r="O33" s="28" t="s">
        <v>887</v>
      </c>
      <c r="P33" s="29">
        <f t="shared" ref="P33:P44" si="13">$P$32*Q33</f>
        <v>10125.7088</v>
      </c>
      <c r="Q33" s="30">
        <v>0.8</v>
      </c>
    </row>
    <row r="34" s="2" customFormat="1" ht="37.15" customHeight="1" spans="11:17">
      <c r="K34" s="2" t="s">
        <v>891</v>
      </c>
      <c r="L34" s="21">
        <f t="shared" si="12"/>
        <v>5007.744</v>
      </c>
      <c r="M34" s="27">
        <v>0.75</v>
      </c>
      <c r="O34" s="2" t="s">
        <v>891</v>
      </c>
      <c r="P34" s="21">
        <f t="shared" si="13"/>
        <v>9492.852</v>
      </c>
      <c r="Q34" s="27">
        <v>0.75</v>
      </c>
    </row>
    <row r="35" s="2" customFormat="1" ht="37.15" customHeight="1" spans="11:17">
      <c r="K35" s="2" t="s">
        <v>893</v>
      </c>
      <c r="L35" s="21">
        <f t="shared" si="12"/>
        <v>4340.0448</v>
      </c>
      <c r="M35" s="27">
        <v>0.65</v>
      </c>
      <c r="O35" s="2" t="s">
        <v>893</v>
      </c>
      <c r="P35" s="21">
        <f t="shared" si="13"/>
        <v>8227.1384</v>
      </c>
      <c r="Q35" s="27">
        <v>0.65</v>
      </c>
    </row>
    <row r="36" s="2" customFormat="1" ht="37.15" customHeight="1" spans="5:17">
      <c r="E36" s="22"/>
      <c r="F36" s="22"/>
      <c r="G36" s="22"/>
      <c r="H36" s="22"/>
      <c r="I36" s="22"/>
      <c r="J36" s="22"/>
      <c r="K36" s="2" t="s">
        <v>898</v>
      </c>
      <c r="L36" s="21">
        <f t="shared" si="12"/>
        <v>4006.1952</v>
      </c>
      <c r="M36" s="27">
        <v>0.6</v>
      </c>
      <c r="O36" s="2" t="s">
        <v>898</v>
      </c>
      <c r="P36" s="21">
        <f t="shared" si="13"/>
        <v>7594.2816</v>
      </c>
      <c r="Q36" s="27">
        <v>0.6</v>
      </c>
    </row>
    <row r="37" s="2" customFormat="1" ht="37.15" customHeight="1" spans="11:17">
      <c r="K37" s="31" t="s">
        <v>900</v>
      </c>
      <c r="L37" s="29">
        <f t="shared" si="12"/>
        <v>3004.6464</v>
      </c>
      <c r="M37" s="30">
        <v>0.45</v>
      </c>
      <c r="N37" s="31"/>
      <c r="O37" s="31" t="s">
        <v>900</v>
      </c>
      <c r="P37" s="29">
        <f t="shared" si="13"/>
        <v>5695.7112</v>
      </c>
      <c r="Q37" s="30">
        <v>0.45</v>
      </c>
    </row>
    <row r="38" s="2" customFormat="1" ht="37.15" customHeight="1" spans="11:17">
      <c r="K38" s="2" t="s">
        <v>902</v>
      </c>
      <c r="L38" s="21">
        <f t="shared" si="12"/>
        <v>2336.9472</v>
      </c>
      <c r="M38" s="27">
        <v>0.35</v>
      </c>
      <c r="O38" s="2" t="s">
        <v>902</v>
      </c>
      <c r="P38" s="21">
        <f t="shared" si="13"/>
        <v>4429.9976</v>
      </c>
      <c r="Q38" s="27">
        <v>0.35</v>
      </c>
    </row>
    <row r="39" s="2" customFormat="1" ht="37.15" customHeight="1" spans="11:19">
      <c r="K39" s="2" t="s">
        <v>904</v>
      </c>
      <c r="L39" s="21">
        <f t="shared" si="12"/>
        <v>2003.0976</v>
      </c>
      <c r="M39" s="27">
        <v>0.3</v>
      </c>
      <c r="N39" s="2">
        <f>+N40+AA17</f>
        <v>4368.36593641304</v>
      </c>
      <c r="O39" s="2" t="s">
        <v>904</v>
      </c>
      <c r="P39" s="21">
        <f t="shared" si="13"/>
        <v>3797.1408</v>
      </c>
      <c r="Q39" s="27">
        <v>0.3</v>
      </c>
      <c r="S39" s="2">
        <f>L37-L41</f>
        <v>2336.9472</v>
      </c>
    </row>
    <row r="40" s="2" customFormat="1" ht="37.15" customHeight="1" spans="11:19">
      <c r="K40" s="2" t="s">
        <v>907</v>
      </c>
      <c r="L40" s="21">
        <f t="shared" si="12"/>
        <v>1335.3984</v>
      </c>
      <c r="M40" s="27">
        <v>0.2</v>
      </c>
      <c r="N40" s="2">
        <f>L37-L41</f>
        <v>2336.9472</v>
      </c>
      <c r="O40" s="2" t="s">
        <v>907</v>
      </c>
      <c r="P40" s="21">
        <f t="shared" si="13"/>
        <v>2531.4272</v>
      </c>
      <c r="Q40" s="27">
        <v>0.2</v>
      </c>
      <c r="S40" s="2">
        <f>P37-P41</f>
        <v>4429.9976</v>
      </c>
    </row>
    <row r="41" s="2" customFormat="1" ht="37.15" customHeight="1" spans="11:17">
      <c r="K41" s="28" t="s">
        <v>909</v>
      </c>
      <c r="L41" s="29">
        <f t="shared" si="12"/>
        <v>667.6992</v>
      </c>
      <c r="M41" s="30">
        <v>0.1</v>
      </c>
      <c r="N41" s="28">
        <f>M37-M41</f>
        <v>0.35</v>
      </c>
      <c r="O41" s="28" t="s">
        <v>909</v>
      </c>
      <c r="P41" s="29">
        <f t="shared" si="13"/>
        <v>1265.7136</v>
      </c>
      <c r="Q41" s="30">
        <v>0.1</v>
      </c>
    </row>
    <row r="42" s="2" customFormat="1" ht="37.15" customHeight="1" spans="11:17">
      <c r="K42" s="28" t="s">
        <v>911</v>
      </c>
      <c r="L42" s="29">
        <f t="shared" si="12"/>
        <v>333.8496</v>
      </c>
      <c r="M42" s="30">
        <v>0.05</v>
      </c>
      <c r="N42" s="28"/>
      <c r="O42" s="28" t="s">
        <v>911</v>
      </c>
      <c r="P42" s="29">
        <f t="shared" si="13"/>
        <v>632.8568</v>
      </c>
      <c r="Q42" s="30">
        <v>0.05</v>
      </c>
    </row>
    <row r="43" s="2" customFormat="1" ht="37.15" customHeight="1" spans="11:17">
      <c r="K43" s="2" t="s">
        <v>913</v>
      </c>
      <c r="L43" s="21">
        <f t="shared" si="12"/>
        <v>200.30976</v>
      </c>
      <c r="M43" s="27">
        <v>0.03</v>
      </c>
      <c r="O43" s="2" t="s">
        <v>913</v>
      </c>
      <c r="P43" s="21">
        <f t="shared" si="13"/>
        <v>379.71408</v>
      </c>
      <c r="Q43" s="27">
        <v>0.03</v>
      </c>
    </row>
    <row r="44" s="2" customFormat="1" ht="37.15" customHeight="1" spans="11:17">
      <c r="K44" s="2" t="s">
        <v>915</v>
      </c>
      <c r="L44" s="21">
        <f t="shared" si="12"/>
        <v>0</v>
      </c>
      <c r="M44" s="27">
        <v>0</v>
      </c>
      <c r="O44" s="2" t="s">
        <v>915</v>
      </c>
      <c r="P44" s="21">
        <f t="shared" si="13"/>
        <v>0</v>
      </c>
      <c r="Q44" s="27">
        <v>0</v>
      </c>
    </row>
    <row r="45" s="2" customFormat="1" ht="37.15" customHeight="1"/>
    <row r="46" s="2" customFormat="1" ht="37.15" customHeight="1"/>
    <row r="47" s="2" customFormat="1" ht="37.15" customHeight="1"/>
    <row r="48" s="2" customFormat="1" ht="37.15" customHeight="1" spans="10:10">
      <c r="J48" s="21"/>
    </row>
    <row r="49" s="2" customFormat="1" ht="37.15" customHeight="1" spans="10:10">
      <c r="J49" s="21"/>
    </row>
    <row r="50" s="2" customFormat="1" ht="37.15" customHeight="1" spans="10:12">
      <c r="J50" s="21"/>
      <c r="K50" s="2" t="s">
        <v>975</v>
      </c>
      <c r="L50" s="2">
        <v>10000</v>
      </c>
    </row>
    <row r="51" s="2" customFormat="1" ht="37.15" customHeight="1" spans="10:12">
      <c r="J51" s="21"/>
      <c r="K51" s="2" t="s">
        <v>608</v>
      </c>
      <c r="L51" s="21">
        <f>L50/1.09*0.03</f>
        <v>275.229357798165</v>
      </c>
    </row>
    <row r="52" s="2" customFormat="1" ht="37.15" customHeight="1" spans="10:12">
      <c r="J52" s="21"/>
      <c r="K52" s="2" t="s">
        <v>976</v>
      </c>
      <c r="L52" s="21">
        <f>L51*0.12</f>
        <v>33.0275229357798</v>
      </c>
    </row>
    <row r="53" s="2" customFormat="1" ht="37.15" customHeight="1" spans="10:12">
      <c r="J53" s="21"/>
      <c r="K53" s="2" t="s">
        <v>615</v>
      </c>
      <c r="L53" s="21">
        <f>(L50-L51)*0.035</f>
        <v>340.366972477064</v>
      </c>
    </row>
    <row r="54" s="2" customFormat="1" ht="37.15" customHeight="1" spans="10:12">
      <c r="J54" s="21"/>
      <c r="K54" s="2" t="s">
        <v>977</v>
      </c>
      <c r="L54" s="21">
        <f>SUM(L51:L53)</f>
        <v>648.623853211009</v>
      </c>
    </row>
    <row r="55" s="2" customFormat="1" ht="37.15" customHeight="1" spans="10:12">
      <c r="J55" s="27"/>
      <c r="K55" s="2" t="s">
        <v>978</v>
      </c>
      <c r="L55" s="27">
        <f>L54/L50</f>
        <v>0.0648623853211009</v>
      </c>
    </row>
    <row r="56" s="2" customFormat="1" ht="37.15" customHeight="1"/>
    <row r="57" s="2" customFormat="1" ht="37.15" customHeight="1"/>
    <row r="58" s="2" customFormat="1" ht="37.15" customHeight="1"/>
    <row r="59" s="2" customFormat="1" ht="37.15" customHeight="1"/>
    <row r="60" s="2" customFormat="1" ht="37.15" customHeight="1"/>
    <row r="61" s="2" customFormat="1" ht="37.15" customHeight="1"/>
    <row r="62" s="2" customFormat="1" ht="37.15" customHeight="1"/>
    <row r="63" s="2" customFormat="1" ht="37.15" customHeight="1"/>
    <row r="64" s="2" customFormat="1" ht="37.15" customHeight="1"/>
    <row r="65" s="2" customFormat="1" ht="43.15" customHeight="1"/>
  </sheetData>
  <mergeCells count="1">
    <mergeCell ref="A1:D1"/>
  </mergeCells>
  <pageMargins left="0.75" right="0.75" top="1" bottom="1" header="0.5" footer="0.5"/>
  <headerFooter/>
  <drawing r:id="rId2"/>
  <legacyDrawing r:id="rId3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"/>
  <sheetViews>
    <sheetView workbookViewId="0">
      <selection activeCell="M34" sqref="M34"/>
    </sheetView>
  </sheetViews>
  <sheetFormatPr defaultColWidth="9" defaultRowHeight="15.6" outlineLevelRow="3" outlineLevelCol="2"/>
  <sheetData>
    <row r="1" spans="1:3">
      <c r="A1" s="1">
        <v>0</v>
      </c>
      <c r="B1" s="1">
        <v>0.3</v>
      </c>
      <c r="C1" s="1">
        <v>0</v>
      </c>
    </row>
    <row r="2" spans="1:3">
      <c r="A2" s="1">
        <v>0.5</v>
      </c>
      <c r="B2" s="1">
        <v>0.4</v>
      </c>
      <c r="C2" s="1">
        <v>0.05</v>
      </c>
    </row>
    <row r="3" spans="1:3">
      <c r="A3" s="1">
        <v>1</v>
      </c>
      <c r="B3" s="1">
        <v>0.5</v>
      </c>
      <c r="C3" s="1">
        <v>0.15</v>
      </c>
    </row>
    <row r="4" spans="1:3">
      <c r="A4" s="1">
        <v>2</v>
      </c>
      <c r="B4" s="1">
        <v>0.6</v>
      </c>
      <c r="C4" s="1">
        <v>0.35</v>
      </c>
    </row>
  </sheetData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8"/>
  <sheetViews>
    <sheetView topLeftCell="A16" workbookViewId="0">
      <selection activeCell="B12" sqref="B12"/>
    </sheetView>
  </sheetViews>
  <sheetFormatPr defaultColWidth="9" defaultRowHeight="30.75" customHeight="1" outlineLevelCol="4"/>
  <cols>
    <col min="1" max="1" width="18.5" style="699" customWidth="1"/>
    <col min="2" max="2" width="25.5" style="699" customWidth="1"/>
    <col min="3" max="3" width="25.75" style="699" customWidth="1"/>
    <col min="4" max="4" width="43.375" style="700" customWidth="1"/>
    <col min="5" max="5" width="67.625" style="700" customWidth="1"/>
    <col min="6" max="6" width="16.625" style="700" customWidth="1"/>
    <col min="7" max="16384" width="9" style="700"/>
  </cols>
  <sheetData>
    <row r="1" ht="24" customHeight="1" spans="1:3">
      <c r="A1" s="701" t="s">
        <v>38</v>
      </c>
      <c r="B1" s="702" t="str">
        <f>目录!C3</f>
        <v>投拓中心</v>
      </c>
      <c r="C1" s="703" t="s">
        <v>39</v>
      </c>
    </row>
    <row r="2" ht="24" customHeight="1" spans="1:3">
      <c r="A2" s="701" t="s">
        <v>3</v>
      </c>
      <c r="B2" s="702" t="str">
        <f>目录!D3</f>
        <v>李阳</v>
      </c>
      <c r="C2" s="704"/>
    </row>
    <row r="3" ht="24" customHeight="1" spans="1:3">
      <c r="A3" s="701" t="s">
        <v>4</v>
      </c>
      <c r="B3" s="705" t="str">
        <f>目录!E3</f>
        <v>2022.10.31</v>
      </c>
      <c r="C3" s="704"/>
    </row>
    <row r="4" customHeight="1" spans="1:5">
      <c r="A4" s="706" t="str">
        <f>B6&amp;"项目概况表"</f>
        <v>洛龙区八里堂地块（挂牌）项目概况表</v>
      </c>
      <c r="B4" s="706"/>
      <c r="C4" s="706"/>
      <c r="D4" s="706"/>
      <c r="E4" s="706"/>
    </row>
    <row r="5" customHeight="1" spans="1:5">
      <c r="A5" s="707" t="s">
        <v>40</v>
      </c>
      <c r="B5" s="707" t="s">
        <v>41</v>
      </c>
      <c r="C5" s="707" t="s">
        <v>5</v>
      </c>
      <c r="D5" s="707" t="s">
        <v>42</v>
      </c>
      <c r="E5" s="707" t="s">
        <v>43</v>
      </c>
    </row>
    <row r="6" customHeight="1" spans="1:5">
      <c r="A6" s="708" t="s">
        <v>44</v>
      </c>
      <c r="B6" s="709" t="s">
        <v>45</v>
      </c>
      <c r="C6" s="710"/>
      <c r="D6" s="711"/>
      <c r="E6" s="712"/>
    </row>
    <row r="7" customHeight="1" spans="1:5">
      <c r="A7" s="708" t="s">
        <v>46</v>
      </c>
      <c r="B7" s="713"/>
      <c r="C7" s="714"/>
      <c r="D7" s="715"/>
      <c r="E7" s="712"/>
    </row>
    <row r="8" customHeight="1" spans="1:5">
      <c r="A8" s="708" t="s">
        <v>47</v>
      </c>
      <c r="B8" s="716">
        <f>经济指标!I6</f>
        <v>56.161401</v>
      </c>
      <c r="C8" s="714" t="s">
        <v>48</v>
      </c>
      <c r="D8" s="715"/>
      <c r="E8" s="717">
        <f>B8-[2]经济指标!G6</f>
        <v>2.023011</v>
      </c>
    </row>
    <row r="9" customHeight="1" spans="1:5">
      <c r="A9" s="708" t="s">
        <v>49</v>
      </c>
      <c r="B9" s="713"/>
      <c r="C9" s="714" t="s">
        <v>50</v>
      </c>
      <c r="D9" s="715"/>
      <c r="E9" s="717">
        <f>B9-[2]经济指标!G8</f>
        <v>-2.30000005541354</v>
      </c>
    </row>
    <row r="10" customHeight="1" spans="1:5">
      <c r="A10" s="708" t="s">
        <v>51</v>
      </c>
      <c r="B10" s="713"/>
      <c r="C10" s="714" t="s">
        <v>52</v>
      </c>
      <c r="D10" s="718"/>
      <c r="E10" s="719"/>
    </row>
    <row r="11" customHeight="1" spans="1:5">
      <c r="A11" s="708" t="s">
        <v>53</v>
      </c>
      <c r="B11" s="720">
        <v>380.2</v>
      </c>
      <c r="C11" s="714" t="s">
        <v>54</v>
      </c>
      <c r="D11" s="721"/>
      <c r="E11" s="712"/>
    </row>
    <row r="12" customHeight="1" spans="1:5">
      <c r="A12" s="708" t="s">
        <v>55</v>
      </c>
      <c r="B12" s="722">
        <f>B8*B11</f>
        <v>21352.5646602</v>
      </c>
      <c r="C12" s="714" t="s">
        <v>56</v>
      </c>
      <c r="D12" s="723">
        <f>B12*0.2</f>
        <v>4270.51293204</v>
      </c>
      <c r="E12" s="712"/>
    </row>
    <row r="13" ht="190.5" customHeight="1" spans="1:5">
      <c r="A13" s="724" t="s">
        <v>57</v>
      </c>
      <c r="B13" s="721"/>
      <c r="C13" s="713"/>
      <c r="D13" s="713"/>
      <c r="E13" s="721"/>
    </row>
    <row r="14" ht="141.75" customHeight="1" spans="1:5">
      <c r="A14" s="724" t="s">
        <v>58</v>
      </c>
      <c r="B14" s="721"/>
      <c r="C14" s="713"/>
      <c r="D14" s="713"/>
      <c r="E14" s="721"/>
    </row>
    <row r="15" ht="172.5" customHeight="1" spans="1:5">
      <c r="A15" s="724" t="s">
        <v>59</v>
      </c>
      <c r="B15" s="725"/>
      <c r="C15" s="713"/>
      <c r="D15" s="713"/>
      <c r="E15" s="721"/>
    </row>
    <row r="16" ht="41.1" customHeight="1" spans="1:5">
      <c r="A16" s="724" t="s">
        <v>60</v>
      </c>
      <c r="B16" s="726"/>
      <c r="C16" s="727"/>
      <c r="D16" s="727"/>
      <c r="E16" s="728"/>
    </row>
    <row r="17" ht="16.5" customHeight="1" spans="1:5">
      <c r="A17" s="708" t="s">
        <v>61</v>
      </c>
      <c r="B17" s="729"/>
      <c r="C17" s="729"/>
      <c r="D17" s="729"/>
      <c r="E17" s="729"/>
    </row>
    <row r="18" ht="37.9" customHeight="1" spans="1:5">
      <c r="A18" s="708" t="s">
        <v>62</v>
      </c>
      <c r="B18" s="713"/>
      <c r="C18" s="713"/>
      <c r="D18" s="713"/>
      <c r="E18" s="713"/>
    </row>
  </sheetData>
  <mergeCells count="8">
    <mergeCell ref="A4:E4"/>
    <mergeCell ref="C13:D13"/>
    <mergeCell ref="C14:D14"/>
    <mergeCell ref="C15:D15"/>
    <mergeCell ref="B17:E17"/>
    <mergeCell ref="B18:E18"/>
    <mergeCell ref="C1:C3"/>
    <mergeCell ref="D6:D10"/>
  </mergeCells>
  <hyperlinks>
    <hyperlink ref="C1:C3" location="目录!A1" display="返回目录"/>
  </hyperlinks>
  <pageMargins left="0.699305555555556" right="0.699305555555556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Scroll Bar 1" r:id="rId3">
              <controlPr defaultSize="0">
                <anchor moveWithCells="1">
                  <from>
                    <xdr:col>3</xdr:col>
                    <xdr:colOff>114300</xdr:colOff>
                    <xdr:row>10</xdr:row>
                    <xdr:rowOff>57150</xdr:rowOff>
                  </from>
                  <to>
                    <xdr:col>3</xdr:col>
                    <xdr:colOff>2219325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Scroll Bar 3" r:id="rId4">
              <controlPr defaultSize="0">
                <anchor moveWithCells="1">
                  <from>
                    <xdr:col>3</xdr:col>
                    <xdr:colOff>114300</xdr:colOff>
                    <xdr:row>10</xdr:row>
                    <xdr:rowOff>57150</xdr:rowOff>
                  </from>
                  <to>
                    <xdr:col>4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P58"/>
  <sheetViews>
    <sheetView zoomScale="60" zoomScaleNormal="60" workbookViewId="0">
      <selection activeCell="E9" sqref="E9:E10"/>
    </sheetView>
  </sheetViews>
  <sheetFormatPr defaultColWidth="9" defaultRowHeight="30.75" customHeight="1"/>
  <cols>
    <col min="1" max="1" width="6.875" style="628" customWidth="1"/>
    <col min="2" max="2" width="15.5" style="628" customWidth="1"/>
    <col min="3" max="3" width="17.75" style="628" customWidth="1"/>
    <col min="4" max="4" width="9.75" style="628" customWidth="1"/>
    <col min="5" max="5" width="21.125" style="628" customWidth="1"/>
    <col min="6" max="6" width="22.875" style="628" customWidth="1"/>
    <col min="7" max="7" width="23.375" style="628" customWidth="1"/>
    <col min="8" max="8" width="10.125" style="628" customWidth="1"/>
    <col min="9" max="9" width="16.25" style="628" customWidth="1"/>
    <col min="10" max="10" width="36.125" style="628" customWidth="1"/>
    <col min="11" max="11" width="13.6666666666667" style="628" customWidth="1"/>
    <col min="12" max="12" width="18.925" style="628" customWidth="1"/>
    <col min="13" max="13" width="16.0666666666667" style="628" customWidth="1"/>
    <col min="14" max="14" width="13" style="628" customWidth="1"/>
    <col min="15" max="15" width="12.25" style="628" customWidth="1"/>
    <col min="16" max="16" width="22.0833333333333" style="628" customWidth="1"/>
    <col min="17" max="17" width="12.25" style="628" customWidth="1"/>
    <col min="18" max="16384" width="9" style="628"/>
  </cols>
  <sheetData>
    <row r="1" ht="24" customHeight="1" spans="1:3">
      <c r="A1" s="629" t="s">
        <v>38</v>
      </c>
      <c r="B1" s="630" t="str">
        <f>目录!C4</f>
        <v>设计研发中心</v>
      </c>
      <c r="C1" s="631" t="s">
        <v>39</v>
      </c>
    </row>
    <row r="2" ht="24" customHeight="1" spans="1:3">
      <c r="A2" s="629" t="s">
        <v>3</v>
      </c>
      <c r="B2" s="630" t="str">
        <f>目录!D4</f>
        <v>王振</v>
      </c>
      <c r="C2" s="631"/>
    </row>
    <row r="3" ht="25.5" customHeight="1" spans="1:3">
      <c r="A3" s="629" t="s">
        <v>4</v>
      </c>
      <c r="B3" s="632" t="str">
        <f>目录!E4</f>
        <v>2022.10.31</v>
      </c>
      <c r="C3" s="631"/>
    </row>
    <row r="4" customHeight="1" spans="1:10">
      <c r="A4" s="633" t="str">
        <f>项目概况!B6&amp;"项目经济技术指标"</f>
        <v>洛龙区八里堂地块（挂牌）项目经济技术指标</v>
      </c>
      <c r="B4" s="633"/>
      <c r="C4" s="633"/>
      <c r="D4" s="633"/>
      <c r="E4" s="633"/>
      <c r="F4" s="633"/>
      <c r="G4" s="633"/>
      <c r="H4" s="633"/>
      <c r="I4" s="633"/>
      <c r="J4" s="633"/>
    </row>
    <row r="5" customHeight="1" spans="1:10">
      <c r="A5" s="634" t="s">
        <v>0</v>
      </c>
      <c r="B5" s="634" t="s">
        <v>63</v>
      </c>
      <c r="C5" s="634" t="s">
        <v>64</v>
      </c>
      <c r="D5" s="634" t="s">
        <v>65</v>
      </c>
      <c r="E5" s="634" t="s">
        <v>66</v>
      </c>
      <c r="F5" s="634" t="s">
        <v>67</v>
      </c>
      <c r="G5" s="634" t="s">
        <v>68</v>
      </c>
      <c r="H5" s="634" t="s">
        <v>65</v>
      </c>
      <c r="I5" s="634" t="s">
        <v>69</v>
      </c>
      <c r="J5" s="634" t="s">
        <v>5</v>
      </c>
    </row>
    <row r="6" ht="30" customHeight="1" spans="1:15">
      <c r="A6" s="635">
        <v>1</v>
      </c>
      <c r="B6" s="636" t="s">
        <v>70</v>
      </c>
      <c r="C6" s="637"/>
      <c r="D6" s="638" t="s">
        <v>71</v>
      </c>
      <c r="E6" s="639">
        <v>37440.934</v>
      </c>
      <c r="F6" s="640"/>
      <c r="G6" s="641"/>
      <c r="H6" s="642" t="s">
        <v>48</v>
      </c>
      <c r="I6" s="642">
        <f>E6*15/10000</f>
        <v>56.161401</v>
      </c>
      <c r="J6" s="672" t="s">
        <v>72</v>
      </c>
      <c r="N6" s="639">
        <v>37440.934</v>
      </c>
      <c r="O6" s="628">
        <f>E6-N6</f>
        <v>0</v>
      </c>
    </row>
    <row r="7" ht="30" customHeight="1" spans="1:16">
      <c r="A7" s="634">
        <v>2</v>
      </c>
      <c r="B7" s="636" t="s">
        <v>73</v>
      </c>
      <c r="C7" s="637"/>
      <c r="D7" s="638" t="s">
        <v>71</v>
      </c>
      <c r="E7" s="643">
        <f>E8+E20</f>
        <v>71378.25</v>
      </c>
      <c r="F7" s="640">
        <f>F8+F20</f>
        <v>807.42</v>
      </c>
      <c r="G7" s="642">
        <f>G8+G20</f>
        <v>70570.83</v>
      </c>
      <c r="H7" s="642"/>
      <c r="I7" s="642"/>
      <c r="J7" s="651"/>
      <c r="K7" s="673">
        <f>K8-G8</f>
        <v>19058.3612</v>
      </c>
      <c r="N7" s="643">
        <f>N8+N20</f>
        <v>70247.86</v>
      </c>
      <c r="O7" s="628">
        <f t="shared" ref="O7:O23" si="0">E7-N7</f>
        <v>1130.39</v>
      </c>
      <c r="P7" s="673"/>
    </row>
    <row r="8" ht="30" customHeight="1" spans="1:16">
      <c r="A8" s="634">
        <v>3</v>
      </c>
      <c r="B8" s="644" t="s">
        <v>74</v>
      </c>
      <c r="C8" s="645"/>
      <c r="D8" s="638" t="s">
        <v>71</v>
      </c>
      <c r="E8" s="642">
        <f>SUM(E9:E19)</f>
        <v>49142.74</v>
      </c>
      <c r="F8" s="640">
        <f>SUM(F9:F19)</f>
        <v>807.42</v>
      </c>
      <c r="G8" s="642">
        <f>SUM(G9:G19)</f>
        <v>48335.32</v>
      </c>
      <c r="H8" s="642" t="s">
        <v>75</v>
      </c>
      <c r="I8" s="642">
        <f>(G8+F18)/E6</f>
        <v>1.29298377011642</v>
      </c>
      <c r="J8" s="674" t="s">
        <v>76</v>
      </c>
      <c r="K8" s="673">
        <f>E6*1.8</f>
        <v>67393.6812</v>
      </c>
      <c r="N8" s="642">
        <f>SUM(N9:N19)</f>
        <v>49185</v>
      </c>
      <c r="O8" s="628">
        <f t="shared" si="0"/>
        <v>-42.2600000000093</v>
      </c>
      <c r="P8" s="673" t="s">
        <v>77</v>
      </c>
    </row>
    <row r="9" ht="30" customHeight="1" spans="1:16">
      <c r="A9" s="635">
        <v>4</v>
      </c>
      <c r="B9" s="638" t="s">
        <v>78</v>
      </c>
      <c r="C9" s="638" t="s">
        <v>79</v>
      </c>
      <c r="D9" s="638" t="s">
        <v>71</v>
      </c>
      <c r="E9" s="646">
        <v>31642.84</v>
      </c>
      <c r="F9" s="647"/>
      <c r="G9" s="639">
        <f>E9-F9</f>
        <v>31642.84</v>
      </c>
      <c r="H9" s="648" t="s">
        <v>80</v>
      </c>
      <c r="I9" s="675">
        <v>184</v>
      </c>
      <c r="J9" s="676" t="s">
        <v>81</v>
      </c>
      <c r="K9" s="677">
        <f>G9/I9</f>
        <v>171.971956521739</v>
      </c>
      <c r="L9" s="140" t="s">
        <v>82</v>
      </c>
      <c r="M9" s="678" t="s">
        <v>83</v>
      </c>
      <c r="N9" s="639">
        <v>32384</v>
      </c>
      <c r="O9" s="628">
        <f t="shared" si="0"/>
        <v>-741.16</v>
      </c>
      <c r="P9" s="673" t="s">
        <v>84</v>
      </c>
    </row>
    <row r="10" ht="30" customHeight="1" spans="1:16">
      <c r="A10" s="634">
        <v>5</v>
      </c>
      <c r="B10" s="638" t="s">
        <v>85</v>
      </c>
      <c r="C10" s="638" t="s">
        <v>86</v>
      </c>
      <c r="D10" s="638" t="s">
        <v>71</v>
      </c>
      <c r="E10" s="646">
        <v>16692.48</v>
      </c>
      <c r="F10" s="647"/>
      <c r="G10" s="639">
        <f t="shared" ref="G10:G19" si="1">E10-F10</f>
        <v>16692.48</v>
      </c>
      <c r="H10" s="649" t="s">
        <v>80</v>
      </c>
      <c r="I10" s="675">
        <v>66</v>
      </c>
      <c r="J10" s="676" t="s">
        <v>87</v>
      </c>
      <c r="K10" s="677">
        <f>G10/I10</f>
        <v>252.916363636364</v>
      </c>
      <c r="L10" s="144" t="s">
        <v>88</v>
      </c>
      <c r="M10" s="679" t="s">
        <v>89</v>
      </c>
      <c r="N10" s="639">
        <v>16016</v>
      </c>
      <c r="O10" s="628">
        <f t="shared" si="0"/>
        <v>676.48</v>
      </c>
      <c r="P10" s="628" t="s">
        <v>90</v>
      </c>
    </row>
    <row r="11" ht="30" customHeight="1" spans="1:15">
      <c r="A11" s="634">
        <v>6</v>
      </c>
      <c r="B11" s="638" t="s">
        <v>91</v>
      </c>
      <c r="C11" s="638" t="s">
        <v>92</v>
      </c>
      <c r="D11" s="638" t="s">
        <v>71</v>
      </c>
      <c r="E11" s="650"/>
      <c r="F11" s="647"/>
      <c r="G11" s="650">
        <f t="shared" si="1"/>
        <v>0</v>
      </c>
      <c r="H11" s="648" t="s">
        <v>80</v>
      </c>
      <c r="I11" s="680"/>
      <c r="J11" s="650"/>
      <c r="L11" s="144" t="s">
        <v>79</v>
      </c>
      <c r="M11" s="145" t="s">
        <v>93</v>
      </c>
      <c r="N11" s="650"/>
      <c r="O11" s="628">
        <f t="shared" si="0"/>
        <v>0</v>
      </c>
    </row>
    <row r="12" ht="30" customHeight="1" spans="1:15">
      <c r="A12" s="635">
        <v>7</v>
      </c>
      <c r="B12" s="638" t="s">
        <v>94</v>
      </c>
      <c r="C12" s="638" t="s">
        <v>95</v>
      </c>
      <c r="D12" s="638" t="s">
        <v>71</v>
      </c>
      <c r="E12" s="650"/>
      <c r="F12" s="647"/>
      <c r="G12" s="650">
        <f t="shared" si="1"/>
        <v>0</v>
      </c>
      <c r="H12" s="648" t="s">
        <v>80</v>
      </c>
      <c r="I12" s="650"/>
      <c r="J12" s="680"/>
      <c r="L12" s="140" t="s">
        <v>86</v>
      </c>
      <c r="M12" s="145" t="s">
        <v>96</v>
      </c>
      <c r="N12" s="650"/>
      <c r="O12" s="628">
        <f t="shared" si="0"/>
        <v>0</v>
      </c>
    </row>
    <row r="13" ht="30" customHeight="1" spans="1:15">
      <c r="A13" s="634">
        <v>8</v>
      </c>
      <c r="B13" s="638" t="s">
        <v>97</v>
      </c>
      <c r="C13" s="638" t="s">
        <v>98</v>
      </c>
      <c r="D13" s="638" t="s">
        <v>71</v>
      </c>
      <c r="E13" s="650">
        <v>0</v>
      </c>
      <c r="F13" s="647"/>
      <c r="G13" s="650">
        <f t="shared" si="1"/>
        <v>0</v>
      </c>
      <c r="H13" s="648" t="s">
        <v>80</v>
      </c>
      <c r="I13" s="650">
        <v>0</v>
      </c>
      <c r="J13" s="680"/>
      <c r="K13" s="681"/>
      <c r="L13" s="140" t="s">
        <v>98</v>
      </c>
      <c r="M13" s="145"/>
      <c r="N13" s="650">
        <v>0</v>
      </c>
      <c r="O13" s="628">
        <f t="shared" si="0"/>
        <v>0</v>
      </c>
    </row>
    <row r="14" ht="30" customHeight="1" spans="1:15">
      <c r="A14" s="634">
        <v>9</v>
      </c>
      <c r="B14" s="638" t="s">
        <v>99</v>
      </c>
      <c r="C14" s="638" t="s">
        <v>100</v>
      </c>
      <c r="D14" s="638" t="s">
        <v>71</v>
      </c>
      <c r="E14" s="650"/>
      <c r="F14" s="647"/>
      <c r="G14" s="650">
        <f t="shared" si="1"/>
        <v>0</v>
      </c>
      <c r="H14" s="648" t="s">
        <v>80</v>
      </c>
      <c r="I14" s="650">
        <v>0</v>
      </c>
      <c r="J14" s="680"/>
      <c r="L14" s="682" t="s">
        <v>95</v>
      </c>
      <c r="M14" s="683"/>
      <c r="N14" s="650"/>
      <c r="O14" s="628">
        <f t="shared" si="0"/>
        <v>0</v>
      </c>
    </row>
    <row r="15" ht="30" customHeight="1" spans="1:15">
      <c r="A15" s="635">
        <v>10</v>
      </c>
      <c r="B15" s="638" t="s">
        <v>101</v>
      </c>
      <c r="C15" s="638" t="s">
        <v>102</v>
      </c>
      <c r="D15" s="638" t="s">
        <v>71</v>
      </c>
      <c r="E15" s="650">
        <v>0</v>
      </c>
      <c r="F15" s="647"/>
      <c r="G15" s="650">
        <f>E15</f>
        <v>0</v>
      </c>
      <c r="H15" s="648" t="s">
        <v>80</v>
      </c>
      <c r="I15" s="684"/>
      <c r="J15" s="684"/>
      <c r="K15" s="685"/>
      <c r="L15" s="686" t="s">
        <v>100</v>
      </c>
      <c r="M15" s="145"/>
      <c r="N15" s="650">
        <v>0</v>
      </c>
      <c r="O15" s="628">
        <f t="shared" si="0"/>
        <v>0</v>
      </c>
    </row>
    <row r="16" ht="32" customHeight="1" spans="1:15">
      <c r="A16" s="634">
        <v>11</v>
      </c>
      <c r="B16" s="638" t="s">
        <v>103</v>
      </c>
      <c r="C16" s="651" t="s">
        <v>104</v>
      </c>
      <c r="D16" s="638" t="s">
        <v>71</v>
      </c>
      <c r="E16" s="646">
        <f>332.64</f>
        <v>332.64</v>
      </c>
      <c r="F16" s="647">
        <f>E16</f>
        <v>332.64</v>
      </c>
      <c r="G16" s="650">
        <f t="shared" si="1"/>
        <v>0</v>
      </c>
      <c r="H16" s="648" t="s">
        <v>80</v>
      </c>
      <c r="I16" s="687"/>
      <c r="J16" s="680"/>
      <c r="L16" s="688" t="s">
        <v>92</v>
      </c>
      <c r="M16" s="689"/>
      <c r="N16" s="639">
        <v>220</v>
      </c>
      <c r="O16" s="628">
        <f t="shared" si="0"/>
        <v>112.64</v>
      </c>
    </row>
    <row r="17" ht="30" customHeight="1" spans="1:15">
      <c r="A17" s="634">
        <v>12</v>
      </c>
      <c r="B17" s="638" t="s">
        <v>105</v>
      </c>
      <c r="C17" s="652" t="s">
        <v>106</v>
      </c>
      <c r="D17" s="638" t="s">
        <v>71</v>
      </c>
      <c r="E17" s="646">
        <f>30.94+167.55</f>
        <v>198.49</v>
      </c>
      <c r="F17" s="647">
        <f>E17</f>
        <v>198.49</v>
      </c>
      <c r="G17" s="650"/>
      <c r="H17" s="648" t="s">
        <v>80</v>
      </c>
      <c r="I17" s="650"/>
      <c r="J17" s="680"/>
      <c r="L17" s="144" t="s">
        <v>107</v>
      </c>
      <c r="M17" s="145"/>
      <c r="N17" s="639">
        <v>80</v>
      </c>
      <c r="O17" s="628">
        <f t="shared" si="0"/>
        <v>118.49</v>
      </c>
    </row>
    <row r="18" ht="30" customHeight="1" spans="1:15">
      <c r="A18" s="635">
        <v>13</v>
      </c>
      <c r="B18" s="638" t="s">
        <v>108</v>
      </c>
      <c r="C18" s="652" t="s">
        <v>109</v>
      </c>
      <c r="D18" s="638" t="s">
        <v>71</v>
      </c>
      <c r="E18" s="646">
        <f>75.2</f>
        <v>75.2</v>
      </c>
      <c r="F18" s="647">
        <f>E18</f>
        <v>75.2</v>
      </c>
      <c r="G18" s="650"/>
      <c r="H18" s="648" t="s">
        <v>80</v>
      </c>
      <c r="I18" s="650"/>
      <c r="J18" s="690" t="s">
        <v>110</v>
      </c>
      <c r="L18" s="144" t="s">
        <v>111</v>
      </c>
      <c r="M18" s="145"/>
      <c r="N18" s="639">
        <v>285</v>
      </c>
      <c r="O18" s="628">
        <f t="shared" si="0"/>
        <v>-209.8</v>
      </c>
    </row>
    <row r="19" ht="30" customHeight="1" spans="1:15">
      <c r="A19" s="634">
        <v>14</v>
      </c>
      <c r="B19" s="638" t="s">
        <v>112</v>
      </c>
      <c r="C19" s="652" t="s">
        <v>113</v>
      </c>
      <c r="D19" s="638" t="s">
        <v>71</v>
      </c>
      <c r="E19" s="646">
        <v>201.09</v>
      </c>
      <c r="F19" s="647">
        <f>E19</f>
        <v>201.09</v>
      </c>
      <c r="G19" s="650">
        <f t="shared" si="1"/>
        <v>0</v>
      </c>
      <c r="H19" s="648" t="s">
        <v>80</v>
      </c>
      <c r="I19" s="650"/>
      <c r="J19" s="690"/>
      <c r="L19" s="140" t="s">
        <v>114</v>
      </c>
      <c r="M19" s="145"/>
      <c r="N19" s="639">
        <v>200</v>
      </c>
      <c r="O19" s="628">
        <f t="shared" si="0"/>
        <v>1.09</v>
      </c>
    </row>
    <row r="20" ht="43" customHeight="1" spans="1:15">
      <c r="A20" s="634">
        <v>11</v>
      </c>
      <c r="B20" s="653" t="s">
        <v>32</v>
      </c>
      <c r="C20" s="654"/>
      <c r="D20" s="638" t="s">
        <v>71</v>
      </c>
      <c r="E20" s="655">
        <f>E21+E22+E23</f>
        <v>22235.51</v>
      </c>
      <c r="F20" s="647">
        <f>F21+F22+F23</f>
        <v>0</v>
      </c>
      <c r="G20" s="655">
        <f>G21+G22+G23</f>
        <v>22235.51</v>
      </c>
      <c r="H20" s="648" t="s">
        <v>80</v>
      </c>
      <c r="I20" s="691">
        <f>I22+I23</f>
        <v>491</v>
      </c>
      <c r="J20" s="690" t="s">
        <v>115</v>
      </c>
      <c r="K20" s="692">
        <f>G20/I20</f>
        <v>45.2861710794297</v>
      </c>
      <c r="L20" s="140" t="s">
        <v>116</v>
      </c>
      <c r="M20" s="145"/>
      <c r="N20" s="655">
        <v>21062.86</v>
      </c>
      <c r="O20" s="628">
        <f t="shared" si="0"/>
        <v>1172.65</v>
      </c>
    </row>
    <row r="21" ht="30" customHeight="1" spans="1:15">
      <c r="A21" s="634">
        <v>12</v>
      </c>
      <c r="B21" s="656" t="s">
        <v>117</v>
      </c>
      <c r="C21" s="638" t="s">
        <v>89</v>
      </c>
      <c r="D21" s="638" t="s">
        <v>71</v>
      </c>
      <c r="E21" s="657">
        <v>0</v>
      </c>
      <c r="F21" s="647"/>
      <c r="G21" s="639">
        <f>E21-F21</f>
        <v>0</v>
      </c>
      <c r="H21" s="642" t="s">
        <v>80</v>
      </c>
      <c r="I21" s="650">
        <f>G21/190</f>
        <v>0</v>
      </c>
      <c r="J21" s="693"/>
      <c r="K21" s="692"/>
      <c r="L21" s="140" t="s">
        <v>118</v>
      </c>
      <c r="M21" s="145"/>
      <c r="N21" s="655">
        <v>0</v>
      </c>
      <c r="O21" s="628">
        <f t="shared" si="0"/>
        <v>0</v>
      </c>
    </row>
    <row r="22" ht="30" customHeight="1" spans="1:15">
      <c r="A22" s="635">
        <v>13</v>
      </c>
      <c r="B22" s="656" t="s">
        <v>119</v>
      </c>
      <c r="C22" s="638" t="s">
        <v>93</v>
      </c>
      <c r="D22" s="638" t="s">
        <v>71</v>
      </c>
      <c r="E22" s="646">
        <v>3945.11</v>
      </c>
      <c r="F22" s="658">
        <v>0</v>
      </c>
      <c r="G22" s="639">
        <f>E22-F22</f>
        <v>3945.11</v>
      </c>
      <c r="H22" s="642" t="s">
        <v>120</v>
      </c>
      <c r="I22" s="691">
        <v>99</v>
      </c>
      <c r="J22" s="690" t="s">
        <v>121</v>
      </c>
      <c r="K22" s="692">
        <f>G22/I22</f>
        <v>39.849595959596</v>
      </c>
      <c r="L22" s="140" t="s">
        <v>122</v>
      </c>
      <c r="M22" s="145"/>
      <c r="N22" s="639">
        <v>3893.84</v>
      </c>
      <c r="O22" s="628">
        <f t="shared" si="0"/>
        <v>51.27</v>
      </c>
    </row>
    <row r="23" ht="30" customHeight="1" spans="1:15">
      <c r="A23" s="634">
        <v>14</v>
      </c>
      <c r="B23" s="656" t="s">
        <v>123</v>
      </c>
      <c r="C23" s="638" t="s">
        <v>96</v>
      </c>
      <c r="D23" s="638" t="s">
        <v>71</v>
      </c>
      <c r="E23" s="646">
        <v>18290.4</v>
      </c>
      <c r="F23" s="658">
        <v>0</v>
      </c>
      <c r="G23" s="639">
        <f>E23-F23</f>
        <v>18290.4</v>
      </c>
      <c r="H23" s="642" t="s">
        <v>120</v>
      </c>
      <c r="I23" s="691">
        <v>392</v>
      </c>
      <c r="J23" s="690"/>
      <c r="K23" s="692">
        <f>G23/I23</f>
        <v>46.6591836734694</v>
      </c>
      <c r="N23" s="639">
        <f>N20-N22</f>
        <v>17169.02</v>
      </c>
      <c r="O23" s="628">
        <f t="shared" si="0"/>
        <v>1121.38</v>
      </c>
    </row>
    <row r="24" ht="30" customHeight="1" spans="1:10">
      <c r="A24" s="635">
        <v>16</v>
      </c>
      <c r="B24" s="644" t="s">
        <v>124</v>
      </c>
      <c r="C24" s="645"/>
      <c r="D24" s="638" t="s">
        <v>125</v>
      </c>
      <c r="E24" s="659">
        <f>J25/E6</f>
        <v>0.261316130628579</v>
      </c>
      <c r="F24" s="638"/>
      <c r="G24" s="660"/>
      <c r="H24" s="642"/>
      <c r="I24" s="694"/>
      <c r="J24" s="695"/>
    </row>
    <row r="25" ht="30" customHeight="1" spans="1:14">
      <c r="A25" s="634">
        <v>17</v>
      </c>
      <c r="B25" s="644" t="s">
        <v>126</v>
      </c>
      <c r="C25" s="645"/>
      <c r="D25" s="638" t="s">
        <v>125</v>
      </c>
      <c r="E25" s="661">
        <v>0.3001</v>
      </c>
      <c r="F25" s="638"/>
      <c r="G25" s="662"/>
      <c r="H25" s="642"/>
      <c r="I25" s="696" t="s">
        <v>127</v>
      </c>
      <c r="J25" s="697">
        <f>SUM(J26:J37)</f>
        <v>9783.92</v>
      </c>
      <c r="K25" s="628">
        <f>E6-J25</f>
        <v>27657.014</v>
      </c>
      <c r="M25" s="628">
        <f>G8-[6]经济指标!$G$8</f>
        <v>-64.6800000000003</v>
      </c>
      <c r="N25" s="673"/>
    </row>
    <row r="26" s="300" customFormat="1" ht="30" customHeight="1" spans="1:13">
      <c r="A26" s="663">
        <v>17</v>
      </c>
      <c r="B26" s="664" t="s">
        <v>79</v>
      </c>
      <c r="C26" s="664" t="s">
        <v>128</v>
      </c>
      <c r="D26" s="305" t="s">
        <v>120</v>
      </c>
      <c r="E26" s="665">
        <v>15</v>
      </c>
      <c r="F26" s="305"/>
      <c r="G26" s="666"/>
      <c r="H26" s="667" t="s">
        <v>129</v>
      </c>
      <c r="I26" s="670" t="s">
        <v>71</v>
      </c>
      <c r="J26" s="650">
        <v>5267.79</v>
      </c>
      <c r="K26" s="300">
        <v>8762.5</v>
      </c>
      <c r="M26" s="300">
        <f>G20-[6]经济指标!$G$20</f>
        <v>1172.65</v>
      </c>
    </row>
    <row r="27" s="300" customFormat="1" ht="30" customHeight="1" spans="1:11">
      <c r="A27" s="668">
        <v>18</v>
      </c>
      <c r="B27" s="664" t="s">
        <v>86</v>
      </c>
      <c r="C27" s="664" t="s">
        <v>128</v>
      </c>
      <c r="D27" s="305" t="s">
        <v>120</v>
      </c>
      <c r="E27" s="665">
        <v>11</v>
      </c>
      <c r="F27" s="305"/>
      <c r="G27" s="666"/>
      <c r="H27" s="669"/>
      <c r="I27" s="670" t="s">
        <v>71</v>
      </c>
      <c r="J27" s="650">
        <v>4183.49</v>
      </c>
      <c r="K27" s="698">
        <f>K26-J26</f>
        <v>3494.71</v>
      </c>
    </row>
    <row r="28" s="300" customFormat="1" ht="30" customHeight="1" spans="1:11">
      <c r="A28" s="668"/>
      <c r="B28" s="664" t="s">
        <v>130</v>
      </c>
      <c r="C28" s="664" t="s">
        <v>128</v>
      </c>
      <c r="D28" s="305" t="s">
        <v>120</v>
      </c>
      <c r="E28" s="305"/>
      <c r="F28" s="305"/>
      <c r="G28" s="666"/>
      <c r="H28" s="669"/>
      <c r="I28" s="670" t="s">
        <v>71</v>
      </c>
      <c r="J28" s="641"/>
      <c r="K28" s="698">
        <f>K26-J26-J27</f>
        <v>-688.78</v>
      </c>
    </row>
    <row r="29" s="300" customFormat="1" ht="30" customHeight="1" spans="1:10">
      <c r="A29" s="663">
        <v>19</v>
      </c>
      <c r="B29" s="664" t="s">
        <v>131</v>
      </c>
      <c r="C29" s="664" t="s">
        <v>128</v>
      </c>
      <c r="D29" s="305" t="s">
        <v>120</v>
      </c>
      <c r="E29" s="305"/>
      <c r="F29" s="305"/>
      <c r="G29" s="666"/>
      <c r="H29" s="669"/>
      <c r="I29" s="670" t="s">
        <v>71</v>
      </c>
      <c r="J29" s="641"/>
    </row>
    <row r="30" s="300" customFormat="1" ht="30" customHeight="1" spans="1:10">
      <c r="A30" s="668"/>
      <c r="B30" s="664" t="str">
        <f t="shared" ref="B30:B31" si="2">C5</f>
        <v>业态</v>
      </c>
      <c r="C30" s="664" t="s">
        <v>128</v>
      </c>
      <c r="D30" s="305" t="s">
        <v>120</v>
      </c>
      <c r="E30" s="305"/>
      <c r="F30" s="305"/>
      <c r="G30" s="666"/>
      <c r="H30" s="669"/>
      <c r="I30" s="305" t="s">
        <v>71</v>
      </c>
      <c r="J30" s="641"/>
    </row>
    <row r="31" s="300" customFormat="1" ht="30" customHeight="1" spans="1:10">
      <c r="A31" s="668">
        <v>20</v>
      </c>
      <c r="B31" s="664">
        <f t="shared" si="2"/>
        <v>0</v>
      </c>
      <c r="C31" s="664" t="s">
        <v>128</v>
      </c>
      <c r="D31" s="305" t="s">
        <v>120</v>
      </c>
      <c r="E31" s="305"/>
      <c r="F31" s="305"/>
      <c r="G31" s="666"/>
      <c r="H31" s="669"/>
      <c r="I31" s="305" t="s">
        <v>71</v>
      </c>
      <c r="J31" s="641"/>
    </row>
    <row r="32" s="300" customFormat="1" ht="30" customHeight="1" spans="1:10">
      <c r="A32" s="663">
        <v>21</v>
      </c>
      <c r="B32" s="664" t="s">
        <v>95</v>
      </c>
      <c r="C32" s="664" t="s">
        <v>128</v>
      </c>
      <c r="D32" s="305" t="s">
        <v>120</v>
      </c>
      <c r="E32" s="305"/>
      <c r="F32" s="305"/>
      <c r="G32" s="666"/>
      <c r="H32" s="669"/>
      <c r="I32" s="305" t="s">
        <v>71</v>
      </c>
      <c r="J32" s="641">
        <f>E12/13</f>
        <v>0</v>
      </c>
    </row>
    <row r="33" s="300" customFormat="1" ht="30" customHeight="1" spans="1:10">
      <c r="A33" s="668">
        <v>22</v>
      </c>
      <c r="B33" s="664">
        <f>C7</f>
        <v>0</v>
      </c>
      <c r="C33" s="664" t="s">
        <v>128</v>
      </c>
      <c r="D33" s="305" t="s">
        <v>120</v>
      </c>
      <c r="E33" s="305"/>
      <c r="F33" s="305"/>
      <c r="G33" s="666"/>
      <c r="H33" s="669"/>
      <c r="I33" s="305" t="s">
        <v>71</v>
      </c>
      <c r="J33" s="641">
        <f>270*G33</f>
        <v>0</v>
      </c>
    </row>
    <row r="34" s="300" customFormat="1" ht="30" customHeight="1" spans="1:10">
      <c r="A34" s="663">
        <v>23</v>
      </c>
      <c r="B34" s="664" t="str">
        <f>C11</f>
        <v>小高层</v>
      </c>
      <c r="C34" s="664" t="s">
        <v>128</v>
      </c>
      <c r="D34" s="305" t="s">
        <v>120</v>
      </c>
      <c r="E34" s="305"/>
      <c r="F34" s="305"/>
      <c r="G34" s="666"/>
      <c r="H34" s="669"/>
      <c r="I34" s="305" t="s">
        <v>71</v>
      </c>
      <c r="J34" s="641"/>
    </row>
    <row r="35" s="300" customFormat="1" ht="30" customHeight="1" spans="1:10">
      <c r="A35" s="668">
        <v>24</v>
      </c>
      <c r="B35" s="664" t="s">
        <v>98</v>
      </c>
      <c r="C35" s="664" t="s">
        <v>128</v>
      </c>
      <c r="D35" s="305" t="s">
        <v>120</v>
      </c>
      <c r="E35" s="305"/>
      <c r="F35" s="305"/>
      <c r="G35" s="666"/>
      <c r="H35" s="669"/>
      <c r="I35" s="305" t="s">
        <v>71</v>
      </c>
      <c r="J35" s="641"/>
    </row>
    <row r="36" s="300" customFormat="1" ht="30" customHeight="1" spans="1:10">
      <c r="A36" s="668"/>
      <c r="B36" s="670" t="s">
        <v>111</v>
      </c>
      <c r="C36" s="305"/>
      <c r="D36" s="305"/>
      <c r="E36" s="305"/>
      <c r="F36" s="305"/>
      <c r="G36" s="305"/>
      <c r="H36" s="669"/>
      <c r="I36" s="305" t="s">
        <v>71</v>
      </c>
      <c r="J36" s="641"/>
    </row>
    <row r="37" s="300" customFormat="1" ht="30" customHeight="1" spans="1:10">
      <c r="A37" s="663">
        <v>25</v>
      </c>
      <c r="B37" s="670" t="s">
        <v>132</v>
      </c>
      <c r="C37" s="305"/>
      <c r="D37" s="305"/>
      <c r="E37" s="305">
        <v>1</v>
      </c>
      <c r="F37" s="305"/>
      <c r="G37" s="305"/>
      <c r="H37" s="671"/>
      <c r="I37" s="305" t="s">
        <v>71</v>
      </c>
      <c r="J37" s="641">
        <v>332.64</v>
      </c>
    </row>
    <row r="58" ht="302.1" customHeight="1"/>
  </sheetData>
  <autoFilter ref="A1:Q37">
    <extLst/>
  </autoFilter>
  <mergeCells count="10">
    <mergeCell ref="A4:J4"/>
    <mergeCell ref="B6:C6"/>
    <mergeCell ref="B7:C7"/>
    <mergeCell ref="B8:C8"/>
    <mergeCell ref="B20:C20"/>
    <mergeCell ref="B24:C24"/>
    <mergeCell ref="B25:C25"/>
    <mergeCell ref="C1:C3"/>
    <mergeCell ref="H26:H37"/>
    <mergeCell ref="A38:J58"/>
  </mergeCells>
  <dataValidations count="3">
    <dataValidation type="list" allowBlank="1" showInputMessage="1" showErrorMessage="1" sqref="C21:C23">
      <formula1>$M$10:$M$12</formula1>
    </dataValidation>
    <dataValidation type="list" allowBlank="1" showInputMessage="1" showErrorMessage="1" sqref="C9:C14">
      <formula1>$L$10:$L$22</formula1>
    </dataValidation>
    <dataValidation type="list" allowBlank="1" showInputMessage="1" showErrorMessage="1" sqref="C15">
      <formula1>'数据源（不可删除）'!$A$2:$A$15</formula1>
    </dataValidation>
  </dataValidations>
  <hyperlinks>
    <hyperlink ref="C1:C3" location="目录!A1" display="返回目录"/>
  </hyperlinks>
  <printOptions horizontalCentered="1"/>
  <pageMargins left="0.275" right="0.15625" top="0.747916666666667" bottom="0.747916666666667" header="0.313888888888889" footer="0.313888888888889"/>
  <pageSetup paperSize="9" scale="70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  <outlinePr summaryBelow="0" summaryRight="0"/>
  </sheetPr>
  <dimension ref="A1:AU206"/>
  <sheetViews>
    <sheetView tabSelected="1" zoomScale="85" zoomScaleNormal="85" topLeftCell="A4" workbookViewId="0">
      <pane xSplit="4" ySplit="6" topLeftCell="AC82" activePane="bottomRight" state="frozen"/>
      <selection/>
      <selection pane="topRight"/>
      <selection pane="bottomLeft"/>
      <selection pane="bottomRight" activeCell="AM87" sqref="AM87"/>
    </sheetView>
  </sheetViews>
  <sheetFormatPr defaultColWidth="9" defaultRowHeight="20.25" customHeight="1"/>
  <cols>
    <col min="1" max="1" width="9.125" style="405" customWidth="1"/>
    <col min="2" max="2" width="20.125" style="493" customWidth="1"/>
    <col min="3" max="3" width="11" style="405" customWidth="1"/>
    <col min="4" max="4" width="11.875" style="405" customWidth="1"/>
    <col min="5" max="5" width="9.375" style="405" customWidth="1"/>
    <col min="6" max="6" width="10.125" style="405" customWidth="1"/>
    <col min="7" max="7" width="10.625" style="405" customWidth="1" outlineLevel="1"/>
    <col min="8" max="8" width="10.75" style="405" customWidth="1" outlineLevel="1"/>
    <col min="9" max="10" width="11.125" style="405" customWidth="1" outlineLevel="1"/>
    <col min="11" max="12" width="10.125" style="405" hidden="1" customWidth="1" outlineLevel="1"/>
    <col min="13" max="14" width="12.125" style="405" hidden="1" customWidth="1" outlineLevel="1"/>
    <col min="15" max="16" width="9.375" style="405" hidden="1" customWidth="1" outlineLevel="1"/>
    <col min="17" max="17" width="11.225" style="405" hidden="1" customWidth="1" outlineLevel="1"/>
    <col min="18" max="18" width="8.375" style="405" hidden="1" customWidth="1" outlineLevel="1"/>
    <col min="19" max="19" width="10.25" style="405" hidden="1" customWidth="1" outlineLevel="1"/>
    <col min="20" max="20" width="10.125" style="405" hidden="1" customWidth="1" outlineLevel="1"/>
    <col min="21" max="21" width="11.25" style="405" customWidth="1" outlineLevel="1"/>
    <col min="22" max="22" width="8.375" style="405" customWidth="1" outlineLevel="1"/>
    <col min="23" max="23" width="9.75" style="405" customWidth="1" outlineLevel="1"/>
    <col min="24" max="24" width="8.375" style="405" customWidth="1" outlineLevel="1"/>
    <col min="25" max="25" width="9" style="417" customWidth="1" outlineLevel="1"/>
    <col min="26" max="26" width="8.375" style="417" customWidth="1" outlineLevel="1"/>
    <col min="27" max="28" width="8.5" style="405" customWidth="1" outlineLevel="1"/>
    <col min="29" max="29" width="9.88333333333333" style="405" customWidth="1"/>
    <col min="30" max="30" width="10.5" style="405" customWidth="1"/>
    <col min="31" max="32" width="8.625" style="405" customWidth="1" outlineLevel="1"/>
    <col min="33" max="33" width="11.125" style="405" customWidth="1" outlineLevel="1"/>
    <col min="34" max="34" width="9.225" style="405" customWidth="1" outlineLevel="1"/>
    <col min="35" max="35" width="10.625" style="405" customWidth="1" outlineLevel="1"/>
    <col min="36" max="36" width="9.875" style="405" customWidth="1" outlineLevel="1"/>
    <col min="37" max="37" width="18.8833333333333" style="405" customWidth="1"/>
    <col min="38" max="38" width="10" style="405" customWidth="1"/>
    <col min="39" max="39" width="16.55" style="405" customWidth="1"/>
    <col min="40" max="40" width="12.375" style="405" customWidth="1"/>
    <col min="41" max="41" width="10" style="405" customWidth="1"/>
    <col min="42" max="42" width="11" style="405" customWidth="1"/>
    <col min="43" max="43" width="9.5" style="405" customWidth="1"/>
    <col min="44" max="44" width="4.625" style="405" customWidth="1"/>
    <col min="45" max="45" width="9" style="405" customWidth="1"/>
    <col min="46" max="46" width="11.6666666666667" style="405" customWidth="1"/>
    <col min="47" max="47" width="8.44166666666667" style="405" customWidth="1"/>
    <col min="48" max="50" width="4.625" style="405" customWidth="1"/>
    <col min="51" max="16384" width="9" style="405"/>
  </cols>
  <sheetData>
    <row r="1" hidden="1" customHeight="1" spans="1:8">
      <c r="A1" s="178" t="s">
        <v>38</v>
      </c>
      <c r="B1" s="179" t="str">
        <f>目录!C5</f>
        <v>成本中心</v>
      </c>
      <c r="C1" s="180" t="s">
        <v>39</v>
      </c>
      <c r="D1" s="235"/>
      <c r="E1" s="235"/>
      <c r="F1" s="235"/>
      <c r="G1" s="235"/>
      <c r="H1" s="235"/>
    </row>
    <row r="2" hidden="1" customHeight="1" spans="1:8">
      <c r="A2" s="178" t="s">
        <v>3</v>
      </c>
      <c r="B2" s="179" t="str">
        <f>目录!D5</f>
        <v>陈海民</v>
      </c>
      <c r="C2" s="180"/>
      <c r="D2" s="235"/>
      <c r="E2" s="235"/>
      <c r="F2" s="235"/>
      <c r="G2" s="235"/>
      <c r="H2" s="494"/>
    </row>
    <row r="3" hidden="1" customHeight="1" spans="1:29">
      <c r="A3" s="178" t="s">
        <v>4</v>
      </c>
      <c r="B3" s="181" t="str">
        <f>目录!E5</f>
        <v>2022.10.31</v>
      </c>
      <c r="C3" s="180"/>
      <c r="D3" s="235">
        <f>E3+AC3</f>
        <v>7.084712</v>
      </c>
      <c r="E3" s="235">
        <f>G8+I8+S8+Y8+AA8</f>
        <v>4.861161</v>
      </c>
      <c r="F3" s="235"/>
      <c r="G3" s="494">
        <f>D10+D19</f>
        <v>24625.8881334046</v>
      </c>
      <c r="H3" s="494"/>
      <c r="AC3" s="405">
        <f>AG8+AI8</f>
        <v>2.223551</v>
      </c>
    </row>
    <row r="4" ht="15" customHeight="1" spans="1:37">
      <c r="A4" s="495" t="str">
        <f>项目概况!B6&amp;"项目成本测算明细表"</f>
        <v>洛龙区八里堂地块（挂牌）项目成本测算明细表</v>
      </c>
      <c r="B4" s="495"/>
      <c r="C4" s="495"/>
      <c r="D4" s="495"/>
      <c r="E4" s="495"/>
      <c r="F4" s="495"/>
      <c r="G4" s="495"/>
      <c r="H4" s="495"/>
      <c r="I4" s="495"/>
      <c r="J4" s="495"/>
      <c r="K4" s="495"/>
      <c r="L4" s="495"/>
      <c r="M4" s="495"/>
      <c r="N4" s="495"/>
      <c r="O4" s="495"/>
      <c r="P4" s="495"/>
      <c r="Q4" s="495"/>
      <c r="R4" s="495"/>
      <c r="S4" s="495"/>
      <c r="T4" s="495"/>
      <c r="U4" s="495"/>
      <c r="V4" s="495"/>
      <c r="W4" s="495"/>
      <c r="X4" s="495"/>
      <c r="Y4" s="495"/>
      <c r="Z4" s="495"/>
      <c r="AA4" s="495"/>
      <c r="AB4" s="495"/>
      <c r="AC4" s="495"/>
      <c r="AD4" s="495"/>
      <c r="AE4" s="495"/>
      <c r="AF4" s="495"/>
      <c r="AG4" s="495"/>
      <c r="AH4" s="495"/>
      <c r="AI4" s="495"/>
      <c r="AJ4" s="495"/>
      <c r="AK4" s="495"/>
    </row>
    <row r="5" s="489" customFormat="1" ht="15" customHeight="1" spans="1:43">
      <c r="A5" s="496" t="s">
        <v>0</v>
      </c>
      <c r="B5" s="496" t="s">
        <v>133</v>
      </c>
      <c r="C5" s="496" t="s">
        <v>134</v>
      </c>
      <c r="D5" s="496"/>
      <c r="E5" s="497" t="s">
        <v>74</v>
      </c>
      <c r="F5" s="497"/>
      <c r="G5" s="497"/>
      <c r="H5" s="497"/>
      <c r="I5" s="497"/>
      <c r="J5" s="497"/>
      <c r="K5" s="497"/>
      <c r="L5" s="497"/>
      <c r="M5" s="497"/>
      <c r="N5" s="497"/>
      <c r="O5" s="497"/>
      <c r="P5" s="497"/>
      <c r="Q5" s="497"/>
      <c r="R5" s="497"/>
      <c r="S5" s="497"/>
      <c r="T5" s="497"/>
      <c r="U5" s="497"/>
      <c r="V5" s="497"/>
      <c r="W5" s="497"/>
      <c r="X5" s="497"/>
      <c r="Y5" s="497"/>
      <c r="Z5" s="497"/>
      <c r="AA5" s="497"/>
      <c r="AB5" s="497"/>
      <c r="AC5" s="549" t="s">
        <v>32</v>
      </c>
      <c r="AD5" s="549"/>
      <c r="AE5" s="549"/>
      <c r="AF5" s="549"/>
      <c r="AG5" s="549"/>
      <c r="AH5" s="549"/>
      <c r="AI5" s="549"/>
      <c r="AJ5" s="549"/>
      <c r="AK5" s="552" t="s">
        <v>135</v>
      </c>
      <c r="AL5" s="553" t="s">
        <v>136</v>
      </c>
      <c r="AM5" s="554" t="s">
        <v>137</v>
      </c>
      <c r="AN5" s="555"/>
      <c r="AO5" s="555"/>
      <c r="AP5" s="555"/>
      <c r="AQ5" s="555"/>
    </row>
    <row r="6" s="489" customFormat="1" customHeight="1" spans="1:43">
      <c r="A6" s="496"/>
      <c r="B6" s="496" t="s">
        <v>138</v>
      </c>
      <c r="C6" s="496"/>
      <c r="D6" s="496"/>
      <c r="E6" s="496" t="str">
        <f>经济指标!B8</f>
        <v>地上建筑面积</v>
      </c>
      <c r="F6" s="496"/>
      <c r="G6" s="496" t="str">
        <f>经济指标!B9</f>
        <v>地上部分1</v>
      </c>
      <c r="H6" s="496"/>
      <c r="I6" s="496" t="str">
        <f>经济指标!B10</f>
        <v>地上部分2</v>
      </c>
      <c r="J6" s="496"/>
      <c r="K6" s="496" t="str">
        <f>经济指标!B11</f>
        <v>地上部分3</v>
      </c>
      <c r="L6" s="496"/>
      <c r="M6" s="540" t="str">
        <f>经济指标!B12</f>
        <v>地上部分4</v>
      </c>
      <c r="N6" s="541"/>
      <c r="O6" s="540" t="str">
        <f>经济指标!B13</f>
        <v>地上部分5</v>
      </c>
      <c r="P6" s="541"/>
      <c r="Q6" s="540" t="str">
        <f>经济指标!B14</f>
        <v>地上部分6</v>
      </c>
      <c r="R6" s="541"/>
      <c r="S6" s="540" t="str">
        <f>经济指标!B15</f>
        <v>地上部分7</v>
      </c>
      <c r="T6" s="541"/>
      <c r="U6" s="546" t="str">
        <f>经济指标!B16</f>
        <v>地上部分8</v>
      </c>
      <c r="V6" s="546"/>
      <c r="W6" s="546" t="str">
        <f>经济指标!B17</f>
        <v>地上部分9</v>
      </c>
      <c r="X6" s="546"/>
      <c r="Y6" s="546" t="str">
        <f>经济指标!B18</f>
        <v>地上部分10</v>
      </c>
      <c r="Z6" s="546"/>
      <c r="AA6" s="546" t="str">
        <f>经济指标!B19</f>
        <v>地上部分11</v>
      </c>
      <c r="AB6" s="546"/>
      <c r="AC6" s="546" t="str">
        <f>经济指标!B20</f>
        <v>地下建筑面积</v>
      </c>
      <c r="AD6" s="546"/>
      <c r="AE6" s="546" t="str">
        <f>经济指标!B21</f>
        <v>地下部分1</v>
      </c>
      <c r="AF6" s="546"/>
      <c r="AG6" s="546" t="str">
        <f>经济指标!B22</f>
        <v>地下部分2</v>
      </c>
      <c r="AH6" s="546"/>
      <c r="AI6" s="546" t="str">
        <f>经济指标!B23</f>
        <v>地下部分3</v>
      </c>
      <c r="AJ6" s="546"/>
      <c r="AK6" s="556"/>
      <c r="AL6" s="553"/>
      <c r="AM6" s="554"/>
      <c r="AN6" s="555"/>
      <c r="AO6" s="555"/>
      <c r="AP6" s="555"/>
      <c r="AQ6" s="555"/>
    </row>
    <row r="7" ht="33" customHeight="1" spans="1:43">
      <c r="A7" s="496"/>
      <c r="B7" s="496" t="s">
        <v>139</v>
      </c>
      <c r="C7" s="496"/>
      <c r="D7" s="496"/>
      <c r="E7" s="496" t="str">
        <f>E6</f>
        <v>地上建筑面积</v>
      </c>
      <c r="F7" s="496"/>
      <c r="G7" s="498" t="str">
        <f>经济指标!C9</f>
        <v>洋房</v>
      </c>
      <c r="H7" s="498"/>
      <c r="I7" s="498" t="str">
        <f>经济指标!C10</f>
        <v>别墅</v>
      </c>
      <c r="J7" s="498"/>
      <c r="K7" s="542" t="str">
        <f>经济指标!C11</f>
        <v>小高层</v>
      </c>
      <c r="L7" s="542"/>
      <c r="M7" s="543" t="str">
        <f>经济指标!C12</f>
        <v>公寓</v>
      </c>
      <c r="N7" s="544"/>
      <c r="O7" s="540" t="str">
        <f>经济指标!C13</f>
        <v>商业</v>
      </c>
      <c r="P7" s="541"/>
      <c r="Q7" s="540" t="str">
        <f>经济指标!C14</f>
        <v>办公</v>
      </c>
      <c r="R7" s="541"/>
      <c r="S7" s="547" t="str">
        <f>经济指标!C15</f>
        <v>装配式</v>
      </c>
      <c r="T7" s="548"/>
      <c r="U7" s="547" t="str">
        <f>经济指标!C16</f>
        <v>物业用房及消防控制室</v>
      </c>
      <c r="V7" s="548"/>
      <c r="W7" s="547" t="str">
        <f>经济指标!C17</f>
        <v>公共厕所及开闭所</v>
      </c>
      <c r="X7" s="548"/>
      <c r="Y7" s="547" t="str">
        <f>经济指标!C18</f>
        <v>社区服务站</v>
      </c>
      <c r="Z7" s="548"/>
      <c r="AA7" s="496" t="str">
        <f>经济指标!C19</f>
        <v>老年日间照料</v>
      </c>
      <c r="AB7" s="496"/>
      <c r="AC7" s="547" t="str">
        <f>AC6</f>
        <v>地下建筑面积</v>
      </c>
      <c r="AD7" s="548"/>
      <c r="AE7" s="547" t="str">
        <f>经济指标!C21</f>
        <v>储藏室</v>
      </c>
      <c r="AF7" s="548"/>
      <c r="AG7" s="496" t="str">
        <f>经济指标!C22</f>
        <v>人防车位</v>
      </c>
      <c r="AH7" s="496"/>
      <c r="AI7" s="496" t="str">
        <f>经济指标!C23</f>
        <v>非人防车位</v>
      </c>
      <c r="AJ7" s="496"/>
      <c r="AK7" s="556"/>
      <c r="AL7" s="553"/>
      <c r="AM7" s="554"/>
      <c r="AN7" s="557"/>
      <c r="AO7" s="557"/>
      <c r="AP7" s="557"/>
      <c r="AQ7" s="557"/>
    </row>
    <row r="8" ht="50.1" customHeight="1" spans="1:43">
      <c r="A8" s="496"/>
      <c r="B8" s="496" t="s">
        <v>66</v>
      </c>
      <c r="C8" s="499">
        <f>经济指标!E7/10000</f>
        <v>7.137825</v>
      </c>
      <c r="D8" s="500" t="s">
        <v>140</v>
      </c>
      <c r="E8" s="501">
        <f>经济指标!E8/10000</f>
        <v>4.914274</v>
      </c>
      <c r="F8" s="500" t="s">
        <v>141</v>
      </c>
      <c r="G8" s="501">
        <f>经济指标!E9/10000</f>
        <v>3.164284</v>
      </c>
      <c r="H8" s="500" t="s">
        <v>140</v>
      </c>
      <c r="I8" s="501">
        <f>经济指标!E10/10000</f>
        <v>1.669248</v>
      </c>
      <c r="J8" s="500" t="s">
        <v>142</v>
      </c>
      <c r="K8" s="521">
        <f>经济指标!G11/10000</f>
        <v>0</v>
      </c>
      <c r="L8" s="500" t="s">
        <v>143</v>
      </c>
      <c r="M8" s="501">
        <f>经济指标!G12/10000</f>
        <v>0</v>
      </c>
      <c r="N8" s="500" t="s">
        <v>144</v>
      </c>
      <c r="O8" s="501">
        <f>经济指标!E13/10000</f>
        <v>0</v>
      </c>
      <c r="P8" s="500" t="s">
        <v>145</v>
      </c>
      <c r="Q8" s="521">
        <f>经济指标!G14/10000</f>
        <v>0</v>
      </c>
      <c r="R8" s="500" t="s">
        <v>146</v>
      </c>
      <c r="S8" s="501">
        <f>经济指标!E15/10000</f>
        <v>0</v>
      </c>
      <c r="T8" s="500" t="s">
        <v>147</v>
      </c>
      <c r="U8" s="501">
        <f>经济指标!E16/10000</f>
        <v>0.033264</v>
      </c>
      <c r="V8" s="500" t="s">
        <v>144</v>
      </c>
      <c r="W8" s="521">
        <f>经济指标!E17/10000</f>
        <v>0.019849</v>
      </c>
      <c r="X8" s="500" t="s">
        <v>145</v>
      </c>
      <c r="Y8" s="501">
        <f>经济指标!E18/10000</f>
        <v>0.00752</v>
      </c>
      <c r="Z8" s="500" t="s">
        <v>146</v>
      </c>
      <c r="AA8" s="501">
        <f>经济指标!E19/10000</f>
        <v>0.020109</v>
      </c>
      <c r="AB8" s="500" t="s">
        <v>147</v>
      </c>
      <c r="AC8" s="550">
        <f>经济指标!E20/10000</f>
        <v>2.223551</v>
      </c>
      <c r="AD8" s="500" t="s">
        <v>141</v>
      </c>
      <c r="AE8" s="551">
        <f>经济指标!E21/10000</f>
        <v>0</v>
      </c>
      <c r="AF8" s="500" t="s">
        <v>140</v>
      </c>
      <c r="AG8" s="550">
        <f>经济指标!E22/10000</f>
        <v>0.394511</v>
      </c>
      <c r="AH8" s="500" t="s">
        <v>142</v>
      </c>
      <c r="AI8" s="550">
        <f>(经济指标!E23)/10000</f>
        <v>1.82904</v>
      </c>
      <c r="AJ8" s="500" t="s">
        <v>143</v>
      </c>
      <c r="AK8" s="556"/>
      <c r="AL8" s="553"/>
      <c r="AM8" s="554"/>
      <c r="AN8" s="557"/>
      <c r="AO8" s="557"/>
      <c r="AP8" s="557"/>
      <c r="AQ8" s="557"/>
    </row>
    <row r="9" customHeight="1" spans="1:43">
      <c r="A9" s="496"/>
      <c r="B9" s="496" t="s">
        <v>148</v>
      </c>
      <c r="C9" s="496" t="s">
        <v>149</v>
      </c>
      <c r="D9" s="496" t="s">
        <v>150</v>
      </c>
      <c r="E9" s="496" t="s">
        <v>151</v>
      </c>
      <c r="F9" s="496" t="s">
        <v>152</v>
      </c>
      <c r="G9" s="496" t="s">
        <v>149</v>
      </c>
      <c r="H9" s="496" t="s">
        <v>152</v>
      </c>
      <c r="I9" s="496" t="s">
        <v>153</v>
      </c>
      <c r="J9" s="496" t="s">
        <v>152</v>
      </c>
      <c r="K9" s="496" t="s">
        <v>154</v>
      </c>
      <c r="L9" s="496" t="s">
        <v>152</v>
      </c>
      <c r="M9" s="496" t="s">
        <v>155</v>
      </c>
      <c r="N9" s="496" t="s">
        <v>152</v>
      </c>
      <c r="O9" s="496" t="s">
        <v>156</v>
      </c>
      <c r="P9" s="496" t="s">
        <v>152</v>
      </c>
      <c r="Q9" s="496" t="s">
        <v>157</v>
      </c>
      <c r="R9" s="496" t="s">
        <v>152</v>
      </c>
      <c r="S9" s="496" t="s">
        <v>158</v>
      </c>
      <c r="T9" s="496" t="s">
        <v>152</v>
      </c>
      <c r="U9" s="496" t="s">
        <v>155</v>
      </c>
      <c r="V9" s="496" t="s">
        <v>152</v>
      </c>
      <c r="W9" s="496" t="s">
        <v>156</v>
      </c>
      <c r="X9" s="496" t="s">
        <v>152</v>
      </c>
      <c r="Y9" s="496" t="s">
        <v>157</v>
      </c>
      <c r="Z9" s="496" t="s">
        <v>152</v>
      </c>
      <c r="AA9" s="496" t="s">
        <v>158</v>
      </c>
      <c r="AB9" s="496" t="s">
        <v>152</v>
      </c>
      <c r="AC9" s="496" t="s">
        <v>149</v>
      </c>
      <c r="AD9" s="496" t="s">
        <v>152</v>
      </c>
      <c r="AE9" s="496" t="s">
        <v>153</v>
      </c>
      <c r="AF9" s="496" t="s">
        <v>152</v>
      </c>
      <c r="AG9" s="496" t="s">
        <v>154</v>
      </c>
      <c r="AH9" s="496" t="s">
        <v>152</v>
      </c>
      <c r="AI9" s="496" t="s">
        <v>155</v>
      </c>
      <c r="AJ9" s="496" t="s">
        <v>152</v>
      </c>
      <c r="AK9" s="558"/>
      <c r="AL9" s="557"/>
      <c r="AM9" s="557"/>
      <c r="AN9" s="557"/>
      <c r="AO9" s="557"/>
      <c r="AP9" s="557"/>
      <c r="AQ9" s="557"/>
    </row>
    <row r="10" customHeight="1" spans="1:41">
      <c r="A10" s="502">
        <v>1</v>
      </c>
      <c r="B10" s="503" t="s">
        <v>159</v>
      </c>
      <c r="C10" s="503">
        <f>SUM(C11:C18)</f>
        <v>3124.1608730584</v>
      </c>
      <c r="D10" s="503">
        <f>SUM(D11:D18)</f>
        <v>22299.7135837381</v>
      </c>
      <c r="E10" s="503">
        <f>SUM(E11:E18)</f>
        <v>4613.54421233543</v>
      </c>
      <c r="F10" s="503">
        <f t="shared" ref="F10:AJ10" si="0">SUM(F11:F18)</f>
        <v>22299.7135837381</v>
      </c>
      <c r="G10" s="503">
        <f t="shared" si="0"/>
        <v>4613.54421233543</v>
      </c>
      <c r="H10" s="504">
        <f t="shared" si="0"/>
        <v>14598.5641343856</v>
      </c>
      <c r="I10" s="503">
        <f t="shared" si="0"/>
        <v>4613.54421233543</v>
      </c>
      <c r="J10" s="504">
        <f t="shared" si="0"/>
        <v>7701.14944935249</v>
      </c>
      <c r="K10" s="503">
        <f t="shared" si="0"/>
        <v>4613.54421233543</v>
      </c>
      <c r="L10" s="503">
        <f t="shared" si="0"/>
        <v>0</v>
      </c>
      <c r="M10" s="503">
        <f t="shared" si="0"/>
        <v>4613.54421233543</v>
      </c>
      <c r="N10" s="503">
        <f t="shared" si="0"/>
        <v>0</v>
      </c>
      <c r="O10" s="503">
        <f t="shared" si="0"/>
        <v>4613.54421233543</v>
      </c>
      <c r="P10" s="504">
        <f t="shared" si="0"/>
        <v>0</v>
      </c>
      <c r="Q10" s="503">
        <f t="shared" si="0"/>
        <v>4613.54421233543</v>
      </c>
      <c r="R10" s="503">
        <f t="shared" si="0"/>
        <v>0</v>
      </c>
      <c r="S10" s="503">
        <f t="shared" si="0"/>
        <v>4613.54421233543</v>
      </c>
      <c r="T10" s="504">
        <f t="shared" si="0"/>
        <v>0</v>
      </c>
      <c r="U10" s="503">
        <f t="shared" si="0"/>
        <v>0</v>
      </c>
      <c r="V10" s="504">
        <f t="shared" si="0"/>
        <v>0</v>
      </c>
      <c r="W10" s="503">
        <f t="shared" si="0"/>
        <v>0</v>
      </c>
      <c r="X10" s="503">
        <f t="shared" si="0"/>
        <v>0</v>
      </c>
      <c r="Y10" s="503">
        <f t="shared" si="0"/>
        <v>0</v>
      </c>
      <c r="Z10" s="504">
        <f t="shared" si="0"/>
        <v>0</v>
      </c>
      <c r="AA10" s="503">
        <f t="shared" si="0"/>
        <v>0</v>
      </c>
      <c r="AB10" s="504">
        <f t="shared" si="0"/>
        <v>0</v>
      </c>
      <c r="AC10" s="503">
        <f t="shared" si="0"/>
        <v>0</v>
      </c>
      <c r="AD10" s="503">
        <f t="shared" si="0"/>
        <v>0</v>
      </c>
      <c r="AE10" s="503">
        <f t="shared" si="0"/>
        <v>0</v>
      </c>
      <c r="AF10" s="503">
        <f t="shared" si="0"/>
        <v>0</v>
      </c>
      <c r="AG10" s="503">
        <f t="shared" si="0"/>
        <v>0</v>
      </c>
      <c r="AH10" s="503">
        <f t="shared" si="0"/>
        <v>0</v>
      </c>
      <c r="AI10" s="503">
        <f t="shared" si="0"/>
        <v>0</v>
      </c>
      <c r="AJ10" s="503">
        <f t="shared" si="0"/>
        <v>0</v>
      </c>
      <c r="AK10" s="559"/>
      <c r="AL10" s="560">
        <f>AJ10+AH10+AF10+AB10+Z10+X10+V10+AJ193+T10+R10+P10+N10+L10+J10+H10</f>
        <v>22299.7135837381</v>
      </c>
      <c r="AM10" s="557"/>
      <c r="AO10" s="405">
        <f>H10+J10+P10+T10+V10+X10+Z10+AB10+AH10+AJ10-D10</f>
        <v>0</v>
      </c>
    </row>
    <row r="11" ht="30" customHeight="1" outlineLevel="1" spans="1:41">
      <c r="A11" s="505">
        <v>1.1</v>
      </c>
      <c r="B11" s="506" t="s">
        <v>160</v>
      </c>
      <c r="C11" s="507">
        <f>D11/$C$8</f>
        <v>2991.46654060586</v>
      </c>
      <c r="D11" s="508">
        <f>项目概况!B12</f>
        <v>21352.5646602</v>
      </c>
      <c r="E11" s="507">
        <f>F11/(I8+K8+O8+S8+G8)</f>
        <v>4417.59042046272</v>
      </c>
      <c r="F11" s="507">
        <f>D11</f>
        <v>21352.5646602</v>
      </c>
      <c r="G11" s="509">
        <f>$E11</f>
        <v>4417.59042046272</v>
      </c>
      <c r="H11" s="510">
        <f>G11*G$8</f>
        <v>13978.5106860234</v>
      </c>
      <c r="I11" s="509">
        <f t="shared" ref="I11:I18" si="1">$E11</f>
        <v>4417.59042046272</v>
      </c>
      <c r="J11" s="507">
        <f>I11*I$8</f>
        <v>7374.05397417655</v>
      </c>
      <c r="K11" s="507">
        <f t="shared" ref="K11:K18" si="2">$E11</f>
        <v>4417.59042046272</v>
      </c>
      <c r="L11" s="507">
        <f t="shared" ref="L11:L18" si="3">K11*K$8</f>
        <v>0</v>
      </c>
      <c r="M11" s="507">
        <f t="shared" ref="M11:M18" si="4">$E11</f>
        <v>4417.59042046272</v>
      </c>
      <c r="N11" s="507">
        <f t="shared" ref="N11:N18" si="5">M11*M$8</f>
        <v>0</v>
      </c>
      <c r="O11" s="509">
        <f t="shared" ref="O11:O18" si="6">$E11</f>
        <v>4417.59042046272</v>
      </c>
      <c r="P11" s="507">
        <f>O11*O$8</f>
        <v>0</v>
      </c>
      <c r="Q11" s="507">
        <f>$E11</f>
        <v>4417.59042046272</v>
      </c>
      <c r="R11" s="507">
        <f t="shared" ref="R11:R18" si="7">Q11*Q$8</f>
        <v>0</v>
      </c>
      <c r="S11" s="509">
        <f>E11</f>
        <v>4417.59042046272</v>
      </c>
      <c r="T11" s="507">
        <f>S11*S$8</f>
        <v>0</v>
      </c>
      <c r="U11" s="509">
        <v>0</v>
      </c>
      <c r="V11" s="507">
        <f>U11*U$8</f>
        <v>0</v>
      </c>
      <c r="W11" s="509">
        <v>0</v>
      </c>
      <c r="X11" s="507">
        <f>W11*W$8</f>
        <v>0</v>
      </c>
      <c r="Y11" s="509">
        <v>0</v>
      </c>
      <c r="Z11" s="507">
        <f>Y11*Y$8</f>
        <v>0</v>
      </c>
      <c r="AA11" s="509">
        <v>0</v>
      </c>
      <c r="AB11" s="507">
        <f>AA11*AA$8</f>
        <v>0</v>
      </c>
      <c r="AC11" s="507">
        <f>AD11/$AC$8</f>
        <v>0</v>
      </c>
      <c r="AD11" s="507">
        <f>D11-F11</f>
        <v>0</v>
      </c>
      <c r="AE11" s="507">
        <f>AC11</f>
        <v>0</v>
      </c>
      <c r="AF11" s="507">
        <f>AE11*AE$8</f>
        <v>0</v>
      </c>
      <c r="AG11" s="509">
        <f>AC11</f>
        <v>0</v>
      </c>
      <c r="AH11" s="507">
        <f>AG11*AG$8</f>
        <v>0</v>
      </c>
      <c r="AI11" s="509">
        <f>AC11</f>
        <v>0</v>
      </c>
      <c r="AJ11" s="507">
        <f>AI11*AI$8</f>
        <v>0</v>
      </c>
      <c r="AK11" s="559"/>
      <c r="AL11" s="560">
        <f>AJ11+AH11+AF11+AB11+Z11+X11+V11+AJ194+T11+R11+P11+N11+L11+J11+H11</f>
        <v>21352.5646602</v>
      </c>
      <c r="AM11" s="557"/>
      <c r="AO11" s="405">
        <f t="shared" ref="AO11:AO42" si="8">H11+J11+P11+T11+V11+X11+Z11+AB11+AH11+AJ11-D11</f>
        <v>-5.45696821063757e-11</v>
      </c>
    </row>
    <row r="12" customHeight="1" outlineLevel="1" spans="1:41">
      <c r="A12" s="505">
        <v>1.2</v>
      </c>
      <c r="B12" s="506" t="s">
        <v>161</v>
      </c>
      <c r="C12" s="507">
        <f t="shared" ref="C12:C18" si="9">D12/$C$8</f>
        <v>119.658661624234</v>
      </c>
      <c r="D12" s="510">
        <f>D11*0.04</f>
        <v>854.102586408</v>
      </c>
      <c r="E12" s="507">
        <f>F12/(I8+K8+O8+S8+G8)</f>
        <v>176.703616818509</v>
      </c>
      <c r="F12" s="507">
        <f t="shared" ref="F12:F18" si="10">D12</f>
        <v>854.102586408</v>
      </c>
      <c r="G12" s="509">
        <f t="shared" ref="G12:G18" si="11">$E12</f>
        <v>176.703616818509</v>
      </c>
      <c r="H12" s="510">
        <f>G12*G$8</f>
        <v>559.140427440938</v>
      </c>
      <c r="I12" s="509">
        <f t="shared" si="1"/>
        <v>176.703616818509</v>
      </c>
      <c r="J12" s="507">
        <f t="shared" ref="J12:J18" si="12">I12*I$8</f>
        <v>294.962158967062</v>
      </c>
      <c r="K12" s="507">
        <f t="shared" si="2"/>
        <v>176.703616818509</v>
      </c>
      <c r="L12" s="507">
        <f t="shared" si="3"/>
        <v>0</v>
      </c>
      <c r="M12" s="507">
        <f t="shared" si="4"/>
        <v>176.703616818509</v>
      </c>
      <c r="N12" s="507">
        <f t="shared" si="5"/>
        <v>0</v>
      </c>
      <c r="O12" s="509">
        <f t="shared" si="6"/>
        <v>176.703616818509</v>
      </c>
      <c r="P12" s="507">
        <f t="shared" ref="P12:P18" si="13">O12*O$8</f>
        <v>0</v>
      </c>
      <c r="Q12" s="507">
        <f t="shared" ref="Q12:Q18" si="14">$E12</f>
        <v>176.703616818509</v>
      </c>
      <c r="R12" s="507">
        <f t="shared" si="7"/>
        <v>0</v>
      </c>
      <c r="S12" s="509">
        <f>E12</f>
        <v>176.703616818509</v>
      </c>
      <c r="T12" s="507">
        <f t="shared" ref="T12:T18" si="15">S12*S$8</f>
        <v>0</v>
      </c>
      <c r="U12" s="509">
        <v>0</v>
      </c>
      <c r="V12" s="507">
        <f t="shared" ref="V12:V18" si="16">U12*U$8</f>
        <v>0</v>
      </c>
      <c r="W12" s="509">
        <v>0</v>
      </c>
      <c r="X12" s="507">
        <f t="shared" ref="X12:X18" si="17">W12*W$8</f>
        <v>0</v>
      </c>
      <c r="Y12" s="509">
        <v>0</v>
      </c>
      <c r="Z12" s="507">
        <f t="shared" ref="Z12:Z18" si="18">Y12*Y$8</f>
        <v>0</v>
      </c>
      <c r="AA12" s="509">
        <v>0</v>
      </c>
      <c r="AB12" s="507">
        <f t="shared" ref="AB12:AB18" si="19">AA12*AA$8</f>
        <v>0</v>
      </c>
      <c r="AC12" s="507">
        <f t="shared" ref="AC12:AC18" si="20">AD12/$AC$8</f>
        <v>0</v>
      </c>
      <c r="AD12" s="507">
        <f t="shared" ref="AD12:AD18" si="21">D12-F12</f>
        <v>0</v>
      </c>
      <c r="AE12" s="507">
        <f t="shared" ref="AE12:AE18" si="22">AC12</f>
        <v>0</v>
      </c>
      <c r="AF12" s="507">
        <f t="shared" ref="AF12:AH18" si="23">AE12*AE$8</f>
        <v>0</v>
      </c>
      <c r="AG12" s="509">
        <f t="shared" ref="AG12:AG18" si="24">AC12</f>
        <v>0</v>
      </c>
      <c r="AH12" s="507">
        <f t="shared" si="23"/>
        <v>0</v>
      </c>
      <c r="AI12" s="509">
        <f t="shared" ref="AI12:AI18" si="25">AC12</f>
        <v>0</v>
      </c>
      <c r="AJ12" s="507">
        <f t="shared" ref="AJ12" si="26">AI12*AI$8</f>
        <v>0</v>
      </c>
      <c r="AK12" s="559"/>
      <c r="AL12" s="560">
        <f t="shared" ref="AL12:AL26" si="27">AJ12+AH12+AF12+AB12+Z12+X12+V12+AJ195+T12+R12+P12+N12+L12+J12+H12</f>
        <v>854.102586408</v>
      </c>
      <c r="AM12" s="557"/>
      <c r="AO12" s="405">
        <f t="shared" si="8"/>
        <v>0</v>
      </c>
    </row>
    <row r="13" customHeight="1" outlineLevel="1" spans="1:41">
      <c r="A13" s="505">
        <v>1.3</v>
      </c>
      <c r="B13" s="506" t="s">
        <v>162</v>
      </c>
      <c r="C13" s="507">
        <f t="shared" si="9"/>
        <v>0</v>
      </c>
      <c r="D13" s="508">
        <v>0</v>
      </c>
      <c r="E13" s="507">
        <f>F13/$E$8</f>
        <v>0</v>
      </c>
      <c r="F13" s="507">
        <f t="shared" si="10"/>
        <v>0</v>
      </c>
      <c r="G13" s="509">
        <f t="shared" si="11"/>
        <v>0</v>
      </c>
      <c r="H13" s="507">
        <f t="shared" ref="H13:H18" si="28">G13*G$8</f>
        <v>0</v>
      </c>
      <c r="I13" s="509">
        <f t="shared" si="1"/>
        <v>0</v>
      </c>
      <c r="J13" s="507">
        <f t="shared" si="12"/>
        <v>0</v>
      </c>
      <c r="K13" s="507">
        <f t="shared" si="2"/>
        <v>0</v>
      </c>
      <c r="L13" s="507">
        <f t="shared" si="3"/>
        <v>0</v>
      </c>
      <c r="M13" s="507">
        <f t="shared" si="4"/>
        <v>0</v>
      </c>
      <c r="N13" s="507">
        <f t="shared" si="5"/>
        <v>0</v>
      </c>
      <c r="O13" s="509">
        <f t="shared" si="6"/>
        <v>0</v>
      </c>
      <c r="P13" s="507">
        <f t="shared" si="13"/>
        <v>0</v>
      </c>
      <c r="Q13" s="507">
        <f t="shared" si="14"/>
        <v>0</v>
      </c>
      <c r="R13" s="507">
        <f t="shared" si="7"/>
        <v>0</v>
      </c>
      <c r="S13" s="509">
        <f>E13</f>
        <v>0</v>
      </c>
      <c r="T13" s="507">
        <f t="shared" si="15"/>
        <v>0</v>
      </c>
      <c r="U13" s="509">
        <f t="shared" ref="U13:U17" si="29">$E13</f>
        <v>0</v>
      </c>
      <c r="V13" s="507">
        <f t="shared" si="16"/>
        <v>0</v>
      </c>
      <c r="W13" s="509">
        <v>0</v>
      </c>
      <c r="X13" s="507">
        <f t="shared" si="17"/>
        <v>0</v>
      </c>
      <c r="Y13" s="509">
        <f t="shared" ref="Y13:Y17" si="30">$E13</f>
        <v>0</v>
      </c>
      <c r="Z13" s="507">
        <f t="shared" si="18"/>
        <v>0</v>
      </c>
      <c r="AA13" s="509">
        <f t="shared" ref="AA13:AA17" si="31">$E13</f>
        <v>0</v>
      </c>
      <c r="AB13" s="507">
        <f t="shared" si="19"/>
        <v>0</v>
      </c>
      <c r="AC13" s="507">
        <f t="shared" si="20"/>
        <v>0</v>
      </c>
      <c r="AD13" s="507">
        <f t="shared" si="21"/>
        <v>0</v>
      </c>
      <c r="AE13" s="507">
        <f t="shared" si="22"/>
        <v>0</v>
      </c>
      <c r="AF13" s="507">
        <f t="shared" si="23"/>
        <v>0</v>
      </c>
      <c r="AG13" s="509">
        <f t="shared" si="24"/>
        <v>0</v>
      </c>
      <c r="AH13" s="507">
        <f t="shared" si="23"/>
        <v>0</v>
      </c>
      <c r="AI13" s="509">
        <f t="shared" si="25"/>
        <v>0</v>
      </c>
      <c r="AJ13" s="507">
        <f t="shared" ref="AJ13" si="32">AI13*AI$8</f>
        <v>0</v>
      </c>
      <c r="AK13" s="559"/>
      <c r="AL13" s="560">
        <f t="shared" si="27"/>
        <v>0</v>
      </c>
      <c r="AM13" s="557"/>
      <c r="AO13" s="405">
        <f t="shared" si="8"/>
        <v>0</v>
      </c>
    </row>
    <row r="14" customHeight="1" outlineLevel="1" spans="1:41">
      <c r="A14" s="505">
        <v>1.4</v>
      </c>
      <c r="B14" s="506" t="s">
        <v>163</v>
      </c>
      <c r="C14" s="507">
        <f t="shared" si="9"/>
        <v>0</v>
      </c>
      <c r="D14" s="508"/>
      <c r="E14" s="507">
        <f t="shared" ref="E14:E17" si="33">F14/$E$8</f>
        <v>0</v>
      </c>
      <c r="F14" s="507">
        <f t="shared" si="10"/>
        <v>0</v>
      </c>
      <c r="G14" s="509">
        <f t="shared" si="11"/>
        <v>0</v>
      </c>
      <c r="H14" s="507">
        <f t="shared" si="28"/>
        <v>0</v>
      </c>
      <c r="I14" s="509">
        <f t="shared" si="1"/>
        <v>0</v>
      </c>
      <c r="J14" s="507">
        <f t="shared" si="12"/>
        <v>0</v>
      </c>
      <c r="K14" s="507">
        <f t="shared" si="2"/>
        <v>0</v>
      </c>
      <c r="L14" s="507">
        <f t="shared" si="3"/>
        <v>0</v>
      </c>
      <c r="M14" s="507">
        <f t="shared" si="4"/>
        <v>0</v>
      </c>
      <c r="N14" s="507">
        <f t="shared" si="5"/>
        <v>0</v>
      </c>
      <c r="O14" s="509">
        <f t="shared" si="6"/>
        <v>0</v>
      </c>
      <c r="P14" s="507">
        <f t="shared" si="13"/>
        <v>0</v>
      </c>
      <c r="Q14" s="507">
        <f t="shared" si="14"/>
        <v>0</v>
      </c>
      <c r="R14" s="507">
        <f t="shared" si="7"/>
        <v>0</v>
      </c>
      <c r="S14" s="509">
        <v>0</v>
      </c>
      <c r="T14" s="507">
        <f t="shared" si="15"/>
        <v>0</v>
      </c>
      <c r="U14" s="509">
        <f t="shared" si="29"/>
        <v>0</v>
      </c>
      <c r="V14" s="507">
        <f t="shared" si="16"/>
        <v>0</v>
      </c>
      <c r="W14" s="509">
        <v>0</v>
      </c>
      <c r="X14" s="507">
        <f t="shared" si="17"/>
        <v>0</v>
      </c>
      <c r="Y14" s="509">
        <f t="shared" si="30"/>
        <v>0</v>
      </c>
      <c r="Z14" s="507">
        <f t="shared" si="18"/>
        <v>0</v>
      </c>
      <c r="AA14" s="509">
        <f t="shared" si="31"/>
        <v>0</v>
      </c>
      <c r="AB14" s="507">
        <f t="shared" si="19"/>
        <v>0</v>
      </c>
      <c r="AC14" s="507">
        <f t="shared" si="20"/>
        <v>0</v>
      </c>
      <c r="AD14" s="507">
        <f t="shared" si="21"/>
        <v>0</v>
      </c>
      <c r="AE14" s="507">
        <f t="shared" si="22"/>
        <v>0</v>
      </c>
      <c r="AF14" s="507">
        <f t="shared" si="23"/>
        <v>0</v>
      </c>
      <c r="AG14" s="509">
        <f t="shared" si="24"/>
        <v>0</v>
      </c>
      <c r="AH14" s="507">
        <f t="shared" si="23"/>
        <v>0</v>
      </c>
      <c r="AI14" s="509">
        <f t="shared" si="25"/>
        <v>0</v>
      </c>
      <c r="AJ14" s="507">
        <f t="shared" ref="AJ14" si="34">AI14*AI$8</f>
        <v>0</v>
      </c>
      <c r="AK14" s="559"/>
      <c r="AL14" s="560">
        <f t="shared" si="27"/>
        <v>0</v>
      </c>
      <c r="AM14" s="557"/>
      <c r="AO14" s="405">
        <f t="shared" si="8"/>
        <v>0</v>
      </c>
    </row>
    <row r="15" customHeight="1" outlineLevel="1" spans="1:41">
      <c r="A15" s="505">
        <v>1.5</v>
      </c>
      <c r="B15" s="511" t="s">
        <v>164</v>
      </c>
      <c r="C15" s="507">
        <f t="shared" si="9"/>
        <v>0</v>
      </c>
      <c r="D15" s="508"/>
      <c r="E15" s="507">
        <f t="shared" si="33"/>
        <v>0</v>
      </c>
      <c r="F15" s="507">
        <f t="shared" si="10"/>
        <v>0</v>
      </c>
      <c r="G15" s="509">
        <f t="shared" si="11"/>
        <v>0</v>
      </c>
      <c r="H15" s="507">
        <f t="shared" si="28"/>
        <v>0</v>
      </c>
      <c r="I15" s="509">
        <f t="shared" si="1"/>
        <v>0</v>
      </c>
      <c r="J15" s="507">
        <f t="shared" si="12"/>
        <v>0</v>
      </c>
      <c r="K15" s="507">
        <f t="shared" si="2"/>
        <v>0</v>
      </c>
      <c r="L15" s="507">
        <f t="shared" si="3"/>
        <v>0</v>
      </c>
      <c r="M15" s="507">
        <f t="shared" si="4"/>
        <v>0</v>
      </c>
      <c r="N15" s="507">
        <f t="shared" si="5"/>
        <v>0</v>
      </c>
      <c r="O15" s="509">
        <f t="shared" si="6"/>
        <v>0</v>
      </c>
      <c r="P15" s="507">
        <f t="shared" si="13"/>
        <v>0</v>
      </c>
      <c r="Q15" s="507">
        <f t="shared" si="14"/>
        <v>0</v>
      </c>
      <c r="R15" s="507">
        <f t="shared" si="7"/>
        <v>0</v>
      </c>
      <c r="S15" s="509">
        <v>0</v>
      </c>
      <c r="T15" s="507">
        <f t="shared" si="15"/>
        <v>0</v>
      </c>
      <c r="U15" s="509">
        <f t="shared" si="29"/>
        <v>0</v>
      </c>
      <c r="V15" s="507">
        <f t="shared" si="16"/>
        <v>0</v>
      </c>
      <c r="W15" s="509">
        <f>$E15</f>
        <v>0</v>
      </c>
      <c r="X15" s="507">
        <f t="shared" si="17"/>
        <v>0</v>
      </c>
      <c r="Y15" s="509">
        <f t="shared" si="30"/>
        <v>0</v>
      </c>
      <c r="Z15" s="507">
        <f t="shared" si="18"/>
        <v>0</v>
      </c>
      <c r="AA15" s="509">
        <f t="shared" si="31"/>
        <v>0</v>
      </c>
      <c r="AB15" s="507">
        <f t="shared" si="19"/>
        <v>0</v>
      </c>
      <c r="AC15" s="507">
        <f t="shared" si="20"/>
        <v>0</v>
      </c>
      <c r="AD15" s="507">
        <f t="shared" si="21"/>
        <v>0</v>
      </c>
      <c r="AE15" s="507">
        <f t="shared" si="22"/>
        <v>0</v>
      </c>
      <c r="AF15" s="507">
        <f t="shared" si="23"/>
        <v>0</v>
      </c>
      <c r="AG15" s="509">
        <f t="shared" si="24"/>
        <v>0</v>
      </c>
      <c r="AH15" s="507">
        <f t="shared" si="23"/>
        <v>0</v>
      </c>
      <c r="AI15" s="509">
        <f t="shared" si="25"/>
        <v>0</v>
      </c>
      <c r="AJ15" s="507">
        <f t="shared" ref="AJ15" si="35">AI15*AI$8</f>
        <v>0</v>
      </c>
      <c r="AK15" s="559"/>
      <c r="AL15" s="560">
        <f t="shared" si="27"/>
        <v>0</v>
      </c>
      <c r="AM15" s="557"/>
      <c r="AO15" s="405">
        <f t="shared" si="8"/>
        <v>0</v>
      </c>
    </row>
    <row r="16" customHeight="1" outlineLevel="1" spans="1:41">
      <c r="A16" s="505">
        <v>1.6</v>
      </c>
      <c r="B16" s="506" t="s">
        <v>165</v>
      </c>
      <c r="C16" s="507">
        <f t="shared" si="9"/>
        <v>11.5399375580096</v>
      </c>
      <c r="D16" s="508">
        <f>经济指标!E6*22/10000</f>
        <v>82.3700548</v>
      </c>
      <c r="E16" s="507">
        <f>F16/(I8+K8+O8+S8+G8)</f>
        <v>17.0413798439733</v>
      </c>
      <c r="F16" s="507">
        <f t="shared" si="10"/>
        <v>82.3700548</v>
      </c>
      <c r="G16" s="509">
        <f t="shared" si="11"/>
        <v>17.0413798439733</v>
      </c>
      <c r="H16" s="510">
        <f t="shared" si="28"/>
        <v>53.9237655782072</v>
      </c>
      <c r="I16" s="509">
        <f t="shared" si="1"/>
        <v>17.0413798439733</v>
      </c>
      <c r="J16" s="507">
        <f t="shared" si="12"/>
        <v>28.4462892217928</v>
      </c>
      <c r="K16" s="507">
        <f t="shared" si="2"/>
        <v>17.0413798439733</v>
      </c>
      <c r="L16" s="507">
        <f t="shared" si="3"/>
        <v>0</v>
      </c>
      <c r="M16" s="507">
        <f t="shared" si="4"/>
        <v>17.0413798439733</v>
      </c>
      <c r="N16" s="507">
        <f t="shared" si="5"/>
        <v>0</v>
      </c>
      <c r="O16" s="509">
        <f t="shared" si="6"/>
        <v>17.0413798439733</v>
      </c>
      <c r="P16" s="507">
        <f t="shared" si="13"/>
        <v>0</v>
      </c>
      <c r="Q16" s="507">
        <f t="shared" si="14"/>
        <v>17.0413798439733</v>
      </c>
      <c r="R16" s="507">
        <f t="shared" si="7"/>
        <v>0</v>
      </c>
      <c r="S16" s="509">
        <f>E16</f>
        <v>17.0413798439733</v>
      </c>
      <c r="T16" s="507">
        <f t="shared" si="15"/>
        <v>0</v>
      </c>
      <c r="U16" s="509">
        <v>0</v>
      </c>
      <c r="V16" s="507">
        <f t="shared" si="16"/>
        <v>0</v>
      </c>
      <c r="W16" s="509">
        <v>0</v>
      </c>
      <c r="X16" s="507">
        <f t="shared" si="17"/>
        <v>0</v>
      </c>
      <c r="Y16" s="509">
        <v>0</v>
      </c>
      <c r="Z16" s="507">
        <f t="shared" si="18"/>
        <v>0</v>
      </c>
      <c r="AA16" s="509">
        <v>0</v>
      </c>
      <c r="AB16" s="507">
        <f t="shared" si="19"/>
        <v>0</v>
      </c>
      <c r="AC16" s="507">
        <f t="shared" si="20"/>
        <v>0</v>
      </c>
      <c r="AD16" s="507">
        <f t="shared" si="21"/>
        <v>0</v>
      </c>
      <c r="AE16" s="507">
        <f t="shared" si="22"/>
        <v>0</v>
      </c>
      <c r="AF16" s="507">
        <f t="shared" si="23"/>
        <v>0</v>
      </c>
      <c r="AG16" s="509">
        <f t="shared" si="24"/>
        <v>0</v>
      </c>
      <c r="AH16" s="507">
        <f t="shared" si="23"/>
        <v>0</v>
      </c>
      <c r="AI16" s="509">
        <f t="shared" si="25"/>
        <v>0</v>
      </c>
      <c r="AJ16" s="507">
        <f t="shared" ref="AJ16" si="36">AI16*AI$8</f>
        <v>0</v>
      </c>
      <c r="AK16" s="561" t="s">
        <v>166</v>
      </c>
      <c r="AL16" s="560">
        <f t="shared" si="27"/>
        <v>82.3700548</v>
      </c>
      <c r="AM16" s="557"/>
      <c r="AO16" s="405">
        <f t="shared" si="8"/>
        <v>0</v>
      </c>
    </row>
    <row r="17" customHeight="1" outlineLevel="1" spans="1:41">
      <c r="A17" s="505">
        <v>1.7</v>
      </c>
      <c r="B17" s="506" t="s">
        <v>167</v>
      </c>
      <c r="C17" s="507">
        <f t="shared" si="9"/>
        <v>0</v>
      </c>
      <c r="D17" s="508"/>
      <c r="E17" s="507">
        <f t="shared" si="33"/>
        <v>0</v>
      </c>
      <c r="F17" s="507">
        <f t="shared" si="10"/>
        <v>0</v>
      </c>
      <c r="G17" s="509">
        <f t="shared" si="11"/>
        <v>0</v>
      </c>
      <c r="H17" s="507">
        <f t="shared" si="28"/>
        <v>0</v>
      </c>
      <c r="I17" s="509">
        <f t="shared" si="1"/>
        <v>0</v>
      </c>
      <c r="J17" s="507">
        <f t="shared" si="12"/>
        <v>0</v>
      </c>
      <c r="K17" s="507">
        <f t="shared" si="2"/>
        <v>0</v>
      </c>
      <c r="L17" s="507">
        <f t="shared" si="3"/>
        <v>0</v>
      </c>
      <c r="M17" s="507">
        <f t="shared" si="4"/>
        <v>0</v>
      </c>
      <c r="N17" s="507">
        <f t="shared" si="5"/>
        <v>0</v>
      </c>
      <c r="O17" s="509">
        <f t="shared" si="6"/>
        <v>0</v>
      </c>
      <c r="P17" s="507">
        <f t="shared" si="13"/>
        <v>0</v>
      </c>
      <c r="Q17" s="507">
        <f t="shared" si="14"/>
        <v>0</v>
      </c>
      <c r="R17" s="507">
        <f t="shared" si="7"/>
        <v>0</v>
      </c>
      <c r="S17" s="509">
        <f>E17</f>
        <v>0</v>
      </c>
      <c r="T17" s="507">
        <f t="shared" si="15"/>
        <v>0</v>
      </c>
      <c r="U17" s="509">
        <f t="shared" si="29"/>
        <v>0</v>
      </c>
      <c r="V17" s="507">
        <f t="shared" si="16"/>
        <v>0</v>
      </c>
      <c r="W17" s="509">
        <f>$E17</f>
        <v>0</v>
      </c>
      <c r="X17" s="507">
        <f t="shared" si="17"/>
        <v>0</v>
      </c>
      <c r="Y17" s="509">
        <f t="shared" si="30"/>
        <v>0</v>
      </c>
      <c r="Z17" s="507">
        <f t="shared" si="18"/>
        <v>0</v>
      </c>
      <c r="AA17" s="509">
        <f t="shared" si="31"/>
        <v>0</v>
      </c>
      <c r="AB17" s="507">
        <f t="shared" si="19"/>
        <v>0</v>
      </c>
      <c r="AC17" s="507">
        <f t="shared" si="20"/>
        <v>0</v>
      </c>
      <c r="AD17" s="507">
        <f t="shared" si="21"/>
        <v>0</v>
      </c>
      <c r="AE17" s="507">
        <f t="shared" si="22"/>
        <v>0</v>
      </c>
      <c r="AF17" s="507">
        <f t="shared" si="23"/>
        <v>0</v>
      </c>
      <c r="AG17" s="509">
        <f t="shared" si="24"/>
        <v>0</v>
      </c>
      <c r="AH17" s="507">
        <f t="shared" si="23"/>
        <v>0</v>
      </c>
      <c r="AI17" s="509">
        <f t="shared" si="25"/>
        <v>0</v>
      </c>
      <c r="AJ17" s="507">
        <f t="shared" ref="AJ17" si="37">AI17*AI$8</f>
        <v>0</v>
      </c>
      <c r="AK17" s="559"/>
      <c r="AL17" s="560">
        <f t="shared" si="27"/>
        <v>0</v>
      </c>
      <c r="AM17" s="557"/>
      <c r="AO17" s="405">
        <f t="shared" si="8"/>
        <v>0</v>
      </c>
    </row>
    <row r="18" customHeight="1" outlineLevel="1" spans="1:41">
      <c r="A18" s="505">
        <v>1.8</v>
      </c>
      <c r="B18" s="511" t="s">
        <v>168</v>
      </c>
      <c r="C18" s="507">
        <f t="shared" si="9"/>
        <v>1.49573327030293</v>
      </c>
      <c r="D18" s="508">
        <f>D11*0.05%</f>
        <v>10.6762823301</v>
      </c>
      <c r="E18" s="507">
        <f>F18/(I8+K8+O8+S8+G8)</f>
        <v>2.20879521023136</v>
      </c>
      <c r="F18" s="507">
        <f t="shared" si="10"/>
        <v>10.6762823301</v>
      </c>
      <c r="G18" s="509">
        <f t="shared" si="11"/>
        <v>2.20879521023136</v>
      </c>
      <c r="H18" s="510">
        <f t="shared" si="28"/>
        <v>6.98925534301172</v>
      </c>
      <c r="I18" s="509">
        <f t="shared" si="1"/>
        <v>2.20879521023136</v>
      </c>
      <c r="J18" s="507">
        <f t="shared" si="12"/>
        <v>3.68702698708828</v>
      </c>
      <c r="K18" s="507">
        <f t="shared" si="2"/>
        <v>2.20879521023136</v>
      </c>
      <c r="L18" s="507">
        <f t="shared" si="3"/>
        <v>0</v>
      </c>
      <c r="M18" s="507">
        <f t="shared" si="4"/>
        <v>2.20879521023136</v>
      </c>
      <c r="N18" s="507">
        <f t="shared" si="5"/>
        <v>0</v>
      </c>
      <c r="O18" s="509">
        <f t="shared" si="6"/>
        <v>2.20879521023136</v>
      </c>
      <c r="P18" s="507">
        <f t="shared" si="13"/>
        <v>0</v>
      </c>
      <c r="Q18" s="507">
        <f t="shared" si="14"/>
        <v>2.20879521023136</v>
      </c>
      <c r="R18" s="507">
        <f t="shared" si="7"/>
        <v>0</v>
      </c>
      <c r="S18" s="509">
        <f>E18</f>
        <v>2.20879521023136</v>
      </c>
      <c r="T18" s="507">
        <f t="shared" si="15"/>
        <v>0</v>
      </c>
      <c r="U18" s="509">
        <v>0</v>
      </c>
      <c r="V18" s="507">
        <f t="shared" si="16"/>
        <v>0</v>
      </c>
      <c r="W18" s="509">
        <v>0</v>
      </c>
      <c r="X18" s="507">
        <f t="shared" si="17"/>
        <v>0</v>
      </c>
      <c r="Y18" s="509">
        <v>0</v>
      </c>
      <c r="Z18" s="507">
        <f t="shared" si="18"/>
        <v>0</v>
      </c>
      <c r="AA18" s="509">
        <v>0</v>
      </c>
      <c r="AB18" s="507">
        <f t="shared" si="19"/>
        <v>0</v>
      </c>
      <c r="AC18" s="507">
        <f t="shared" si="20"/>
        <v>0</v>
      </c>
      <c r="AD18" s="507">
        <f t="shared" si="21"/>
        <v>0</v>
      </c>
      <c r="AE18" s="507">
        <f t="shared" si="22"/>
        <v>0</v>
      </c>
      <c r="AF18" s="507">
        <f t="shared" si="23"/>
        <v>0</v>
      </c>
      <c r="AG18" s="509">
        <f t="shared" si="24"/>
        <v>0</v>
      </c>
      <c r="AH18" s="507">
        <f t="shared" si="23"/>
        <v>0</v>
      </c>
      <c r="AI18" s="509">
        <f t="shared" si="25"/>
        <v>0</v>
      </c>
      <c r="AJ18" s="507">
        <f t="shared" ref="AJ18" si="38">AI18*AI$8</f>
        <v>0</v>
      </c>
      <c r="AK18" s="559" t="s">
        <v>169</v>
      </c>
      <c r="AL18" s="560">
        <f t="shared" si="27"/>
        <v>10.6762823301</v>
      </c>
      <c r="AM18" s="557"/>
      <c r="AO18" s="405">
        <f t="shared" si="8"/>
        <v>0</v>
      </c>
    </row>
    <row r="19" customHeight="1" spans="1:41">
      <c r="A19" s="502">
        <v>2</v>
      </c>
      <c r="B19" s="503" t="s">
        <v>170</v>
      </c>
      <c r="C19" s="503">
        <f>C20+C25+C29+C37+C51+C69+C70+C71</f>
        <v>325.894029296953</v>
      </c>
      <c r="D19" s="503">
        <f>D20+D25+D29+D37+D51+D69+D70+D71</f>
        <v>2326.17454966652</v>
      </c>
      <c r="E19" s="503">
        <f t="shared" ref="E19:AJ19" si="39">E20+E25+E29+E37+E51+E69+E70+E71</f>
        <v>329.372102851358</v>
      </c>
      <c r="F19" s="503">
        <f t="shared" si="39"/>
        <v>1618.62476136775</v>
      </c>
      <c r="G19" s="503">
        <f t="shared" si="39"/>
        <v>314.236728419931</v>
      </c>
      <c r="H19" s="503">
        <f t="shared" si="39"/>
        <v>994.334251951534</v>
      </c>
      <c r="I19" s="503">
        <f t="shared" si="39"/>
        <v>373.995062097555</v>
      </c>
      <c r="J19" s="503">
        <f t="shared" si="39"/>
        <v>624.29050941622</v>
      </c>
      <c r="K19" s="503">
        <f t="shared" si="39"/>
        <v>267.025677016458</v>
      </c>
      <c r="L19" s="503">
        <f t="shared" si="39"/>
        <v>0</v>
      </c>
      <c r="M19" s="503">
        <f t="shared" si="39"/>
        <v>279.126071814593</v>
      </c>
      <c r="N19" s="503">
        <f t="shared" si="39"/>
        <v>0</v>
      </c>
      <c r="O19" s="503">
        <f t="shared" si="39"/>
        <v>279.336071814593</v>
      </c>
      <c r="P19" s="503">
        <f t="shared" si="39"/>
        <v>0</v>
      </c>
      <c r="Q19" s="503">
        <f t="shared" si="39"/>
        <v>206.265677016458</v>
      </c>
      <c r="R19" s="503">
        <f t="shared" si="39"/>
        <v>0</v>
      </c>
      <c r="S19" s="503">
        <f t="shared" si="39"/>
        <v>285.086071814593</v>
      </c>
      <c r="T19" s="503">
        <f t="shared" si="39"/>
        <v>0</v>
      </c>
      <c r="U19" s="503">
        <f t="shared" si="39"/>
        <v>313.771536294319</v>
      </c>
      <c r="V19" s="503">
        <f t="shared" si="39"/>
        <v>10.4372963832942</v>
      </c>
      <c r="W19" s="503">
        <f t="shared" si="39"/>
        <v>318.576206519493</v>
      </c>
      <c r="X19" s="503">
        <f t="shared" si="39"/>
        <v>6.32341912320542</v>
      </c>
      <c r="Y19" s="503">
        <f t="shared" si="39"/>
        <v>313.771536294319</v>
      </c>
      <c r="Z19" s="503">
        <f t="shared" si="39"/>
        <v>2.35956195293328</v>
      </c>
      <c r="AA19" s="503">
        <f t="shared" si="39"/>
        <v>313.771536294319</v>
      </c>
      <c r="AB19" s="503">
        <f t="shared" si="39"/>
        <v>6.30963182334247</v>
      </c>
      <c r="AC19" s="503">
        <f t="shared" si="39"/>
        <v>298.207132779401</v>
      </c>
      <c r="AD19" s="503">
        <f t="shared" si="39"/>
        <v>707.54978829877</v>
      </c>
      <c r="AE19" s="503">
        <f t="shared" si="39"/>
        <v>303.771536294319</v>
      </c>
      <c r="AF19" s="503">
        <f t="shared" si="39"/>
        <v>0</v>
      </c>
      <c r="AG19" s="503">
        <f t="shared" si="39"/>
        <v>338.771536294319</v>
      </c>
      <c r="AH19" s="503">
        <f t="shared" si="39"/>
        <v>133.649097555008</v>
      </c>
      <c r="AI19" s="503">
        <f t="shared" si="39"/>
        <v>313.771536294319</v>
      </c>
      <c r="AJ19" s="503">
        <f t="shared" si="39"/>
        <v>573.900690743762</v>
      </c>
      <c r="AK19" s="559"/>
      <c r="AL19" s="560">
        <f>AJ19+AH19+AF19+AB19+Z19+X19+V19+AI202+T19+R19+P19+N19+L19+J19+H19</f>
        <v>2351.6044589493</v>
      </c>
      <c r="AM19" s="557"/>
      <c r="AO19" s="405">
        <f t="shared" si="8"/>
        <v>25.4299092827746</v>
      </c>
    </row>
    <row r="20" s="490" customFormat="1" customHeight="1" outlineLevel="1" spans="1:41">
      <c r="A20" s="512">
        <v>2.1</v>
      </c>
      <c r="B20" s="513" t="s">
        <v>171</v>
      </c>
      <c r="C20" s="513">
        <f t="shared" ref="C20:AJ20" si="40">SUM(C21:C24)</f>
        <v>46.1178180197718</v>
      </c>
      <c r="D20" s="513">
        <f t="shared" si="40"/>
        <v>329.180914406978</v>
      </c>
      <c r="E20" s="513">
        <f t="shared" si="40"/>
        <v>45.8790749595197</v>
      </c>
      <c r="F20" s="513">
        <f t="shared" si="40"/>
        <v>225.462345217619</v>
      </c>
      <c r="G20" s="513">
        <f t="shared" si="40"/>
        <v>46.645464479726</v>
      </c>
      <c r="H20" s="513">
        <f t="shared" si="40"/>
        <v>147.599496925765</v>
      </c>
      <c r="I20" s="513">
        <f t="shared" si="40"/>
        <v>46.645464479726</v>
      </c>
      <c r="J20" s="513">
        <f t="shared" si="40"/>
        <v>77.8628482918536</v>
      </c>
      <c r="K20" s="513">
        <f t="shared" si="40"/>
        <v>10.5</v>
      </c>
      <c r="L20" s="513">
        <f t="shared" si="40"/>
        <v>0</v>
      </c>
      <c r="M20" s="513">
        <f t="shared" si="40"/>
        <v>10.5</v>
      </c>
      <c r="N20" s="513">
        <f t="shared" si="40"/>
        <v>0</v>
      </c>
      <c r="O20" s="513">
        <f t="shared" si="40"/>
        <v>10.5</v>
      </c>
      <c r="P20" s="513">
        <f t="shared" si="40"/>
        <v>0</v>
      </c>
      <c r="Q20" s="513">
        <f t="shared" si="40"/>
        <v>7</v>
      </c>
      <c r="R20" s="513">
        <f t="shared" si="40"/>
        <v>0</v>
      </c>
      <c r="S20" s="513">
        <f t="shared" si="40"/>
        <v>10.5</v>
      </c>
      <c r="T20" s="513">
        <f t="shared" si="40"/>
        <v>0</v>
      </c>
      <c r="U20" s="513">
        <f t="shared" si="40"/>
        <v>46.645464479726</v>
      </c>
      <c r="V20" s="513">
        <f t="shared" si="40"/>
        <v>1.5516147304536</v>
      </c>
      <c r="W20" s="513">
        <f t="shared" si="40"/>
        <v>44.6405295030349</v>
      </c>
      <c r="X20" s="513">
        <f t="shared" si="40"/>
        <v>0.88606987010574</v>
      </c>
      <c r="Y20" s="513">
        <f t="shared" si="40"/>
        <v>46.645464479726</v>
      </c>
      <c r="Z20" s="513">
        <f t="shared" si="40"/>
        <v>0.350773892887539</v>
      </c>
      <c r="AA20" s="513">
        <f t="shared" si="40"/>
        <v>46.645464479726</v>
      </c>
      <c r="AB20" s="513">
        <f t="shared" si="40"/>
        <v>0.93799364522281</v>
      </c>
      <c r="AC20" s="513">
        <f t="shared" si="40"/>
        <v>46.645464479726</v>
      </c>
      <c r="AD20" s="513">
        <f t="shared" si="40"/>
        <v>103.718569189359</v>
      </c>
      <c r="AE20" s="513">
        <f t="shared" si="40"/>
        <v>46.645464479726</v>
      </c>
      <c r="AF20" s="513">
        <f t="shared" si="40"/>
        <v>0</v>
      </c>
      <c r="AG20" s="513">
        <f t="shared" si="40"/>
        <v>46.645464479726</v>
      </c>
      <c r="AH20" s="513">
        <f t="shared" si="40"/>
        <v>18.4021488373612</v>
      </c>
      <c r="AI20" s="513">
        <f t="shared" si="40"/>
        <v>46.645464479726</v>
      </c>
      <c r="AJ20" s="513">
        <f t="shared" si="40"/>
        <v>85.316420351998</v>
      </c>
      <c r="AK20" s="559"/>
      <c r="AL20" s="560">
        <f>AJ20+AH20+AF20+AB20+Z20+X20+V20+AI203+T20+R20+P20+N20+L20+J20+H20</f>
        <v>332.907366545648</v>
      </c>
      <c r="AM20" s="562"/>
      <c r="AO20" s="405">
        <f t="shared" si="8"/>
        <v>3.72645213866951</v>
      </c>
    </row>
    <row r="21" customHeight="1" outlineLevel="2" spans="1:41">
      <c r="A21" s="514" t="s">
        <v>172</v>
      </c>
      <c r="B21" s="515" t="s">
        <v>173</v>
      </c>
      <c r="C21" s="507">
        <f>D21/$C$8</f>
        <v>4.9434407540112</v>
      </c>
      <c r="D21" s="507">
        <f>F21+AD21</f>
        <v>35.285415</v>
      </c>
      <c r="E21" s="507">
        <f>F21/$E$8</f>
        <v>4.91784951347849</v>
      </c>
      <c r="F21" s="507">
        <f>H21+J21+L21+N21+P21+R21+T21</f>
        <v>24.16766</v>
      </c>
      <c r="G21" s="516">
        <v>5</v>
      </c>
      <c r="H21" s="507">
        <f>G21*G$8</f>
        <v>15.82142</v>
      </c>
      <c r="I21" s="516">
        <v>5</v>
      </c>
      <c r="J21" s="507">
        <f t="shared" ref="J21:J24" si="41">I21*I$8</f>
        <v>8.34624</v>
      </c>
      <c r="K21" s="516">
        <v>5</v>
      </c>
      <c r="L21" s="507">
        <f>K21*K$8</f>
        <v>0</v>
      </c>
      <c r="M21" s="516">
        <v>5</v>
      </c>
      <c r="N21" s="507">
        <f t="shared" ref="N21:N24" si="42">M21*M$8</f>
        <v>0</v>
      </c>
      <c r="O21" s="516">
        <v>5</v>
      </c>
      <c r="P21" s="507">
        <f>O21*O$8</f>
        <v>0</v>
      </c>
      <c r="Q21" s="516">
        <v>0</v>
      </c>
      <c r="R21" s="507">
        <f t="shared" ref="R21:R24" si="43">Q21*Q$8</f>
        <v>0</v>
      </c>
      <c r="S21" s="516">
        <v>5</v>
      </c>
      <c r="T21" s="507">
        <f>S21*S$8</f>
        <v>0</v>
      </c>
      <c r="U21" s="516">
        <v>5</v>
      </c>
      <c r="V21" s="507">
        <f t="shared" ref="V21:V24" si="44">U21*U$8</f>
        <v>0.16632</v>
      </c>
      <c r="W21" s="516">
        <v>10</v>
      </c>
      <c r="X21" s="507">
        <f t="shared" ref="X21:X24" si="45">W21*W$8</f>
        <v>0.19849</v>
      </c>
      <c r="Y21" s="516">
        <v>5</v>
      </c>
      <c r="Z21" s="507">
        <f t="shared" ref="Z21:Z24" si="46">Y21*Y$8</f>
        <v>0.0376</v>
      </c>
      <c r="AA21" s="516">
        <v>5</v>
      </c>
      <c r="AB21" s="507">
        <f t="shared" ref="AB21:AB24" si="47">AA21*AA$8</f>
        <v>0.100545</v>
      </c>
      <c r="AC21" s="507">
        <f>AD21/AC$8</f>
        <v>5</v>
      </c>
      <c r="AD21" s="507">
        <f>AF21*0+AH21+AJ21</f>
        <v>11.117755</v>
      </c>
      <c r="AE21" s="516">
        <v>5</v>
      </c>
      <c r="AF21" s="507">
        <f t="shared" ref="AF21" si="48">AE21*AE$8</f>
        <v>0</v>
      </c>
      <c r="AG21" s="516">
        <v>5</v>
      </c>
      <c r="AH21" s="507">
        <f t="shared" ref="AH21:AH24" si="49">AG21*AG$8</f>
        <v>1.972555</v>
      </c>
      <c r="AI21" s="516">
        <v>5</v>
      </c>
      <c r="AJ21" s="507">
        <f t="shared" ref="AJ21:AJ24" si="50">AI21*AI$8</f>
        <v>9.1452</v>
      </c>
      <c r="AK21" s="563" t="s">
        <v>174</v>
      </c>
      <c r="AL21" s="560">
        <f>AJ21+AH21+AF21+AB21+Z21+X21+V21+AI204+T21+R21+P21+N21+L21+J21+H21</f>
        <v>35.78837</v>
      </c>
      <c r="AM21" s="557"/>
      <c r="AO21" s="405">
        <f t="shared" si="8"/>
        <v>0.502955</v>
      </c>
    </row>
    <row r="22" customHeight="1" outlineLevel="2" spans="1:41">
      <c r="A22" s="514" t="s">
        <v>175</v>
      </c>
      <c r="B22" s="517" t="s">
        <v>176</v>
      </c>
      <c r="C22" s="507">
        <f>D22/$C$8</f>
        <v>11.8691369626058</v>
      </c>
      <c r="D22" s="507">
        <f>F22+AD22</f>
        <v>84.719822540112</v>
      </c>
      <c r="E22" s="507">
        <f>F22/$E$8</f>
        <v>11.8076927268922</v>
      </c>
      <c r="F22" s="507">
        <f>H22+J22+L22+N22+P22+R22+T22</f>
        <v>58.0262373677556</v>
      </c>
      <c r="G22" s="516">
        <f>5+AN22</f>
        <v>12.0049349766911</v>
      </c>
      <c r="H22" s="507">
        <f>G22*G$8</f>
        <v>37.987023667784</v>
      </c>
      <c r="I22" s="516">
        <f>G22</f>
        <v>12.0049349766911</v>
      </c>
      <c r="J22" s="507">
        <f t="shared" si="41"/>
        <v>20.0392136999716</v>
      </c>
      <c r="K22" s="516">
        <v>3</v>
      </c>
      <c r="L22" s="507">
        <f>K22*K$8</f>
        <v>0</v>
      </c>
      <c r="M22" s="516">
        <v>3</v>
      </c>
      <c r="N22" s="507">
        <f t="shared" si="42"/>
        <v>0</v>
      </c>
      <c r="O22" s="516">
        <v>3</v>
      </c>
      <c r="P22" s="507">
        <f>O22*O$8</f>
        <v>0</v>
      </c>
      <c r="Q22" s="516">
        <v>3</v>
      </c>
      <c r="R22" s="507">
        <f t="shared" si="43"/>
        <v>0</v>
      </c>
      <c r="S22" s="516">
        <v>3</v>
      </c>
      <c r="T22" s="507">
        <f>S22*S$8</f>
        <v>0</v>
      </c>
      <c r="U22" s="516">
        <f>G22</f>
        <v>12.0049349766911</v>
      </c>
      <c r="V22" s="507">
        <f t="shared" si="44"/>
        <v>0.399332157064652</v>
      </c>
      <c r="W22" s="516">
        <v>5</v>
      </c>
      <c r="X22" s="507">
        <f t="shared" si="45"/>
        <v>0.099245</v>
      </c>
      <c r="Y22" s="516">
        <f>G22</f>
        <v>12.0049349766911</v>
      </c>
      <c r="Z22" s="507">
        <f t="shared" si="46"/>
        <v>0.0902771110247169</v>
      </c>
      <c r="AA22" s="516">
        <f>G22</f>
        <v>12.0049349766911</v>
      </c>
      <c r="AB22" s="507">
        <f t="shared" si="47"/>
        <v>0.241407237446281</v>
      </c>
      <c r="AC22" s="507">
        <f>AD22/AC$8</f>
        <v>12.0049349766911</v>
      </c>
      <c r="AD22" s="507">
        <f>AF22*0+AH22+AJ22</f>
        <v>26.6935851723564</v>
      </c>
      <c r="AE22" s="516">
        <f>AA22</f>
        <v>12.0049349766911</v>
      </c>
      <c r="AF22" s="507">
        <f t="shared" ref="AF22" si="51">AE22*AE$8</f>
        <v>0</v>
      </c>
      <c r="AG22" s="516">
        <f>AA22</f>
        <v>12.0049349766911</v>
      </c>
      <c r="AH22" s="507">
        <f t="shared" si="49"/>
        <v>4.73607890258937</v>
      </c>
      <c r="AI22" s="516">
        <f>AA22</f>
        <v>12.0049349766911</v>
      </c>
      <c r="AJ22" s="507">
        <f t="shared" si="50"/>
        <v>21.9575062697671</v>
      </c>
      <c r="AK22" s="563" t="s">
        <v>177</v>
      </c>
      <c r="AL22" s="560">
        <f>AJ22+AH22+AF22+AB22+Z22+X22+V22+AI205+T22+R22+P22+N22+L22+J22+H22</f>
        <v>85.5500840456477</v>
      </c>
      <c r="AM22" s="557">
        <v>50</v>
      </c>
      <c r="AN22" s="405">
        <f>AM22/C8</f>
        <v>7.00493497669108</v>
      </c>
      <c r="AO22" s="405">
        <f t="shared" si="8"/>
        <v>0.830261505535717</v>
      </c>
    </row>
    <row r="23" customHeight="1" outlineLevel="2" spans="1:41">
      <c r="A23" s="514" t="s">
        <v>178</v>
      </c>
      <c r="B23" s="517" t="s">
        <v>179</v>
      </c>
      <c r="C23" s="507">
        <f>D23/$C$8</f>
        <v>28.8108962277537</v>
      </c>
      <c r="D23" s="507">
        <f>F23+AD23</f>
        <v>205.647135366866</v>
      </c>
      <c r="E23" s="507">
        <f>F23/$E$8</f>
        <v>28.6617477678012</v>
      </c>
      <c r="F23" s="507">
        <f>H23+J23+L23+N23+P23+R23+T23</f>
        <v>140.851681849863</v>
      </c>
      <c r="G23" s="516">
        <f>AN23</f>
        <v>29.1405295030349</v>
      </c>
      <c r="H23" s="507">
        <f>G23*G$8</f>
        <v>92.2089112579812</v>
      </c>
      <c r="I23" s="516">
        <f>G23</f>
        <v>29.1405295030349</v>
      </c>
      <c r="J23" s="507">
        <f t="shared" si="41"/>
        <v>48.642770591882</v>
      </c>
      <c r="K23" s="516">
        <v>2</v>
      </c>
      <c r="L23" s="507">
        <f t="shared" ref="L23" si="52">K23*K$8</f>
        <v>0</v>
      </c>
      <c r="M23" s="516">
        <v>2</v>
      </c>
      <c r="N23" s="507">
        <f t="shared" si="42"/>
        <v>0</v>
      </c>
      <c r="O23" s="516">
        <v>2</v>
      </c>
      <c r="P23" s="507">
        <f>O23*O$8</f>
        <v>0</v>
      </c>
      <c r="Q23" s="516">
        <v>2</v>
      </c>
      <c r="R23" s="507">
        <f t="shared" si="43"/>
        <v>0</v>
      </c>
      <c r="S23" s="516">
        <v>2</v>
      </c>
      <c r="T23" s="507">
        <f>S23*S$8</f>
        <v>0</v>
      </c>
      <c r="U23" s="516">
        <f>G23</f>
        <v>29.1405295030349</v>
      </c>
      <c r="V23" s="507">
        <f t="shared" si="44"/>
        <v>0.969330573388953</v>
      </c>
      <c r="W23" s="516">
        <f>G23</f>
        <v>29.1405295030349</v>
      </c>
      <c r="X23" s="507">
        <f t="shared" si="45"/>
        <v>0.57841037010574</v>
      </c>
      <c r="Y23" s="516">
        <f>G23</f>
        <v>29.1405295030349</v>
      </c>
      <c r="Z23" s="507">
        <f t="shared" si="46"/>
        <v>0.219136781862822</v>
      </c>
      <c r="AA23" s="516">
        <f>G23</f>
        <v>29.1405295030349</v>
      </c>
      <c r="AB23" s="507">
        <f t="shared" si="47"/>
        <v>0.585986907776529</v>
      </c>
      <c r="AC23" s="507">
        <f>AD23/AC$8</f>
        <v>29.1405295030349</v>
      </c>
      <c r="AD23" s="507">
        <f>AF23*0+AH23+AJ23</f>
        <v>64.7954535170027</v>
      </c>
      <c r="AE23" s="516">
        <f>AN23</f>
        <v>29.1405295030349</v>
      </c>
      <c r="AF23" s="507">
        <f t="shared" ref="AF23" si="53">AE23*AE$8</f>
        <v>0</v>
      </c>
      <c r="AG23" s="516">
        <f>AE23</f>
        <v>29.1405295030349</v>
      </c>
      <c r="AH23" s="507">
        <f t="shared" si="49"/>
        <v>11.4962594347718</v>
      </c>
      <c r="AI23" s="516">
        <f>AE23</f>
        <v>29.1405295030349</v>
      </c>
      <c r="AJ23" s="507">
        <f t="shared" si="50"/>
        <v>53.2991940822309</v>
      </c>
      <c r="AK23" s="563" t="s">
        <v>180</v>
      </c>
      <c r="AL23" s="560">
        <f>AJ23+AH23+AF23+AB23+Z23+X23+V23+AI206+T23+R23+P23+N23+L23+J23+H23</f>
        <v>208</v>
      </c>
      <c r="AM23" s="557">
        <f>1000*6*180/10000+100</f>
        <v>208</v>
      </c>
      <c r="AN23" s="405">
        <f>AM23/C8</f>
        <v>29.1405295030349</v>
      </c>
      <c r="AO23" s="405">
        <f t="shared" si="8"/>
        <v>2.35286463313395</v>
      </c>
    </row>
    <row r="24" customHeight="1" outlineLevel="2" spans="1:41">
      <c r="A24" s="514" t="s">
        <v>181</v>
      </c>
      <c r="B24" s="518" t="s">
        <v>182</v>
      </c>
      <c r="C24" s="507">
        <f>D24/$C$8</f>
        <v>0.49434407540112</v>
      </c>
      <c r="D24" s="507">
        <f>F24+AD24</f>
        <v>3.5285415</v>
      </c>
      <c r="E24" s="507">
        <f>F24/$E$8</f>
        <v>0.491784951347849</v>
      </c>
      <c r="F24" s="507">
        <f>H24+J24+L24+N24+P24+R24+T24</f>
        <v>2.416766</v>
      </c>
      <c r="G24" s="516">
        <v>0.5</v>
      </c>
      <c r="H24" s="507">
        <f>G24*G$8</f>
        <v>1.582142</v>
      </c>
      <c r="I24" s="516">
        <v>0.5</v>
      </c>
      <c r="J24" s="507">
        <f t="shared" si="41"/>
        <v>0.834624</v>
      </c>
      <c r="K24" s="516">
        <v>0.5</v>
      </c>
      <c r="L24" s="507">
        <f t="shared" ref="L24" si="54">K24*K$8</f>
        <v>0</v>
      </c>
      <c r="M24" s="516">
        <v>0.5</v>
      </c>
      <c r="N24" s="507">
        <f t="shared" si="42"/>
        <v>0</v>
      </c>
      <c r="O24" s="516">
        <v>0.5</v>
      </c>
      <c r="P24" s="507">
        <f>O24*O$8</f>
        <v>0</v>
      </c>
      <c r="Q24" s="516">
        <v>2</v>
      </c>
      <c r="R24" s="507">
        <f t="shared" si="43"/>
        <v>0</v>
      </c>
      <c r="S24" s="516">
        <v>0.5</v>
      </c>
      <c r="T24" s="507">
        <f>S24*S$8</f>
        <v>0</v>
      </c>
      <c r="U24" s="516">
        <v>0.5</v>
      </c>
      <c r="V24" s="507">
        <f t="shared" si="44"/>
        <v>0.016632</v>
      </c>
      <c r="W24" s="516">
        <v>0.5</v>
      </c>
      <c r="X24" s="507">
        <f t="shared" si="45"/>
        <v>0.0099245</v>
      </c>
      <c r="Y24" s="516">
        <v>0.5</v>
      </c>
      <c r="Z24" s="507">
        <f t="shared" si="46"/>
        <v>0.00376</v>
      </c>
      <c r="AA24" s="516">
        <v>0.5</v>
      </c>
      <c r="AB24" s="507">
        <f t="shared" si="47"/>
        <v>0.0100545</v>
      </c>
      <c r="AC24" s="507">
        <f>AD24/AC$8</f>
        <v>0.5</v>
      </c>
      <c r="AD24" s="507">
        <f>AF24*0+AH24+AJ24</f>
        <v>1.1117755</v>
      </c>
      <c r="AE24" s="516">
        <v>0.5</v>
      </c>
      <c r="AF24" s="507">
        <f t="shared" ref="AF24" si="55">AE24*AE$8</f>
        <v>0</v>
      </c>
      <c r="AG24" s="516">
        <v>0.5</v>
      </c>
      <c r="AH24" s="507">
        <f t="shared" si="49"/>
        <v>0.1972555</v>
      </c>
      <c r="AI24" s="516">
        <v>0.5</v>
      </c>
      <c r="AJ24" s="507">
        <f t="shared" si="50"/>
        <v>0.91452</v>
      </c>
      <c r="AK24" s="563" t="s">
        <v>183</v>
      </c>
      <c r="AL24" s="560">
        <f t="shared" si="27"/>
        <v>3.5689125</v>
      </c>
      <c r="AM24" s="557"/>
      <c r="AO24" s="405">
        <f t="shared" si="8"/>
        <v>0.0403709999999995</v>
      </c>
    </row>
    <row r="25" customHeight="1" outlineLevel="1" spans="1:41">
      <c r="A25" s="512">
        <v>2.2</v>
      </c>
      <c r="B25" s="513" t="s">
        <v>184</v>
      </c>
      <c r="C25" s="513">
        <f t="shared" ref="C25:AJ25" si="56">SUM(C26:C28)</f>
        <v>5.40204304270382</v>
      </c>
      <c r="D25" s="513">
        <f t="shared" si="56"/>
        <v>38.5588378812874</v>
      </c>
      <c r="E25" s="513">
        <f t="shared" si="56"/>
        <v>5.37407770646272</v>
      </c>
      <c r="F25" s="513">
        <f t="shared" si="56"/>
        <v>26.4096903468494</v>
      </c>
      <c r="G25" s="513">
        <f t="shared" si="56"/>
        <v>5.46384928181904</v>
      </c>
      <c r="H25" s="513">
        <f t="shared" si="56"/>
        <v>17.2891708608715</v>
      </c>
      <c r="I25" s="513">
        <f t="shared" si="56"/>
        <v>5.46384928181904</v>
      </c>
      <c r="J25" s="513">
        <f t="shared" si="56"/>
        <v>9.12051948597787</v>
      </c>
      <c r="K25" s="513">
        <f t="shared" si="56"/>
        <v>5.46384928181904</v>
      </c>
      <c r="L25" s="513">
        <f t="shared" si="56"/>
        <v>0</v>
      </c>
      <c r="M25" s="513">
        <f t="shared" si="56"/>
        <v>5.46384928181904</v>
      </c>
      <c r="N25" s="513">
        <f t="shared" si="56"/>
        <v>0</v>
      </c>
      <c r="O25" s="513">
        <f t="shared" si="56"/>
        <v>5.46384928181904</v>
      </c>
      <c r="P25" s="513">
        <f t="shared" si="56"/>
        <v>0</v>
      </c>
      <c r="Q25" s="513">
        <f t="shared" si="56"/>
        <v>5.46384928181904</v>
      </c>
      <c r="R25" s="513">
        <f t="shared" si="56"/>
        <v>0</v>
      </c>
      <c r="S25" s="513">
        <f t="shared" si="56"/>
        <v>5.46384928181904</v>
      </c>
      <c r="T25" s="513">
        <f t="shared" si="56"/>
        <v>0</v>
      </c>
      <c r="U25" s="513">
        <f t="shared" si="56"/>
        <v>5.46384928181904</v>
      </c>
      <c r="V25" s="513">
        <f t="shared" si="56"/>
        <v>0.181749482510429</v>
      </c>
      <c r="W25" s="513">
        <f t="shared" si="56"/>
        <v>5.46384928181904</v>
      </c>
      <c r="X25" s="513">
        <f t="shared" si="56"/>
        <v>0.108451944394826</v>
      </c>
      <c r="Y25" s="513">
        <f t="shared" si="56"/>
        <v>5.46384928181904</v>
      </c>
      <c r="Z25" s="513">
        <f t="shared" si="56"/>
        <v>0.0410881465992792</v>
      </c>
      <c r="AA25" s="513">
        <f t="shared" si="56"/>
        <v>5.46384928181904</v>
      </c>
      <c r="AB25" s="513">
        <f t="shared" si="56"/>
        <v>0.109872545208099</v>
      </c>
      <c r="AC25" s="513">
        <f t="shared" si="56"/>
        <v>5.46384928181904</v>
      </c>
      <c r="AD25" s="513">
        <f t="shared" si="56"/>
        <v>12.149147534438</v>
      </c>
      <c r="AE25" s="513">
        <f t="shared" si="56"/>
        <v>5.46384928181904</v>
      </c>
      <c r="AF25" s="513">
        <f t="shared" si="56"/>
        <v>0</v>
      </c>
      <c r="AG25" s="513">
        <f t="shared" si="56"/>
        <v>5.46384928181904</v>
      </c>
      <c r="AH25" s="513">
        <f t="shared" si="56"/>
        <v>2.15554864401971</v>
      </c>
      <c r="AI25" s="513">
        <f t="shared" si="56"/>
        <v>5.46384928181904</v>
      </c>
      <c r="AJ25" s="513">
        <f t="shared" si="56"/>
        <v>9.9935988904183</v>
      </c>
      <c r="AK25" s="559"/>
      <c r="AL25" s="560">
        <f t="shared" si="27"/>
        <v>39</v>
      </c>
      <c r="AM25" s="557"/>
      <c r="AO25" s="405">
        <f t="shared" si="8"/>
        <v>0.441162118712612</v>
      </c>
    </row>
    <row r="26" s="417" customFormat="1" customHeight="1" outlineLevel="2" spans="1:41">
      <c r="A26" s="519" t="s">
        <v>185</v>
      </c>
      <c r="B26" s="517" t="s">
        <v>186</v>
      </c>
      <c r="C26" s="507">
        <f>D26/C8</f>
        <v>5.40204304270382</v>
      </c>
      <c r="D26" s="507">
        <f>F26+AD26</f>
        <v>38.5588378812874</v>
      </c>
      <c r="E26" s="507">
        <f>F26/$E$8</f>
        <v>5.37407770646272</v>
      </c>
      <c r="F26" s="507">
        <f>H26+J26+L26+N26+P26+R26+T26</f>
        <v>26.4096903468494</v>
      </c>
      <c r="G26" s="520">
        <f>$AM$26/$C$8</f>
        <v>5.46384928181904</v>
      </c>
      <c r="H26" s="507">
        <f>G26*G$8</f>
        <v>17.2891708608715</v>
      </c>
      <c r="I26" s="520">
        <f>$AM$26/$C$8</f>
        <v>5.46384928181904</v>
      </c>
      <c r="J26" s="507">
        <f>I26*I$8</f>
        <v>9.12051948597787</v>
      </c>
      <c r="K26" s="520">
        <f>$AM$26/$C$8</f>
        <v>5.46384928181904</v>
      </c>
      <c r="L26" s="520">
        <f t="shared" ref="L26:L27" si="57">K26*K$8</f>
        <v>0</v>
      </c>
      <c r="M26" s="520">
        <f>$AM$26/$C$8</f>
        <v>5.46384928181904</v>
      </c>
      <c r="N26" s="520">
        <f t="shared" ref="N26:N28" si="58">M26*M$8</f>
        <v>0</v>
      </c>
      <c r="O26" s="520">
        <f>$AM$26/$C$8</f>
        <v>5.46384928181904</v>
      </c>
      <c r="P26" s="507">
        <f>O26*O$8</f>
        <v>0</v>
      </c>
      <c r="Q26" s="520">
        <f>$AM$26/$C$8</f>
        <v>5.46384928181904</v>
      </c>
      <c r="R26" s="520">
        <f t="shared" ref="R26:R28" si="59">Q26*Q$8</f>
        <v>0</v>
      </c>
      <c r="S26" s="520">
        <f>$AM$26/$C$8</f>
        <v>5.46384928181904</v>
      </c>
      <c r="T26" s="507">
        <f>S26*S$8</f>
        <v>0</v>
      </c>
      <c r="U26" s="520">
        <f>$AM$26/$C$8</f>
        <v>5.46384928181904</v>
      </c>
      <c r="V26" s="507">
        <f>U26*U$8</f>
        <v>0.181749482510429</v>
      </c>
      <c r="W26" s="520">
        <f>$AM$26/$C$8</f>
        <v>5.46384928181904</v>
      </c>
      <c r="X26" s="507">
        <f>W26*W$8</f>
        <v>0.108451944394826</v>
      </c>
      <c r="Y26" s="520">
        <f>$AM$26/$C$8</f>
        <v>5.46384928181904</v>
      </c>
      <c r="Z26" s="507">
        <f>Y26*Y$8</f>
        <v>0.0410881465992792</v>
      </c>
      <c r="AA26" s="520">
        <f>$AM$26/$C$8</f>
        <v>5.46384928181904</v>
      </c>
      <c r="AB26" s="507">
        <f>AA26*AA$8</f>
        <v>0.109872545208099</v>
      </c>
      <c r="AC26" s="520">
        <f>AD26/AC$8</f>
        <v>5.46384928181904</v>
      </c>
      <c r="AD26" s="507">
        <f>AF26*0+AH26+AJ26</f>
        <v>12.149147534438</v>
      </c>
      <c r="AE26" s="520">
        <f>AG26</f>
        <v>5.46384928181904</v>
      </c>
      <c r="AF26" s="520">
        <f t="shared" ref="AF26" si="60">AE26*AE$8</f>
        <v>0</v>
      </c>
      <c r="AG26" s="520">
        <f>$AM$26/$C$8</f>
        <v>5.46384928181904</v>
      </c>
      <c r="AH26" s="507">
        <f>AG26*AG$8</f>
        <v>2.15554864401971</v>
      </c>
      <c r="AI26" s="520">
        <f>$AM$26/$C$8</f>
        <v>5.46384928181904</v>
      </c>
      <c r="AJ26" s="507">
        <f>AI26*AI$8</f>
        <v>9.9935988904183</v>
      </c>
      <c r="AK26" s="564" t="s">
        <v>187</v>
      </c>
      <c r="AL26" s="565">
        <f t="shared" si="27"/>
        <v>39</v>
      </c>
      <c r="AM26" s="566">
        <f>(200*1800+200*3*700)/10000/2</f>
        <v>39</v>
      </c>
      <c r="AO26" s="405">
        <f t="shared" si="8"/>
        <v>0.441162118712612</v>
      </c>
    </row>
    <row r="27" customHeight="1" outlineLevel="2" spans="1:41">
      <c r="A27" s="514" t="s">
        <v>188</v>
      </c>
      <c r="B27" s="518" t="s">
        <v>189</v>
      </c>
      <c r="C27" s="507">
        <f>D27/$C$8</f>
        <v>0</v>
      </c>
      <c r="D27" s="507">
        <f>F27+AD27</f>
        <v>0</v>
      </c>
      <c r="E27" s="507">
        <f>F27/$E$8</f>
        <v>0</v>
      </c>
      <c r="F27" s="507">
        <f>H27+J27+L27+N27+P27+R27+T27+V27+X27+Z27+AB27</f>
        <v>0</v>
      </c>
      <c r="G27" s="516"/>
      <c r="H27" s="507">
        <f>G27*G$8</f>
        <v>0</v>
      </c>
      <c r="I27" s="516"/>
      <c r="J27" s="507">
        <f>I27*I$8</f>
        <v>0</v>
      </c>
      <c r="K27" s="516"/>
      <c r="L27" s="507">
        <f t="shared" si="57"/>
        <v>0</v>
      </c>
      <c r="M27" s="516"/>
      <c r="N27" s="507">
        <f t="shared" si="58"/>
        <v>0</v>
      </c>
      <c r="O27" s="516"/>
      <c r="P27" s="507">
        <f>O27*O$8</f>
        <v>0</v>
      </c>
      <c r="Q27" s="516"/>
      <c r="R27" s="507">
        <f t="shared" si="59"/>
        <v>0</v>
      </c>
      <c r="S27" s="516"/>
      <c r="T27" s="507">
        <f>S27*S$8</f>
        <v>0</v>
      </c>
      <c r="U27" s="516"/>
      <c r="V27" s="507">
        <f>U27*U$8</f>
        <v>0</v>
      </c>
      <c r="W27" s="516"/>
      <c r="X27" s="507">
        <f>W27*W$8</f>
        <v>0</v>
      </c>
      <c r="Y27" s="516"/>
      <c r="Z27" s="507">
        <f>Y27*Y$8</f>
        <v>0</v>
      </c>
      <c r="AA27" s="516"/>
      <c r="AB27" s="507">
        <f>AA27*AA$8</f>
        <v>0</v>
      </c>
      <c r="AC27" s="507">
        <f>AD27/AC$8</f>
        <v>0</v>
      </c>
      <c r="AD27" s="507">
        <f>AF27*0+AH27+AJ27</f>
        <v>0</v>
      </c>
      <c r="AE27" s="516"/>
      <c r="AF27" s="507">
        <f t="shared" ref="AF27" si="61">AE27*AE$8</f>
        <v>0</v>
      </c>
      <c r="AG27" s="516"/>
      <c r="AH27" s="507">
        <f>AG27*AG$8</f>
        <v>0</v>
      </c>
      <c r="AI27" s="516"/>
      <c r="AJ27" s="507">
        <f>AI27*AI$8</f>
        <v>0</v>
      </c>
      <c r="AK27" s="559"/>
      <c r="AL27" s="560">
        <f t="shared" ref="AL27:AL51" si="62">AJ27+AH27+AF27+AB27+Z27+X27+V27+AJ210+T27+R27+P27+N27+L27+J27+H27</f>
        <v>0</v>
      </c>
      <c r="AM27" s="557"/>
      <c r="AO27" s="405">
        <f t="shared" si="8"/>
        <v>0</v>
      </c>
    </row>
    <row r="28" customHeight="1" outlineLevel="2" spans="1:41">
      <c r="A28" s="514" t="s">
        <v>190</v>
      </c>
      <c r="B28" s="518" t="s">
        <v>191</v>
      </c>
      <c r="C28" s="507">
        <f>D28/$C$8</f>
        <v>0</v>
      </c>
      <c r="D28" s="507">
        <f>F28+AD28</f>
        <v>0</v>
      </c>
      <c r="E28" s="507">
        <f>F28/$E$8</f>
        <v>0</v>
      </c>
      <c r="F28" s="507">
        <f>H28+J28+L28+N28+P28+R28+T28+V28+X28+Z28+AB28</f>
        <v>0</v>
      </c>
      <c r="G28" s="516"/>
      <c r="H28" s="507">
        <f>G28*G$8</f>
        <v>0</v>
      </c>
      <c r="I28" s="516"/>
      <c r="J28" s="507">
        <f t="shared" ref="J28" si="63">I28*I$8</f>
        <v>0</v>
      </c>
      <c r="K28" s="516"/>
      <c r="L28" s="507">
        <f t="shared" ref="L28" si="64">K28*K$8</f>
        <v>0</v>
      </c>
      <c r="M28" s="516"/>
      <c r="N28" s="507">
        <f t="shared" si="58"/>
        <v>0</v>
      </c>
      <c r="O28" s="516"/>
      <c r="P28" s="507">
        <f t="shared" ref="P28" si="65">O28*O$8</f>
        <v>0</v>
      </c>
      <c r="Q28" s="516"/>
      <c r="R28" s="507">
        <f t="shared" si="59"/>
        <v>0</v>
      </c>
      <c r="S28" s="516"/>
      <c r="T28" s="507">
        <f t="shared" ref="T28" si="66">S28*S$8</f>
        <v>0</v>
      </c>
      <c r="U28" s="516"/>
      <c r="V28" s="507">
        <f t="shared" ref="V28" si="67">U28*U$8</f>
        <v>0</v>
      </c>
      <c r="W28" s="516"/>
      <c r="X28" s="507">
        <f t="shared" ref="X28" si="68">W28*W$8</f>
        <v>0</v>
      </c>
      <c r="Y28" s="516"/>
      <c r="Z28" s="507">
        <f t="shared" ref="Z28" si="69">Y28*Y$8</f>
        <v>0</v>
      </c>
      <c r="AA28" s="516"/>
      <c r="AB28" s="507">
        <f t="shared" ref="AB28" si="70">AA28*AA$8</f>
        <v>0</v>
      </c>
      <c r="AC28" s="507">
        <f>AD28/AC$8</f>
        <v>0</v>
      </c>
      <c r="AD28" s="507">
        <f>AF28*0+AH28+AJ28</f>
        <v>0</v>
      </c>
      <c r="AE28" s="516"/>
      <c r="AF28" s="507">
        <f t="shared" ref="AF28" si="71">AE28*AE$8</f>
        <v>0</v>
      </c>
      <c r="AG28" s="516"/>
      <c r="AH28" s="507">
        <f t="shared" ref="AH28" si="72">AG28*AG$8</f>
        <v>0</v>
      </c>
      <c r="AI28" s="516"/>
      <c r="AJ28" s="507">
        <f t="shared" ref="AJ28" si="73">AI28*AI$8</f>
        <v>0</v>
      </c>
      <c r="AK28" s="559"/>
      <c r="AL28" s="560">
        <f t="shared" si="62"/>
        <v>0</v>
      </c>
      <c r="AM28" s="557"/>
      <c r="AO28" s="405">
        <f t="shared" si="8"/>
        <v>0</v>
      </c>
    </row>
    <row r="29" customHeight="1" outlineLevel="1" spans="1:41">
      <c r="A29" s="512">
        <v>2.3</v>
      </c>
      <c r="B29" s="513" t="s">
        <v>192</v>
      </c>
      <c r="C29" s="513">
        <f>SUM(C30:C36)</f>
        <v>72.9250902216069</v>
      </c>
      <c r="D29" s="513">
        <f t="shared" ref="D29:AJ29" si="74">SUM(D30:D36)</f>
        <v>520.526532111041</v>
      </c>
      <c r="E29" s="513">
        <f t="shared" si="74"/>
        <v>77.5845044012118</v>
      </c>
      <c r="F29" s="513">
        <f t="shared" si="74"/>
        <v>381.271512781761</v>
      </c>
      <c r="G29" s="513">
        <f t="shared" si="74"/>
        <v>58.1917142126628</v>
      </c>
      <c r="H29" s="513">
        <f t="shared" si="74"/>
        <v>184.135110215702</v>
      </c>
      <c r="I29" s="513">
        <f t="shared" si="74"/>
        <v>118.09892991698</v>
      </c>
      <c r="J29" s="513">
        <f t="shared" si="74"/>
        <v>197.136402566059</v>
      </c>
      <c r="K29" s="513">
        <f t="shared" si="74"/>
        <v>40.6917142126628</v>
      </c>
      <c r="L29" s="513">
        <f t="shared" si="74"/>
        <v>0</v>
      </c>
      <c r="M29" s="513">
        <f t="shared" si="74"/>
        <v>52.1917142126628</v>
      </c>
      <c r="N29" s="513">
        <f t="shared" si="74"/>
        <v>0</v>
      </c>
      <c r="O29" s="513">
        <f t="shared" si="74"/>
        <v>52.1917142126628</v>
      </c>
      <c r="P29" s="513">
        <f t="shared" si="74"/>
        <v>0</v>
      </c>
      <c r="Q29" s="513">
        <f t="shared" si="74"/>
        <v>45.6917142126628</v>
      </c>
      <c r="R29" s="513">
        <f t="shared" si="74"/>
        <v>0</v>
      </c>
      <c r="S29" s="513">
        <f t="shared" si="74"/>
        <v>56.1917142126628</v>
      </c>
      <c r="T29" s="513">
        <f t="shared" si="74"/>
        <v>0</v>
      </c>
      <c r="U29" s="513">
        <f t="shared" si="74"/>
        <v>58.1917142126628</v>
      </c>
      <c r="V29" s="513">
        <f t="shared" si="74"/>
        <v>1.93568918157002</v>
      </c>
      <c r="W29" s="513">
        <f t="shared" si="74"/>
        <v>61.6917142126628</v>
      </c>
      <c r="X29" s="513">
        <f t="shared" si="74"/>
        <v>1.22451883540714</v>
      </c>
      <c r="Y29" s="513">
        <f t="shared" si="74"/>
        <v>58.1917142126628</v>
      </c>
      <c r="Z29" s="513">
        <f t="shared" si="74"/>
        <v>0.437601690879224</v>
      </c>
      <c r="AA29" s="513">
        <f t="shared" si="74"/>
        <v>58.1917142126628</v>
      </c>
      <c r="AB29" s="513">
        <f t="shared" si="74"/>
        <v>1.17017718110244</v>
      </c>
      <c r="AC29" s="513">
        <f t="shared" si="74"/>
        <v>44.6273106977446</v>
      </c>
      <c r="AD29" s="513">
        <f t="shared" si="74"/>
        <v>139.255019329281</v>
      </c>
      <c r="AE29" s="513">
        <f t="shared" si="74"/>
        <v>48.1917142126628</v>
      </c>
      <c r="AF29" s="513">
        <f t="shared" si="74"/>
        <v>0</v>
      </c>
      <c r="AG29" s="513">
        <f t="shared" si="74"/>
        <v>83.1917142126628</v>
      </c>
      <c r="AH29" s="513">
        <f t="shared" si="74"/>
        <v>32.8200463657518</v>
      </c>
      <c r="AI29" s="513">
        <f t="shared" si="74"/>
        <v>58.1917142126628</v>
      </c>
      <c r="AJ29" s="513">
        <f t="shared" si="74"/>
        <v>106.434972963529</v>
      </c>
      <c r="AK29" s="559"/>
      <c r="AL29" s="560">
        <f t="shared" si="62"/>
        <v>525.294519</v>
      </c>
      <c r="AM29" s="557"/>
      <c r="AO29" s="405">
        <f t="shared" si="8"/>
        <v>4.76798688895963</v>
      </c>
    </row>
    <row r="30" customHeight="1" outlineLevel="2" spans="1:41">
      <c r="A30" s="514" t="s">
        <v>193</v>
      </c>
      <c r="B30" s="521" t="s">
        <v>194</v>
      </c>
      <c r="C30" s="507">
        <f t="shared" ref="C30:C36" si="75">D30/$C$8</f>
        <v>17.7963867144403</v>
      </c>
      <c r="D30" s="507">
        <f>F30+AD30</f>
        <v>127.027494</v>
      </c>
      <c r="E30" s="507">
        <f t="shared" ref="E30:E36" si="76">F30/$E$8</f>
        <v>17.7042582485226</v>
      </c>
      <c r="F30" s="507">
        <f>H30+J30+L30+N30+P30+R30+T30</f>
        <v>87.003576</v>
      </c>
      <c r="G30" s="516">
        <v>18</v>
      </c>
      <c r="H30" s="507">
        <f>G30*G$8</f>
        <v>56.957112</v>
      </c>
      <c r="I30" s="516">
        <v>18</v>
      </c>
      <c r="J30" s="507">
        <f t="shared" ref="J30" si="77">I30*I$8</f>
        <v>30.046464</v>
      </c>
      <c r="K30" s="516">
        <v>10</v>
      </c>
      <c r="L30" s="507">
        <f t="shared" ref="L30" si="78">K30*K$8</f>
        <v>0</v>
      </c>
      <c r="M30" s="516">
        <f>G30</f>
        <v>18</v>
      </c>
      <c r="N30" s="507">
        <f t="shared" ref="N30:N36" si="79">M30*M$8</f>
        <v>0</v>
      </c>
      <c r="O30" s="516">
        <f>G30</f>
        <v>18</v>
      </c>
      <c r="P30" s="507">
        <f>O30*O$8</f>
        <v>0</v>
      </c>
      <c r="Q30" s="516">
        <v>10</v>
      </c>
      <c r="R30" s="507">
        <f t="shared" ref="R30:R36" si="80">Q30*Q$8</f>
        <v>0</v>
      </c>
      <c r="S30" s="516">
        <v>16.5</v>
      </c>
      <c r="T30" s="507">
        <f>S30*S$8</f>
        <v>0</v>
      </c>
      <c r="U30" s="516">
        <v>18</v>
      </c>
      <c r="V30" s="507">
        <f t="shared" ref="V30" si="81">U30*U$8</f>
        <v>0.598752</v>
      </c>
      <c r="W30" s="516">
        <v>20</v>
      </c>
      <c r="X30" s="507">
        <f t="shared" ref="X30" si="82">W30*W$8</f>
        <v>0.39698</v>
      </c>
      <c r="Y30" s="516">
        <v>18</v>
      </c>
      <c r="Z30" s="507">
        <f t="shared" ref="Z30" si="83">Y30*Y$8</f>
        <v>0.13536</v>
      </c>
      <c r="AA30" s="516">
        <v>18</v>
      </c>
      <c r="AB30" s="507">
        <f t="shared" ref="AB30" si="84">AA30*AA$8</f>
        <v>0.361962</v>
      </c>
      <c r="AC30" s="507">
        <v>0</v>
      </c>
      <c r="AD30" s="507">
        <f>AF30*0+AH30+AJ30</f>
        <v>40.023918</v>
      </c>
      <c r="AE30" s="516">
        <v>18</v>
      </c>
      <c r="AF30" s="507">
        <f>AE30*AE$8</f>
        <v>0</v>
      </c>
      <c r="AG30" s="516">
        <v>18</v>
      </c>
      <c r="AH30" s="507">
        <f t="shared" ref="AH30" si="85">AG30*AG$8</f>
        <v>7.101198</v>
      </c>
      <c r="AI30" s="516">
        <v>18</v>
      </c>
      <c r="AJ30" s="507">
        <f t="shared" ref="AJ30" si="86">AI30*AI$8</f>
        <v>32.92272</v>
      </c>
      <c r="AK30" s="567" t="s">
        <v>195</v>
      </c>
      <c r="AL30" s="560">
        <f t="shared" si="62"/>
        <v>128.520548</v>
      </c>
      <c r="AM30" s="557"/>
      <c r="AO30" s="405">
        <f t="shared" si="8"/>
        <v>1.49305400000001</v>
      </c>
    </row>
    <row r="31" ht="21" customHeight="1" outlineLevel="2" spans="1:41">
      <c r="A31" s="514" t="s">
        <v>196</v>
      </c>
      <c r="B31" s="521" t="s">
        <v>197</v>
      </c>
      <c r="C31" s="507">
        <f t="shared" si="75"/>
        <v>13.3472900358302</v>
      </c>
      <c r="D31" s="507">
        <f t="shared" ref="D31:D36" si="87">F31+AD31</f>
        <v>95.2706205</v>
      </c>
      <c r="E31" s="507">
        <f t="shared" si="76"/>
        <v>13.2781936863919</v>
      </c>
      <c r="F31" s="507">
        <f t="shared" ref="F31:F36" si="88">H31+J31+L31+N31+P31+R31+T31</f>
        <v>65.252682</v>
      </c>
      <c r="G31" s="522">
        <v>13.5</v>
      </c>
      <c r="H31" s="507">
        <f t="shared" ref="H31:H36" si="89">G31*G$8</f>
        <v>42.717834</v>
      </c>
      <c r="I31" s="516">
        <v>13.5</v>
      </c>
      <c r="J31" s="507">
        <f t="shared" ref="J31:J36" si="90">I31*I$8</f>
        <v>22.534848</v>
      </c>
      <c r="K31" s="516">
        <v>10</v>
      </c>
      <c r="L31" s="507">
        <f t="shared" ref="L31" si="91">K31*K$8</f>
        <v>0</v>
      </c>
      <c r="M31" s="516">
        <f>G31</f>
        <v>13.5</v>
      </c>
      <c r="N31" s="507">
        <f t="shared" si="79"/>
        <v>0</v>
      </c>
      <c r="O31" s="516">
        <f>G31</f>
        <v>13.5</v>
      </c>
      <c r="P31" s="507">
        <f t="shared" ref="P31:P36" si="92">O31*O$8</f>
        <v>0</v>
      </c>
      <c r="Q31" s="516">
        <v>15</v>
      </c>
      <c r="R31" s="507">
        <f t="shared" si="80"/>
        <v>0</v>
      </c>
      <c r="S31" s="516">
        <f>15+8</f>
        <v>23</v>
      </c>
      <c r="T31" s="507">
        <f t="shared" ref="T31:T36" si="93">S31*S$8</f>
        <v>0</v>
      </c>
      <c r="U31" s="516">
        <v>13.5</v>
      </c>
      <c r="V31" s="507">
        <f t="shared" ref="V31:V36" si="94">U31*U$8</f>
        <v>0.449064</v>
      </c>
      <c r="W31" s="516">
        <v>15</v>
      </c>
      <c r="X31" s="507">
        <f t="shared" ref="X31:X36" si="95">W31*W$8</f>
        <v>0.297735</v>
      </c>
      <c r="Y31" s="516">
        <v>13.5</v>
      </c>
      <c r="Z31" s="507">
        <f t="shared" ref="Z31:Z36" si="96">Y31*Y$8</f>
        <v>0.10152</v>
      </c>
      <c r="AA31" s="516">
        <f>G31</f>
        <v>13.5</v>
      </c>
      <c r="AB31" s="507">
        <f t="shared" ref="AB31:AB36" si="97">AA31*AA$8</f>
        <v>0.2714715</v>
      </c>
      <c r="AC31" s="507">
        <f t="shared" ref="AC31:AC36" si="98">AD31/AC$8</f>
        <v>13.5</v>
      </c>
      <c r="AD31" s="507">
        <f t="shared" ref="AD30:AD36" si="99">AF31*0+AH31+AJ31</f>
        <v>30.0179385</v>
      </c>
      <c r="AE31" s="516">
        <v>13.5</v>
      </c>
      <c r="AF31" s="507">
        <f t="shared" ref="AF31" si="100">AE31*AE$8</f>
        <v>0</v>
      </c>
      <c r="AG31" s="516">
        <v>13.5</v>
      </c>
      <c r="AH31" s="507">
        <f t="shared" ref="AH31:AH36" si="101">AG31*AG$8</f>
        <v>5.3258985</v>
      </c>
      <c r="AI31" s="516">
        <v>13.5</v>
      </c>
      <c r="AJ31" s="507">
        <f t="shared" ref="AJ31:AJ36" si="102">AI31*AI$8</f>
        <v>24.69204</v>
      </c>
      <c r="AK31" s="568"/>
      <c r="AL31" s="560">
        <f t="shared" si="62"/>
        <v>96.390411</v>
      </c>
      <c r="AM31" s="557"/>
      <c r="AO31" s="405">
        <f t="shared" si="8"/>
        <v>1.11979049999999</v>
      </c>
    </row>
    <row r="32" ht="32" customHeight="1" outlineLevel="2" spans="1:41">
      <c r="A32" s="514" t="s">
        <v>198</v>
      </c>
      <c r="B32" s="523" t="s">
        <v>199</v>
      </c>
      <c r="C32" s="507">
        <f t="shared" si="75"/>
        <v>20.9355661619768</v>
      </c>
      <c r="D32" s="507">
        <f t="shared" si="87"/>
        <v>149.434407540112</v>
      </c>
      <c r="E32" s="507">
        <f t="shared" si="76"/>
        <v>27.2387289287809</v>
      </c>
      <c r="F32" s="507">
        <f t="shared" si="88"/>
        <v>133.858577367756</v>
      </c>
      <c r="G32" s="516">
        <f>AM32/C8</f>
        <v>7.00493497669108</v>
      </c>
      <c r="H32" s="507">
        <f t="shared" si="89"/>
        <v>22.165603667784</v>
      </c>
      <c r="I32" s="545">
        <f>G32+AN32</f>
        <v>66.9121506810082</v>
      </c>
      <c r="J32" s="507">
        <f t="shared" si="90"/>
        <v>111.692973699972</v>
      </c>
      <c r="K32" s="516">
        <f>$AM$32/$C$8</f>
        <v>7.00493497669108</v>
      </c>
      <c r="L32" s="507">
        <f t="shared" ref="L32" si="103">K32*K$8</f>
        <v>0</v>
      </c>
      <c r="M32" s="516">
        <f>$AM$32/$C$8</f>
        <v>7.00493497669108</v>
      </c>
      <c r="N32" s="507">
        <f t="shared" si="79"/>
        <v>0</v>
      </c>
      <c r="O32" s="516">
        <f>G32</f>
        <v>7.00493497669108</v>
      </c>
      <c r="P32" s="507">
        <f t="shared" si="92"/>
        <v>0</v>
      </c>
      <c r="Q32" s="516">
        <f>$AM$32/$C$8</f>
        <v>7.00493497669108</v>
      </c>
      <c r="R32" s="507">
        <f t="shared" si="80"/>
        <v>0</v>
      </c>
      <c r="S32" s="516">
        <f>G32</f>
        <v>7.00493497669108</v>
      </c>
      <c r="T32" s="507">
        <f t="shared" si="93"/>
        <v>0</v>
      </c>
      <c r="U32" s="516">
        <f>G32</f>
        <v>7.00493497669108</v>
      </c>
      <c r="V32" s="507">
        <f t="shared" si="94"/>
        <v>0.233012157064652</v>
      </c>
      <c r="W32" s="516">
        <f>G32</f>
        <v>7.00493497669108</v>
      </c>
      <c r="X32" s="507">
        <f t="shared" si="95"/>
        <v>0.139040954352341</v>
      </c>
      <c r="Y32" s="516">
        <f>G32</f>
        <v>7.00493497669108</v>
      </c>
      <c r="Z32" s="507">
        <f t="shared" si="96"/>
        <v>0.0526771110247169</v>
      </c>
      <c r="AA32" s="516">
        <f>G32</f>
        <v>7.00493497669108</v>
      </c>
      <c r="AB32" s="507">
        <f t="shared" si="97"/>
        <v>0.140862237446281</v>
      </c>
      <c r="AC32" s="507">
        <f t="shared" si="98"/>
        <v>7.00493497669108</v>
      </c>
      <c r="AD32" s="507">
        <f t="shared" si="99"/>
        <v>15.5758301723564</v>
      </c>
      <c r="AE32" s="516">
        <f>AG32</f>
        <v>7.00493497669108</v>
      </c>
      <c r="AF32" s="507">
        <f t="shared" ref="AF32" si="104">AE32*AE$8</f>
        <v>0</v>
      </c>
      <c r="AG32" s="516">
        <f>G32</f>
        <v>7.00493497669108</v>
      </c>
      <c r="AH32" s="507">
        <f t="shared" si="101"/>
        <v>2.76352390258937</v>
      </c>
      <c r="AI32" s="516">
        <f>G32</f>
        <v>7.00493497669108</v>
      </c>
      <c r="AJ32" s="507">
        <f t="shared" si="102"/>
        <v>12.8123062697671</v>
      </c>
      <c r="AK32" s="569" t="s">
        <v>200</v>
      </c>
      <c r="AL32" s="560">
        <f t="shared" si="62"/>
        <v>150</v>
      </c>
      <c r="AM32" s="570">
        <f>50</f>
        <v>50</v>
      </c>
      <c r="AN32" s="571">
        <f>100/I8</f>
        <v>59.9072157043172</v>
      </c>
      <c r="AO32" s="405">
        <f t="shared" si="8"/>
        <v>0.56559245988845</v>
      </c>
    </row>
    <row r="33" ht="24" customHeight="1" outlineLevel="2" spans="1:41">
      <c r="A33" s="514" t="s">
        <v>201</v>
      </c>
      <c r="B33" s="521" t="s">
        <v>202</v>
      </c>
      <c r="C33" s="507">
        <f t="shared" si="75"/>
        <v>9.57720385004244</v>
      </c>
      <c r="D33" s="507">
        <f t="shared" si="87"/>
        <v>68.3604050709292</v>
      </c>
      <c r="E33" s="507">
        <f t="shared" si="76"/>
        <v>9.52762451055944</v>
      </c>
      <c r="F33" s="507">
        <f t="shared" si="88"/>
        <v>46.821357414005</v>
      </c>
      <c r="G33" s="516">
        <f>AM33/C8</f>
        <v>9.68677923597174</v>
      </c>
      <c r="H33" s="507">
        <f t="shared" si="89"/>
        <v>30.6517205479176</v>
      </c>
      <c r="I33" s="516">
        <f>G33</f>
        <v>9.68677923597174</v>
      </c>
      <c r="J33" s="507">
        <f t="shared" si="90"/>
        <v>16.1696368660874</v>
      </c>
      <c r="K33" s="516">
        <f>$AM$33/$C$8</f>
        <v>9.68677923597174</v>
      </c>
      <c r="L33" s="507">
        <f t="shared" ref="L33" si="105">K33*K$8</f>
        <v>0</v>
      </c>
      <c r="M33" s="516">
        <f>$AM$33/$C$8</f>
        <v>9.68677923597174</v>
      </c>
      <c r="N33" s="507">
        <f t="shared" si="79"/>
        <v>0</v>
      </c>
      <c r="O33" s="516">
        <f>G33</f>
        <v>9.68677923597174</v>
      </c>
      <c r="P33" s="507">
        <f t="shared" si="92"/>
        <v>0</v>
      </c>
      <c r="Q33" s="516">
        <f>$AM$33/$C$8</f>
        <v>9.68677923597174</v>
      </c>
      <c r="R33" s="507">
        <f t="shared" si="80"/>
        <v>0</v>
      </c>
      <c r="S33" s="516">
        <f>G33</f>
        <v>9.68677923597174</v>
      </c>
      <c r="T33" s="507">
        <f t="shared" si="93"/>
        <v>0</v>
      </c>
      <c r="U33" s="516">
        <f>G33</f>
        <v>9.68677923597174</v>
      </c>
      <c r="V33" s="507">
        <f t="shared" si="94"/>
        <v>0.322221024505364</v>
      </c>
      <c r="W33" s="516">
        <f>G33</f>
        <v>9.68677923597174</v>
      </c>
      <c r="X33" s="507">
        <f t="shared" si="95"/>
        <v>0.192272881054803</v>
      </c>
      <c r="Y33" s="516">
        <f>G33</f>
        <v>9.68677923597174</v>
      </c>
      <c r="Z33" s="507">
        <f t="shared" si="96"/>
        <v>0.0728445798545075</v>
      </c>
      <c r="AA33" s="516">
        <f>G33</f>
        <v>9.68677923597174</v>
      </c>
      <c r="AB33" s="507">
        <f t="shared" si="97"/>
        <v>0.194791443656156</v>
      </c>
      <c r="AC33" s="507">
        <f t="shared" si="98"/>
        <v>9.68677923597174</v>
      </c>
      <c r="AD33" s="507">
        <f t="shared" si="99"/>
        <v>21.5390476569242</v>
      </c>
      <c r="AE33" s="516">
        <f>AG33</f>
        <v>9.68677923597174</v>
      </c>
      <c r="AF33" s="507">
        <f t="shared" ref="AF33" si="106">AE33*AE$8</f>
        <v>0</v>
      </c>
      <c r="AG33" s="516">
        <f>G33</f>
        <v>9.68677923597174</v>
      </c>
      <c r="AH33" s="507">
        <f t="shared" si="101"/>
        <v>3.82154096316245</v>
      </c>
      <c r="AI33" s="516">
        <f>G33</f>
        <v>9.68677923597174</v>
      </c>
      <c r="AJ33" s="507">
        <f t="shared" si="102"/>
        <v>17.7175066937618</v>
      </c>
      <c r="AK33" s="563" t="s">
        <v>203</v>
      </c>
      <c r="AL33" s="560">
        <f t="shared" si="62"/>
        <v>69.142535</v>
      </c>
      <c r="AM33" s="557">
        <f>(经济指标!E6-经济指标!J25)*25/10000</f>
        <v>69.142535</v>
      </c>
      <c r="AO33" s="405">
        <f t="shared" si="8"/>
        <v>0.782129929070891</v>
      </c>
    </row>
    <row r="34" customHeight="1" outlineLevel="2" spans="1:41">
      <c r="A34" s="514" t="s">
        <v>204</v>
      </c>
      <c r="B34" s="524" t="s">
        <v>205</v>
      </c>
      <c r="C34" s="507">
        <f t="shared" si="75"/>
        <v>1.38176195129469</v>
      </c>
      <c r="D34" s="507">
        <f t="shared" si="87"/>
        <v>9.862775</v>
      </c>
      <c r="E34" s="507">
        <f t="shared" si="76"/>
        <v>0</v>
      </c>
      <c r="F34" s="507">
        <f t="shared" si="88"/>
        <v>0</v>
      </c>
      <c r="G34" s="516">
        <v>0</v>
      </c>
      <c r="H34" s="507">
        <f t="shared" si="89"/>
        <v>0</v>
      </c>
      <c r="I34" s="516">
        <v>0</v>
      </c>
      <c r="J34" s="507">
        <f t="shared" si="90"/>
        <v>0</v>
      </c>
      <c r="K34" s="516">
        <v>4</v>
      </c>
      <c r="L34" s="507">
        <f t="shared" ref="L34" si="107">K34*K$8</f>
        <v>0</v>
      </c>
      <c r="M34" s="516">
        <v>4</v>
      </c>
      <c r="N34" s="507">
        <f t="shared" si="79"/>
        <v>0</v>
      </c>
      <c r="O34" s="516">
        <v>4</v>
      </c>
      <c r="P34" s="507">
        <f t="shared" si="92"/>
        <v>0</v>
      </c>
      <c r="Q34" s="516">
        <v>4</v>
      </c>
      <c r="R34" s="507">
        <f t="shared" si="80"/>
        <v>0</v>
      </c>
      <c r="S34" s="516">
        <v>0</v>
      </c>
      <c r="T34" s="507">
        <f t="shared" si="93"/>
        <v>0</v>
      </c>
      <c r="U34" s="516">
        <v>0</v>
      </c>
      <c r="V34" s="507">
        <f t="shared" si="94"/>
        <v>0</v>
      </c>
      <c r="W34" s="516">
        <v>0</v>
      </c>
      <c r="X34" s="507">
        <f t="shared" si="95"/>
        <v>0</v>
      </c>
      <c r="Y34" s="516">
        <v>0</v>
      </c>
      <c r="Z34" s="507">
        <f t="shared" si="96"/>
        <v>0</v>
      </c>
      <c r="AA34" s="516">
        <v>0</v>
      </c>
      <c r="AB34" s="507">
        <f t="shared" si="97"/>
        <v>0</v>
      </c>
      <c r="AC34" s="507">
        <f t="shared" si="98"/>
        <v>4.43559648508174</v>
      </c>
      <c r="AD34" s="507">
        <f t="shared" si="99"/>
        <v>9.862775</v>
      </c>
      <c r="AE34" s="516">
        <v>0</v>
      </c>
      <c r="AF34" s="507">
        <f t="shared" ref="AF34" si="108">AE34*AE$8</f>
        <v>0</v>
      </c>
      <c r="AG34" s="516">
        <v>25</v>
      </c>
      <c r="AH34" s="507">
        <f t="shared" si="101"/>
        <v>9.862775</v>
      </c>
      <c r="AI34" s="516">
        <v>0</v>
      </c>
      <c r="AJ34" s="507">
        <f t="shared" si="102"/>
        <v>0</v>
      </c>
      <c r="AK34" s="563" t="s">
        <v>206</v>
      </c>
      <c r="AL34" s="560">
        <f t="shared" si="62"/>
        <v>9.862775</v>
      </c>
      <c r="AM34" s="557"/>
      <c r="AO34" s="405">
        <f t="shared" si="8"/>
        <v>0</v>
      </c>
    </row>
    <row r="35" customHeight="1" outlineLevel="2" spans="1:41">
      <c r="A35" s="514" t="s">
        <v>207</v>
      </c>
      <c r="B35" s="524" t="s">
        <v>208</v>
      </c>
      <c r="C35" s="507">
        <f t="shared" si="75"/>
        <v>0</v>
      </c>
      <c r="D35" s="507">
        <f t="shared" si="87"/>
        <v>0</v>
      </c>
      <c r="E35" s="507">
        <f t="shared" si="76"/>
        <v>0</v>
      </c>
      <c r="F35" s="507">
        <f t="shared" si="88"/>
        <v>0</v>
      </c>
      <c r="G35" s="516">
        <v>0</v>
      </c>
      <c r="H35" s="507">
        <f t="shared" si="89"/>
        <v>0</v>
      </c>
      <c r="I35" s="516">
        <v>0</v>
      </c>
      <c r="J35" s="507">
        <f t="shared" si="90"/>
        <v>0</v>
      </c>
      <c r="K35" s="516"/>
      <c r="L35" s="507">
        <f t="shared" ref="L35" si="109">K35*K$8</f>
        <v>0</v>
      </c>
      <c r="M35" s="516"/>
      <c r="N35" s="507">
        <f t="shared" si="79"/>
        <v>0</v>
      </c>
      <c r="O35" s="516"/>
      <c r="P35" s="507">
        <f t="shared" si="92"/>
        <v>0</v>
      </c>
      <c r="Q35" s="516"/>
      <c r="R35" s="507">
        <f t="shared" si="80"/>
        <v>0</v>
      </c>
      <c r="S35" s="516"/>
      <c r="T35" s="507">
        <f t="shared" si="93"/>
        <v>0</v>
      </c>
      <c r="U35" s="516">
        <v>0</v>
      </c>
      <c r="V35" s="507">
        <f t="shared" si="94"/>
        <v>0</v>
      </c>
      <c r="W35" s="516">
        <v>0</v>
      </c>
      <c r="X35" s="507">
        <f t="shared" si="95"/>
        <v>0</v>
      </c>
      <c r="Y35" s="516">
        <v>0</v>
      </c>
      <c r="Z35" s="507">
        <f t="shared" si="96"/>
        <v>0</v>
      </c>
      <c r="AA35" s="516">
        <v>0</v>
      </c>
      <c r="AB35" s="507">
        <f t="shared" si="97"/>
        <v>0</v>
      </c>
      <c r="AC35" s="507">
        <f t="shared" si="98"/>
        <v>0</v>
      </c>
      <c r="AD35" s="507">
        <f t="shared" si="99"/>
        <v>0</v>
      </c>
      <c r="AE35" s="516"/>
      <c r="AF35" s="507">
        <f t="shared" ref="AF35" si="110">AE35*AE$8</f>
        <v>0</v>
      </c>
      <c r="AG35" s="516">
        <v>0</v>
      </c>
      <c r="AH35" s="507">
        <f t="shared" si="101"/>
        <v>0</v>
      </c>
      <c r="AI35" s="516">
        <v>0</v>
      </c>
      <c r="AJ35" s="507">
        <f t="shared" si="102"/>
        <v>0</v>
      </c>
      <c r="AK35" s="537" t="s">
        <v>209</v>
      </c>
      <c r="AL35" s="560">
        <f t="shared" si="62"/>
        <v>0</v>
      </c>
      <c r="AM35" s="557"/>
      <c r="AO35" s="405">
        <f t="shared" si="8"/>
        <v>0</v>
      </c>
    </row>
    <row r="36" customHeight="1" outlineLevel="2" spans="1:41">
      <c r="A36" s="514" t="s">
        <v>210</v>
      </c>
      <c r="B36" s="525" t="s">
        <v>211</v>
      </c>
      <c r="C36" s="507">
        <f t="shared" si="75"/>
        <v>9.8868815080224</v>
      </c>
      <c r="D36" s="507">
        <f t="shared" si="87"/>
        <v>70.57083</v>
      </c>
      <c r="E36" s="507">
        <f t="shared" si="76"/>
        <v>9.83569902695698</v>
      </c>
      <c r="F36" s="507">
        <f t="shared" si="88"/>
        <v>48.33532</v>
      </c>
      <c r="G36" s="516">
        <v>10</v>
      </c>
      <c r="H36" s="507">
        <f t="shared" si="89"/>
        <v>31.64284</v>
      </c>
      <c r="I36" s="516">
        <v>10</v>
      </c>
      <c r="J36" s="507">
        <f t="shared" si="90"/>
        <v>16.69248</v>
      </c>
      <c r="K36" s="516"/>
      <c r="L36" s="507">
        <f t="shared" ref="L36" si="111">K36*K$8</f>
        <v>0</v>
      </c>
      <c r="M36" s="516"/>
      <c r="N36" s="507">
        <f t="shared" si="79"/>
        <v>0</v>
      </c>
      <c r="O36" s="516"/>
      <c r="P36" s="507">
        <f t="shared" si="92"/>
        <v>0</v>
      </c>
      <c r="Q36" s="516"/>
      <c r="R36" s="507">
        <f t="shared" si="80"/>
        <v>0</v>
      </c>
      <c r="S36" s="516"/>
      <c r="T36" s="507">
        <f t="shared" si="93"/>
        <v>0</v>
      </c>
      <c r="U36" s="516">
        <v>10</v>
      </c>
      <c r="V36" s="507">
        <f t="shared" si="94"/>
        <v>0.33264</v>
      </c>
      <c r="W36" s="516">
        <v>10</v>
      </c>
      <c r="X36" s="507">
        <f t="shared" si="95"/>
        <v>0.19849</v>
      </c>
      <c r="Y36" s="516">
        <v>10</v>
      </c>
      <c r="Z36" s="507">
        <f t="shared" si="96"/>
        <v>0.0752</v>
      </c>
      <c r="AA36" s="516">
        <v>10</v>
      </c>
      <c r="AB36" s="507">
        <f t="shared" si="97"/>
        <v>0.20109</v>
      </c>
      <c r="AC36" s="507">
        <f t="shared" si="98"/>
        <v>10</v>
      </c>
      <c r="AD36" s="507">
        <f t="shared" si="99"/>
        <v>22.23551</v>
      </c>
      <c r="AE36" s="516"/>
      <c r="AF36" s="507">
        <f t="shared" ref="AF36" si="112">AE36*AE$8</f>
        <v>0</v>
      </c>
      <c r="AG36" s="516">
        <v>10</v>
      </c>
      <c r="AH36" s="507">
        <f t="shared" si="101"/>
        <v>3.94511</v>
      </c>
      <c r="AI36" s="516">
        <v>10</v>
      </c>
      <c r="AJ36" s="507">
        <f t="shared" si="102"/>
        <v>18.2904</v>
      </c>
      <c r="AK36" s="537" t="s">
        <v>212</v>
      </c>
      <c r="AL36" s="560">
        <f t="shared" si="62"/>
        <v>71.37825</v>
      </c>
      <c r="AM36" s="557"/>
      <c r="AO36" s="405">
        <f t="shared" si="8"/>
        <v>0.807419999999993</v>
      </c>
    </row>
    <row r="37" customHeight="1" outlineLevel="1" spans="1:41">
      <c r="A37" s="505">
        <v>2.4</v>
      </c>
      <c r="B37" s="513" t="s">
        <v>213</v>
      </c>
      <c r="C37" s="513">
        <f t="shared" ref="C37:AJ37" si="113">SUM(C38:C50)</f>
        <v>36.7085416642131</v>
      </c>
      <c r="D37" s="513">
        <f t="shared" si="113"/>
        <v>262.019146404362</v>
      </c>
      <c r="E37" s="513">
        <f t="shared" si="113"/>
        <v>36.5185086151528</v>
      </c>
      <c r="F37" s="513">
        <f t="shared" si="113"/>
        <v>179.461957406221</v>
      </c>
      <c r="G37" s="513">
        <f t="shared" si="113"/>
        <v>37.1285340422328</v>
      </c>
      <c r="H37" s="513">
        <f t="shared" si="113"/>
        <v>117.485226213292</v>
      </c>
      <c r="I37" s="513">
        <f t="shared" si="113"/>
        <v>37.1285340422328</v>
      </c>
      <c r="J37" s="513">
        <f t="shared" si="113"/>
        <v>61.9767311929289</v>
      </c>
      <c r="K37" s="513">
        <f t="shared" si="113"/>
        <v>45.1681392440975</v>
      </c>
      <c r="L37" s="513">
        <f t="shared" si="113"/>
        <v>0</v>
      </c>
      <c r="M37" s="513">
        <f t="shared" si="113"/>
        <v>46.4285340422328</v>
      </c>
      <c r="N37" s="513">
        <f t="shared" si="113"/>
        <v>0</v>
      </c>
      <c r="O37" s="513">
        <f t="shared" si="113"/>
        <v>45.4285340422328</v>
      </c>
      <c r="P37" s="513">
        <f t="shared" si="113"/>
        <v>0</v>
      </c>
      <c r="Q37" s="513">
        <f t="shared" si="113"/>
        <v>44.8681392440975</v>
      </c>
      <c r="R37" s="513">
        <f t="shared" si="113"/>
        <v>0</v>
      </c>
      <c r="S37" s="513">
        <f t="shared" si="113"/>
        <v>42.9285340422328</v>
      </c>
      <c r="T37" s="513">
        <f t="shared" si="113"/>
        <v>0</v>
      </c>
      <c r="U37" s="513">
        <f t="shared" si="113"/>
        <v>37.1285340422328</v>
      </c>
      <c r="V37" s="513">
        <f t="shared" si="113"/>
        <v>1.23504355638083</v>
      </c>
      <c r="W37" s="513">
        <f t="shared" si="113"/>
        <v>39.3781392440975</v>
      </c>
      <c r="X37" s="513">
        <f t="shared" si="113"/>
        <v>0.781616685856091</v>
      </c>
      <c r="Y37" s="513">
        <f t="shared" si="113"/>
        <v>37.1285340422328</v>
      </c>
      <c r="Z37" s="513">
        <f t="shared" si="113"/>
        <v>0.27920657599759</v>
      </c>
      <c r="AA37" s="513">
        <f t="shared" si="113"/>
        <v>37.1285340422328</v>
      </c>
      <c r="AB37" s="513">
        <f t="shared" si="113"/>
        <v>0.746617691055258</v>
      </c>
      <c r="AC37" s="513">
        <f t="shared" si="113"/>
        <v>35.1285340422328</v>
      </c>
      <c r="AD37" s="513">
        <f t="shared" si="113"/>
        <v>82.5571889981407</v>
      </c>
      <c r="AE37" s="513">
        <f t="shared" si="113"/>
        <v>37.1285340422328</v>
      </c>
      <c r="AF37" s="513">
        <f t="shared" si="113"/>
        <v>0</v>
      </c>
      <c r="AG37" s="513">
        <f t="shared" si="113"/>
        <v>37.1285340422328</v>
      </c>
      <c r="AH37" s="513">
        <f t="shared" si="113"/>
        <v>14.6476150935353</v>
      </c>
      <c r="AI37" s="513">
        <f t="shared" si="113"/>
        <v>37.1285340422328</v>
      </c>
      <c r="AJ37" s="513">
        <f t="shared" si="113"/>
        <v>67.9095739046054</v>
      </c>
      <c r="AK37" s="537"/>
      <c r="AL37" s="560">
        <f t="shared" si="62"/>
        <v>265.061630913652</v>
      </c>
      <c r="AM37" s="557"/>
      <c r="AO37" s="405">
        <f t="shared" si="8"/>
        <v>3.04248450928929</v>
      </c>
    </row>
    <row r="38" customHeight="1" outlineLevel="2" spans="1:41">
      <c r="A38" s="526" t="s">
        <v>214</v>
      </c>
      <c r="B38" s="527" t="s">
        <v>215</v>
      </c>
      <c r="C38" s="507">
        <f>D38/$C$8</f>
        <v>1.48303222620336</v>
      </c>
      <c r="D38" s="507">
        <f>F38+AD38</f>
        <v>10.5856245</v>
      </c>
      <c r="E38" s="507">
        <f>F38/$E$8</f>
        <v>1.47535485404355</v>
      </c>
      <c r="F38" s="507">
        <f>H38+J38+L38+N38+P38+R38+T38</f>
        <v>7.250298</v>
      </c>
      <c r="G38" s="528">
        <v>1.5</v>
      </c>
      <c r="H38" s="507">
        <f>G38*G$8</f>
        <v>4.746426</v>
      </c>
      <c r="I38" s="528">
        <v>1.5</v>
      </c>
      <c r="J38" s="507">
        <f t="shared" ref="J38" si="114">I38*I$8</f>
        <v>2.503872</v>
      </c>
      <c r="K38" s="528">
        <v>1.5</v>
      </c>
      <c r="L38" s="507">
        <f t="shared" ref="L38" si="115">K38*K$8</f>
        <v>0</v>
      </c>
      <c r="M38" s="528">
        <v>1.5</v>
      </c>
      <c r="N38" s="507">
        <f t="shared" ref="N38:N50" si="116">M38*M$8</f>
        <v>0</v>
      </c>
      <c r="O38" s="528">
        <v>1.5</v>
      </c>
      <c r="P38" s="507">
        <f>O38*O$8</f>
        <v>0</v>
      </c>
      <c r="Q38" s="528">
        <v>1.5</v>
      </c>
      <c r="R38" s="507">
        <f t="shared" ref="R38:R50" si="117">Q38*Q$8</f>
        <v>0</v>
      </c>
      <c r="S38" s="528">
        <v>1.5</v>
      </c>
      <c r="T38" s="507">
        <f>S38*S$8</f>
        <v>0</v>
      </c>
      <c r="U38" s="528">
        <v>1.5</v>
      </c>
      <c r="V38" s="507">
        <f t="shared" ref="V38" si="118">U38*U$8</f>
        <v>0.049896</v>
      </c>
      <c r="W38" s="528">
        <v>1.5</v>
      </c>
      <c r="X38" s="507">
        <f t="shared" ref="X38" si="119">W38*W$8</f>
        <v>0.0297735</v>
      </c>
      <c r="Y38" s="528">
        <v>1.5</v>
      </c>
      <c r="Z38" s="507">
        <f t="shared" ref="Z38" si="120">Y38*Y$8</f>
        <v>0.01128</v>
      </c>
      <c r="AA38" s="528">
        <v>1.5</v>
      </c>
      <c r="AB38" s="507">
        <f t="shared" ref="AB38" si="121">AA38*AA$8</f>
        <v>0.0301635</v>
      </c>
      <c r="AC38" s="507">
        <f>AD38/AC$8</f>
        <v>1.5</v>
      </c>
      <c r="AD38" s="507">
        <f t="shared" ref="AD38:AD50" si="122">AF38*0+AH38+AJ38</f>
        <v>3.3353265</v>
      </c>
      <c r="AE38" s="528">
        <f>AG38</f>
        <v>1.5</v>
      </c>
      <c r="AF38" s="507">
        <f t="shared" ref="AF38" si="123">AE38*AE$8</f>
        <v>0</v>
      </c>
      <c r="AG38" s="528">
        <v>1.5</v>
      </c>
      <c r="AH38" s="507">
        <f t="shared" ref="AH38" si="124">AG38*AG$8</f>
        <v>0.5917665</v>
      </c>
      <c r="AI38" s="528">
        <v>1.5</v>
      </c>
      <c r="AJ38" s="507">
        <f t="shared" ref="AJ38" si="125">AI38*AI$8</f>
        <v>2.74356</v>
      </c>
      <c r="AK38" s="563" t="s">
        <v>216</v>
      </c>
      <c r="AL38" s="560">
        <f t="shared" si="62"/>
        <v>10.7067375</v>
      </c>
      <c r="AM38" s="557"/>
      <c r="AO38" s="405">
        <f t="shared" si="8"/>
        <v>0.121112999999999</v>
      </c>
    </row>
    <row r="39" ht="26.25" customHeight="1" outlineLevel="2" spans="1:41">
      <c r="A39" s="526" t="s">
        <v>217</v>
      </c>
      <c r="B39" s="529" t="s">
        <v>218</v>
      </c>
      <c r="C39" s="507">
        <f t="shared" ref="C39:C50" si="126">D39/$C$8</f>
        <v>0.49434407540112</v>
      </c>
      <c r="D39" s="507">
        <f t="shared" ref="D39:D50" si="127">F39+AD39</f>
        <v>3.5285415</v>
      </c>
      <c r="E39" s="507">
        <f t="shared" ref="E39:E50" si="128">F39/$E$8</f>
        <v>0.491784951347849</v>
      </c>
      <c r="F39" s="507">
        <f t="shared" ref="F39:F50" si="129">H39+J39+L39+N39+P39+R39+T39</f>
        <v>2.416766</v>
      </c>
      <c r="G39" s="528">
        <v>0.5</v>
      </c>
      <c r="H39" s="507">
        <f t="shared" ref="H39:H50" si="130">G39*G$8</f>
        <v>1.582142</v>
      </c>
      <c r="I39" s="528">
        <v>0.5</v>
      </c>
      <c r="J39" s="507">
        <f t="shared" ref="J39:J50" si="131">I39*I$8</f>
        <v>0.834624</v>
      </c>
      <c r="K39" s="528">
        <v>1</v>
      </c>
      <c r="L39" s="507">
        <f t="shared" ref="L39" si="132">K39*K$8</f>
        <v>0</v>
      </c>
      <c r="M39" s="528">
        <v>1</v>
      </c>
      <c r="N39" s="507">
        <f t="shared" si="116"/>
        <v>0</v>
      </c>
      <c r="O39" s="528">
        <v>1</v>
      </c>
      <c r="P39" s="507">
        <f t="shared" ref="P39:P50" si="133">O39*O$8</f>
        <v>0</v>
      </c>
      <c r="Q39" s="528"/>
      <c r="R39" s="507">
        <f t="shared" si="117"/>
        <v>0</v>
      </c>
      <c r="S39" s="528">
        <v>0.5</v>
      </c>
      <c r="T39" s="507">
        <f t="shared" ref="T39:T50" si="134">S39*S$8</f>
        <v>0</v>
      </c>
      <c r="U39" s="528">
        <f t="shared" ref="U39:Y39" si="135">$G$39</f>
        <v>0.5</v>
      </c>
      <c r="V39" s="507">
        <f t="shared" ref="V39:V50" si="136">U39*U$8</f>
        <v>0.016632</v>
      </c>
      <c r="W39" s="528">
        <f t="shared" si="135"/>
        <v>0.5</v>
      </c>
      <c r="X39" s="507">
        <f t="shared" ref="X39:X50" si="137">W39*W$8</f>
        <v>0.0099245</v>
      </c>
      <c r="Y39" s="528">
        <f t="shared" si="135"/>
        <v>0.5</v>
      </c>
      <c r="Z39" s="507">
        <f t="shared" ref="Z39:Z50" si="138">Y39*Y$8</f>
        <v>0.00376</v>
      </c>
      <c r="AA39" s="528">
        <f>$G$39</f>
        <v>0.5</v>
      </c>
      <c r="AB39" s="507">
        <f t="shared" ref="AB39:AB50" si="139">AA39*AA$8</f>
        <v>0.0100545</v>
      </c>
      <c r="AC39" s="528">
        <f>$G$39</f>
        <v>0.5</v>
      </c>
      <c r="AD39" s="507">
        <f t="shared" si="122"/>
        <v>1.1117755</v>
      </c>
      <c r="AE39" s="528">
        <f t="shared" ref="AE39:AE50" si="140">AG39</f>
        <v>0.5</v>
      </c>
      <c r="AF39" s="507">
        <f t="shared" ref="AF39" si="141">AE39*AE$8</f>
        <v>0</v>
      </c>
      <c r="AG39" s="528">
        <f>$G$39</f>
        <v>0.5</v>
      </c>
      <c r="AH39" s="507">
        <f t="shared" ref="AH39:AH50" si="142">AG39*AG$8</f>
        <v>0.1972555</v>
      </c>
      <c r="AI39" s="528">
        <f>$G$39</f>
        <v>0.5</v>
      </c>
      <c r="AJ39" s="507">
        <f t="shared" ref="AJ39:AJ50" si="143">AI39*AI$8</f>
        <v>0.91452</v>
      </c>
      <c r="AK39" s="572" t="s">
        <v>219</v>
      </c>
      <c r="AL39" s="560">
        <f t="shared" si="62"/>
        <v>3.5689125</v>
      </c>
      <c r="AM39" s="557"/>
      <c r="AO39" s="405">
        <f t="shared" si="8"/>
        <v>0.0403709999999995</v>
      </c>
    </row>
    <row r="40" customHeight="1" outlineLevel="2" spans="1:41">
      <c r="A40" s="526" t="s">
        <v>220</v>
      </c>
      <c r="B40" s="501" t="s">
        <v>221</v>
      </c>
      <c r="C40" s="507">
        <f t="shared" si="126"/>
        <v>0.554055696687571</v>
      </c>
      <c r="D40" s="507">
        <f t="shared" si="127"/>
        <v>3.95475260320896</v>
      </c>
      <c r="E40" s="507">
        <f t="shared" si="128"/>
        <v>0.551187457073099</v>
      </c>
      <c r="F40" s="507">
        <f t="shared" si="129"/>
        <v>2.70868618942045</v>
      </c>
      <c r="G40" s="530">
        <f>AN40</f>
        <v>0.560394798135286</v>
      </c>
      <c r="H40" s="507">
        <f t="shared" si="130"/>
        <v>1.77324829342272</v>
      </c>
      <c r="I40" s="530">
        <f>G40</f>
        <v>0.560394798135286</v>
      </c>
      <c r="J40" s="507">
        <f t="shared" si="131"/>
        <v>0.93543789599773</v>
      </c>
      <c r="K40" s="530">
        <v>0.3</v>
      </c>
      <c r="L40" s="507">
        <f t="shared" ref="L40" si="144">K40*K$8</f>
        <v>0</v>
      </c>
      <c r="M40" s="530">
        <f>G40</f>
        <v>0.560394798135286</v>
      </c>
      <c r="N40" s="507">
        <f t="shared" si="116"/>
        <v>0</v>
      </c>
      <c r="O40" s="530">
        <f>G40</f>
        <v>0.560394798135286</v>
      </c>
      <c r="P40" s="507">
        <f t="shared" si="133"/>
        <v>0</v>
      </c>
      <c r="Q40" s="530">
        <v>1</v>
      </c>
      <c r="R40" s="507">
        <f t="shared" si="117"/>
        <v>0</v>
      </c>
      <c r="S40" s="530">
        <f>G40</f>
        <v>0.560394798135286</v>
      </c>
      <c r="T40" s="507">
        <f t="shared" si="134"/>
        <v>0</v>
      </c>
      <c r="U40" s="530">
        <f>G40</f>
        <v>0.560394798135286</v>
      </c>
      <c r="V40" s="507">
        <f t="shared" si="136"/>
        <v>0.0186409725651722</v>
      </c>
      <c r="W40" s="530">
        <v>0.31</v>
      </c>
      <c r="X40" s="507">
        <f t="shared" si="137"/>
        <v>0.00615319</v>
      </c>
      <c r="Y40" s="530">
        <f>G40</f>
        <v>0.560394798135286</v>
      </c>
      <c r="Z40" s="507">
        <f t="shared" si="138"/>
        <v>0.00421416888197735</v>
      </c>
      <c r="AA40" s="530">
        <f>G40</f>
        <v>0.560394798135286</v>
      </c>
      <c r="AB40" s="507">
        <f t="shared" si="139"/>
        <v>0.0112689789957025</v>
      </c>
      <c r="AC40" s="507">
        <f t="shared" ref="AC40:AC49" si="145">AD40/AC$8</f>
        <v>0.560394798135286</v>
      </c>
      <c r="AD40" s="507">
        <f t="shared" si="122"/>
        <v>1.24606641378851</v>
      </c>
      <c r="AE40" s="528">
        <f t="shared" si="140"/>
        <v>0.560394798135286</v>
      </c>
      <c r="AF40" s="507">
        <f t="shared" ref="AF40" si="146">AE40*AE$8</f>
        <v>0</v>
      </c>
      <c r="AG40" s="530">
        <f>G40</f>
        <v>0.560394798135286</v>
      </c>
      <c r="AH40" s="507">
        <f t="shared" si="142"/>
        <v>0.22108191220715</v>
      </c>
      <c r="AI40" s="530">
        <f>G40</f>
        <v>0.560394798135286</v>
      </c>
      <c r="AJ40" s="507">
        <f t="shared" si="143"/>
        <v>1.02498450158136</v>
      </c>
      <c r="AK40" s="573" t="s">
        <v>222</v>
      </c>
      <c r="AL40" s="560">
        <f t="shared" si="62"/>
        <v>3.99502991365181</v>
      </c>
      <c r="AM40" s="557"/>
      <c r="AN40" s="405">
        <f>4/C8</f>
        <v>0.560394798135286</v>
      </c>
      <c r="AO40" s="405">
        <f t="shared" si="8"/>
        <v>0.0402773104428524</v>
      </c>
    </row>
    <row r="41" customHeight="1" outlineLevel="2" spans="1:41">
      <c r="A41" s="526" t="s">
        <v>223</v>
      </c>
      <c r="B41" s="521" t="s">
        <v>224</v>
      </c>
      <c r="C41" s="507">
        <f t="shared" si="126"/>
        <v>0</v>
      </c>
      <c r="D41" s="507">
        <f t="shared" si="127"/>
        <v>0</v>
      </c>
      <c r="E41" s="507">
        <f t="shared" si="128"/>
        <v>0</v>
      </c>
      <c r="F41" s="507">
        <f t="shared" si="129"/>
        <v>0</v>
      </c>
      <c r="G41" s="528"/>
      <c r="H41" s="507">
        <f t="shared" si="130"/>
        <v>0</v>
      </c>
      <c r="I41" s="528"/>
      <c r="J41" s="507">
        <f t="shared" si="131"/>
        <v>0</v>
      </c>
      <c r="K41" s="528">
        <v>0</v>
      </c>
      <c r="L41" s="507">
        <f t="shared" ref="L41" si="147">K41*K$8</f>
        <v>0</v>
      </c>
      <c r="M41" s="528"/>
      <c r="N41" s="507">
        <f t="shared" si="116"/>
        <v>0</v>
      </c>
      <c r="O41" s="528"/>
      <c r="P41" s="507">
        <f t="shared" si="133"/>
        <v>0</v>
      </c>
      <c r="Q41" s="528">
        <v>0.5</v>
      </c>
      <c r="R41" s="507">
        <f t="shared" si="117"/>
        <v>0</v>
      </c>
      <c r="S41" s="528"/>
      <c r="T41" s="507">
        <f t="shared" si="134"/>
        <v>0</v>
      </c>
      <c r="U41" s="528"/>
      <c r="V41" s="507">
        <f t="shared" si="136"/>
        <v>0</v>
      </c>
      <c r="W41" s="528"/>
      <c r="X41" s="507">
        <f t="shared" si="137"/>
        <v>0</v>
      </c>
      <c r="Y41" s="528"/>
      <c r="Z41" s="507">
        <f t="shared" si="138"/>
        <v>0</v>
      </c>
      <c r="AA41" s="528"/>
      <c r="AB41" s="507">
        <f t="shared" si="139"/>
        <v>0</v>
      </c>
      <c r="AC41" s="507">
        <f t="shared" si="145"/>
        <v>0</v>
      </c>
      <c r="AD41" s="507">
        <f t="shared" si="122"/>
        <v>0</v>
      </c>
      <c r="AE41" s="528">
        <f t="shared" si="140"/>
        <v>0</v>
      </c>
      <c r="AF41" s="507">
        <f t="shared" ref="AF41" si="148">AE41*AE$8</f>
        <v>0</v>
      </c>
      <c r="AG41" s="528"/>
      <c r="AH41" s="507">
        <f t="shared" si="142"/>
        <v>0</v>
      </c>
      <c r="AI41" s="528"/>
      <c r="AJ41" s="507">
        <f t="shared" si="143"/>
        <v>0</v>
      </c>
      <c r="AK41" s="572" t="s">
        <v>225</v>
      </c>
      <c r="AL41" s="560">
        <f t="shared" si="62"/>
        <v>0</v>
      </c>
      <c r="AM41" s="557"/>
      <c r="AO41" s="405">
        <f t="shared" si="8"/>
        <v>0</v>
      </c>
    </row>
    <row r="42" ht="30" customHeight="1" outlineLevel="2" spans="1:41">
      <c r="A42" s="526" t="s">
        <v>226</v>
      </c>
      <c r="B42" s="531" t="s">
        <v>227</v>
      </c>
      <c r="C42" s="507">
        <f t="shared" si="126"/>
        <v>1.48303222620336</v>
      </c>
      <c r="D42" s="507">
        <f t="shared" si="127"/>
        <v>10.5856245</v>
      </c>
      <c r="E42" s="507">
        <f t="shared" si="128"/>
        <v>1.47535485404355</v>
      </c>
      <c r="F42" s="507">
        <f t="shared" si="129"/>
        <v>7.250298</v>
      </c>
      <c r="G42" s="528">
        <v>1.5</v>
      </c>
      <c r="H42" s="507">
        <f t="shared" si="130"/>
        <v>4.746426</v>
      </c>
      <c r="I42" s="528">
        <v>1.5</v>
      </c>
      <c r="J42" s="507">
        <f t="shared" si="131"/>
        <v>2.503872</v>
      </c>
      <c r="K42" s="528">
        <v>1.5</v>
      </c>
      <c r="L42" s="507">
        <f t="shared" ref="L42" si="149">K42*K$8</f>
        <v>0</v>
      </c>
      <c r="M42" s="528">
        <v>1.5</v>
      </c>
      <c r="N42" s="507">
        <f t="shared" si="116"/>
        <v>0</v>
      </c>
      <c r="O42" s="528">
        <v>1.5</v>
      </c>
      <c r="P42" s="507">
        <f t="shared" si="133"/>
        <v>0</v>
      </c>
      <c r="Q42" s="528">
        <v>1.5</v>
      </c>
      <c r="R42" s="507">
        <f t="shared" si="117"/>
        <v>0</v>
      </c>
      <c r="S42" s="528">
        <v>1.5</v>
      </c>
      <c r="T42" s="507">
        <f t="shared" si="134"/>
        <v>0</v>
      </c>
      <c r="U42" s="528">
        <v>1.5</v>
      </c>
      <c r="V42" s="507">
        <f t="shared" si="136"/>
        <v>0.049896</v>
      </c>
      <c r="W42" s="528">
        <v>1.5</v>
      </c>
      <c r="X42" s="507">
        <f t="shared" si="137"/>
        <v>0.0297735</v>
      </c>
      <c r="Y42" s="528">
        <v>1.5</v>
      </c>
      <c r="Z42" s="507">
        <f t="shared" si="138"/>
        <v>0.01128</v>
      </c>
      <c r="AA42" s="528">
        <v>1.5</v>
      </c>
      <c r="AB42" s="507">
        <f t="shared" si="139"/>
        <v>0.0301635</v>
      </c>
      <c r="AC42" s="507">
        <f t="shared" si="145"/>
        <v>1.5</v>
      </c>
      <c r="AD42" s="507">
        <f t="shared" si="122"/>
        <v>3.3353265</v>
      </c>
      <c r="AE42" s="528">
        <f t="shared" si="140"/>
        <v>1.5</v>
      </c>
      <c r="AF42" s="507">
        <f t="shared" ref="AF42" si="150">AE42*AE$8</f>
        <v>0</v>
      </c>
      <c r="AG42" s="528">
        <v>1.5</v>
      </c>
      <c r="AH42" s="507">
        <f t="shared" si="142"/>
        <v>0.5917665</v>
      </c>
      <c r="AI42" s="528">
        <v>1.5</v>
      </c>
      <c r="AJ42" s="507">
        <f t="shared" si="143"/>
        <v>2.74356</v>
      </c>
      <c r="AK42" s="572" t="s">
        <v>228</v>
      </c>
      <c r="AL42" s="560">
        <f t="shared" si="62"/>
        <v>10.7067375</v>
      </c>
      <c r="AM42" s="557"/>
      <c r="AO42" s="405">
        <f t="shared" si="8"/>
        <v>0.121112999999999</v>
      </c>
    </row>
    <row r="43" s="490" customFormat="1" customHeight="1" outlineLevel="2" spans="1:41">
      <c r="A43" s="532" t="s">
        <v>229</v>
      </c>
      <c r="B43" s="533" t="s">
        <v>230</v>
      </c>
      <c r="C43" s="507">
        <f t="shared" si="126"/>
        <v>0</v>
      </c>
      <c r="D43" s="507">
        <f t="shared" si="127"/>
        <v>0</v>
      </c>
      <c r="E43" s="507">
        <f t="shared" si="128"/>
        <v>0</v>
      </c>
      <c r="F43" s="507">
        <f t="shared" si="129"/>
        <v>0</v>
      </c>
      <c r="G43" s="534"/>
      <c r="H43" s="507">
        <f t="shared" si="130"/>
        <v>0</v>
      </c>
      <c r="I43" s="534"/>
      <c r="J43" s="507">
        <f t="shared" si="131"/>
        <v>0</v>
      </c>
      <c r="K43" s="534"/>
      <c r="L43" s="507">
        <f t="shared" ref="L43" si="151">K43*K$8</f>
        <v>0</v>
      </c>
      <c r="M43" s="534"/>
      <c r="N43" s="507">
        <f t="shared" si="116"/>
        <v>0</v>
      </c>
      <c r="O43" s="534"/>
      <c r="P43" s="507">
        <f t="shared" si="133"/>
        <v>0</v>
      </c>
      <c r="Q43" s="534"/>
      <c r="R43" s="507">
        <f t="shared" si="117"/>
        <v>0</v>
      </c>
      <c r="S43" s="534"/>
      <c r="T43" s="507">
        <f t="shared" si="134"/>
        <v>0</v>
      </c>
      <c r="U43" s="534"/>
      <c r="V43" s="507">
        <f t="shared" si="136"/>
        <v>0</v>
      </c>
      <c r="W43" s="534"/>
      <c r="X43" s="507">
        <f t="shared" si="137"/>
        <v>0</v>
      </c>
      <c r="Y43" s="534"/>
      <c r="Z43" s="507">
        <f t="shared" si="138"/>
        <v>0</v>
      </c>
      <c r="AA43" s="534"/>
      <c r="AB43" s="507">
        <f t="shared" si="139"/>
        <v>0</v>
      </c>
      <c r="AC43" s="507">
        <f t="shared" si="145"/>
        <v>0</v>
      </c>
      <c r="AD43" s="507">
        <f t="shared" si="122"/>
        <v>0</v>
      </c>
      <c r="AE43" s="528">
        <f t="shared" si="140"/>
        <v>0</v>
      </c>
      <c r="AF43" s="507">
        <f t="shared" ref="AF43" si="152">AE43*AE$8</f>
        <v>0</v>
      </c>
      <c r="AG43" s="534"/>
      <c r="AH43" s="507">
        <f t="shared" si="142"/>
        <v>0</v>
      </c>
      <c r="AI43" s="534"/>
      <c r="AJ43" s="507">
        <f t="shared" si="143"/>
        <v>0</v>
      </c>
      <c r="AK43" s="563"/>
      <c r="AL43" s="560">
        <f t="shared" si="62"/>
        <v>0</v>
      </c>
      <c r="AM43" s="562"/>
      <c r="AO43" s="405">
        <f t="shared" ref="AO43:AO77" si="153">H43+J43+P43+T43+V43+X43+Z43+AB43+AH43+AJ43-D43</f>
        <v>0</v>
      </c>
    </row>
    <row r="44" customHeight="1" outlineLevel="2" spans="1:41">
      <c r="A44" s="526" t="s">
        <v>231</v>
      </c>
      <c r="B44" s="531" t="s">
        <v>232</v>
      </c>
      <c r="C44" s="507">
        <f t="shared" si="126"/>
        <v>7.77913603950126</v>
      </c>
      <c r="D44" s="507">
        <f t="shared" si="127"/>
        <v>55.5261117011531</v>
      </c>
      <c r="E44" s="507">
        <f t="shared" si="128"/>
        <v>7.73886495071315</v>
      </c>
      <c r="F44" s="507">
        <f t="shared" si="129"/>
        <v>38.0309028168009</v>
      </c>
      <c r="G44" s="530">
        <f>$AM$44/$C$8</f>
        <v>7.86813924409747</v>
      </c>
      <c r="H44" s="507">
        <f t="shared" si="130"/>
        <v>24.8970271198697</v>
      </c>
      <c r="I44" s="530">
        <f>$AM$44/$C$8</f>
        <v>7.86813924409747</v>
      </c>
      <c r="J44" s="507">
        <f t="shared" si="131"/>
        <v>13.1338756969312</v>
      </c>
      <c r="K44" s="530">
        <f>$AM$44/$C$8</f>
        <v>7.86813924409747</v>
      </c>
      <c r="L44" s="507">
        <f t="shared" ref="L44" si="154">K44*K$8</f>
        <v>0</v>
      </c>
      <c r="M44" s="530">
        <f>$AM$44/$C$8</f>
        <v>7.86813924409747</v>
      </c>
      <c r="N44" s="507">
        <f t="shared" si="116"/>
        <v>0</v>
      </c>
      <c r="O44" s="530">
        <f>$AM$44/$C$8</f>
        <v>7.86813924409747</v>
      </c>
      <c r="P44" s="507">
        <f t="shared" si="133"/>
        <v>0</v>
      </c>
      <c r="Q44" s="530">
        <f>$AM$44/$C$8</f>
        <v>7.86813924409747</v>
      </c>
      <c r="R44" s="507">
        <f t="shared" si="117"/>
        <v>0</v>
      </c>
      <c r="S44" s="530">
        <f>$AM$44/$C$8</f>
        <v>7.86813924409747</v>
      </c>
      <c r="T44" s="507">
        <f t="shared" si="134"/>
        <v>0</v>
      </c>
      <c r="U44" s="530">
        <f>$AM$44/$C$8</f>
        <v>7.86813924409747</v>
      </c>
      <c r="V44" s="507">
        <f t="shared" si="136"/>
        <v>0.261725783815658</v>
      </c>
      <c r="W44" s="530">
        <f>$AM$44/$C$8</f>
        <v>7.86813924409747</v>
      </c>
      <c r="X44" s="507">
        <f t="shared" si="137"/>
        <v>0.156174695856091</v>
      </c>
      <c r="Y44" s="530">
        <f>$AM$44/$C$8</f>
        <v>7.86813924409747</v>
      </c>
      <c r="Z44" s="507">
        <f t="shared" si="138"/>
        <v>0.0591684071156129</v>
      </c>
      <c r="AA44" s="530">
        <f>$AM$44/$C$8</f>
        <v>7.86813924409747</v>
      </c>
      <c r="AB44" s="507">
        <f t="shared" si="139"/>
        <v>0.158220412059556</v>
      </c>
      <c r="AC44" s="507">
        <f t="shared" si="145"/>
        <v>7.86813924409747</v>
      </c>
      <c r="AD44" s="507">
        <f t="shared" si="122"/>
        <v>17.4952088843522</v>
      </c>
      <c r="AE44" s="528">
        <f t="shared" si="140"/>
        <v>7.86813924409747</v>
      </c>
      <c r="AF44" s="507">
        <f t="shared" ref="AF44" si="155">AE44*AE$8</f>
        <v>0</v>
      </c>
      <c r="AG44" s="530">
        <f>$AM$44/$C$8</f>
        <v>7.86813924409747</v>
      </c>
      <c r="AH44" s="507">
        <f t="shared" si="142"/>
        <v>3.10406748132814</v>
      </c>
      <c r="AI44" s="530">
        <f>$AM$44/$C$8</f>
        <v>7.86813924409747</v>
      </c>
      <c r="AJ44" s="507">
        <f t="shared" si="143"/>
        <v>14.391141403024</v>
      </c>
      <c r="AK44" s="563" t="s">
        <v>233</v>
      </c>
      <c r="AL44" s="560">
        <f t="shared" si="62"/>
        <v>56.161401</v>
      </c>
      <c r="AM44" s="557">
        <f>经济指标!E6*15/10000</f>
        <v>56.161401</v>
      </c>
      <c r="AO44" s="405">
        <f t="shared" si="153"/>
        <v>0.635289298846914</v>
      </c>
    </row>
    <row r="45" customHeight="1" outlineLevel="2" spans="1:42">
      <c r="A45" s="532" t="s">
        <v>234</v>
      </c>
      <c r="B45" s="531" t="s">
        <v>235</v>
      </c>
      <c r="C45" s="507">
        <f t="shared" si="126"/>
        <v>5.43778482941232</v>
      </c>
      <c r="D45" s="507">
        <f t="shared" si="127"/>
        <v>38.8139565</v>
      </c>
      <c r="E45" s="507">
        <f t="shared" si="128"/>
        <v>5.40963446482634</v>
      </c>
      <c r="F45" s="507">
        <f t="shared" si="129"/>
        <v>26.584426</v>
      </c>
      <c r="G45" s="528">
        <v>5.5</v>
      </c>
      <c r="H45" s="507">
        <f t="shared" si="130"/>
        <v>17.403562</v>
      </c>
      <c r="I45" s="528">
        <v>5.5</v>
      </c>
      <c r="J45" s="507">
        <f t="shared" si="131"/>
        <v>9.180864</v>
      </c>
      <c r="K45" s="528">
        <v>10</v>
      </c>
      <c r="L45" s="507">
        <f t="shared" ref="L45" si="156">K45*K$8</f>
        <v>0</v>
      </c>
      <c r="M45" s="528">
        <v>10</v>
      </c>
      <c r="N45" s="507">
        <f t="shared" si="116"/>
        <v>0</v>
      </c>
      <c r="O45" s="528">
        <v>10</v>
      </c>
      <c r="P45" s="507">
        <f t="shared" si="133"/>
        <v>0</v>
      </c>
      <c r="Q45" s="528">
        <v>5</v>
      </c>
      <c r="R45" s="507">
        <f t="shared" si="117"/>
        <v>0</v>
      </c>
      <c r="S45" s="528">
        <v>8</v>
      </c>
      <c r="T45" s="507">
        <f t="shared" si="134"/>
        <v>0</v>
      </c>
      <c r="U45" s="528">
        <v>5.5</v>
      </c>
      <c r="V45" s="507">
        <f t="shared" si="136"/>
        <v>0.182952</v>
      </c>
      <c r="W45" s="528">
        <v>8</v>
      </c>
      <c r="X45" s="507">
        <f t="shared" si="137"/>
        <v>0.158792</v>
      </c>
      <c r="Y45" s="528">
        <v>5.5</v>
      </c>
      <c r="Z45" s="507">
        <f t="shared" si="138"/>
        <v>0.04136</v>
      </c>
      <c r="AA45" s="528">
        <v>5.5</v>
      </c>
      <c r="AB45" s="507">
        <f t="shared" si="139"/>
        <v>0.1105995</v>
      </c>
      <c r="AC45" s="507">
        <f t="shared" si="145"/>
        <v>5.5</v>
      </c>
      <c r="AD45" s="507">
        <f t="shared" si="122"/>
        <v>12.2295305</v>
      </c>
      <c r="AE45" s="528">
        <v>5.5</v>
      </c>
      <c r="AF45" s="507">
        <f t="shared" ref="AF45" si="157">AE45*AE$8</f>
        <v>0</v>
      </c>
      <c r="AG45" s="528">
        <v>5.5</v>
      </c>
      <c r="AH45" s="507">
        <f t="shared" si="142"/>
        <v>2.1698105</v>
      </c>
      <c r="AI45" s="528">
        <v>5.5</v>
      </c>
      <c r="AJ45" s="507">
        <f t="shared" si="143"/>
        <v>10.05972</v>
      </c>
      <c r="AK45" s="563" t="s">
        <v>236</v>
      </c>
      <c r="AL45" s="560">
        <f t="shared" si="62"/>
        <v>39.30766</v>
      </c>
      <c r="AM45" s="557">
        <f>C8*8</f>
        <v>57.1026</v>
      </c>
      <c r="AN45" s="405">
        <f>AM45/C8</f>
        <v>8</v>
      </c>
      <c r="AO45" s="405">
        <f t="shared" si="153"/>
        <v>0.493703499999995</v>
      </c>
      <c r="AP45" s="405">
        <f>经济指标!E6*8/10000</f>
        <v>29.9527472</v>
      </c>
    </row>
    <row r="46" customHeight="1" outlineLevel="2" spans="1:41">
      <c r="A46" s="526" t="s">
        <v>237</v>
      </c>
      <c r="B46" s="535" t="s">
        <v>238</v>
      </c>
      <c r="C46" s="507">
        <f t="shared" si="126"/>
        <v>1.18642578096269</v>
      </c>
      <c r="D46" s="507">
        <f t="shared" si="127"/>
        <v>8.4684996</v>
      </c>
      <c r="E46" s="507">
        <f t="shared" si="128"/>
        <v>1.18028388323484</v>
      </c>
      <c r="F46" s="507">
        <f t="shared" si="129"/>
        <v>5.8002384</v>
      </c>
      <c r="G46" s="530">
        <v>1.2</v>
      </c>
      <c r="H46" s="507">
        <f t="shared" si="130"/>
        <v>3.7971408</v>
      </c>
      <c r="I46" s="530">
        <v>1.2</v>
      </c>
      <c r="J46" s="507">
        <f t="shared" si="131"/>
        <v>2.0030976</v>
      </c>
      <c r="K46" s="530">
        <v>2.5</v>
      </c>
      <c r="L46" s="507">
        <f t="shared" ref="L46" si="158">K46*K$8</f>
        <v>0</v>
      </c>
      <c r="M46" s="530">
        <v>2.5</v>
      </c>
      <c r="N46" s="507">
        <f t="shared" si="116"/>
        <v>0</v>
      </c>
      <c r="O46" s="530">
        <v>2.5</v>
      </c>
      <c r="P46" s="507">
        <f t="shared" si="133"/>
        <v>0</v>
      </c>
      <c r="Q46" s="530">
        <v>2.5</v>
      </c>
      <c r="R46" s="507">
        <f t="shared" si="117"/>
        <v>0</v>
      </c>
      <c r="S46" s="530">
        <v>2.5</v>
      </c>
      <c r="T46" s="507">
        <f t="shared" si="134"/>
        <v>0</v>
      </c>
      <c r="U46" s="530">
        <v>1.2</v>
      </c>
      <c r="V46" s="507">
        <f t="shared" si="136"/>
        <v>0.0399168</v>
      </c>
      <c r="W46" s="530">
        <v>1.2</v>
      </c>
      <c r="X46" s="507">
        <f t="shared" si="137"/>
        <v>0.0238188</v>
      </c>
      <c r="Y46" s="530">
        <v>1.2</v>
      </c>
      <c r="Z46" s="507">
        <f t="shared" si="138"/>
        <v>0.009024</v>
      </c>
      <c r="AA46" s="530">
        <v>1.2</v>
      </c>
      <c r="AB46" s="507">
        <f t="shared" si="139"/>
        <v>0.0241308</v>
      </c>
      <c r="AC46" s="507">
        <f t="shared" si="145"/>
        <v>1.2</v>
      </c>
      <c r="AD46" s="507">
        <f t="shared" si="122"/>
        <v>2.6682612</v>
      </c>
      <c r="AE46" s="528">
        <f t="shared" si="140"/>
        <v>1.2</v>
      </c>
      <c r="AF46" s="507">
        <f t="shared" ref="AF46" si="159">AE46*AE$8</f>
        <v>0</v>
      </c>
      <c r="AG46" s="530">
        <v>1.2</v>
      </c>
      <c r="AH46" s="507">
        <f t="shared" si="142"/>
        <v>0.4734132</v>
      </c>
      <c r="AI46" s="530">
        <v>1.2</v>
      </c>
      <c r="AJ46" s="507">
        <f t="shared" si="143"/>
        <v>2.194848</v>
      </c>
      <c r="AK46" s="563" t="s">
        <v>239</v>
      </c>
      <c r="AL46" s="560">
        <f t="shared" si="62"/>
        <v>8.56539</v>
      </c>
      <c r="AM46" s="557"/>
      <c r="AO46" s="405">
        <f t="shared" si="153"/>
        <v>0.0968904000000013</v>
      </c>
    </row>
    <row r="47" customHeight="1" outlineLevel="2" spans="1:41">
      <c r="A47" s="532" t="s">
        <v>240</v>
      </c>
      <c r="B47" s="501" t="s">
        <v>241</v>
      </c>
      <c r="C47" s="507">
        <f t="shared" si="126"/>
        <v>6.92081705561568</v>
      </c>
      <c r="D47" s="507">
        <f t="shared" si="127"/>
        <v>49.399581</v>
      </c>
      <c r="E47" s="507">
        <f t="shared" si="128"/>
        <v>6.88498931886989</v>
      </c>
      <c r="F47" s="507">
        <f t="shared" si="129"/>
        <v>33.834724</v>
      </c>
      <c r="G47" s="528">
        <v>7</v>
      </c>
      <c r="H47" s="507">
        <f t="shared" si="130"/>
        <v>22.149988</v>
      </c>
      <c r="I47" s="528">
        <f>G47</f>
        <v>7</v>
      </c>
      <c r="J47" s="507">
        <f t="shared" si="131"/>
        <v>11.684736</v>
      </c>
      <c r="K47" s="528">
        <v>4</v>
      </c>
      <c r="L47" s="507">
        <f t="shared" ref="L47" si="160">K47*K$8</f>
        <v>0</v>
      </c>
      <c r="M47" s="528">
        <f>G47</f>
        <v>7</v>
      </c>
      <c r="N47" s="507">
        <f t="shared" si="116"/>
        <v>0</v>
      </c>
      <c r="O47" s="528">
        <v>4</v>
      </c>
      <c r="P47" s="507">
        <f t="shared" si="133"/>
        <v>0</v>
      </c>
      <c r="Q47" s="528">
        <v>10</v>
      </c>
      <c r="R47" s="507">
        <f t="shared" si="117"/>
        <v>0</v>
      </c>
      <c r="S47" s="528">
        <f>$G$47</f>
        <v>7</v>
      </c>
      <c r="T47" s="507">
        <f t="shared" si="134"/>
        <v>0</v>
      </c>
      <c r="U47" s="528">
        <v>7</v>
      </c>
      <c r="V47" s="507">
        <f t="shared" si="136"/>
        <v>0.232848</v>
      </c>
      <c r="W47" s="528">
        <v>7</v>
      </c>
      <c r="X47" s="507">
        <f t="shared" si="137"/>
        <v>0.138943</v>
      </c>
      <c r="Y47" s="528">
        <v>7</v>
      </c>
      <c r="Z47" s="507">
        <f t="shared" si="138"/>
        <v>0.05264</v>
      </c>
      <c r="AA47" s="528">
        <v>7</v>
      </c>
      <c r="AB47" s="507">
        <f t="shared" si="139"/>
        <v>0.140763</v>
      </c>
      <c r="AC47" s="507">
        <v>7</v>
      </c>
      <c r="AD47" s="507">
        <f t="shared" si="122"/>
        <v>15.564857</v>
      </c>
      <c r="AE47" s="528">
        <f t="shared" si="140"/>
        <v>7</v>
      </c>
      <c r="AF47" s="507">
        <f t="shared" ref="AF47" si="161">AE47*AE$8</f>
        <v>0</v>
      </c>
      <c r="AG47" s="528">
        <v>7</v>
      </c>
      <c r="AH47" s="507">
        <f t="shared" si="142"/>
        <v>2.761577</v>
      </c>
      <c r="AI47" s="528">
        <v>7</v>
      </c>
      <c r="AJ47" s="507">
        <f t="shared" si="143"/>
        <v>12.80328</v>
      </c>
      <c r="AK47" s="572" t="s">
        <v>242</v>
      </c>
      <c r="AL47" s="560">
        <f t="shared" si="62"/>
        <v>49.964775</v>
      </c>
      <c r="AM47" s="557"/>
      <c r="AO47" s="405">
        <f t="shared" si="153"/>
        <v>0.565193999999998</v>
      </c>
    </row>
    <row r="48" customHeight="1" outlineLevel="2" spans="1:41">
      <c r="A48" s="526" t="s">
        <v>243</v>
      </c>
      <c r="B48" s="501" t="s">
        <v>244</v>
      </c>
      <c r="C48" s="507">
        <f t="shared" si="126"/>
        <v>7.90950520641792</v>
      </c>
      <c r="D48" s="507">
        <f t="shared" si="127"/>
        <v>56.456664</v>
      </c>
      <c r="E48" s="507">
        <f t="shared" si="128"/>
        <v>7.86855922156559</v>
      </c>
      <c r="F48" s="507">
        <f t="shared" si="129"/>
        <v>38.668256</v>
      </c>
      <c r="G48" s="530">
        <v>8</v>
      </c>
      <c r="H48" s="507">
        <f t="shared" si="130"/>
        <v>25.314272</v>
      </c>
      <c r="I48" s="530">
        <v>8</v>
      </c>
      <c r="J48" s="507">
        <f t="shared" si="131"/>
        <v>13.353984</v>
      </c>
      <c r="K48" s="530">
        <v>10</v>
      </c>
      <c r="L48" s="507">
        <f t="shared" ref="L48" si="162">K48*K$8</f>
        <v>0</v>
      </c>
      <c r="M48" s="530">
        <f>G48</f>
        <v>8</v>
      </c>
      <c r="N48" s="507">
        <f t="shared" si="116"/>
        <v>0</v>
      </c>
      <c r="O48" s="530">
        <v>10</v>
      </c>
      <c r="P48" s="507">
        <f t="shared" si="133"/>
        <v>0</v>
      </c>
      <c r="Q48" s="530">
        <v>10</v>
      </c>
      <c r="R48" s="507">
        <f t="shared" si="117"/>
        <v>0</v>
      </c>
      <c r="S48" s="530">
        <v>10</v>
      </c>
      <c r="T48" s="507">
        <f t="shared" si="134"/>
        <v>0</v>
      </c>
      <c r="U48" s="530">
        <v>8</v>
      </c>
      <c r="V48" s="507">
        <f t="shared" si="136"/>
        <v>0.266112</v>
      </c>
      <c r="W48" s="530">
        <f>G48</f>
        <v>8</v>
      </c>
      <c r="X48" s="507">
        <f t="shared" si="137"/>
        <v>0.158792</v>
      </c>
      <c r="Y48" s="530">
        <v>8</v>
      </c>
      <c r="Z48" s="507">
        <f t="shared" si="138"/>
        <v>0.06016</v>
      </c>
      <c r="AA48" s="530">
        <v>8</v>
      </c>
      <c r="AB48" s="507">
        <f t="shared" si="139"/>
        <v>0.160872</v>
      </c>
      <c r="AC48" s="507">
        <f t="shared" si="145"/>
        <v>8</v>
      </c>
      <c r="AD48" s="507">
        <f t="shared" si="122"/>
        <v>17.788408</v>
      </c>
      <c r="AE48" s="528">
        <v>8</v>
      </c>
      <c r="AF48" s="507">
        <f t="shared" ref="AF48" si="163">AE48*AE$8</f>
        <v>0</v>
      </c>
      <c r="AG48" s="530">
        <v>8</v>
      </c>
      <c r="AH48" s="507">
        <f t="shared" si="142"/>
        <v>3.156088</v>
      </c>
      <c r="AI48" s="530">
        <v>8</v>
      </c>
      <c r="AJ48" s="507">
        <f t="shared" si="143"/>
        <v>14.63232</v>
      </c>
      <c r="AK48" s="572" t="s">
        <v>245</v>
      </c>
      <c r="AL48" s="560">
        <f t="shared" si="62"/>
        <v>57.1026</v>
      </c>
      <c r="AM48" s="557">
        <f>1752947.68/10000</f>
        <v>175.294768</v>
      </c>
      <c r="AN48" s="405">
        <f>AM48/C8</f>
        <v>24.558569031883</v>
      </c>
      <c r="AO48" s="405">
        <f t="shared" si="153"/>
        <v>0.645935999999992</v>
      </c>
    </row>
    <row r="49" customHeight="1" outlineLevel="2" spans="1:41">
      <c r="A49" s="532" t="s">
        <v>246</v>
      </c>
      <c r="B49" s="501" t="s">
        <v>247</v>
      </c>
      <c r="C49" s="507">
        <f t="shared" si="126"/>
        <v>1.48303222620336</v>
      </c>
      <c r="D49" s="507">
        <f t="shared" si="127"/>
        <v>10.5856245</v>
      </c>
      <c r="E49" s="507">
        <f t="shared" si="128"/>
        <v>1.47535485404355</v>
      </c>
      <c r="F49" s="507">
        <f t="shared" si="129"/>
        <v>7.250298</v>
      </c>
      <c r="G49" s="530">
        <v>1.5</v>
      </c>
      <c r="H49" s="507">
        <f t="shared" si="130"/>
        <v>4.746426</v>
      </c>
      <c r="I49" s="530">
        <f>G49</f>
        <v>1.5</v>
      </c>
      <c r="J49" s="507">
        <f t="shared" si="131"/>
        <v>2.503872</v>
      </c>
      <c r="K49" s="530">
        <v>1.5</v>
      </c>
      <c r="L49" s="507">
        <f t="shared" ref="L49" si="164">K49*K$8</f>
        <v>0</v>
      </c>
      <c r="M49" s="530">
        <v>1.5</v>
      </c>
      <c r="N49" s="507">
        <f t="shared" si="116"/>
        <v>0</v>
      </c>
      <c r="O49" s="530">
        <f>G49</f>
        <v>1.5</v>
      </c>
      <c r="P49" s="507">
        <f t="shared" si="133"/>
        <v>0</v>
      </c>
      <c r="Q49" s="530"/>
      <c r="R49" s="507">
        <f t="shared" si="117"/>
        <v>0</v>
      </c>
      <c r="S49" s="530">
        <f>G49</f>
        <v>1.5</v>
      </c>
      <c r="T49" s="507">
        <f t="shared" si="134"/>
        <v>0</v>
      </c>
      <c r="U49" s="530">
        <f>G49</f>
        <v>1.5</v>
      </c>
      <c r="V49" s="507">
        <f t="shared" si="136"/>
        <v>0.049896</v>
      </c>
      <c r="W49" s="530">
        <f>G49</f>
        <v>1.5</v>
      </c>
      <c r="X49" s="507">
        <f t="shared" si="137"/>
        <v>0.0297735</v>
      </c>
      <c r="Y49" s="530">
        <f>G49</f>
        <v>1.5</v>
      </c>
      <c r="Z49" s="507">
        <f t="shared" si="138"/>
        <v>0.01128</v>
      </c>
      <c r="AA49" s="530">
        <f>G49</f>
        <v>1.5</v>
      </c>
      <c r="AB49" s="507">
        <f t="shared" si="139"/>
        <v>0.0301635</v>
      </c>
      <c r="AC49" s="507">
        <f t="shared" si="145"/>
        <v>1.5</v>
      </c>
      <c r="AD49" s="507">
        <f t="shared" si="122"/>
        <v>3.3353265</v>
      </c>
      <c r="AE49" s="528">
        <f t="shared" si="140"/>
        <v>1.5</v>
      </c>
      <c r="AF49" s="507">
        <f t="shared" ref="AF49" si="165">AE49*AE$8</f>
        <v>0</v>
      </c>
      <c r="AG49" s="530">
        <f>G49</f>
        <v>1.5</v>
      </c>
      <c r="AH49" s="507">
        <f t="shared" si="142"/>
        <v>0.5917665</v>
      </c>
      <c r="AI49" s="530">
        <f>G49</f>
        <v>1.5</v>
      </c>
      <c r="AJ49" s="507">
        <f t="shared" si="143"/>
        <v>2.74356</v>
      </c>
      <c r="AK49" s="563" t="s">
        <v>248</v>
      </c>
      <c r="AL49" s="560">
        <f t="shared" si="62"/>
        <v>10.7067375</v>
      </c>
      <c r="AM49" s="557"/>
      <c r="AO49" s="405">
        <f t="shared" si="153"/>
        <v>0.121113000000001</v>
      </c>
    </row>
    <row r="50" customHeight="1" outlineLevel="2" spans="1:41">
      <c r="A50" s="526" t="s">
        <v>249</v>
      </c>
      <c r="B50" s="501" t="s">
        <v>250</v>
      </c>
      <c r="C50" s="507">
        <f t="shared" si="126"/>
        <v>1.97737630160448</v>
      </c>
      <c r="D50" s="507">
        <f t="shared" si="127"/>
        <v>14.114166</v>
      </c>
      <c r="E50" s="507">
        <f t="shared" si="128"/>
        <v>1.9671398053914</v>
      </c>
      <c r="F50" s="507">
        <f t="shared" si="129"/>
        <v>9.667064</v>
      </c>
      <c r="G50" s="528">
        <v>2</v>
      </c>
      <c r="H50" s="507">
        <f t="shared" si="130"/>
        <v>6.328568</v>
      </c>
      <c r="I50" s="528">
        <v>2</v>
      </c>
      <c r="J50" s="507">
        <f t="shared" si="131"/>
        <v>3.338496</v>
      </c>
      <c r="K50" s="528">
        <v>5</v>
      </c>
      <c r="L50" s="507">
        <f t="shared" ref="L50" si="166">K50*K$8</f>
        <v>0</v>
      </c>
      <c r="M50" s="528">
        <v>5</v>
      </c>
      <c r="N50" s="507">
        <f t="shared" si="116"/>
        <v>0</v>
      </c>
      <c r="O50" s="528">
        <v>5</v>
      </c>
      <c r="P50" s="507">
        <f t="shared" si="133"/>
        <v>0</v>
      </c>
      <c r="Q50" s="528">
        <v>5</v>
      </c>
      <c r="R50" s="507">
        <f t="shared" si="117"/>
        <v>0</v>
      </c>
      <c r="S50" s="528">
        <v>2</v>
      </c>
      <c r="T50" s="507">
        <f t="shared" si="134"/>
        <v>0</v>
      </c>
      <c r="U50" s="528">
        <v>2</v>
      </c>
      <c r="V50" s="507">
        <f t="shared" si="136"/>
        <v>0.066528</v>
      </c>
      <c r="W50" s="528">
        <v>2</v>
      </c>
      <c r="X50" s="507">
        <f t="shared" si="137"/>
        <v>0.039698</v>
      </c>
      <c r="Y50" s="528">
        <v>2</v>
      </c>
      <c r="Z50" s="507">
        <f t="shared" si="138"/>
        <v>0.01504</v>
      </c>
      <c r="AA50" s="528">
        <v>2</v>
      </c>
      <c r="AB50" s="507">
        <f t="shared" si="139"/>
        <v>0.040218</v>
      </c>
      <c r="AC50" s="507">
        <v>0</v>
      </c>
      <c r="AD50" s="507">
        <f t="shared" si="122"/>
        <v>4.447102</v>
      </c>
      <c r="AE50" s="528">
        <f t="shared" si="140"/>
        <v>2</v>
      </c>
      <c r="AF50" s="507">
        <f t="shared" ref="AF50" si="167">AE50*AE$8</f>
        <v>0</v>
      </c>
      <c r="AG50" s="528">
        <v>2</v>
      </c>
      <c r="AH50" s="507">
        <f t="shared" si="142"/>
        <v>0.789022</v>
      </c>
      <c r="AI50" s="528">
        <v>2</v>
      </c>
      <c r="AJ50" s="507">
        <f t="shared" si="143"/>
        <v>3.65808</v>
      </c>
      <c r="AK50" s="574" t="s">
        <v>251</v>
      </c>
      <c r="AL50" s="560">
        <f t="shared" si="62"/>
        <v>14.27565</v>
      </c>
      <c r="AM50" s="557"/>
      <c r="AO50" s="405">
        <f t="shared" si="153"/>
        <v>0.161483999999998</v>
      </c>
    </row>
    <row r="51" customHeight="1" outlineLevel="1" spans="1:41">
      <c r="A51" s="505">
        <v>2.5</v>
      </c>
      <c r="B51" s="506" t="s">
        <v>252</v>
      </c>
      <c r="C51" s="513">
        <f t="shared" ref="C51:AJ51" si="168">SUM(C52:C68)</f>
        <v>38.3861906761311</v>
      </c>
      <c r="D51" s="513">
        <f t="shared" si="168"/>
        <v>273.993911462856</v>
      </c>
      <c r="E51" s="513">
        <f t="shared" si="168"/>
        <v>38.3157036045007</v>
      </c>
      <c r="F51" s="513">
        <f t="shared" si="168"/>
        <v>188.293866015304</v>
      </c>
      <c r="G51" s="513">
        <f t="shared" si="168"/>
        <v>39.0071664034908</v>
      </c>
      <c r="H51" s="513">
        <f t="shared" si="168"/>
        <v>123.429752535903</v>
      </c>
      <c r="I51" s="513">
        <f t="shared" si="168"/>
        <v>38.8582843767976</v>
      </c>
      <c r="J51" s="513">
        <f t="shared" si="168"/>
        <v>64.8641134794006</v>
      </c>
      <c r="K51" s="513">
        <f t="shared" si="168"/>
        <v>40.2019742778788</v>
      </c>
      <c r="L51" s="513">
        <f t="shared" si="168"/>
        <v>0</v>
      </c>
      <c r="M51" s="513">
        <f t="shared" si="168"/>
        <v>39.5419742778788</v>
      </c>
      <c r="N51" s="513">
        <f t="shared" si="168"/>
        <v>0</v>
      </c>
      <c r="O51" s="513">
        <f t="shared" si="168"/>
        <v>40.7519742778788</v>
      </c>
      <c r="P51" s="513">
        <f t="shared" si="168"/>
        <v>0</v>
      </c>
      <c r="Q51" s="513">
        <f t="shared" si="168"/>
        <v>28.2419742778788</v>
      </c>
      <c r="R51" s="513">
        <f t="shared" si="168"/>
        <v>0</v>
      </c>
      <c r="S51" s="513">
        <f t="shared" si="168"/>
        <v>40.2019742778788</v>
      </c>
      <c r="T51" s="513">
        <f t="shared" si="168"/>
        <v>0</v>
      </c>
      <c r="U51" s="513">
        <f t="shared" si="168"/>
        <v>38.5419742778788</v>
      </c>
      <c r="V51" s="513">
        <f t="shared" si="168"/>
        <v>1.28206023237936</v>
      </c>
      <c r="W51" s="513">
        <f t="shared" si="168"/>
        <v>39.6019742778788</v>
      </c>
      <c r="X51" s="513">
        <f t="shared" si="168"/>
        <v>0.786059587441616</v>
      </c>
      <c r="Y51" s="513">
        <f t="shared" si="168"/>
        <v>38.5419742778788</v>
      </c>
      <c r="Z51" s="513">
        <f t="shared" si="168"/>
        <v>0.289835646569648</v>
      </c>
      <c r="AA51" s="513">
        <f t="shared" si="168"/>
        <v>38.5419742778788</v>
      </c>
      <c r="AB51" s="513">
        <f t="shared" si="168"/>
        <v>0.775040560753864</v>
      </c>
      <c r="AC51" s="513">
        <f t="shared" si="168"/>
        <v>38.5419742778788</v>
      </c>
      <c r="AD51" s="513">
        <f t="shared" si="168"/>
        <v>85.7000454475516</v>
      </c>
      <c r="AE51" s="513">
        <f t="shared" si="168"/>
        <v>38.5419742778788</v>
      </c>
      <c r="AF51" s="513">
        <f t="shared" si="168"/>
        <v>0</v>
      </c>
      <c r="AG51" s="513">
        <f t="shared" si="168"/>
        <v>38.5419742778788</v>
      </c>
      <c r="AH51" s="513">
        <f t="shared" si="168"/>
        <v>15.2052328143402</v>
      </c>
      <c r="AI51" s="513">
        <f t="shared" si="168"/>
        <v>38.5419742778788</v>
      </c>
      <c r="AJ51" s="513">
        <f t="shared" si="168"/>
        <v>70.4948126332114</v>
      </c>
      <c r="AK51" s="559"/>
      <c r="AL51" s="560">
        <f t="shared" si="62"/>
        <v>277.12690749</v>
      </c>
      <c r="AM51" s="557"/>
      <c r="AO51" s="405">
        <f t="shared" si="153"/>
        <v>3.13299602714449</v>
      </c>
    </row>
    <row r="52" ht="33.75" customHeight="1" outlineLevel="2" spans="1:41">
      <c r="A52" s="514" t="s">
        <v>253</v>
      </c>
      <c r="B52" s="501" t="s">
        <v>254</v>
      </c>
      <c r="C52" s="507">
        <f>D52/$C$8</f>
        <v>14.8303222620336</v>
      </c>
      <c r="D52" s="507">
        <f>F52+AD52</f>
        <v>105.856245</v>
      </c>
      <c r="E52" s="507">
        <f>F52/$E$8</f>
        <v>14.7535485404355</v>
      </c>
      <c r="F52" s="507">
        <f>H52+J52+L52+N52+P52+R52+T52</f>
        <v>72.50298</v>
      </c>
      <c r="G52" s="528">
        <v>15</v>
      </c>
      <c r="H52" s="507">
        <f>G52*G$8</f>
        <v>47.46426</v>
      </c>
      <c r="I52" s="528">
        <f>G52</f>
        <v>15</v>
      </c>
      <c r="J52" s="507">
        <f t="shared" ref="J52" si="169">I52*I$8</f>
        <v>25.03872</v>
      </c>
      <c r="K52" s="528">
        <v>15</v>
      </c>
      <c r="L52" s="507">
        <f t="shared" ref="L52" si="170">K52*K$8</f>
        <v>0</v>
      </c>
      <c r="M52" s="528">
        <f>G52</f>
        <v>15</v>
      </c>
      <c r="N52" s="507">
        <f t="shared" ref="N52:N71" si="171">M52*M$8</f>
        <v>0</v>
      </c>
      <c r="O52" s="528">
        <f>$G$52</f>
        <v>15</v>
      </c>
      <c r="P52" s="507">
        <f>O52*O$8</f>
        <v>0</v>
      </c>
      <c r="Q52" s="528">
        <v>10</v>
      </c>
      <c r="R52" s="507">
        <f t="shared" ref="R52:R71" si="172">Q52*Q$8</f>
        <v>0</v>
      </c>
      <c r="S52" s="528">
        <f>$G$52</f>
        <v>15</v>
      </c>
      <c r="T52" s="507">
        <f>S52*S$8</f>
        <v>0</v>
      </c>
      <c r="U52" s="528">
        <f>$G$52</f>
        <v>15</v>
      </c>
      <c r="V52" s="507">
        <f t="shared" ref="V52" si="173">U52*U$8</f>
        <v>0.49896</v>
      </c>
      <c r="W52" s="528">
        <f>$G$52</f>
        <v>15</v>
      </c>
      <c r="X52" s="507">
        <f>W52*W$8</f>
        <v>0.297735</v>
      </c>
      <c r="Y52" s="528">
        <f>$G$52</f>
        <v>15</v>
      </c>
      <c r="Z52" s="507">
        <f t="shared" ref="Z52" si="174">Y52*Y$8</f>
        <v>0.1128</v>
      </c>
      <c r="AA52" s="528">
        <f>$G$52</f>
        <v>15</v>
      </c>
      <c r="AB52" s="507">
        <f t="shared" ref="AB52" si="175">AA52*AA$8</f>
        <v>0.301635</v>
      </c>
      <c r="AC52" s="507">
        <f t="shared" ref="AC52:AC71" si="176">AD52/AC$8</f>
        <v>15</v>
      </c>
      <c r="AD52" s="507">
        <f t="shared" ref="AD52:AD71" si="177">AF52*0+AH52+AJ52</f>
        <v>33.353265</v>
      </c>
      <c r="AE52" s="528">
        <f>AG52</f>
        <v>15</v>
      </c>
      <c r="AF52" s="507">
        <f t="shared" ref="AF52" si="178">AE52*AE$8</f>
        <v>0</v>
      </c>
      <c r="AG52" s="528">
        <f>$G$52</f>
        <v>15</v>
      </c>
      <c r="AH52" s="507">
        <f t="shared" ref="AH52" si="179">AG52*AG$8</f>
        <v>5.917665</v>
      </c>
      <c r="AI52" s="528">
        <f>$G$52</f>
        <v>15</v>
      </c>
      <c r="AJ52" s="507">
        <f t="shared" ref="AJ52" si="180">AI52*AI$8</f>
        <v>27.4356</v>
      </c>
      <c r="AK52" s="563" t="s">
        <v>255</v>
      </c>
      <c r="AL52" s="560">
        <v>220</v>
      </c>
      <c r="AM52" s="557"/>
      <c r="AO52" s="405">
        <f t="shared" si="153"/>
        <v>1.21113000000001</v>
      </c>
    </row>
    <row r="53" customHeight="1" outlineLevel="2" spans="1:41">
      <c r="A53" s="514" t="s">
        <v>256</v>
      </c>
      <c r="B53" s="521" t="s">
        <v>257</v>
      </c>
      <c r="C53" s="507">
        <f t="shared" ref="C53:C71" si="181">D53/$C$8</f>
        <v>0</v>
      </c>
      <c r="D53" s="507">
        <f t="shared" ref="D53:D71" si="182">F53+AD53</f>
        <v>0</v>
      </c>
      <c r="E53" s="507">
        <f t="shared" ref="E53:E71" si="183">F53/$E$8</f>
        <v>0</v>
      </c>
      <c r="F53" s="507">
        <f t="shared" ref="F53:F71" si="184">H53+J53+L53+N53+P53+R53+T53</f>
        <v>0</v>
      </c>
      <c r="G53" s="528"/>
      <c r="H53" s="507">
        <f t="shared" ref="H53:H71" si="185">G53*G$8</f>
        <v>0</v>
      </c>
      <c r="I53" s="528"/>
      <c r="J53" s="507">
        <f t="shared" ref="J53:J71" si="186">I53*I$8</f>
        <v>0</v>
      </c>
      <c r="K53" s="528"/>
      <c r="L53" s="507">
        <f t="shared" ref="L53" si="187">K53*K$8</f>
        <v>0</v>
      </c>
      <c r="M53" s="528"/>
      <c r="N53" s="507">
        <f t="shared" si="171"/>
        <v>0</v>
      </c>
      <c r="O53" s="528"/>
      <c r="P53" s="507">
        <f t="shared" ref="P53:P71" si="188">O53*O$8</f>
        <v>0</v>
      </c>
      <c r="Q53" s="528"/>
      <c r="R53" s="507">
        <f t="shared" si="172"/>
        <v>0</v>
      </c>
      <c r="S53" s="528"/>
      <c r="T53" s="507">
        <f t="shared" ref="T53:T71" si="189">S53*S$8</f>
        <v>0</v>
      </c>
      <c r="U53" s="528"/>
      <c r="V53" s="507">
        <f t="shared" ref="V53:V71" si="190">U53*U$8</f>
        <v>0</v>
      </c>
      <c r="W53" s="528"/>
      <c r="X53" s="507">
        <f t="shared" ref="X53:X71" si="191">W53*W$8</f>
        <v>0</v>
      </c>
      <c r="Y53" s="528"/>
      <c r="Z53" s="507">
        <f t="shared" ref="Z53:Z71" si="192">Y53*Y$8</f>
        <v>0</v>
      </c>
      <c r="AA53" s="528"/>
      <c r="AB53" s="507">
        <f t="shared" ref="AB53:AB71" si="193">AA53*AA$8</f>
        <v>0</v>
      </c>
      <c r="AC53" s="507">
        <f t="shared" si="176"/>
        <v>0</v>
      </c>
      <c r="AD53" s="507">
        <f t="shared" si="177"/>
        <v>0</v>
      </c>
      <c r="AE53" s="528">
        <f t="shared" ref="AE53:AE71" si="194">AG53</f>
        <v>0</v>
      </c>
      <c r="AF53" s="507">
        <f t="shared" ref="AF53" si="195">AE53*AE$8</f>
        <v>0</v>
      </c>
      <c r="AG53" s="528"/>
      <c r="AH53" s="507">
        <f t="shared" ref="AH53:AH71" si="196">AG53*AG$8</f>
        <v>0</v>
      </c>
      <c r="AI53" s="528"/>
      <c r="AJ53" s="507">
        <f t="shared" ref="AJ53:AJ71" si="197">AI53*AI$8</f>
        <v>0</v>
      </c>
      <c r="AK53" s="563"/>
      <c r="AL53" s="560">
        <f t="shared" ref="AL53:AL77" si="198">AJ53+AH53+AF53+AB53+Z53+X53+V53+AJ236+T53+R53+P53+N53+L53+J53+H53</f>
        <v>0</v>
      </c>
      <c r="AM53" s="575"/>
      <c r="AO53" s="405">
        <f t="shared" si="153"/>
        <v>0</v>
      </c>
    </row>
    <row r="54" ht="23.25" customHeight="1" outlineLevel="2" spans="1:41">
      <c r="A54" s="514" t="s">
        <v>258</v>
      </c>
      <c r="B54" s="501" t="s">
        <v>259</v>
      </c>
      <c r="C54" s="507">
        <f t="shared" si="181"/>
        <v>0.296606445240672</v>
      </c>
      <c r="D54" s="507">
        <f t="shared" si="182"/>
        <v>2.1171249</v>
      </c>
      <c r="E54" s="507">
        <f t="shared" si="183"/>
        <v>0.29507097080871</v>
      </c>
      <c r="F54" s="507">
        <f t="shared" si="184"/>
        <v>1.4500596</v>
      </c>
      <c r="G54" s="528">
        <v>0.3</v>
      </c>
      <c r="H54" s="507">
        <f t="shared" si="185"/>
        <v>0.9492852</v>
      </c>
      <c r="I54" s="528">
        <v>0.3</v>
      </c>
      <c r="J54" s="507">
        <f t="shared" si="186"/>
        <v>0.5007744</v>
      </c>
      <c r="K54" s="528">
        <v>0.3</v>
      </c>
      <c r="L54" s="507">
        <f t="shared" ref="L54:L55" si="199">K54*K$8</f>
        <v>0</v>
      </c>
      <c r="M54" s="528">
        <v>0.3</v>
      </c>
      <c r="N54" s="507">
        <f t="shared" si="171"/>
        <v>0</v>
      </c>
      <c r="O54" s="528">
        <v>0.3</v>
      </c>
      <c r="P54" s="507">
        <f t="shared" si="188"/>
        <v>0</v>
      </c>
      <c r="Q54" s="528">
        <v>0.3</v>
      </c>
      <c r="R54" s="507">
        <f t="shared" si="172"/>
        <v>0</v>
      </c>
      <c r="S54" s="528">
        <v>0.3</v>
      </c>
      <c r="T54" s="507">
        <f t="shared" si="189"/>
        <v>0</v>
      </c>
      <c r="U54" s="528">
        <v>0.3</v>
      </c>
      <c r="V54" s="507">
        <f t="shared" si="190"/>
        <v>0.0099792</v>
      </c>
      <c r="W54" s="528">
        <v>0.3</v>
      </c>
      <c r="X54" s="507">
        <f t="shared" si="191"/>
        <v>0.0059547</v>
      </c>
      <c r="Y54" s="528">
        <v>0.3</v>
      </c>
      <c r="Z54" s="507">
        <f t="shared" si="192"/>
        <v>0.002256</v>
      </c>
      <c r="AA54" s="528">
        <v>0.3</v>
      </c>
      <c r="AB54" s="507">
        <f t="shared" si="193"/>
        <v>0.0060327</v>
      </c>
      <c r="AC54" s="507">
        <f t="shared" si="176"/>
        <v>0.3</v>
      </c>
      <c r="AD54" s="507">
        <f t="shared" si="177"/>
        <v>0.6670653</v>
      </c>
      <c r="AE54" s="528">
        <f t="shared" si="194"/>
        <v>0.3</v>
      </c>
      <c r="AF54" s="507">
        <f t="shared" ref="AF54" si="200">AE54*AE$8</f>
        <v>0</v>
      </c>
      <c r="AG54" s="528">
        <v>0.3</v>
      </c>
      <c r="AH54" s="507">
        <f t="shared" si="196"/>
        <v>0.1183533</v>
      </c>
      <c r="AI54" s="528">
        <v>0.3</v>
      </c>
      <c r="AJ54" s="507">
        <f t="shared" si="197"/>
        <v>0.548712</v>
      </c>
      <c r="AK54" s="563" t="s">
        <v>260</v>
      </c>
      <c r="AL54" s="560">
        <f t="shared" si="198"/>
        <v>2.1413475</v>
      </c>
      <c r="AM54" s="557"/>
      <c r="AO54" s="405">
        <f t="shared" si="153"/>
        <v>0.0242226000000003</v>
      </c>
    </row>
    <row r="55" ht="38.25" customHeight="1" outlineLevel="2" spans="1:41">
      <c r="A55" s="514" t="s">
        <v>261</v>
      </c>
      <c r="B55" s="501" t="s">
        <v>262</v>
      </c>
      <c r="C55" s="507">
        <f t="shared" si="181"/>
        <v>0.280197399067643</v>
      </c>
      <c r="D55" s="507">
        <f t="shared" si="182"/>
        <v>2</v>
      </c>
      <c r="E55" s="507">
        <f t="shared" si="183"/>
        <v>0.406977714307342</v>
      </c>
      <c r="F55" s="507">
        <f t="shared" si="184"/>
        <v>2</v>
      </c>
      <c r="G55" s="528">
        <f>经济指标!I9*80/10000/G8</f>
        <v>0.465192125611987</v>
      </c>
      <c r="H55" s="507">
        <f t="shared" si="185"/>
        <v>1.472</v>
      </c>
      <c r="I55" s="528">
        <f>经济指标!I10*80/10000/I8</f>
        <v>0.316310098918795</v>
      </c>
      <c r="J55" s="507">
        <f t="shared" si="186"/>
        <v>0.528</v>
      </c>
      <c r="K55" s="528">
        <f>经济指标!I11*80/10000*0</f>
        <v>0</v>
      </c>
      <c r="L55" s="507">
        <f t="shared" si="199"/>
        <v>0</v>
      </c>
      <c r="M55" s="528">
        <v>0</v>
      </c>
      <c r="N55" s="507">
        <f t="shared" si="171"/>
        <v>0</v>
      </c>
      <c r="O55" s="528">
        <v>0.55</v>
      </c>
      <c r="P55" s="507">
        <f t="shared" si="188"/>
        <v>0</v>
      </c>
      <c r="Q55" s="528"/>
      <c r="R55" s="507">
        <f t="shared" si="172"/>
        <v>0</v>
      </c>
      <c r="S55" s="528">
        <v>0</v>
      </c>
      <c r="T55" s="507">
        <f t="shared" si="189"/>
        <v>0</v>
      </c>
      <c r="U55" s="528"/>
      <c r="V55" s="507">
        <f t="shared" si="190"/>
        <v>0</v>
      </c>
      <c r="W55" s="528"/>
      <c r="X55" s="507">
        <f t="shared" si="191"/>
        <v>0</v>
      </c>
      <c r="Y55" s="528"/>
      <c r="Z55" s="507">
        <f t="shared" si="192"/>
        <v>0</v>
      </c>
      <c r="AA55" s="528"/>
      <c r="AB55" s="507">
        <f t="shared" si="193"/>
        <v>0</v>
      </c>
      <c r="AC55" s="507">
        <f t="shared" si="176"/>
        <v>0</v>
      </c>
      <c r="AD55" s="507">
        <f t="shared" si="177"/>
        <v>0</v>
      </c>
      <c r="AE55" s="528">
        <f t="shared" si="194"/>
        <v>0</v>
      </c>
      <c r="AF55" s="507">
        <f t="shared" ref="AF55" si="201">AE55*AE$8</f>
        <v>0</v>
      </c>
      <c r="AG55" s="528"/>
      <c r="AH55" s="507">
        <f t="shared" si="196"/>
        <v>0</v>
      </c>
      <c r="AI55" s="528"/>
      <c r="AJ55" s="507">
        <f t="shared" si="197"/>
        <v>0</v>
      </c>
      <c r="AK55" s="563" t="s">
        <v>263</v>
      </c>
      <c r="AL55" s="560">
        <f t="shared" si="198"/>
        <v>2</v>
      </c>
      <c r="AM55" s="557"/>
      <c r="AO55" s="405">
        <f t="shared" si="153"/>
        <v>0</v>
      </c>
    </row>
    <row r="56" ht="30.75" customHeight="1" outlineLevel="2" spans="1:43">
      <c r="A56" s="514" t="s">
        <v>264</v>
      </c>
      <c r="B56" s="536" t="s">
        <v>265</v>
      </c>
      <c r="C56" s="507">
        <f t="shared" si="181"/>
        <v>2.57058919208582</v>
      </c>
      <c r="D56" s="507">
        <f t="shared" si="182"/>
        <v>18.3484158</v>
      </c>
      <c r="E56" s="507">
        <f t="shared" si="183"/>
        <v>2.55728174700882</v>
      </c>
      <c r="F56" s="507">
        <f t="shared" si="184"/>
        <v>12.5671832</v>
      </c>
      <c r="G56" s="528">
        <v>2.6</v>
      </c>
      <c r="H56" s="507">
        <f t="shared" si="185"/>
        <v>8.2271384</v>
      </c>
      <c r="I56" s="528">
        <v>2.6</v>
      </c>
      <c r="J56" s="507">
        <f t="shared" si="186"/>
        <v>4.3400448</v>
      </c>
      <c r="K56" s="528">
        <v>3.66</v>
      </c>
      <c r="L56" s="507">
        <f t="shared" ref="L56" si="202">K56*K$8</f>
        <v>0</v>
      </c>
      <c r="M56" s="528">
        <v>3.6</v>
      </c>
      <c r="N56" s="507">
        <f t="shared" si="171"/>
        <v>0</v>
      </c>
      <c r="O56" s="528">
        <v>3.66</v>
      </c>
      <c r="P56" s="507">
        <f t="shared" si="188"/>
        <v>0</v>
      </c>
      <c r="Q56" s="528">
        <v>3.6</v>
      </c>
      <c r="R56" s="507">
        <f t="shared" si="172"/>
        <v>0</v>
      </c>
      <c r="S56" s="528">
        <v>3.66</v>
      </c>
      <c r="T56" s="507">
        <f t="shared" si="189"/>
        <v>0</v>
      </c>
      <c r="U56" s="528">
        <v>2.6</v>
      </c>
      <c r="V56" s="507">
        <f t="shared" si="190"/>
        <v>0.0864864</v>
      </c>
      <c r="W56" s="528">
        <v>3.66</v>
      </c>
      <c r="X56" s="507">
        <f t="shared" si="191"/>
        <v>0.07264734</v>
      </c>
      <c r="Y56" s="528">
        <v>2.6</v>
      </c>
      <c r="Z56" s="507">
        <f t="shared" si="192"/>
        <v>0.019552</v>
      </c>
      <c r="AA56" s="528">
        <v>2.6</v>
      </c>
      <c r="AB56" s="507">
        <f t="shared" si="193"/>
        <v>0.0522834</v>
      </c>
      <c r="AC56" s="507">
        <f t="shared" si="176"/>
        <v>2.6</v>
      </c>
      <c r="AD56" s="507">
        <f t="shared" si="177"/>
        <v>5.7812326</v>
      </c>
      <c r="AE56" s="528">
        <v>2.6</v>
      </c>
      <c r="AF56" s="507">
        <f t="shared" ref="AF56" si="203">AE56*AE$8</f>
        <v>0</v>
      </c>
      <c r="AG56" s="528">
        <v>2.6</v>
      </c>
      <c r="AH56" s="507">
        <f t="shared" si="196"/>
        <v>1.0257286</v>
      </c>
      <c r="AI56" s="528">
        <v>2.6</v>
      </c>
      <c r="AJ56" s="507">
        <f t="shared" si="197"/>
        <v>4.755504</v>
      </c>
      <c r="AK56" s="563" t="s">
        <v>266</v>
      </c>
      <c r="AL56" s="560">
        <f t="shared" si="198"/>
        <v>18.57938494</v>
      </c>
      <c r="AM56" s="557">
        <f>2.2*1.1*71195+580*10</f>
        <v>178091.9</v>
      </c>
      <c r="AO56" s="405">
        <f t="shared" si="153"/>
        <v>0.230969140000003</v>
      </c>
      <c r="AQ56" s="405">
        <f>1350*10000/9500</f>
        <v>1421.05263157895</v>
      </c>
    </row>
    <row r="57" customHeight="1" outlineLevel="2" spans="1:41">
      <c r="A57" s="514" t="s">
        <v>267</v>
      </c>
      <c r="B57" s="537" t="s">
        <v>268</v>
      </c>
      <c r="C57" s="507">
        <f t="shared" si="181"/>
        <v>0</v>
      </c>
      <c r="D57" s="507">
        <f t="shared" si="182"/>
        <v>0</v>
      </c>
      <c r="E57" s="507">
        <f t="shared" si="183"/>
        <v>0</v>
      </c>
      <c r="F57" s="507">
        <f t="shared" si="184"/>
        <v>0</v>
      </c>
      <c r="G57" s="528"/>
      <c r="H57" s="507">
        <f t="shared" si="185"/>
        <v>0</v>
      </c>
      <c r="I57" s="528"/>
      <c r="J57" s="507">
        <f t="shared" si="186"/>
        <v>0</v>
      </c>
      <c r="K57" s="528">
        <v>0</v>
      </c>
      <c r="L57" s="507">
        <f t="shared" ref="L57" si="204">K57*K$8</f>
        <v>0</v>
      </c>
      <c r="M57" s="528">
        <v>0</v>
      </c>
      <c r="N57" s="507">
        <f t="shared" si="171"/>
        <v>0</v>
      </c>
      <c r="O57" s="528"/>
      <c r="P57" s="507">
        <f t="shared" si="188"/>
        <v>0</v>
      </c>
      <c r="Q57" s="528">
        <v>1.5</v>
      </c>
      <c r="R57" s="507">
        <f t="shared" si="172"/>
        <v>0</v>
      </c>
      <c r="S57" s="528">
        <v>0</v>
      </c>
      <c r="T57" s="507">
        <f t="shared" si="189"/>
        <v>0</v>
      </c>
      <c r="U57" s="528"/>
      <c r="V57" s="507">
        <f t="shared" si="190"/>
        <v>0</v>
      </c>
      <c r="W57" s="528"/>
      <c r="X57" s="507">
        <f t="shared" si="191"/>
        <v>0</v>
      </c>
      <c r="Y57" s="528"/>
      <c r="Z57" s="507">
        <f t="shared" si="192"/>
        <v>0</v>
      </c>
      <c r="AA57" s="528"/>
      <c r="AB57" s="507">
        <f t="shared" si="193"/>
        <v>0</v>
      </c>
      <c r="AC57" s="507">
        <f t="shared" si="176"/>
        <v>0</v>
      </c>
      <c r="AD57" s="507">
        <f t="shared" si="177"/>
        <v>0</v>
      </c>
      <c r="AE57" s="528">
        <f t="shared" si="194"/>
        <v>0</v>
      </c>
      <c r="AF57" s="507">
        <f t="shared" ref="AF57" si="205">AE57*AE$8</f>
        <v>0</v>
      </c>
      <c r="AG57" s="528"/>
      <c r="AH57" s="507">
        <f t="shared" si="196"/>
        <v>0</v>
      </c>
      <c r="AI57" s="528"/>
      <c r="AJ57" s="507">
        <f t="shared" si="197"/>
        <v>0</v>
      </c>
      <c r="AK57" s="563" t="s">
        <v>269</v>
      </c>
      <c r="AL57" s="560">
        <f t="shared" si="198"/>
        <v>0</v>
      </c>
      <c r="AM57" s="557"/>
      <c r="AO57" s="405">
        <f t="shared" si="153"/>
        <v>0</v>
      </c>
    </row>
    <row r="58" customHeight="1" outlineLevel="2" spans="1:41">
      <c r="A58" s="514" t="s">
        <v>270</v>
      </c>
      <c r="B58" s="501" t="s">
        <v>271</v>
      </c>
      <c r="C58" s="507">
        <f t="shared" si="181"/>
        <v>0.197737630160448</v>
      </c>
      <c r="D58" s="507">
        <f t="shared" si="182"/>
        <v>1.4114166</v>
      </c>
      <c r="E58" s="507">
        <f t="shared" si="183"/>
        <v>0.19671398053914</v>
      </c>
      <c r="F58" s="507">
        <f t="shared" si="184"/>
        <v>0.9667064</v>
      </c>
      <c r="G58" s="528">
        <v>0.2</v>
      </c>
      <c r="H58" s="507">
        <f t="shared" si="185"/>
        <v>0.6328568</v>
      </c>
      <c r="I58" s="528">
        <v>0.2</v>
      </c>
      <c r="J58" s="507">
        <f t="shared" si="186"/>
        <v>0.3338496</v>
      </c>
      <c r="K58" s="528">
        <v>0.2</v>
      </c>
      <c r="L58" s="507">
        <f t="shared" ref="L58" si="206">K58*K$8</f>
        <v>0</v>
      </c>
      <c r="M58" s="528">
        <v>0.2</v>
      </c>
      <c r="N58" s="507">
        <f t="shared" si="171"/>
        <v>0</v>
      </c>
      <c r="O58" s="528">
        <v>0.2</v>
      </c>
      <c r="P58" s="507">
        <f t="shared" si="188"/>
        <v>0</v>
      </c>
      <c r="Q58" s="528">
        <v>0.2</v>
      </c>
      <c r="R58" s="507">
        <f t="shared" si="172"/>
        <v>0</v>
      </c>
      <c r="S58" s="528">
        <v>0.2</v>
      </c>
      <c r="T58" s="507">
        <f t="shared" si="189"/>
        <v>0</v>
      </c>
      <c r="U58" s="528">
        <v>0.2</v>
      </c>
      <c r="V58" s="507">
        <f t="shared" si="190"/>
        <v>0.0066528</v>
      </c>
      <c r="W58" s="528">
        <v>0.2</v>
      </c>
      <c r="X58" s="507">
        <f t="shared" si="191"/>
        <v>0.0039698</v>
      </c>
      <c r="Y58" s="528">
        <v>0.2</v>
      </c>
      <c r="Z58" s="507">
        <f t="shared" si="192"/>
        <v>0.001504</v>
      </c>
      <c r="AA58" s="528">
        <v>0.2</v>
      </c>
      <c r="AB58" s="507">
        <f t="shared" si="193"/>
        <v>0.0040218</v>
      </c>
      <c r="AC58" s="507">
        <f t="shared" si="176"/>
        <v>0.2</v>
      </c>
      <c r="AD58" s="507">
        <f t="shared" si="177"/>
        <v>0.4447102</v>
      </c>
      <c r="AE58" s="528">
        <f t="shared" si="194"/>
        <v>0.2</v>
      </c>
      <c r="AF58" s="507">
        <f t="shared" ref="AF58" si="207">AE58*AE$8</f>
        <v>0</v>
      </c>
      <c r="AG58" s="528">
        <v>0.2</v>
      </c>
      <c r="AH58" s="507">
        <f t="shared" si="196"/>
        <v>0.0789022</v>
      </c>
      <c r="AI58" s="528">
        <v>0.2</v>
      </c>
      <c r="AJ58" s="507">
        <f t="shared" si="197"/>
        <v>0.365808</v>
      </c>
      <c r="AK58" s="563" t="s">
        <v>272</v>
      </c>
      <c r="AL58" s="560">
        <f t="shared" si="198"/>
        <v>1.427565</v>
      </c>
      <c r="AM58" s="557">
        <f>36*400/10000/C8</f>
        <v>0.201742127328703</v>
      </c>
      <c r="AO58" s="405">
        <f t="shared" si="153"/>
        <v>0.0161484000000001</v>
      </c>
    </row>
    <row r="59" s="490" customFormat="1" ht="34.5" customHeight="1" outlineLevel="2" spans="1:41">
      <c r="A59" s="514" t="s">
        <v>273</v>
      </c>
      <c r="B59" s="501" t="s">
        <v>274</v>
      </c>
      <c r="C59" s="507">
        <f t="shared" si="181"/>
        <v>1.97737630160448</v>
      </c>
      <c r="D59" s="507">
        <f t="shared" si="182"/>
        <v>14.114166</v>
      </c>
      <c r="E59" s="507">
        <f t="shared" si="183"/>
        <v>1.9671398053914</v>
      </c>
      <c r="F59" s="507">
        <f t="shared" si="184"/>
        <v>9.667064</v>
      </c>
      <c r="G59" s="534">
        <v>2</v>
      </c>
      <c r="H59" s="507">
        <f t="shared" si="185"/>
        <v>6.328568</v>
      </c>
      <c r="I59" s="534">
        <v>2</v>
      </c>
      <c r="J59" s="507">
        <f t="shared" si="186"/>
        <v>3.338496</v>
      </c>
      <c r="K59" s="534">
        <v>2</v>
      </c>
      <c r="L59" s="507">
        <f t="shared" ref="L59" si="208">K59*K$8</f>
        <v>0</v>
      </c>
      <c r="M59" s="534">
        <v>2</v>
      </c>
      <c r="N59" s="507">
        <f t="shared" si="171"/>
        <v>0</v>
      </c>
      <c r="O59" s="534">
        <v>2</v>
      </c>
      <c r="P59" s="507">
        <f t="shared" si="188"/>
        <v>0</v>
      </c>
      <c r="Q59" s="534">
        <v>1.2</v>
      </c>
      <c r="R59" s="507">
        <f t="shared" si="172"/>
        <v>0</v>
      </c>
      <c r="S59" s="534">
        <v>2</v>
      </c>
      <c r="T59" s="507">
        <f t="shared" si="189"/>
        <v>0</v>
      </c>
      <c r="U59" s="534">
        <v>2</v>
      </c>
      <c r="V59" s="507">
        <f t="shared" si="190"/>
        <v>0.066528</v>
      </c>
      <c r="W59" s="534">
        <v>2</v>
      </c>
      <c r="X59" s="507">
        <f t="shared" si="191"/>
        <v>0.039698</v>
      </c>
      <c r="Y59" s="534">
        <v>2</v>
      </c>
      <c r="Z59" s="507">
        <f t="shared" si="192"/>
        <v>0.01504</v>
      </c>
      <c r="AA59" s="534">
        <v>2</v>
      </c>
      <c r="AB59" s="507">
        <f t="shared" si="193"/>
        <v>0.040218</v>
      </c>
      <c r="AC59" s="507">
        <f t="shared" si="176"/>
        <v>2</v>
      </c>
      <c r="AD59" s="507">
        <f t="shared" si="177"/>
        <v>4.447102</v>
      </c>
      <c r="AE59" s="528">
        <f t="shared" si="194"/>
        <v>2</v>
      </c>
      <c r="AF59" s="507">
        <f t="shared" ref="AF59" si="209">AE59*AE$8</f>
        <v>0</v>
      </c>
      <c r="AG59" s="534">
        <v>2</v>
      </c>
      <c r="AH59" s="507">
        <f t="shared" si="196"/>
        <v>0.789022</v>
      </c>
      <c r="AI59" s="534">
        <v>2</v>
      </c>
      <c r="AJ59" s="507">
        <f t="shared" si="197"/>
        <v>3.65808</v>
      </c>
      <c r="AK59" s="564" t="s">
        <v>275</v>
      </c>
      <c r="AL59" s="560">
        <f t="shared" si="198"/>
        <v>14.27565</v>
      </c>
      <c r="AM59" s="562"/>
      <c r="AO59" s="405">
        <f t="shared" si="153"/>
        <v>0.161483999999998</v>
      </c>
    </row>
    <row r="60" customHeight="1" outlineLevel="2" spans="1:41">
      <c r="A60" s="514" t="s">
        <v>276</v>
      </c>
      <c r="B60" s="501" t="s">
        <v>277</v>
      </c>
      <c r="C60" s="507">
        <f t="shared" si="181"/>
        <v>0.415541772515678</v>
      </c>
      <c r="D60" s="507">
        <f t="shared" si="182"/>
        <v>2.96606445240672</v>
      </c>
      <c r="E60" s="507">
        <f t="shared" si="183"/>
        <v>0.413390592804824</v>
      </c>
      <c r="F60" s="507">
        <f t="shared" si="184"/>
        <v>2.03151464206533</v>
      </c>
      <c r="G60" s="530">
        <f>$AM$60/$C$8</f>
        <v>0.420296098601465</v>
      </c>
      <c r="H60" s="507">
        <f t="shared" si="185"/>
        <v>1.32993622006704</v>
      </c>
      <c r="I60" s="530">
        <f>$AM$60/$C$8</f>
        <v>0.420296098601465</v>
      </c>
      <c r="J60" s="507">
        <f t="shared" si="186"/>
        <v>0.701578421998298</v>
      </c>
      <c r="K60" s="530">
        <f>$AM$60/$C$8</f>
        <v>0.420296098601465</v>
      </c>
      <c r="L60" s="507">
        <f t="shared" ref="L60" si="210">K60*K$8</f>
        <v>0</v>
      </c>
      <c r="M60" s="530">
        <f>$AM$60/$C$8</f>
        <v>0.420296098601465</v>
      </c>
      <c r="N60" s="507">
        <f t="shared" si="171"/>
        <v>0</v>
      </c>
      <c r="O60" s="530">
        <f>$AM$60/$C$8</f>
        <v>0.420296098601465</v>
      </c>
      <c r="P60" s="507">
        <f t="shared" si="188"/>
        <v>0</v>
      </c>
      <c r="Q60" s="530">
        <f>$AM$60/$C$8</f>
        <v>0.420296098601465</v>
      </c>
      <c r="R60" s="507">
        <f t="shared" si="172"/>
        <v>0</v>
      </c>
      <c r="S60" s="530">
        <f>$AM$60/$C$8</f>
        <v>0.420296098601465</v>
      </c>
      <c r="T60" s="507">
        <f t="shared" si="189"/>
        <v>0</v>
      </c>
      <c r="U60" s="530">
        <f>$AM$60/$C$8</f>
        <v>0.420296098601465</v>
      </c>
      <c r="V60" s="507">
        <f t="shared" si="190"/>
        <v>0.0139807294238791</v>
      </c>
      <c r="W60" s="530">
        <f>$AM$60/$C$8</f>
        <v>0.420296098601465</v>
      </c>
      <c r="X60" s="507">
        <f t="shared" si="191"/>
        <v>0.00834245726114047</v>
      </c>
      <c r="Y60" s="530">
        <f>$AM$60/$C$8</f>
        <v>0.420296098601465</v>
      </c>
      <c r="Z60" s="507">
        <f t="shared" si="192"/>
        <v>0.00316062666148301</v>
      </c>
      <c r="AA60" s="530">
        <f>$AM$60/$C$8</f>
        <v>0.420296098601465</v>
      </c>
      <c r="AB60" s="507">
        <f t="shared" si="193"/>
        <v>0.00845173424677685</v>
      </c>
      <c r="AC60" s="507">
        <f t="shared" si="176"/>
        <v>0.420296098601465</v>
      </c>
      <c r="AD60" s="507">
        <f t="shared" si="177"/>
        <v>0.934549810341386</v>
      </c>
      <c r="AE60" s="528">
        <f t="shared" si="194"/>
        <v>0.420296098601465</v>
      </c>
      <c r="AF60" s="507">
        <f t="shared" ref="AF60" si="211">AE60*AE$8</f>
        <v>0</v>
      </c>
      <c r="AG60" s="530">
        <f>$AM$60/$C$8</f>
        <v>0.420296098601465</v>
      </c>
      <c r="AH60" s="507">
        <f t="shared" si="196"/>
        <v>0.165811434155362</v>
      </c>
      <c r="AI60" s="530">
        <f>$AM$60/$C$8</f>
        <v>0.420296098601465</v>
      </c>
      <c r="AJ60" s="507">
        <f t="shared" si="197"/>
        <v>0.768738376186023</v>
      </c>
      <c r="AK60" s="564" t="s">
        <v>278</v>
      </c>
      <c r="AL60" s="560">
        <f t="shared" si="198"/>
        <v>3</v>
      </c>
      <c r="AM60" s="557">
        <v>3</v>
      </c>
      <c r="AO60" s="405">
        <f t="shared" si="153"/>
        <v>0.0339355475932792</v>
      </c>
    </row>
    <row r="61" s="490" customFormat="1" customHeight="1" outlineLevel="2" spans="1:41">
      <c r="A61" s="538" t="s">
        <v>279</v>
      </c>
      <c r="B61" s="525" t="s">
        <v>280</v>
      </c>
      <c r="C61" s="507">
        <f t="shared" si="181"/>
        <v>0</v>
      </c>
      <c r="D61" s="507">
        <f t="shared" si="182"/>
        <v>0</v>
      </c>
      <c r="E61" s="507">
        <f t="shared" si="183"/>
        <v>0</v>
      </c>
      <c r="F61" s="507">
        <f t="shared" si="184"/>
        <v>0</v>
      </c>
      <c r="G61" s="534"/>
      <c r="H61" s="507">
        <f t="shared" si="185"/>
        <v>0</v>
      </c>
      <c r="I61" s="534"/>
      <c r="J61" s="507">
        <f t="shared" si="186"/>
        <v>0</v>
      </c>
      <c r="K61" s="534"/>
      <c r="L61" s="507">
        <f t="shared" ref="L61" si="212">K61*K$8</f>
        <v>0</v>
      </c>
      <c r="M61" s="534"/>
      <c r="N61" s="507">
        <f t="shared" si="171"/>
        <v>0</v>
      </c>
      <c r="O61" s="534"/>
      <c r="P61" s="507">
        <f t="shared" si="188"/>
        <v>0</v>
      </c>
      <c r="Q61" s="534"/>
      <c r="R61" s="507">
        <f t="shared" si="172"/>
        <v>0</v>
      </c>
      <c r="S61" s="534"/>
      <c r="T61" s="507">
        <f t="shared" si="189"/>
        <v>0</v>
      </c>
      <c r="U61" s="534"/>
      <c r="V61" s="507">
        <f t="shared" si="190"/>
        <v>0</v>
      </c>
      <c r="W61" s="534"/>
      <c r="X61" s="507">
        <f t="shared" si="191"/>
        <v>0</v>
      </c>
      <c r="Y61" s="534"/>
      <c r="Z61" s="507">
        <f t="shared" si="192"/>
        <v>0</v>
      </c>
      <c r="AA61" s="534"/>
      <c r="AB61" s="507">
        <f t="shared" si="193"/>
        <v>0</v>
      </c>
      <c r="AC61" s="507">
        <f t="shared" si="176"/>
        <v>0</v>
      </c>
      <c r="AD61" s="507">
        <f t="shared" si="177"/>
        <v>0</v>
      </c>
      <c r="AE61" s="528">
        <f t="shared" si="194"/>
        <v>0</v>
      </c>
      <c r="AF61" s="507">
        <f t="shared" ref="AF61" si="213">AE61*AE$8</f>
        <v>0</v>
      </c>
      <c r="AG61" s="534"/>
      <c r="AH61" s="507">
        <f t="shared" si="196"/>
        <v>0</v>
      </c>
      <c r="AI61" s="534"/>
      <c r="AJ61" s="507">
        <f t="shared" si="197"/>
        <v>0</v>
      </c>
      <c r="AK61" s="572" t="s">
        <v>225</v>
      </c>
      <c r="AL61" s="560">
        <f t="shared" si="198"/>
        <v>0</v>
      </c>
      <c r="AM61" s="562"/>
      <c r="AO61" s="405">
        <f t="shared" si="153"/>
        <v>0</v>
      </c>
    </row>
    <row r="62" s="490" customFormat="1" customHeight="1" outlineLevel="2" spans="1:41">
      <c r="A62" s="514" t="s">
        <v>281</v>
      </c>
      <c r="B62" s="501" t="s">
        <v>282</v>
      </c>
      <c r="C62" s="507">
        <f t="shared" si="181"/>
        <v>0.98868815080224</v>
      </c>
      <c r="D62" s="507">
        <f t="shared" si="182"/>
        <v>7.057083</v>
      </c>
      <c r="E62" s="507">
        <f t="shared" si="183"/>
        <v>0.983569902695698</v>
      </c>
      <c r="F62" s="507">
        <f t="shared" si="184"/>
        <v>4.833532</v>
      </c>
      <c r="G62" s="534">
        <v>1</v>
      </c>
      <c r="H62" s="507">
        <f t="shared" si="185"/>
        <v>3.164284</v>
      </c>
      <c r="I62" s="534">
        <v>1</v>
      </c>
      <c r="J62" s="507">
        <f t="shared" si="186"/>
        <v>1.669248</v>
      </c>
      <c r="K62" s="534">
        <v>1.6</v>
      </c>
      <c r="L62" s="507">
        <f t="shared" ref="L62" si="214">K62*K$8</f>
        <v>0</v>
      </c>
      <c r="M62" s="534">
        <f>G62</f>
        <v>1</v>
      </c>
      <c r="N62" s="507">
        <f t="shared" si="171"/>
        <v>0</v>
      </c>
      <c r="O62" s="534">
        <v>1.6</v>
      </c>
      <c r="P62" s="507">
        <f t="shared" si="188"/>
        <v>0</v>
      </c>
      <c r="Q62" s="534">
        <v>0.8</v>
      </c>
      <c r="R62" s="507">
        <f t="shared" si="172"/>
        <v>0</v>
      </c>
      <c r="S62" s="534">
        <v>1.6</v>
      </c>
      <c r="T62" s="507">
        <f t="shared" si="189"/>
        <v>0</v>
      </c>
      <c r="U62" s="534">
        <v>1</v>
      </c>
      <c r="V62" s="507">
        <f t="shared" si="190"/>
        <v>0.033264</v>
      </c>
      <c r="W62" s="534">
        <v>1</v>
      </c>
      <c r="X62" s="507">
        <f t="shared" si="191"/>
        <v>0.019849</v>
      </c>
      <c r="Y62" s="534">
        <v>1</v>
      </c>
      <c r="Z62" s="507">
        <f t="shared" si="192"/>
        <v>0.00752</v>
      </c>
      <c r="AA62" s="534">
        <v>1</v>
      </c>
      <c r="AB62" s="507">
        <f t="shared" si="193"/>
        <v>0.020109</v>
      </c>
      <c r="AC62" s="507">
        <f t="shared" si="176"/>
        <v>1</v>
      </c>
      <c r="AD62" s="507">
        <f t="shared" si="177"/>
        <v>2.223551</v>
      </c>
      <c r="AE62" s="528">
        <f t="shared" si="194"/>
        <v>1</v>
      </c>
      <c r="AF62" s="507">
        <f t="shared" ref="AF62" si="215">AE62*AE$8</f>
        <v>0</v>
      </c>
      <c r="AG62" s="534">
        <v>1</v>
      </c>
      <c r="AH62" s="507">
        <f t="shared" si="196"/>
        <v>0.394511</v>
      </c>
      <c r="AI62" s="534">
        <v>1</v>
      </c>
      <c r="AJ62" s="507">
        <f t="shared" si="197"/>
        <v>1.82904</v>
      </c>
      <c r="AK62" s="563" t="s">
        <v>283</v>
      </c>
      <c r="AL62" s="560">
        <f t="shared" si="198"/>
        <v>7.137825</v>
      </c>
      <c r="AM62" s="557"/>
      <c r="AO62" s="405">
        <f t="shared" si="153"/>
        <v>0.080741999999999</v>
      </c>
    </row>
    <row r="63" s="490" customFormat="1" customHeight="1" outlineLevel="2" spans="1:41">
      <c r="A63" s="538" t="s">
        <v>284</v>
      </c>
      <c r="B63" s="501" t="s">
        <v>285</v>
      </c>
      <c r="C63" s="507">
        <f t="shared" si="181"/>
        <v>1.08755696588246</v>
      </c>
      <c r="D63" s="507">
        <f t="shared" si="182"/>
        <v>7.7627913</v>
      </c>
      <c r="E63" s="507">
        <f t="shared" si="183"/>
        <v>1.08192689296527</v>
      </c>
      <c r="F63" s="507">
        <f t="shared" si="184"/>
        <v>5.3168852</v>
      </c>
      <c r="G63" s="530">
        <v>1.1</v>
      </c>
      <c r="H63" s="507">
        <f t="shared" si="185"/>
        <v>3.4807124</v>
      </c>
      <c r="I63" s="530">
        <v>1.1</v>
      </c>
      <c r="J63" s="507">
        <f t="shared" si="186"/>
        <v>1.8361728</v>
      </c>
      <c r="K63" s="530">
        <v>1.1</v>
      </c>
      <c r="L63" s="507">
        <f t="shared" ref="L63" si="216">K63*K$8</f>
        <v>0</v>
      </c>
      <c r="M63" s="530">
        <f>G63</f>
        <v>1.1</v>
      </c>
      <c r="N63" s="507">
        <f t="shared" si="171"/>
        <v>0</v>
      </c>
      <c r="O63" s="530">
        <v>1.1</v>
      </c>
      <c r="P63" s="507">
        <f t="shared" si="188"/>
        <v>0</v>
      </c>
      <c r="Q63" s="530">
        <v>0.1</v>
      </c>
      <c r="R63" s="507">
        <f t="shared" si="172"/>
        <v>0</v>
      </c>
      <c r="S63" s="530">
        <v>1.1</v>
      </c>
      <c r="T63" s="507">
        <f t="shared" si="189"/>
        <v>0</v>
      </c>
      <c r="U63" s="530">
        <v>1.1</v>
      </c>
      <c r="V63" s="507">
        <f t="shared" si="190"/>
        <v>0.0365904</v>
      </c>
      <c r="W63" s="530">
        <v>1.1</v>
      </c>
      <c r="X63" s="507">
        <f t="shared" si="191"/>
        <v>0.0218339</v>
      </c>
      <c r="Y63" s="530">
        <v>1.1</v>
      </c>
      <c r="Z63" s="507">
        <f t="shared" si="192"/>
        <v>0.008272</v>
      </c>
      <c r="AA63" s="530">
        <v>1.1</v>
      </c>
      <c r="AB63" s="507">
        <f t="shared" si="193"/>
        <v>0.0221199</v>
      </c>
      <c r="AC63" s="507">
        <f t="shared" si="176"/>
        <v>1.1</v>
      </c>
      <c r="AD63" s="507">
        <f t="shared" si="177"/>
        <v>2.4459061</v>
      </c>
      <c r="AE63" s="528">
        <f t="shared" si="194"/>
        <v>1.1</v>
      </c>
      <c r="AF63" s="507">
        <f t="shared" ref="AF63" si="217">AE63*AE$8</f>
        <v>0</v>
      </c>
      <c r="AG63" s="530">
        <v>1.1</v>
      </c>
      <c r="AH63" s="507">
        <f t="shared" si="196"/>
        <v>0.4339621</v>
      </c>
      <c r="AI63" s="530">
        <v>1.1</v>
      </c>
      <c r="AJ63" s="507">
        <f t="shared" si="197"/>
        <v>2.011944</v>
      </c>
      <c r="AK63" s="564" t="s">
        <v>286</v>
      </c>
      <c r="AL63" s="560">
        <f t="shared" si="198"/>
        <v>7.8516075</v>
      </c>
      <c r="AM63" s="562"/>
      <c r="AO63" s="405">
        <f t="shared" si="153"/>
        <v>0.0888161999999992</v>
      </c>
    </row>
    <row r="64" customHeight="1" outlineLevel="2" spans="1:41">
      <c r="A64" s="514" t="s">
        <v>287</v>
      </c>
      <c r="B64" s="539" t="s">
        <v>288</v>
      </c>
      <c r="C64" s="507">
        <f t="shared" si="181"/>
        <v>0.98868815080224</v>
      </c>
      <c r="D64" s="507">
        <f t="shared" si="182"/>
        <v>7.057083</v>
      </c>
      <c r="E64" s="507">
        <f t="shared" si="183"/>
        <v>0.983569902695698</v>
      </c>
      <c r="F64" s="507">
        <f t="shared" si="184"/>
        <v>4.833532</v>
      </c>
      <c r="G64" s="530">
        <v>1</v>
      </c>
      <c r="H64" s="507">
        <f t="shared" si="185"/>
        <v>3.164284</v>
      </c>
      <c r="I64" s="530">
        <v>1</v>
      </c>
      <c r="J64" s="507">
        <f t="shared" si="186"/>
        <v>1.669248</v>
      </c>
      <c r="K64" s="530">
        <v>1</v>
      </c>
      <c r="L64" s="507">
        <f t="shared" ref="L64" si="218">K64*K$8</f>
        <v>0</v>
      </c>
      <c r="M64" s="530">
        <v>1</v>
      </c>
      <c r="N64" s="507">
        <f t="shared" si="171"/>
        <v>0</v>
      </c>
      <c r="O64" s="530">
        <v>1</v>
      </c>
      <c r="P64" s="507">
        <f t="shared" si="188"/>
        <v>0</v>
      </c>
      <c r="Q64" s="530">
        <v>1</v>
      </c>
      <c r="R64" s="507">
        <f t="shared" si="172"/>
        <v>0</v>
      </c>
      <c r="S64" s="530">
        <v>1</v>
      </c>
      <c r="T64" s="507">
        <f t="shared" si="189"/>
        <v>0</v>
      </c>
      <c r="U64" s="530">
        <v>1</v>
      </c>
      <c r="V64" s="507">
        <f t="shared" si="190"/>
        <v>0.033264</v>
      </c>
      <c r="W64" s="530">
        <v>1</v>
      </c>
      <c r="X64" s="507">
        <f t="shared" si="191"/>
        <v>0.019849</v>
      </c>
      <c r="Y64" s="530">
        <v>1</v>
      </c>
      <c r="Z64" s="507">
        <f t="shared" si="192"/>
        <v>0.00752</v>
      </c>
      <c r="AA64" s="530">
        <v>1</v>
      </c>
      <c r="AB64" s="507">
        <f t="shared" si="193"/>
        <v>0.020109</v>
      </c>
      <c r="AC64" s="507">
        <f t="shared" si="176"/>
        <v>1</v>
      </c>
      <c r="AD64" s="507">
        <f t="shared" si="177"/>
        <v>2.223551</v>
      </c>
      <c r="AE64" s="528">
        <f t="shared" si="194"/>
        <v>1</v>
      </c>
      <c r="AF64" s="507">
        <f t="shared" ref="AF64" si="219">AE64*AE$8</f>
        <v>0</v>
      </c>
      <c r="AG64" s="530">
        <v>1</v>
      </c>
      <c r="AH64" s="507">
        <f t="shared" si="196"/>
        <v>0.394511</v>
      </c>
      <c r="AI64" s="530">
        <v>1</v>
      </c>
      <c r="AJ64" s="507">
        <f t="shared" si="197"/>
        <v>1.82904</v>
      </c>
      <c r="AK64" s="563" t="s">
        <v>289</v>
      </c>
      <c r="AL64" s="560">
        <f t="shared" si="198"/>
        <v>7.137825</v>
      </c>
      <c r="AM64" s="557"/>
      <c r="AO64" s="405">
        <f t="shared" si="153"/>
        <v>0.080741999999999</v>
      </c>
    </row>
    <row r="65" customHeight="1" outlineLevel="2" spans="1:41">
      <c r="A65" s="514" t="s">
        <v>290</v>
      </c>
      <c r="B65" s="576" t="s">
        <v>291</v>
      </c>
      <c r="C65" s="507">
        <f t="shared" si="181"/>
        <v>0</v>
      </c>
      <c r="D65" s="507">
        <f t="shared" si="182"/>
        <v>0</v>
      </c>
      <c r="E65" s="507">
        <f t="shared" si="183"/>
        <v>0</v>
      </c>
      <c r="F65" s="507">
        <f t="shared" si="184"/>
        <v>0</v>
      </c>
      <c r="G65" s="530"/>
      <c r="H65" s="507">
        <f t="shared" si="185"/>
        <v>0</v>
      </c>
      <c r="I65" s="530"/>
      <c r="J65" s="507">
        <f t="shared" si="186"/>
        <v>0</v>
      </c>
      <c r="K65" s="530"/>
      <c r="L65" s="507">
        <f t="shared" ref="L65" si="220">K65*K$8</f>
        <v>0</v>
      </c>
      <c r="M65" s="530"/>
      <c r="N65" s="507">
        <f t="shared" si="171"/>
        <v>0</v>
      </c>
      <c r="O65" s="530"/>
      <c r="P65" s="507">
        <f t="shared" si="188"/>
        <v>0</v>
      </c>
      <c r="Q65" s="530"/>
      <c r="R65" s="507">
        <f t="shared" si="172"/>
        <v>0</v>
      </c>
      <c r="S65" s="530"/>
      <c r="T65" s="507">
        <f t="shared" si="189"/>
        <v>0</v>
      </c>
      <c r="U65" s="530"/>
      <c r="V65" s="507">
        <f t="shared" si="190"/>
        <v>0</v>
      </c>
      <c r="W65" s="530"/>
      <c r="X65" s="507">
        <f t="shared" si="191"/>
        <v>0</v>
      </c>
      <c r="Y65" s="530"/>
      <c r="Z65" s="507">
        <f t="shared" si="192"/>
        <v>0</v>
      </c>
      <c r="AA65" s="530"/>
      <c r="AB65" s="507">
        <f t="shared" si="193"/>
        <v>0</v>
      </c>
      <c r="AC65" s="507">
        <f t="shared" si="176"/>
        <v>0</v>
      </c>
      <c r="AD65" s="507">
        <f t="shared" si="177"/>
        <v>0</v>
      </c>
      <c r="AE65" s="528">
        <f t="shared" si="194"/>
        <v>0</v>
      </c>
      <c r="AF65" s="507">
        <f t="shared" ref="AF65" si="221">AE65*AE$8</f>
        <v>0</v>
      </c>
      <c r="AG65" s="530"/>
      <c r="AH65" s="507">
        <f t="shared" si="196"/>
        <v>0</v>
      </c>
      <c r="AI65" s="530"/>
      <c r="AJ65" s="507">
        <f t="shared" si="197"/>
        <v>0</v>
      </c>
      <c r="AK65" s="563" t="s">
        <v>292</v>
      </c>
      <c r="AL65" s="560">
        <f t="shared" si="198"/>
        <v>0</v>
      </c>
      <c r="AM65" s="557"/>
      <c r="AO65" s="405">
        <f t="shared" si="153"/>
        <v>0</v>
      </c>
    </row>
    <row r="66" s="490" customFormat="1" customHeight="1" outlineLevel="2" spans="1:41">
      <c r="A66" s="514" t="s">
        <v>293</v>
      </c>
      <c r="B66" s="577" t="s">
        <v>294</v>
      </c>
      <c r="C66" s="507">
        <f t="shared" si="181"/>
        <v>0.790950520641792</v>
      </c>
      <c r="D66" s="507">
        <f t="shared" si="182"/>
        <v>5.6456664</v>
      </c>
      <c r="E66" s="507">
        <f t="shared" si="183"/>
        <v>0.786855922156559</v>
      </c>
      <c r="F66" s="507">
        <f t="shared" si="184"/>
        <v>3.8668256</v>
      </c>
      <c r="G66" s="534">
        <v>0.8</v>
      </c>
      <c r="H66" s="507">
        <f t="shared" si="185"/>
        <v>2.5314272</v>
      </c>
      <c r="I66" s="534">
        <v>0.8</v>
      </c>
      <c r="J66" s="507">
        <f t="shared" si="186"/>
        <v>1.3353984</v>
      </c>
      <c r="K66" s="534">
        <v>0.8</v>
      </c>
      <c r="L66" s="507">
        <f t="shared" ref="L66" si="222">K66*K$8</f>
        <v>0</v>
      </c>
      <c r="M66" s="534">
        <v>0.8</v>
      </c>
      <c r="N66" s="507">
        <f t="shared" si="171"/>
        <v>0</v>
      </c>
      <c r="O66" s="534">
        <v>0.8</v>
      </c>
      <c r="P66" s="507">
        <f t="shared" si="188"/>
        <v>0</v>
      </c>
      <c r="Q66" s="534"/>
      <c r="R66" s="507">
        <f t="shared" si="172"/>
        <v>0</v>
      </c>
      <c r="S66" s="534">
        <v>0.8</v>
      </c>
      <c r="T66" s="507">
        <f t="shared" si="189"/>
        <v>0</v>
      </c>
      <c r="U66" s="534">
        <v>0.8</v>
      </c>
      <c r="V66" s="507">
        <f t="shared" si="190"/>
        <v>0.0266112</v>
      </c>
      <c r="W66" s="534">
        <v>0.8</v>
      </c>
      <c r="X66" s="507">
        <f t="shared" si="191"/>
        <v>0.0158792</v>
      </c>
      <c r="Y66" s="534">
        <v>0.8</v>
      </c>
      <c r="Z66" s="507">
        <f t="shared" si="192"/>
        <v>0.006016</v>
      </c>
      <c r="AA66" s="534">
        <v>0.8</v>
      </c>
      <c r="AB66" s="507">
        <f t="shared" si="193"/>
        <v>0.0160872</v>
      </c>
      <c r="AC66" s="507">
        <f t="shared" si="176"/>
        <v>0.8</v>
      </c>
      <c r="AD66" s="507">
        <f t="shared" si="177"/>
        <v>1.7788408</v>
      </c>
      <c r="AE66" s="528">
        <f t="shared" si="194"/>
        <v>0.8</v>
      </c>
      <c r="AF66" s="507">
        <f t="shared" ref="AF66" si="223">AE66*AE$8</f>
        <v>0</v>
      </c>
      <c r="AG66" s="534">
        <v>0.8</v>
      </c>
      <c r="AH66" s="507">
        <f t="shared" si="196"/>
        <v>0.3156088</v>
      </c>
      <c r="AI66" s="534">
        <v>0.8</v>
      </c>
      <c r="AJ66" s="507">
        <f t="shared" si="197"/>
        <v>1.463232</v>
      </c>
      <c r="AK66" s="521"/>
      <c r="AL66" s="560">
        <f t="shared" si="198"/>
        <v>5.71026</v>
      </c>
      <c r="AM66" s="562"/>
      <c r="AO66" s="405">
        <f t="shared" si="153"/>
        <v>0.0645936000000003</v>
      </c>
    </row>
    <row r="67" s="490" customFormat="1" customHeight="1" outlineLevel="2" spans="1:41">
      <c r="A67" s="514" t="s">
        <v>295</v>
      </c>
      <c r="B67" s="577" t="s">
        <v>296</v>
      </c>
      <c r="C67" s="507">
        <f t="shared" si="181"/>
        <v>9.01849513128282</v>
      </c>
      <c r="D67" s="507">
        <f t="shared" si="182"/>
        <v>64.3724400104488</v>
      </c>
      <c r="E67" s="507">
        <f t="shared" si="183"/>
        <v>8.97180811921325</v>
      </c>
      <c r="F67" s="507">
        <f t="shared" si="184"/>
        <v>44.0899233732386</v>
      </c>
      <c r="G67" s="534">
        <f>$AM$67/$C$8</f>
        <v>9.1216781792773</v>
      </c>
      <c r="H67" s="507">
        <f t="shared" si="185"/>
        <v>28.8635803158363</v>
      </c>
      <c r="I67" s="534">
        <f>$AM$67/$C$8</f>
        <v>9.1216781792773</v>
      </c>
      <c r="J67" s="507">
        <f t="shared" si="186"/>
        <v>15.2263430574023</v>
      </c>
      <c r="K67" s="534">
        <f>$AM$67/$C$8</f>
        <v>9.1216781792773</v>
      </c>
      <c r="L67" s="507">
        <f t="shared" ref="L67" si="224">K67*K$8</f>
        <v>0</v>
      </c>
      <c r="M67" s="534">
        <f>$AM$67/$C$8</f>
        <v>9.1216781792773</v>
      </c>
      <c r="N67" s="507">
        <f t="shared" si="171"/>
        <v>0</v>
      </c>
      <c r="O67" s="534">
        <f>$AM$67/$C$8</f>
        <v>9.1216781792773</v>
      </c>
      <c r="P67" s="507">
        <f t="shared" si="188"/>
        <v>0</v>
      </c>
      <c r="Q67" s="534">
        <f>$AM$67/$C$8</f>
        <v>9.1216781792773</v>
      </c>
      <c r="R67" s="507">
        <f t="shared" si="172"/>
        <v>0</v>
      </c>
      <c r="S67" s="534">
        <f>$AM$67/$C$8</f>
        <v>9.1216781792773</v>
      </c>
      <c r="T67" s="507">
        <f t="shared" si="189"/>
        <v>0</v>
      </c>
      <c r="U67" s="534">
        <f>$AM$67/$C$8</f>
        <v>9.1216781792773</v>
      </c>
      <c r="V67" s="507">
        <f t="shared" si="190"/>
        <v>0.30342350295548</v>
      </c>
      <c r="W67" s="534">
        <f>$AM$67/$C$8</f>
        <v>9.1216781792773</v>
      </c>
      <c r="X67" s="507">
        <f t="shared" si="191"/>
        <v>0.181056190180475</v>
      </c>
      <c r="Y67" s="534">
        <f>$AM$67/$C$8</f>
        <v>9.1216781792773</v>
      </c>
      <c r="Z67" s="507">
        <f t="shared" si="192"/>
        <v>0.0685950199081653</v>
      </c>
      <c r="AA67" s="534">
        <f>$AM$67/$C$8</f>
        <v>9.1216781792773</v>
      </c>
      <c r="AB67" s="507">
        <f t="shared" si="193"/>
        <v>0.183427826507087</v>
      </c>
      <c r="AC67" s="507">
        <f t="shared" si="176"/>
        <v>9.1216781792773</v>
      </c>
      <c r="AD67" s="507">
        <f t="shared" si="177"/>
        <v>20.2825166372102</v>
      </c>
      <c r="AE67" s="528">
        <f t="shared" si="194"/>
        <v>9.1216781792773</v>
      </c>
      <c r="AF67" s="507">
        <f t="shared" ref="AF67" si="225">AE67*AE$8</f>
        <v>0</v>
      </c>
      <c r="AG67" s="534">
        <f>$AM$67/$C$8</f>
        <v>9.1216781792773</v>
      </c>
      <c r="AH67" s="507">
        <f t="shared" si="196"/>
        <v>3.59860238018487</v>
      </c>
      <c r="AI67" s="534">
        <f>$AM$67/$C$8</f>
        <v>9.1216781792773</v>
      </c>
      <c r="AJ67" s="507">
        <f t="shared" si="197"/>
        <v>16.6839142570254</v>
      </c>
      <c r="AK67" s="572" t="s">
        <v>297</v>
      </c>
      <c r="AL67" s="560">
        <f t="shared" si="198"/>
        <v>65.10894255</v>
      </c>
      <c r="AM67" s="562">
        <f>经济指标!E20*6*8/10000*0.6+经济指标!E7*0.15/10000</f>
        <v>65.10894255</v>
      </c>
      <c r="AO67" s="405">
        <f t="shared" si="153"/>
        <v>0.736502539551211</v>
      </c>
    </row>
    <row r="68" s="491" customFormat="1" ht="24" customHeight="1" outlineLevel="2" spans="1:41">
      <c r="A68" s="514" t="s">
        <v>298</v>
      </c>
      <c r="B68" s="525" t="s">
        <v>299</v>
      </c>
      <c r="C68" s="507">
        <f t="shared" si="181"/>
        <v>4.9434407540112</v>
      </c>
      <c r="D68" s="507">
        <f t="shared" si="182"/>
        <v>35.285415</v>
      </c>
      <c r="E68" s="507">
        <f t="shared" si="183"/>
        <v>4.91784951347849</v>
      </c>
      <c r="F68" s="507">
        <f t="shared" si="184"/>
        <v>24.16766</v>
      </c>
      <c r="G68" s="530">
        <v>5</v>
      </c>
      <c r="H68" s="507">
        <f t="shared" si="185"/>
        <v>15.82142</v>
      </c>
      <c r="I68" s="530">
        <v>5</v>
      </c>
      <c r="J68" s="507">
        <f t="shared" si="186"/>
        <v>8.34624</v>
      </c>
      <c r="K68" s="530">
        <v>5</v>
      </c>
      <c r="L68" s="507">
        <f t="shared" ref="L68" si="226">K68*K$8</f>
        <v>0</v>
      </c>
      <c r="M68" s="530">
        <v>5</v>
      </c>
      <c r="N68" s="507">
        <f t="shared" si="171"/>
        <v>0</v>
      </c>
      <c r="O68" s="530">
        <v>5</v>
      </c>
      <c r="P68" s="507">
        <f t="shared" si="188"/>
        <v>0</v>
      </c>
      <c r="Q68" s="530"/>
      <c r="R68" s="507">
        <f t="shared" si="172"/>
        <v>0</v>
      </c>
      <c r="S68" s="530">
        <v>5</v>
      </c>
      <c r="T68" s="507">
        <f t="shared" si="189"/>
        <v>0</v>
      </c>
      <c r="U68" s="530">
        <v>5</v>
      </c>
      <c r="V68" s="507">
        <f t="shared" si="190"/>
        <v>0.16632</v>
      </c>
      <c r="W68" s="530">
        <v>5</v>
      </c>
      <c r="X68" s="507">
        <f t="shared" si="191"/>
        <v>0.099245</v>
      </c>
      <c r="Y68" s="530">
        <v>5</v>
      </c>
      <c r="Z68" s="507">
        <f t="shared" si="192"/>
        <v>0.0376</v>
      </c>
      <c r="AA68" s="530">
        <v>5</v>
      </c>
      <c r="AB68" s="507">
        <f t="shared" si="193"/>
        <v>0.100545</v>
      </c>
      <c r="AC68" s="507">
        <f t="shared" si="176"/>
        <v>5</v>
      </c>
      <c r="AD68" s="507">
        <f t="shared" si="177"/>
        <v>11.117755</v>
      </c>
      <c r="AE68" s="528">
        <f t="shared" si="194"/>
        <v>5</v>
      </c>
      <c r="AF68" s="507">
        <f t="shared" ref="AF68" si="227">AE68*AE$8</f>
        <v>0</v>
      </c>
      <c r="AG68" s="530">
        <v>5</v>
      </c>
      <c r="AH68" s="507">
        <f t="shared" si="196"/>
        <v>1.972555</v>
      </c>
      <c r="AI68" s="530">
        <v>5</v>
      </c>
      <c r="AJ68" s="507">
        <f t="shared" si="197"/>
        <v>9.1452</v>
      </c>
      <c r="AK68" s="572" t="s">
        <v>300</v>
      </c>
      <c r="AL68" s="560">
        <f t="shared" si="198"/>
        <v>35.689125</v>
      </c>
      <c r="AM68" s="597"/>
      <c r="AO68" s="405">
        <f t="shared" si="153"/>
        <v>0.403709999999997</v>
      </c>
    </row>
    <row r="69" s="490" customFormat="1" customHeight="1" outlineLevel="1" spans="1:41">
      <c r="A69" s="505">
        <v>2.6</v>
      </c>
      <c r="B69" s="506" t="s">
        <v>301</v>
      </c>
      <c r="C69" s="507">
        <f t="shared" si="181"/>
        <v>1.97737630160448</v>
      </c>
      <c r="D69" s="507">
        <f t="shared" si="182"/>
        <v>14.114166</v>
      </c>
      <c r="E69" s="507">
        <f t="shared" si="183"/>
        <v>1.9671398053914</v>
      </c>
      <c r="F69" s="507">
        <f t="shared" si="184"/>
        <v>9.667064</v>
      </c>
      <c r="G69" s="516">
        <v>2</v>
      </c>
      <c r="H69" s="507">
        <f t="shared" si="185"/>
        <v>6.328568</v>
      </c>
      <c r="I69" s="516">
        <v>2</v>
      </c>
      <c r="J69" s="507">
        <f t="shared" si="186"/>
        <v>3.338496</v>
      </c>
      <c r="K69" s="516">
        <v>2</v>
      </c>
      <c r="L69" s="507">
        <f t="shared" ref="L69" si="228">K69*K$8</f>
        <v>0</v>
      </c>
      <c r="M69" s="516">
        <v>2</v>
      </c>
      <c r="N69" s="507">
        <f t="shared" si="171"/>
        <v>0</v>
      </c>
      <c r="O69" s="516">
        <v>2</v>
      </c>
      <c r="P69" s="507">
        <f t="shared" si="188"/>
        <v>0</v>
      </c>
      <c r="Q69" s="516">
        <v>2</v>
      </c>
      <c r="R69" s="507">
        <f t="shared" si="172"/>
        <v>0</v>
      </c>
      <c r="S69" s="516">
        <v>2</v>
      </c>
      <c r="T69" s="507">
        <f t="shared" si="189"/>
        <v>0</v>
      </c>
      <c r="U69" s="516">
        <v>2</v>
      </c>
      <c r="V69" s="507">
        <f t="shared" si="190"/>
        <v>0.066528</v>
      </c>
      <c r="W69" s="516">
        <v>2</v>
      </c>
      <c r="X69" s="507">
        <f t="shared" si="191"/>
        <v>0.039698</v>
      </c>
      <c r="Y69" s="516">
        <v>2</v>
      </c>
      <c r="Z69" s="507">
        <f t="shared" si="192"/>
        <v>0.01504</v>
      </c>
      <c r="AA69" s="516">
        <v>2</v>
      </c>
      <c r="AB69" s="507">
        <f t="shared" si="193"/>
        <v>0.040218</v>
      </c>
      <c r="AC69" s="507">
        <f t="shared" si="176"/>
        <v>2</v>
      </c>
      <c r="AD69" s="507">
        <f t="shared" si="177"/>
        <v>4.447102</v>
      </c>
      <c r="AE69" s="528">
        <f t="shared" si="194"/>
        <v>2</v>
      </c>
      <c r="AF69" s="507">
        <f t="shared" ref="AF69" si="229">AE69*AE$8</f>
        <v>0</v>
      </c>
      <c r="AG69" s="516">
        <v>2</v>
      </c>
      <c r="AH69" s="507">
        <f t="shared" si="196"/>
        <v>0.789022</v>
      </c>
      <c r="AI69" s="516">
        <v>2</v>
      </c>
      <c r="AJ69" s="507">
        <f t="shared" si="197"/>
        <v>3.65808</v>
      </c>
      <c r="AK69" s="563" t="s">
        <v>302</v>
      </c>
      <c r="AL69" s="560">
        <f t="shared" si="198"/>
        <v>14.27565</v>
      </c>
      <c r="AM69" s="557"/>
      <c r="AO69" s="405">
        <f t="shared" si="153"/>
        <v>0.161483999999998</v>
      </c>
    </row>
    <row r="70" s="490" customFormat="1" customHeight="1" outlineLevel="1" spans="1:41">
      <c r="A70" s="505">
        <v>2.7</v>
      </c>
      <c r="B70" s="506" t="s">
        <v>303</v>
      </c>
      <c r="C70" s="507">
        <f t="shared" si="181"/>
        <v>123.38828122012</v>
      </c>
      <c r="D70" s="507">
        <f t="shared" si="182"/>
        <v>880.7239584</v>
      </c>
      <c r="E70" s="507">
        <f t="shared" si="183"/>
        <v>122.749523856423</v>
      </c>
      <c r="F70" s="507">
        <f t="shared" si="184"/>
        <v>603.2247936</v>
      </c>
      <c r="G70" s="516">
        <f>1.04*120</f>
        <v>124.8</v>
      </c>
      <c r="H70" s="507">
        <f t="shared" si="185"/>
        <v>394.9026432</v>
      </c>
      <c r="I70" s="516">
        <f>120*1.04</f>
        <v>124.8</v>
      </c>
      <c r="J70" s="507">
        <f t="shared" si="186"/>
        <v>208.3221504</v>
      </c>
      <c r="K70" s="516">
        <v>120</v>
      </c>
      <c r="L70" s="507">
        <f t="shared" ref="L70" si="230">K70*K$8</f>
        <v>0</v>
      </c>
      <c r="M70" s="516">
        <v>120</v>
      </c>
      <c r="N70" s="507">
        <f t="shared" si="171"/>
        <v>0</v>
      </c>
      <c r="O70" s="516">
        <v>120</v>
      </c>
      <c r="P70" s="507">
        <f t="shared" si="188"/>
        <v>0</v>
      </c>
      <c r="Q70" s="516">
        <v>70</v>
      </c>
      <c r="R70" s="507">
        <f t="shared" si="172"/>
        <v>0</v>
      </c>
      <c r="S70" s="516">
        <f>1.04*120</f>
        <v>124.8</v>
      </c>
      <c r="T70" s="507">
        <f t="shared" si="189"/>
        <v>0</v>
      </c>
      <c r="U70" s="516">
        <f>1.04*120</f>
        <v>124.8</v>
      </c>
      <c r="V70" s="507">
        <f t="shared" si="190"/>
        <v>4.1513472</v>
      </c>
      <c r="W70" s="516">
        <f>1.04*120</f>
        <v>124.8</v>
      </c>
      <c r="X70" s="507">
        <f t="shared" si="191"/>
        <v>2.4771552</v>
      </c>
      <c r="Y70" s="516">
        <f>1.04*120</f>
        <v>124.8</v>
      </c>
      <c r="Z70" s="507">
        <f t="shared" si="192"/>
        <v>0.938496</v>
      </c>
      <c r="AA70" s="516">
        <f>1.04*120</f>
        <v>124.8</v>
      </c>
      <c r="AB70" s="507">
        <f t="shared" si="193"/>
        <v>2.5096032</v>
      </c>
      <c r="AC70" s="507">
        <f t="shared" si="176"/>
        <v>124.8</v>
      </c>
      <c r="AD70" s="507">
        <f t="shared" si="177"/>
        <v>277.4991648</v>
      </c>
      <c r="AE70" s="528">
        <f t="shared" si="194"/>
        <v>124.8</v>
      </c>
      <c r="AF70" s="507">
        <f t="shared" ref="AF70" si="231">AE70*AE$8</f>
        <v>0</v>
      </c>
      <c r="AG70" s="516">
        <f>1.04*120</f>
        <v>124.8</v>
      </c>
      <c r="AH70" s="507">
        <f t="shared" si="196"/>
        <v>49.2349728</v>
      </c>
      <c r="AI70" s="516">
        <f>1.04*120</f>
        <v>124.8</v>
      </c>
      <c r="AJ70" s="507">
        <f t="shared" si="197"/>
        <v>228.264192</v>
      </c>
      <c r="AK70" s="572" t="s">
        <v>304</v>
      </c>
      <c r="AL70" s="560">
        <f t="shared" si="198"/>
        <v>890.80056</v>
      </c>
      <c r="AM70" s="557"/>
      <c r="AO70" s="405">
        <f t="shared" si="153"/>
        <v>10.0766016</v>
      </c>
    </row>
    <row r="71" customHeight="1" outlineLevel="1" spans="1:41">
      <c r="A71" s="505">
        <v>2.8</v>
      </c>
      <c r="B71" s="506" t="s">
        <v>305</v>
      </c>
      <c r="C71" s="507">
        <f t="shared" si="181"/>
        <v>0.98868815080224</v>
      </c>
      <c r="D71" s="507">
        <f t="shared" si="182"/>
        <v>7.057083</v>
      </c>
      <c r="E71" s="507">
        <f t="shared" si="183"/>
        <v>0.983569902695698</v>
      </c>
      <c r="F71" s="507">
        <f t="shared" si="184"/>
        <v>4.833532</v>
      </c>
      <c r="G71" s="516">
        <v>1</v>
      </c>
      <c r="H71" s="507">
        <f t="shared" si="185"/>
        <v>3.164284</v>
      </c>
      <c r="I71" s="516">
        <v>1</v>
      </c>
      <c r="J71" s="507">
        <f t="shared" si="186"/>
        <v>1.669248</v>
      </c>
      <c r="K71" s="516">
        <v>3</v>
      </c>
      <c r="L71" s="507">
        <f t="shared" ref="L71" si="232">K71*K$8</f>
        <v>0</v>
      </c>
      <c r="M71" s="516">
        <v>3</v>
      </c>
      <c r="N71" s="507">
        <f t="shared" si="171"/>
        <v>0</v>
      </c>
      <c r="O71" s="516">
        <v>3</v>
      </c>
      <c r="P71" s="507">
        <f t="shared" si="188"/>
        <v>0</v>
      </c>
      <c r="Q71" s="516">
        <v>3</v>
      </c>
      <c r="R71" s="507">
        <f t="shared" si="172"/>
        <v>0</v>
      </c>
      <c r="S71" s="516">
        <v>3</v>
      </c>
      <c r="T71" s="507">
        <f t="shared" si="189"/>
        <v>0</v>
      </c>
      <c r="U71" s="516">
        <v>1</v>
      </c>
      <c r="V71" s="507">
        <f t="shared" si="190"/>
        <v>0.033264</v>
      </c>
      <c r="W71" s="516">
        <v>1</v>
      </c>
      <c r="X71" s="507">
        <f t="shared" si="191"/>
        <v>0.019849</v>
      </c>
      <c r="Y71" s="516">
        <v>1</v>
      </c>
      <c r="Z71" s="507">
        <f t="shared" si="192"/>
        <v>0.00752</v>
      </c>
      <c r="AA71" s="516">
        <v>1</v>
      </c>
      <c r="AB71" s="507">
        <f t="shared" si="193"/>
        <v>0.020109</v>
      </c>
      <c r="AC71" s="507">
        <f t="shared" si="176"/>
        <v>1</v>
      </c>
      <c r="AD71" s="507">
        <f t="shared" si="177"/>
        <v>2.223551</v>
      </c>
      <c r="AE71" s="528">
        <f t="shared" si="194"/>
        <v>1</v>
      </c>
      <c r="AF71" s="507">
        <f t="shared" ref="AF71" si="233">AE71*AE$8</f>
        <v>0</v>
      </c>
      <c r="AG71" s="516">
        <v>1</v>
      </c>
      <c r="AH71" s="507">
        <f t="shared" si="196"/>
        <v>0.394511</v>
      </c>
      <c r="AI71" s="516">
        <v>1</v>
      </c>
      <c r="AJ71" s="507">
        <f t="shared" si="197"/>
        <v>1.82904</v>
      </c>
      <c r="AK71" s="563"/>
      <c r="AL71" s="560">
        <f t="shared" si="198"/>
        <v>7.137825</v>
      </c>
      <c r="AM71" s="557"/>
      <c r="AO71" s="405">
        <f t="shared" si="153"/>
        <v>0.080741999999999</v>
      </c>
    </row>
    <row r="72" customHeight="1" spans="1:41">
      <c r="A72" s="502">
        <v>3</v>
      </c>
      <c r="B72" s="503" t="s">
        <v>306</v>
      </c>
      <c r="C72" s="503">
        <f t="shared" ref="C72:AJ72" si="234">C73+C81+C98+C104+C110</f>
        <v>3726.61200948171</v>
      </c>
      <c r="D72" s="503">
        <f t="shared" si="234"/>
        <v>26266.1928901677</v>
      </c>
      <c r="E72" s="503">
        <f t="shared" si="234"/>
        <v>4056.4476712981</v>
      </c>
      <c r="F72" s="503">
        <f t="shared" si="234"/>
        <v>19934.4953234208</v>
      </c>
      <c r="G72" s="503">
        <f t="shared" si="234"/>
        <v>3999.44605700143</v>
      </c>
      <c r="H72" s="503">
        <f t="shared" si="234"/>
        <v>12655.3831670327</v>
      </c>
      <c r="I72" s="503">
        <f t="shared" si="234"/>
        <v>4360.71342088658</v>
      </c>
      <c r="J72" s="503">
        <f t="shared" si="234"/>
        <v>7279.11215638808</v>
      </c>
      <c r="K72" s="503">
        <f t="shared" si="234"/>
        <v>3843.46481840211</v>
      </c>
      <c r="L72" s="503">
        <f t="shared" si="234"/>
        <v>0</v>
      </c>
      <c r="M72" s="503">
        <f t="shared" si="234"/>
        <v>3727.34318486374</v>
      </c>
      <c r="N72" s="503">
        <f t="shared" si="234"/>
        <v>0</v>
      </c>
      <c r="O72" s="503">
        <f t="shared" si="234"/>
        <v>4438.96481840211</v>
      </c>
      <c r="P72" s="503">
        <f t="shared" si="234"/>
        <v>0</v>
      </c>
      <c r="Q72" s="503">
        <f t="shared" si="234"/>
        <v>925.370022660965</v>
      </c>
      <c r="R72" s="503">
        <f t="shared" si="234"/>
        <v>0</v>
      </c>
      <c r="S72" s="503">
        <f t="shared" si="234"/>
        <v>5587.96481840211</v>
      </c>
      <c r="T72" s="503">
        <f t="shared" si="234"/>
        <v>0</v>
      </c>
      <c r="U72" s="503">
        <f t="shared" si="234"/>
        <v>2831.04318486374</v>
      </c>
      <c r="V72" s="503">
        <f t="shared" si="234"/>
        <v>94.1718205013074</v>
      </c>
      <c r="W72" s="503">
        <f t="shared" si="234"/>
        <v>2828.24318486374</v>
      </c>
      <c r="X72" s="503">
        <f t="shared" si="234"/>
        <v>56.1377989763603</v>
      </c>
      <c r="Y72" s="503">
        <f t="shared" si="234"/>
        <v>2831.04318486374</v>
      </c>
      <c r="Z72" s="503">
        <f t="shared" si="234"/>
        <v>21.2894447501753</v>
      </c>
      <c r="AA72" s="503">
        <f t="shared" si="234"/>
        <v>2831.04318486374</v>
      </c>
      <c r="AB72" s="503">
        <f t="shared" si="234"/>
        <v>56.9294474044249</v>
      </c>
      <c r="AC72" s="503">
        <f t="shared" si="234"/>
        <v>2847.56120581311</v>
      </c>
      <c r="AD72" s="503">
        <f t="shared" si="234"/>
        <v>6331.69756674695</v>
      </c>
      <c r="AE72" s="503">
        <f t="shared" si="234"/>
        <v>2771.84318486374</v>
      </c>
      <c r="AF72" s="503">
        <f t="shared" si="234"/>
        <v>0</v>
      </c>
      <c r="AG72" s="503">
        <f t="shared" si="234"/>
        <v>3193.04318486374</v>
      </c>
      <c r="AH72" s="503">
        <f t="shared" si="234"/>
        <v>1259.69065990378</v>
      </c>
      <c r="AI72" s="503">
        <f t="shared" si="234"/>
        <v>2773.04318486374</v>
      </c>
      <c r="AJ72" s="503">
        <f t="shared" si="234"/>
        <v>5072.00690684317</v>
      </c>
      <c r="AK72" s="559"/>
      <c r="AL72" s="560">
        <f t="shared" si="198"/>
        <v>26494.7214018</v>
      </c>
      <c r="AM72" s="557"/>
      <c r="AO72" s="405">
        <f t="shared" si="153"/>
        <v>228.52851163227</v>
      </c>
    </row>
    <row r="73" customHeight="1" outlineLevel="1" spans="1:41">
      <c r="A73" s="505">
        <v>3.1</v>
      </c>
      <c r="B73" s="578" t="s">
        <v>307</v>
      </c>
      <c r="C73" s="579">
        <f t="shared" ref="C73:AJ73" si="235">SUM(C74:C77)</f>
        <v>130.747269899126</v>
      </c>
      <c r="D73" s="579">
        <f t="shared" si="235"/>
        <v>933.251131767732</v>
      </c>
      <c r="E73" s="579">
        <f t="shared" si="235"/>
        <v>130.070416468595</v>
      </c>
      <c r="F73" s="579">
        <f t="shared" si="235"/>
        <v>639.201665820786</v>
      </c>
      <c r="G73" s="579">
        <f t="shared" si="235"/>
        <v>132.243184863737</v>
      </c>
      <c r="H73" s="579">
        <f t="shared" si="235"/>
        <v>418.454993973364</v>
      </c>
      <c r="I73" s="579">
        <f t="shared" si="235"/>
        <v>132.243184863737</v>
      </c>
      <c r="J73" s="579">
        <f t="shared" si="235"/>
        <v>220.746671847422</v>
      </c>
      <c r="K73" s="579">
        <f t="shared" si="235"/>
        <v>132.243184863737</v>
      </c>
      <c r="L73" s="579">
        <f t="shared" si="235"/>
        <v>0</v>
      </c>
      <c r="M73" s="579">
        <f t="shared" si="235"/>
        <v>132.243184863737</v>
      </c>
      <c r="N73" s="579">
        <f t="shared" si="235"/>
        <v>0</v>
      </c>
      <c r="O73" s="579">
        <f t="shared" si="235"/>
        <v>132.243184863737</v>
      </c>
      <c r="P73" s="579">
        <f t="shared" si="235"/>
        <v>0</v>
      </c>
      <c r="Q73" s="579">
        <f t="shared" si="235"/>
        <v>132.970022660965</v>
      </c>
      <c r="R73" s="579">
        <f t="shared" si="235"/>
        <v>0</v>
      </c>
      <c r="S73" s="579">
        <f t="shared" si="235"/>
        <v>132.243184863737</v>
      </c>
      <c r="T73" s="579">
        <f t="shared" si="235"/>
        <v>0</v>
      </c>
      <c r="U73" s="579">
        <f t="shared" si="235"/>
        <v>132.243184863737</v>
      </c>
      <c r="V73" s="579">
        <f t="shared" si="235"/>
        <v>4.39893730130733</v>
      </c>
      <c r="W73" s="579">
        <f t="shared" si="235"/>
        <v>132.243184863737</v>
      </c>
      <c r="X73" s="579">
        <f t="shared" si="235"/>
        <v>2.62489497636031</v>
      </c>
      <c r="Y73" s="579">
        <f t="shared" si="235"/>
        <v>132.243184863737</v>
      </c>
      <c r="Z73" s="579">
        <f t="shared" si="235"/>
        <v>0.994468750175299</v>
      </c>
      <c r="AA73" s="579">
        <f t="shared" si="235"/>
        <v>132.243184863737</v>
      </c>
      <c r="AB73" s="579">
        <f t="shared" si="235"/>
        <v>2.65927820442488</v>
      </c>
      <c r="AC73" s="579">
        <f t="shared" si="235"/>
        <v>132.243184863737</v>
      </c>
      <c r="AD73" s="579">
        <f t="shared" si="235"/>
        <v>294.049465946946</v>
      </c>
      <c r="AE73" s="579">
        <f t="shared" si="235"/>
        <v>132.243184863737</v>
      </c>
      <c r="AF73" s="579">
        <f t="shared" si="235"/>
        <v>0</v>
      </c>
      <c r="AG73" s="579">
        <f t="shared" si="235"/>
        <v>132.243184863737</v>
      </c>
      <c r="AH73" s="579">
        <f t="shared" si="235"/>
        <v>52.1713911037776</v>
      </c>
      <c r="AI73" s="579">
        <f t="shared" si="235"/>
        <v>132.243184863737</v>
      </c>
      <c r="AJ73" s="579">
        <f t="shared" si="235"/>
        <v>241.878074843169</v>
      </c>
      <c r="AK73" s="559"/>
      <c r="AL73" s="560">
        <f t="shared" si="198"/>
        <v>943.928711</v>
      </c>
      <c r="AM73" s="557"/>
      <c r="AO73" s="405">
        <f t="shared" si="153"/>
        <v>10.6775792322676</v>
      </c>
    </row>
    <row r="74" s="492" customFormat="1" ht="27.75" customHeight="1" outlineLevel="2" spans="1:41">
      <c r="A74" s="514" t="s">
        <v>308</v>
      </c>
      <c r="B74" s="572" t="s">
        <v>309</v>
      </c>
      <c r="C74" s="507">
        <f t="shared" ref="C74:C80" si="236">D74/$C$8</f>
        <v>0</v>
      </c>
      <c r="D74" s="507">
        <f t="shared" ref="D74:D80" si="237">F74+AD74</f>
        <v>0</v>
      </c>
      <c r="E74" s="507">
        <f t="shared" ref="E74:E80" si="238">F74/$E$8</f>
        <v>0</v>
      </c>
      <c r="F74" s="507">
        <f t="shared" ref="F74:F80" si="239">H74+J74+L74+N74+P74+R74+T74</f>
        <v>0</v>
      </c>
      <c r="G74" s="580">
        <v>0</v>
      </c>
      <c r="H74" s="507">
        <f t="shared" ref="H74:H80" si="240">G74*G$8</f>
        <v>0</v>
      </c>
      <c r="I74" s="594">
        <f>经济指标!J27*0.81*300*7/10000*0</f>
        <v>0</v>
      </c>
      <c r="J74" s="507">
        <f t="shared" ref="J74:J80" si="241">I74*I$8</f>
        <v>0</v>
      </c>
      <c r="K74" s="516">
        <f>经济指标!J28*0.81*300*10/10000*0</f>
        <v>0</v>
      </c>
      <c r="L74" s="507">
        <f t="shared" ref="L74" si="242">K74*K$8</f>
        <v>0</v>
      </c>
      <c r="M74" s="516">
        <v>0</v>
      </c>
      <c r="N74" s="507">
        <f t="shared" ref="N74:N80" si="243">M74*M$8</f>
        <v>0</v>
      </c>
      <c r="O74" s="580"/>
      <c r="P74" s="507">
        <f t="shared" ref="P74:P80" si="244">O74*O$8</f>
        <v>0</v>
      </c>
      <c r="Q74" s="516"/>
      <c r="R74" s="507">
        <f t="shared" ref="R74:R80" si="245">Q74*Q$8</f>
        <v>0</v>
      </c>
      <c r="S74" s="580">
        <f>经济指标!J29*300*0.81*10/10000*0</f>
        <v>0</v>
      </c>
      <c r="T74" s="507">
        <f t="shared" ref="T74:T80" si="246">S74*S$8</f>
        <v>0</v>
      </c>
      <c r="U74" s="516"/>
      <c r="V74" s="507">
        <f t="shared" ref="V74:V80" si="247">U74*U$8</f>
        <v>0</v>
      </c>
      <c r="W74" s="516"/>
      <c r="X74" s="507">
        <f t="shared" ref="X74:X80" si="248">W74*W$8</f>
        <v>0</v>
      </c>
      <c r="Y74" s="516"/>
      <c r="Z74" s="507">
        <f t="shared" ref="Z74:Z80" si="249">Y74*Y$8</f>
        <v>0</v>
      </c>
      <c r="AA74" s="516"/>
      <c r="AB74" s="507">
        <f t="shared" ref="AB74:AB80" si="250">AA74*AA$8</f>
        <v>0</v>
      </c>
      <c r="AC74" s="507">
        <f>AD74/AC$8</f>
        <v>0</v>
      </c>
      <c r="AD74" s="507">
        <f t="shared" ref="AD74:AD80" si="251">AF74*0+AH74+AJ74</f>
        <v>0</v>
      </c>
      <c r="AE74" s="516"/>
      <c r="AF74" s="507">
        <f t="shared" ref="AF74" si="252">AE74*AE$8</f>
        <v>0</v>
      </c>
      <c r="AG74" s="516"/>
      <c r="AH74" s="507">
        <f t="shared" ref="AH74:AH80" si="253">AG74*AG$8</f>
        <v>0</v>
      </c>
      <c r="AI74" s="516"/>
      <c r="AJ74" s="507">
        <f t="shared" ref="AJ74:AJ80" si="254">AI74*AI$8</f>
        <v>0</v>
      </c>
      <c r="AK74" s="521" t="s">
        <v>310</v>
      </c>
      <c r="AL74" s="560">
        <f t="shared" si="198"/>
        <v>0</v>
      </c>
      <c r="AM74" s="598"/>
      <c r="AO74" s="405">
        <f t="shared" si="153"/>
        <v>0</v>
      </c>
    </row>
    <row r="75" ht="28.5" customHeight="1" outlineLevel="2" spans="1:41">
      <c r="A75" s="514" t="s">
        <v>311</v>
      </c>
      <c r="B75" s="572" t="s">
        <v>312</v>
      </c>
      <c r="C75" s="507">
        <f t="shared" si="236"/>
        <v>4.26788535251347</v>
      </c>
      <c r="D75" s="507">
        <f t="shared" si="237"/>
        <v>30.4634187663044</v>
      </c>
      <c r="E75" s="507">
        <f t="shared" si="238"/>
        <v>4.24579133216265</v>
      </c>
      <c r="F75" s="507">
        <f t="shared" si="239"/>
        <v>20.8649819530723</v>
      </c>
      <c r="G75" s="516">
        <f>AN75</f>
        <v>4.31671538598943</v>
      </c>
      <c r="H75" s="507">
        <f t="shared" si="240"/>
        <v>13.6593134284402</v>
      </c>
      <c r="I75" s="516">
        <f t="shared" ref="I75:I80" si="255">G75</f>
        <v>4.31671538598943</v>
      </c>
      <c r="J75" s="507">
        <f t="shared" si="241"/>
        <v>7.20566852463208</v>
      </c>
      <c r="K75" s="516">
        <f>I75</f>
        <v>4.31671538598943</v>
      </c>
      <c r="L75" s="507">
        <f t="shared" ref="L75" si="256">K75*K$8</f>
        <v>0</v>
      </c>
      <c r="M75" s="516">
        <f>G75</f>
        <v>4.31671538598943</v>
      </c>
      <c r="N75" s="507">
        <f t="shared" si="243"/>
        <v>0</v>
      </c>
      <c r="O75" s="516">
        <f t="shared" ref="O75:O80" si="257">G75</f>
        <v>4.31671538598943</v>
      </c>
      <c r="P75" s="507">
        <f t="shared" si="244"/>
        <v>0</v>
      </c>
      <c r="Q75" s="516">
        <f>$AM$75/$C$8</f>
        <v>5.04355318321758</v>
      </c>
      <c r="R75" s="507">
        <f t="shared" si="245"/>
        <v>0</v>
      </c>
      <c r="S75" s="516">
        <f t="shared" ref="S75:S80" si="258">G75</f>
        <v>4.31671538598943</v>
      </c>
      <c r="T75" s="507">
        <f t="shared" si="246"/>
        <v>0</v>
      </c>
      <c r="U75" s="516">
        <f t="shared" ref="U75:U80" si="259">G75</f>
        <v>4.31671538598943</v>
      </c>
      <c r="V75" s="507">
        <f t="shared" si="247"/>
        <v>0.143591220599552</v>
      </c>
      <c r="W75" s="516">
        <f>I75</f>
        <v>4.31671538598943</v>
      </c>
      <c r="X75" s="507">
        <f t="shared" si="248"/>
        <v>0.0856824836965042</v>
      </c>
      <c r="Y75" s="516">
        <f t="shared" ref="Y75:Y80" si="260">G75</f>
        <v>4.31671538598943</v>
      </c>
      <c r="Z75" s="507">
        <f t="shared" si="249"/>
        <v>0.0324616997026405</v>
      </c>
      <c r="AA75" s="516">
        <f t="shared" ref="AA75:AA80" si="261">G75</f>
        <v>4.31671538598943</v>
      </c>
      <c r="AB75" s="507">
        <f t="shared" si="250"/>
        <v>0.0868048296968614</v>
      </c>
      <c r="AC75" s="507">
        <f>G75</f>
        <v>4.31671538598943</v>
      </c>
      <c r="AD75" s="507">
        <f t="shared" si="251"/>
        <v>9.59843681323218</v>
      </c>
      <c r="AE75" s="516">
        <f t="shared" ref="AE75:AE80" si="262">AG75</f>
        <v>4.31671538598943</v>
      </c>
      <c r="AF75" s="507">
        <f t="shared" ref="AF75" si="263">AE75*AE$8</f>
        <v>0</v>
      </c>
      <c r="AG75" s="516">
        <f t="shared" ref="AG75:AG80" si="264">G75</f>
        <v>4.31671538598943</v>
      </c>
      <c r="AH75" s="507">
        <f t="shared" si="253"/>
        <v>1.70299170364208</v>
      </c>
      <c r="AI75" s="516">
        <f t="shared" ref="AI75:AI80" si="265">G75</f>
        <v>4.31671538598943</v>
      </c>
      <c r="AJ75" s="507">
        <f t="shared" si="254"/>
        <v>7.89544510959011</v>
      </c>
      <c r="AK75" s="537" t="s">
        <v>313</v>
      </c>
      <c r="AL75" s="560">
        <f t="shared" si="198"/>
        <v>30.811959</v>
      </c>
      <c r="AM75" s="557">
        <f>80*4500/10000</f>
        <v>36</v>
      </c>
      <c r="AN75" s="405">
        <f>(24+经济指标!E20/500)*4500/10000/C8</f>
        <v>4.31671538598943</v>
      </c>
      <c r="AO75" s="405">
        <f t="shared" si="153"/>
        <v>0.348540233695562</v>
      </c>
    </row>
    <row r="76" s="417" customFormat="1" ht="33" customHeight="1" outlineLevel="2" spans="1:41">
      <c r="A76" s="519" t="s">
        <v>314</v>
      </c>
      <c r="B76" s="572" t="s">
        <v>315</v>
      </c>
      <c r="C76" s="507">
        <f t="shared" si="236"/>
        <v>27.7027848343785</v>
      </c>
      <c r="D76" s="507">
        <f t="shared" si="237"/>
        <v>197.737630160448</v>
      </c>
      <c r="E76" s="507">
        <f t="shared" si="238"/>
        <v>27.559372853655</v>
      </c>
      <c r="F76" s="507">
        <f t="shared" si="239"/>
        <v>135.434309471022</v>
      </c>
      <c r="G76" s="520">
        <f>AN76</f>
        <v>28.0197399067643</v>
      </c>
      <c r="H76" s="507">
        <f t="shared" si="240"/>
        <v>88.6624146711358</v>
      </c>
      <c r="I76" s="520">
        <f t="shared" si="255"/>
        <v>28.0197399067643</v>
      </c>
      <c r="J76" s="507">
        <f t="shared" si="241"/>
        <v>46.7718947998865</v>
      </c>
      <c r="K76" s="520">
        <f>$AM$76/$C$8</f>
        <v>28.0197399067643</v>
      </c>
      <c r="L76" s="520">
        <f t="shared" ref="L76" si="266">K76*K$8</f>
        <v>0</v>
      </c>
      <c r="M76" s="520">
        <f>$AM$76/$C$8</f>
        <v>28.0197399067643</v>
      </c>
      <c r="N76" s="520">
        <f t="shared" si="243"/>
        <v>0</v>
      </c>
      <c r="O76" s="520">
        <f t="shared" si="257"/>
        <v>28.0197399067643</v>
      </c>
      <c r="P76" s="507">
        <f t="shared" si="244"/>
        <v>0</v>
      </c>
      <c r="Q76" s="520">
        <f>$AM$76/$C$8</f>
        <v>28.0197399067643</v>
      </c>
      <c r="R76" s="520">
        <f t="shared" si="245"/>
        <v>0</v>
      </c>
      <c r="S76" s="520">
        <f t="shared" si="258"/>
        <v>28.0197399067643</v>
      </c>
      <c r="T76" s="507">
        <f t="shared" si="246"/>
        <v>0</v>
      </c>
      <c r="U76" s="520">
        <f t="shared" si="259"/>
        <v>28.0197399067643</v>
      </c>
      <c r="V76" s="507">
        <f t="shared" si="247"/>
        <v>0.932048628258608</v>
      </c>
      <c r="W76" s="520">
        <f>G76</f>
        <v>28.0197399067643</v>
      </c>
      <c r="X76" s="507">
        <f t="shared" si="248"/>
        <v>0.556163817409365</v>
      </c>
      <c r="Y76" s="520">
        <f t="shared" si="260"/>
        <v>28.0197399067643</v>
      </c>
      <c r="Z76" s="507">
        <f t="shared" si="249"/>
        <v>0.210708444098868</v>
      </c>
      <c r="AA76" s="520">
        <f t="shared" si="261"/>
        <v>28.0197399067643</v>
      </c>
      <c r="AB76" s="507">
        <f t="shared" si="250"/>
        <v>0.563448949785124</v>
      </c>
      <c r="AC76" s="507">
        <f>AD76/AC$8</f>
        <v>28.0197399067643</v>
      </c>
      <c r="AD76" s="507">
        <f t="shared" si="251"/>
        <v>62.3033206894257</v>
      </c>
      <c r="AE76" s="516">
        <f t="shared" si="262"/>
        <v>28.0197399067643</v>
      </c>
      <c r="AF76" s="520">
        <f t="shared" ref="AF76" si="267">AE76*AE$8</f>
        <v>0</v>
      </c>
      <c r="AG76" s="520">
        <f t="shared" si="264"/>
        <v>28.0197399067643</v>
      </c>
      <c r="AH76" s="507">
        <f t="shared" si="253"/>
        <v>11.0540956103575</v>
      </c>
      <c r="AI76" s="520">
        <f t="shared" si="265"/>
        <v>28.0197399067643</v>
      </c>
      <c r="AJ76" s="507">
        <f t="shared" si="254"/>
        <v>51.2492250790682</v>
      </c>
      <c r="AK76" s="563" t="s">
        <v>316</v>
      </c>
      <c r="AL76" s="565">
        <f t="shared" si="198"/>
        <v>200</v>
      </c>
      <c r="AM76" s="599">
        <v>200</v>
      </c>
      <c r="AN76" s="417">
        <f>AM76/C8</f>
        <v>28.0197399067643</v>
      </c>
      <c r="AO76" s="405">
        <f t="shared" si="153"/>
        <v>2.26236983955192</v>
      </c>
    </row>
    <row r="77" ht="37.5" customHeight="1" outlineLevel="2" spans="1:41">
      <c r="A77" s="514" t="s">
        <v>317</v>
      </c>
      <c r="B77" s="572" t="s">
        <v>318</v>
      </c>
      <c r="C77" s="507">
        <f t="shared" si="236"/>
        <v>98.7765997122345</v>
      </c>
      <c r="D77" s="507">
        <f t="shared" si="237"/>
        <v>705.05008284098</v>
      </c>
      <c r="E77" s="507">
        <f t="shared" si="238"/>
        <v>98.265252282777</v>
      </c>
      <c r="F77" s="507">
        <f t="shared" si="239"/>
        <v>482.902374396692</v>
      </c>
      <c r="G77" s="516">
        <f>AM77/C8</f>
        <v>99.9067295709828</v>
      </c>
      <c r="H77" s="507">
        <f t="shared" si="240"/>
        <v>316.133265873788</v>
      </c>
      <c r="I77" s="516">
        <f t="shared" si="255"/>
        <v>99.9067295709828</v>
      </c>
      <c r="J77" s="507">
        <f t="shared" si="241"/>
        <v>166.769108522904</v>
      </c>
      <c r="K77" s="516">
        <f>$AM$77/$C$8</f>
        <v>99.9067295709828</v>
      </c>
      <c r="L77" s="507">
        <f t="shared" ref="L77:L80" si="268">K77*K$8</f>
        <v>0</v>
      </c>
      <c r="M77" s="516">
        <f>$AM$77/$C$8</f>
        <v>99.9067295709828</v>
      </c>
      <c r="N77" s="507">
        <f t="shared" si="243"/>
        <v>0</v>
      </c>
      <c r="O77" s="516">
        <f t="shared" si="257"/>
        <v>99.9067295709828</v>
      </c>
      <c r="P77" s="507">
        <f t="shared" si="244"/>
        <v>0</v>
      </c>
      <c r="Q77" s="516">
        <f>$AM$77/$C$8</f>
        <v>99.9067295709828</v>
      </c>
      <c r="R77" s="507">
        <f t="shared" si="245"/>
        <v>0</v>
      </c>
      <c r="S77" s="516">
        <f t="shared" si="258"/>
        <v>99.9067295709828</v>
      </c>
      <c r="T77" s="507">
        <f t="shared" si="246"/>
        <v>0</v>
      </c>
      <c r="U77" s="516">
        <f t="shared" si="259"/>
        <v>99.9067295709828</v>
      </c>
      <c r="V77" s="507">
        <f t="shared" si="247"/>
        <v>3.32329745244917</v>
      </c>
      <c r="W77" s="516">
        <f>G77</f>
        <v>99.9067295709828</v>
      </c>
      <c r="X77" s="507">
        <f t="shared" si="248"/>
        <v>1.98304867525444</v>
      </c>
      <c r="Y77" s="516">
        <f t="shared" si="260"/>
        <v>99.9067295709828</v>
      </c>
      <c r="Z77" s="507">
        <f t="shared" si="249"/>
        <v>0.751298606373791</v>
      </c>
      <c r="AA77" s="516">
        <f t="shared" si="261"/>
        <v>99.9067295709828</v>
      </c>
      <c r="AB77" s="507">
        <f t="shared" si="250"/>
        <v>2.00902442494289</v>
      </c>
      <c r="AC77" s="507">
        <f>AD77/AC$8</f>
        <v>99.9067295709828</v>
      </c>
      <c r="AD77" s="507">
        <f t="shared" si="251"/>
        <v>222.147708444288</v>
      </c>
      <c r="AE77" s="516">
        <f t="shared" si="262"/>
        <v>99.9067295709828</v>
      </c>
      <c r="AF77" s="507">
        <f t="shared" ref="AF77:AF80" si="269">AE77*AE$8</f>
        <v>0</v>
      </c>
      <c r="AG77" s="516">
        <f t="shared" si="264"/>
        <v>99.9067295709828</v>
      </c>
      <c r="AH77" s="507">
        <f t="shared" si="253"/>
        <v>39.414303789778</v>
      </c>
      <c r="AI77" s="516">
        <f t="shared" si="265"/>
        <v>99.9067295709828</v>
      </c>
      <c r="AJ77" s="507">
        <f t="shared" si="254"/>
        <v>182.73340465451</v>
      </c>
      <c r="AK77" s="521" t="s">
        <v>319</v>
      </c>
      <c r="AL77" s="560">
        <f t="shared" si="198"/>
        <v>713.116752</v>
      </c>
      <c r="AM77" s="600">
        <f>经济指标!E20*35*6/10000+180*4*5*400/10000+200*4*6*2*20/10000+100*0+经济指标!K25*1.5*20/10000</f>
        <v>713.116752</v>
      </c>
      <c r="AO77" s="405">
        <f t="shared" si="153"/>
        <v>8.06666915902019</v>
      </c>
    </row>
    <row r="78" ht="28.15" customHeight="1" outlineLevel="2" spans="1:39">
      <c r="A78" s="514"/>
      <c r="B78" s="572" t="s">
        <v>320</v>
      </c>
      <c r="C78" s="507">
        <f t="shared" si="236"/>
        <v>78.8305946314819</v>
      </c>
      <c r="D78" s="507">
        <f t="shared" si="237"/>
        <v>562.678989125457</v>
      </c>
      <c r="E78" s="507">
        <f t="shared" si="238"/>
        <v>78.4225038281454</v>
      </c>
      <c r="F78" s="507">
        <f t="shared" si="239"/>
        <v>385.389671577555</v>
      </c>
      <c r="G78" s="516">
        <f>AM78/C8</f>
        <v>79.7325168381125</v>
      </c>
      <c r="H78" s="507">
        <f t="shared" si="240"/>
        <v>252.29632731057</v>
      </c>
      <c r="I78" s="516">
        <f t="shared" si="255"/>
        <v>79.7325168381125</v>
      </c>
      <c r="J78" s="507">
        <f t="shared" si="241"/>
        <v>133.093344266986</v>
      </c>
      <c r="K78" s="516">
        <f>$AM$77/$C$8</f>
        <v>99.9067295709828</v>
      </c>
      <c r="L78" s="507">
        <f t="shared" si="268"/>
        <v>0</v>
      </c>
      <c r="M78" s="516">
        <f>$AM$77/$C$8</f>
        <v>99.9067295709828</v>
      </c>
      <c r="N78" s="507">
        <f t="shared" si="243"/>
        <v>0</v>
      </c>
      <c r="O78" s="516">
        <f t="shared" si="257"/>
        <v>79.7325168381125</v>
      </c>
      <c r="P78" s="507">
        <f t="shared" si="244"/>
        <v>0</v>
      </c>
      <c r="Q78" s="516">
        <f>$AM$77/$C$8</f>
        <v>99.9067295709828</v>
      </c>
      <c r="R78" s="507">
        <f t="shared" si="245"/>
        <v>0</v>
      </c>
      <c r="S78" s="516">
        <f t="shared" si="258"/>
        <v>79.7325168381125</v>
      </c>
      <c r="T78" s="507">
        <f t="shared" si="246"/>
        <v>0</v>
      </c>
      <c r="U78" s="516">
        <f t="shared" si="259"/>
        <v>79.7325168381125</v>
      </c>
      <c r="V78" s="507">
        <f t="shared" si="247"/>
        <v>2.65222244010297</v>
      </c>
      <c r="W78" s="516">
        <f>G78</f>
        <v>79.7325168381125</v>
      </c>
      <c r="X78" s="507">
        <f t="shared" si="248"/>
        <v>1.58261072671969</v>
      </c>
      <c r="Y78" s="516">
        <f t="shared" si="260"/>
        <v>79.7325168381125</v>
      </c>
      <c r="Z78" s="507">
        <f t="shared" si="249"/>
        <v>0.599588526622606</v>
      </c>
      <c r="AA78" s="516">
        <f t="shared" si="261"/>
        <v>79.7325168381125</v>
      </c>
      <c r="AB78" s="507">
        <f t="shared" si="250"/>
        <v>1.6033411810976</v>
      </c>
      <c r="AC78" s="507">
        <f>AD78/AC$8</f>
        <v>79.7325168381125</v>
      </c>
      <c r="AD78" s="507">
        <f t="shared" si="251"/>
        <v>177.289317547902</v>
      </c>
      <c r="AE78" s="516">
        <f t="shared" si="262"/>
        <v>79.7325168381125</v>
      </c>
      <c r="AF78" s="507">
        <f t="shared" si="269"/>
        <v>0</v>
      </c>
      <c r="AG78" s="516">
        <f t="shared" si="264"/>
        <v>79.7325168381125</v>
      </c>
      <c r="AH78" s="507">
        <f t="shared" si="253"/>
        <v>31.4553549503206</v>
      </c>
      <c r="AI78" s="516">
        <f t="shared" si="265"/>
        <v>79.7325168381125</v>
      </c>
      <c r="AJ78" s="507">
        <f t="shared" si="254"/>
        <v>145.833962597581</v>
      </c>
      <c r="AK78" s="601"/>
      <c r="AL78" s="560"/>
      <c r="AM78" s="600">
        <f>经济指标!E20*35*6/10000+200*4*6*2*20/10000+经济指标!K25*1.5*20/10000</f>
        <v>569.116752</v>
      </c>
    </row>
    <row r="79" ht="28.15" customHeight="1" outlineLevel="2" spans="1:39">
      <c r="A79" s="514"/>
      <c r="B79" s="572" t="s">
        <v>321</v>
      </c>
      <c r="C79" s="507">
        <f t="shared" si="236"/>
        <v>19.9460050807526</v>
      </c>
      <c r="D79" s="507">
        <f t="shared" si="237"/>
        <v>142.371093715523</v>
      </c>
      <c r="E79" s="507">
        <f t="shared" si="238"/>
        <v>19.8427484546316</v>
      </c>
      <c r="F79" s="507">
        <f t="shared" si="239"/>
        <v>97.5127028191361</v>
      </c>
      <c r="G79" s="516">
        <f>AM79/C8</f>
        <v>20.1742127328703</v>
      </c>
      <c r="H79" s="507">
        <f t="shared" si="240"/>
        <v>63.8369385632178</v>
      </c>
      <c r="I79" s="516">
        <f t="shared" si="255"/>
        <v>20.1742127328703</v>
      </c>
      <c r="J79" s="507">
        <f t="shared" si="241"/>
        <v>33.6757642559183</v>
      </c>
      <c r="K79" s="516">
        <f>$AM$77/$C$8</f>
        <v>99.9067295709828</v>
      </c>
      <c r="L79" s="507">
        <f t="shared" si="268"/>
        <v>0</v>
      </c>
      <c r="M79" s="516">
        <f>$AM$77/$C$8</f>
        <v>99.9067295709828</v>
      </c>
      <c r="N79" s="507">
        <f t="shared" si="243"/>
        <v>0</v>
      </c>
      <c r="O79" s="516">
        <f t="shared" si="257"/>
        <v>20.1742127328703</v>
      </c>
      <c r="P79" s="507">
        <f t="shared" si="244"/>
        <v>0</v>
      </c>
      <c r="Q79" s="516">
        <f>$AM$77/$C$8</f>
        <v>99.9067295709828</v>
      </c>
      <c r="R79" s="507">
        <f t="shared" si="245"/>
        <v>0</v>
      </c>
      <c r="S79" s="516">
        <f t="shared" si="258"/>
        <v>20.1742127328703</v>
      </c>
      <c r="T79" s="507">
        <f t="shared" si="246"/>
        <v>0</v>
      </c>
      <c r="U79" s="516">
        <f t="shared" si="259"/>
        <v>20.1742127328703</v>
      </c>
      <c r="V79" s="507">
        <f t="shared" si="247"/>
        <v>0.671075012346198</v>
      </c>
      <c r="W79" s="516">
        <f>G79</f>
        <v>20.1742127328703</v>
      </c>
      <c r="X79" s="507">
        <f t="shared" si="248"/>
        <v>0.400437948534743</v>
      </c>
      <c r="Y79" s="516">
        <f t="shared" si="260"/>
        <v>20.1742127328703</v>
      </c>
      <c r="Z79" s="507">
        <f t="shared" si="249"/>
        <v>0.151710079751185</v>
      </c>
      <c r="AA79" s="516">
        <f t="shared" si="261"/>
        <v>20.1742127328703</v>
      </c>
      <c r="AB79" s="507">
        <f t="shared" si="250"/>
        <v>0.405683243845289</v>
      </c>
      <c r="AC79" s="507">
        <f>AD79/AC$8</f>
        <v>20.1742127328703</v>
      </c>
      <c r="AD79" s="507">
        <f t="shared" si="251"/>
        <v>44.8583908963865</v>
      </c>
      <c r="AE79" s="516">
        <f t="shared" si="262"/>
        <v>20.1742127328703</v>
      </c>
      <c r="AF79" s="507">
        <f t="shared" si="269"/>
        <v>0</v>
      </c>
      <c r="AG79" s="516">
        <f t="shared" si="264"/>
        <v>20.1742127328703</v>
      </c>
      <c r="AH79" s="507">
        <f t="shared" si="253"/>
        <v>7.9589488394574</v>
      </c>
      <c r="AI79" s="516">
        <f t="shared" si="265"/>
        <v>20.1742127328703</v>
      </c>
      <c r="AJ79" s="507">
        <f t="shared" si="254"/>
        <v>36.8994420569291</v>
      </c>
      <c r="AK79" s="601"/>
      <c r="AL79" s="560"/>
      <c r="AM79" s="600">
        <f>180*4*5*400/10000</f>
        <v>144</v>
      </c>
    </row>
    <row r="80" ht="28.15" customHeight="1" outlineLevel="2" spans="1:39">
      <c r="A80" s="514"/>
      <c r="B80" s="572" t="s">
        <v>322</v>
      </c>
      <c r="C80" s="507">
        <f t="shared" si="236"/>
        <v>0</v>
      </c>
      <c r="D80" s="507">
        <f t="shared" si="237"/>
        <v>0</v>
      </c>
      <c r="E80" s="507">
        <f t="shared" si="238"/>
        <v>0</v>
      </c>
      <c r="F80" s="507">
        <f t="shared" si="239"/>
        <v>0</v>
      </c>
      <c r="G80" s="545">
        <f>AM80/C8</f>
        <v>0</v>
      </c>
      <c r="H80" s="507">
        <f t="shared" si="240"/>
        <v>0</v>
      </c>
      <c r="I80" s="545">
        <f t="shared" si="255"/>
        <v>0</v>
      </c>
      <c r="J80" s="507">
        <f t="shared" si="241"/>
        <v>0</v>
      </c>
      <c r="K80" s="516">
        <f>$AM$77/$C$8</f>
        <v>99.9067295709828</v>
      </c>
      <c r="L80" s="507">
        <f t="shared" si="268"/>
        <v>0</v>
      </c>
      <c r="M80" s="516">
        <f>$AM$77/$C$8</f>
        <v>99.9067295709828</v>
      </c>
      <c r="N80" s="507">
        <f t="shared" si="243"/>
        <v>0</v>
      </c>
      <c r="O80" s="516">
        <f t="shared" si="257"/>
        <v>0</v>
      </c>
      <c r="P80" s="507">
        <f t="shared" si="244"/>
        <v>0</v>
      </c>
      <c r="Q80" s="516">
        <f>$AM$77/$C$8</f>
        <v>99.9067295709828</v>
      </c>
      <c r="R80" s="507">
        <f t="shared" si="245"/>
        <v>0</v>
      </c>
      <c r="S80" s="516">
        <f t="shared" si="258"/>
        <v>0</v>
      </c>
      <c r="T80" s="507">
        <f t="shared" si="246"/>
        <v>0</v>
      </c>
      <c r="U80" s="516">
        <f t="shared" si="259"/>
        <v>0</v>
      </c>
      <c r="V80" s="507">
        <f t="shared" si="247"/>
        <v>0</v>
      </c>
      <c r="W80" s="516">
        <f>G80</f>
        <v>0</v>
      </c>
      <c r="X80" s="507">
        <f t="shared" si="248"/>
        <v>0</v>
      </c>
      <c r="Y80" s="516">
        <f t="shared" si="260"/>
        <v>0</v>
      </c>
      <c r="Z80" s="507">
        <f t="shared" si="249"/>
        <v>0</v>
      </c>
      <c r="AA80" s="516">
        <f t="shared" si="261"/>
        <v>0</v>
      </c>
      <c r="AB80" s="507">
        <f t="shared" si="250"/>
        <v>0</v>
      </c>
      <c r="AC80" s="507">
        <f>AD80/AC$8</f>
        <v>0</v>
      </c>
      <c r="AD80" s="507">
        <f t="shared" si="251"/>
        <v>0</v>
      </c>
      <c r="AE80" s="516">
        <f t="shared" si="262"/>
        <v>0</v>
      </c>
      <c r="AF80" s="507">
        <f t="shared" si="269"/>
        <v>0</v>
      </c>
      <c r="AG80" s="516">
        <f t="shared" si="264"/>
        <v>0</v>
      </c>
      <c r="AH80" s="507">
        <f t="shared" si="253"/>
        <v>0</v>
      </c>
      <c r="AI80" s="516">
        <f t="shared" si="265"/>
        <v>0</v>
      </c>
      <c r="AJ80" s="507">
        <f t="shared" si="254"/>
        <v>0</v>
      </c>
      <c r="AK80" s="601"/>
      <c r="AL80" s="560"/>
      <c r="AM80" s="600">
        <f>100*0</f>
        <v>0</v>
      </c>
    </row>
    <row r="81" customHeight="1" outlineLevel="1" spans="1:41">
      <c r="A81" s="505">
        <v>3.2</v>
      </c>
      <c r="B81" s="506" t="s">
        <v>323</v>
      </c>
      <c r="C81" s="581">
        <f>C82+C95+C96+C97</f>
        <v>3321.73997633733</v>
      </c>
      <c r="D81" s="581">
        <f>D82+D95+D96+D97</f>
        <v>23709.9986466</v>
      </c>
      <c r="E81" s="581">
        <f>E82+E95+E96+E97</f>
        <v>3604.54231782762</v>
      </c>
      <c r="F81" s="581">
        <f>F82+F95+F96+F97</f>
        <v>17713.7085944</v>
      </c>
      <c r="G81" s="581">
        <f t="shared" ref="G81:AJ81" si="270">G82+G95+G96+G97</f>
        <v>3558.67510526868</v>
      </c>
      <c r="H81" s="581">
        <f t="shared" si="270"/>
        <v>11260.6586968</v>
      </c>
      <c r="I81" s="581">
        <f t="shared" si="270"/>
        <v>3865.84252166245</v>
      </c>
      <c r="J81" s="581">
        <f t="shared" si="270"/>
        <v>6453.0498976</v>
      </c>
      <c r="K81" s="581">
        <f t="shared" si="270"/>
        <v>3552.8</v>
      </c>
      <c r="L81" s="581">
        <f t="shared" si="270"/>
        <v>0</v>
      </c>
      <c r="M81" s="581">
        <f t="shared" si="270"/>
        <v>3581.5</v>
      </c>
      <c r="N81" s="581">
        <f t="shared" si="270"/>
        <v>0</v>
      </c>
      <c r="O81" s="581">
        <f t="shared" si="270"/>
        <v>4143.3</v>
      </c>
      <c r="P81" s="581">
        <f t="shared" si="270"/>
        <v>0</v>
      </c>
      <c r="Q81" s="581">
        <f t="shared" si="270"/>
        <v>189.2</v>
      </c>
      <c r="R81" s="581">
        <f t="shared" si="270"/>
        <v>0</v>
      </c>
      <c r="S81" s="581">
        <f t="shared" si="270"/>
        <v>4492.3</v>
      </c>
      <c r="T81" s="581">
        <f t="shared" si="270"/>
        <v>0</v>
      </c>
      <c r="U81" s="581">
        <f t="shared" si="270"/>
        <v>2280.2</v>
      </c>
      <c r="V81" s="581">
        <f t="shared" si="270"/>
        <v>75.8485728</v>
      </c>
      <c r="W81" s="581">
        <f t="shared" si="270"/>
        <v>2277.4</v>
      </c>
      <c r="X81" s="581">
        <f t="shared" si="270"/>
        <v>45.2041126</v>
      </c>
      <c r="Y81" s="581">
        <f t="shared" si="270"/>
        <v>2280.2</v>
      </c>
      <c r="Z81" s="581">
        <f t="shared" si="270"/>
        <v>17.147104</v>
      </c>
      <c r="AA81" s="581">
        <f t="shared" si="270"/>
        <v>2280.2</v>
      </c>
      <c r="AB81" s="581">
        <f t="shared" si="270"/>
        <v>45.8525418</v>
      </c>
      <c r="AC81" s="581">
        <f t="shared" si="270"/>
        <v>2696.71802094937</v>
      </c>
      <c r="AD81" s="581">
        <f t="shared" si="270"/>
        <v>5996.2900522</v>
      </c>
      <c r="AE81" s="581">
        <f t="shared" si="270"/>
        <v>2621</v>
      </c>
      <c r="AF81" s="581">
        <f t="shared" si="270"/>
        <v>0</v>
      </c>
      <c r="AG81" s="581">
        <f t="shared" si="270"/>
        <v>3042.2</v>
      </c>
      <c r="AH81" s="581">
        <f t="shared" si="270"/>
        <v>1200.1813642</v>
      </c>
      <c r="AI81" s="581">
        <f t="shared" si="270"/>
        <v>2622.2</v>
      </c>
      <c r="AJ81" s="581">
        <f t="shared" si="270"/>
        <v>4796.108688</v>
      </c>
      <c r="AK81" s="559"/>
      <c r="AL81" s="560">
        <f>AJ81+AH81+AF81+AB81+Z81+X81+V81+AJ261+T81+R81+P81+N81+L81+J81+H81</f>
        <v>23894.0509778</v>
      </c>
      <c r="AM81" s="557"/>
      <c r="AO81" s="405">
        <f>H81+J81+P81+T81+V81+X81+Z81+AB81+AH81+AJ81-D81</f>
        <v>184.0523312</v>
      </c>
    </row>
    <row r="82" customHeight="1" outlineLevel="2" spans="1:41">
      <c r="A82" s="582" t="s">
        <v>324</v>
      </c>
      <c r="B82" s="583" t="s">
        <v>325</v>
      </c>
      <c r="C82" s="584">
        <f t="shared" ref="C82:Z82" si="271">SUM(C83:C94)</f>
        <v>2824.44240319705</v>
      </c>
      <c r="D82" s="584">
        <f t="shared" si="271"/>
        <v>20160.3755966</v>
      </c>
      <c r="E82" s="584">
        <f t="shared" si="271"/>
        <v>2950.10375782873</v>
      </c>
      <c r="F82" s="584">
        <f t="shared" si="271"/>
        <v>14497.6181944</v>
      </c>
      <c r="G82" s="584">
        <f t="shared" si="271"/>
        <v>2939.12651860579</v>
      </c>
      <c r="H82" s="584">
        <f t="shared" si="271"/>
        <v>9300.2310168</v>
      </c>
      <c r="I82" s="584">
        <f t="shared" si="271"/>
        <v>3113.60994747335</v>
      </c>
      <c r="J82" s="584">
        <f t="shared" si="271"/>
        <v>5197.3871776</v>
      </c>
      <c r="K82" s="584">
        <f t="shared" si="271"/>
        <v>3522.8</v>
      </c>
      <c r="L82" s="584">
        <f t="shared" si="271"/>
        <v>0</v>
      </c>
      <c r="M82" s="584">
        <f t="shared" si="271"/>
        <v>3471.5</v>
      </c>
      <c r="N82" s="584">
        <f t="shared" si="271"/>
        <v>0</v>
      </c>
      <c r="O82" s="584">
        <f t="shared" si="271"/>
        <v>4033.3</v>
      </c>
      <c r="P82" s="584">
        <f t="shared" si="271"/>
        <v>0</v>
      </c>
      <c r="Q82" s="584">
        <f t="shared" si="271"/>
        <v>119.2</v>
      </c>
      <c r="R82" s="584">
        <f t="shared" si="271"/>
        <v>0</v>
      </c>
      <c r="S82" s="584">
        <f t="shared" si="271"/>
        <v>4462.3</v>
      </c>
      <c r="T82" s="584">
        <f t="shared" si="271"/>
        <v>0</v>
      </c>
      <c r="U82" s="584">
        <f t="shared" si="271"/>
        <v>2255.2</v>
      </c>
      <c r="V82" s="584">
        <f t="shared" si="271"/>
        <v>75.0169728</v>
      </c>
      <c r="W82" s="584">
        <f t="shared" si="271"/>
        <v>2252.4</v>
      </c>
      <c r="X82" s="584">
        <f t="shared" si="271"/>
        <v>44.7078876</v>
      </c>
      <c r="Y82" s="584">
        <f t="shared" si="271"/>
        <v>2255.2</v>
      </c>
      <c r="Z82" s="584">
        <f t="shared" si="271"/>
        <v>16.959104</v>
      </c>
      <c r="AA82" s="584">
        <f t="shared" ref="AA82:AJ82" si="272">SUM(AA83:AA94)</f>
        <v>2255.2</v>
      </c>
      <c r="AB82" s="584">
        <f t="shared" si="272"/>
        <v>45.3498168</v>
      </c>
      <c r="AC82" s="584">
        <f t="shared" si="272"/>
        <v>2546.71802094937</v>
      </c>
      <c r="AD82" s="584">
        <f t="shared" si="272"/>
        <v>5662.7574022</v>
      </c>
      <c r="AE82" s="584">
        <f t="shared" si="272"/>
        <v>2471</v>
      </c>
      <c r="AF82" s="584">
        <f t="shared" si="272"/>
        <v>0</v>
      </c>
      <c r="AG82" s="584">
        <f t="shared" si="272"/>
        <v>2892.2</v>
      </c>
      <c r="AH82" s="584">
        <f t="shared" si="272"/>
        <v>1141.0047142</v>
      </c>
      <c r="AI82" s="584">
        <f t="shared" si="272"/>
        <v>2472.2</v>
      </c>
      <c r="AJ82" s="584">
        <f t="shared" si="272"/>
        <v>4521.752688</v>
      </c>
      <c r="AK82" s="559"/>
      <c r="AL82" s="560">
        <f>AJ82+AH82+AF82+AB82+Z82+X82+V82+AJ262+T82+R82+P82+N82+L82+J82+H82</f>
        <v>20342.4093778</v>
      </c>
      <c r="AM82" s="557"/>
      <c r="AO82" s="405">
        <f>H82+J82+P82+T82+V82+X82+Z82+AB82+AH82+AJ82-D82</f>
        <v>182.033781199996</v>
      </c>
    </row>
    <row r="83" s="417" customFormat="1" customHeight="1" outlineLevel="3" spans="1:41">
      <c r="A83" s="519" t="s">
        <v>326</v>
      </c>
      <c r="B83" s="563" t="s">
        <v>327</v>
      </c>
      <c r="C83" s="507">
        <f>D83/$C$8</f>
        <v>1962.07130323313</v>
      </c>
      <c r="D83" s="507">
        <f>F83+AD83</f>
        <v>14004.9216</v>
      </c>
      <c r="E83" s="507">
        <f>F83/$E$8</f>
        <v>1838.36049841747</v>
      </c>
      <c r="F83" s="507">
        <f>H83+J83+L83+N83+P83+R83+T83</f>
        <v>9034.2072</v>
      </c>
      <c r="G83" s="585">
        <v>1800</v>
      </c>
      <c r="H83" s="507">
        <f>G83*G$8</f>
        <v>5695.7112</v>
      </c>
      <c r="I83" s="585">
        <v>2000</v>
      </c>
      <c r="J83" s="507">
        <f t="shared" ref="J83:J84" si="273">I83*I$8</f>
        <v>3338.496</v>
      </c>
      <c r="K83" s="520">
        <v>1540</v>
      </c>
      <c r="L83" s="507">
        <f t="shared" ref="L83:L84" si="274">K83*K$8</f>
        <v>0</v>
      </c>
      <c r="M83" s="520">
        <v>1530</v>
      </c>
      <c r="N83" s="520">
        <f>M83*M$8</f>
        <v>0</v>
      </c>
      <c r="O83" s="595">
        <v>1900</v>
      </c>
      <c r="P83" s="507">
        <f>O83*O$8</f>
        <v>0</v>
      </c>
      <c r="Q83" s="585"/>
      <c r="R83" s="520">
        <f>Q83*Q$8</f>
        <v>0</v>
      </c>
      <c r="S83" s="585">
        <v>1980</v>
      </c>
      <c r="T83" s="507">
        <f>S83*S$8</f>
        <v>0</v>
      </c>
      <c r="U83" s="585">
        <v>1700</v>
      </c>
      <c r="V83" s="507">
        <f t="shared" ref="V83:V84" si="275">U83*U$8</f>
        <v>56.5488</v>
      </c>
      <c r="W83" s="585">
        <f>U83</f>
        <v>1700</v>
      </c>
      <c r="X83" s="507">
        <f>W83*W$8</f>
        <v>33.7433</v>
      </c>
      <c r="Y83" s="585">
        <f>U83</f>
        <v>1700</v>
      </c>
      <c r="Z83" s="507">
        <f t="shared" ref="Z83:Z84" si="276">Y83*Y$8</f>
        <v>12.784</v>
      </c>
      <c r="AA83" s="585">
        <f>Y83</f>
        <v>1700</v>
      </c>
      <c r="AB83" s="507">
        <f t="shared" ref="AB83:AB84" si="277">AA83*AA$8</f>
        <v>34.1853</v>
      </c>
      <c r="AC83" s="507">
        <f>AD83/AC$8</f>
        <v>2235.48477188065</v>
      </c>
      <c r="AD83" s="507">
        <f t="shared" ref="AD83:AD97" si="278">AF83*0+AH83+AJ83</f>
        <v>4970.7144</v>
      </c>
      <c r="AE83" s="520">
        <v>2200</v>
      </c>
      <c r="AF83" s="520">
        <f>AE83*AE$8</f>
        <v>0</v>
      </c>
      <c r="AG83" s="585">
        <v>2400</v>
      </c>
      <c r="AH83" s="507">
        <f>AG83*AG$8</f>
        <v>946.8264</v>
      </c>
      <c r="AI83" s="585">
        <v>2200</v>
      </c>
      <c r="AJ83" s="507">
        <f>AI83*AI$8</f>
        <v>4023.888</v>
      </c>
      <c r="AK83" s="602"/>
      <c r="AL83" s="565">
        <f>AJ83+AH83+AF83+AB83+Z83+X83+V83+AJ263+T83+R83+P83+N83+L83+J83+H83</f>
        <v>14142.183</v>
      </c>
      <c r="AM83" s="599"/>
      <c r="AO83" s="405">
        <f>H83+J83+P83+T83+V83+X83+Z83+AB83+AH83+AJ83-D83</f>
        <v>137.261399999999</v>
      </c>
    </row>
    <row r="84" s="417" customFormat="1" customHeight="1" outlineLevel="3" spans="1:41">
      <c r="A84" s="519"/>
      <c r="B84" s="563" t="s">
        <v>328</v>
      </c>
      <c r="C84" s="507">
        <f>D84/$C$8</f>
        <v>54.1737237884089</v>
      </c>
      <c r="D84" s="507">
        <f>F84+AD84</f>
        <v>386.68256</v>
      </c>
      <c r="E84" s="507">
        <f>F84/$E$8</f>
        <v>78.6855922156559</v>
      </c>
      <c r="F84" s="507">
        <f>H84+J84+L84+N84+P84+R84+T84</f>
        <v>386.68256</v>
      </c>
      <c r="G84" s="585">
        <v>80</v>
      </c>
      <c r="H84" s="507">
        <f>G84*G$8</f>
        <v>253.14272</v>
      </c>
      <c r="I84" s="585">
        <v>80</v>
      </c>
      <c r="J84" s="507">
        <f t="shared" si="273"/>
        <v>133.53984</v>
      </c>
      <c r="K84" s="520">
        <v>1541</v>
      </c>
      <c r="L84" s="507">
        <f t="shared" si="274"/>
        <v>0</v>
      </c>
      <c r="M84" s="520">
        <v>1531</v>
      </c>
      <c r="N84" s="520">
        <f>M84*M$8</f>
        <v>0</v>
      </c>
      <c r="O84" s="595">
        <v>1901</v>
      </c>
      <c r="P84" s="507">
        <f>O84*O$8</f>
        <v>0</v>
      </c>
      <c r="Q84" s="585"/>
      <c r="R84" s="520">
        <f>Q84*Q$8</f>
        <v>0</v>
      </c>
      <c r="S84" s="585">
        <v>1981</v>
      </c>
      <c r="T84" s="507">
        <f>S84*S$8</f>
        <v>0</v>
      </c>
      <c r="U84" s="585">
        <v>80</v>
      </c>
      <c r="V84" s="507">
        <f t="shared" si="275"/>
        <v>2.66112</v>
      </c>
      <c r="W84" s="585">
        <v>80</v>
      </c>
      <c r="X84" s="507">
        <f>W84*W$8</f>
        <v>1.58792</v>
      </c>
      <c r="Y84" s="585">
        <v>80</v>
      </c>
      <c r="Z84" s="507">
        <f t="shared" si="276"/>
        <v>0.6016</v>
      </c>
      <c r="AA84" s="585">
        <f>Y84</f>
        <v>80</v>
      </c>
      <c r="AB84" s="507">
        <f t="shared" si="277"/>
        <v>1.60872</v>
      </c>
      <c r="AC84" s="507">
        <f>AD84/AC$8</f>
        <v>0</v>
      </c>
      <c r="AD84" s="507">
        <f t="shared" si="278"/>
        <v>0</v>
      </c>
      <c r="AE84" s="520">
        <v>0</v>
      </c>
      <c r="AF84" s="520">
        <f t="shared" ref="AF83:AF84" si="279">AE84*AE$8</f>
        <v>0</v>
      </c>
      <c r="AG84" s="585">
        <v>0</v>
      </c>
      <c r="AH84" s="507">
        <f>AG84*AG$8</f>
        <v>0</v>
      </c>
      <c r="AI84" s="585">
        <v>0</v>
      </c>
      <c r="AJ84" s="507">
        <f t="shared" ref="AJ83:AJ84" si="280">AI84*AI$8</f>
        <v>0</v>
      </c>
      <c r="AK84" s="602"/>
      <c r="AL84" s="565"/>
      <c r="AM84" s="599"/>
      <c r="AO84" s="405"/>
    </row>
    <row r="85" customHeight="1" outlineLevel="3" spans="1:41">
      <c r="A85" s="514" t="s">
        <v>329</v>
      </c>
      <c r="B85" s="586" t="s">
        <v>330</v>
      </c>
      <c r="C85" s="507">
        <f t="shared" ref="C85:C97" si="281">D85/$C$8</f>
        <v>172.479042985783</v>
      </c>
      <c r="D85" s="507">
        <f t="shared" ref="D85:D97" si="282">F85+AD85</f>
        <v>1231.125225</v>
      </c>
      <c r="E85" s="507">
        <f t="shared" ref="E85:E97" si="283">F85/$E$8</f>
        <v>162.28903394479</v>
      </c>
      <c r="F85" s="507">
        <f t="shared" ref="F85:F97" si="284">H85+J85+L85+N85+P85+R85+T85</f>
        <v>797.53278</v>
      </c>
      <c r="G85" s="585">
        <v>165</v>
      </c>
      <c r="H85" s="507">
        <f t="shared" ref="H85:H97" si="285">G85*G$8</f>
        <v>522.10686</v>
      </c>
      <c r="I85" s="585">
        <v>165</v>
      </c>
      <c r="J85" s="507">
        <f t="shared" ref="J85:J97" si="286">I85*I$8</f>
        <v>275.42592</v>
      </c>
      <c r="K85" s="516">
        <v>175</v>
      </c>
      <c r="L85" s="507">
        <f t="shared" ref="L85" si="287">K85*K$8</f>
        <v>0</v>
      </c>
      <c r="M85" s="516">
        <v>175</v>
      </c>
      <c r="N85" s="507">
        <f t="shared" ref="N85:N97" si="288">M85*M$8</f>
        <v>0</v>
      </c>
      <c r="O85" s="585">
        <v>175</v>
      </c>
      <c r="P85" s="507">
        <f t="shared" ref="P85:P97" si="289">O85*O$8</f>
        <v>0</v>
      </c>
      <c r="Q85" s="585"/>
      <c r="R85" s="507">
        <f t="shared" ref="R85:R97" si="290">Q85*Q$8</f>
        <v>0</v>
      </c>
      <c r="S85" s="585">
        <v>175</v>
      </c>
      <c r="T85" s="507">
        <f t="shared" ref="T85:T97" si="291">S85*S$8</f>
        <v>0</v>
      </c>
      <c r="U85" s="585">
        <v>165</v>
      </c>
      <c r="V85" s="507">
        <f t="shared" ref="V85:V97" si="292">U85*U$8</f>
        <v>5.48856</v>
      </c>
      <c r="W85" s="585">
        <v>165</v>
      </c>
      <c r="X85" s="507">
        <f t="shared" ref="X85" si="293">W85*W$8</f>
        <v>3.275085</v>
      </c>
      <c r="Y85" s="585">
        <v>165</v>
      </c>
      <c r="Z85" s="507">
        <f t="shared" ref="Z85:Z97" si="294">Y85*Y$8</f>
        <v>1.2408</v>
      </c>
      <c r="AA85" s="585">
        <v>165</v>
      </c>
      <c r="AB85" s="507">
        <f t="shared" ref="AB85:AB97" si="295">AA85*AA$8</f>
        <v>3.317985</v>
      </c>
      <c r="AC85" s="507">
        <f t="shared" ref="AC85:AC97" si="296">AD85/AC$8</f>
        <v>195</v>
      </c>
      <c r="AD85" s="507">
        <f t="shared" si="278"/>
        <v>433.592445</v>
      </c>
      <c r="AE85" s="516">
        <f>AI85</f>
        <v>195</v>
      </c>
      <c r="AF85" s="507">
        <f t="shared" ref="AF85" si="297">AE85*AE$8</f>
        <v>0</v>
      </c>
      <c r="AG85" s="530">
        <v>195</v>
      </c>
      <c r="AH85" s="507">
        <f t="shared" ref="AH85:AH97" si="298">AG85*AG$8</f>
        <v>76.929645</v>
      </c>
      <c r="AI85" s="530">
        <v>195</v>
      </c>
      <c r="AJ85" s="507">
        <f t="shared" ref="AJ85:AJ97" si="299">AI85*AI$8</f>
        <v>356.6628</v>
      </c>
      <c r="AK85" s="603"/>
      <c r="AL85" s="560">
        <f>AJ85+AH85+AF85+AB85+Z85+X85+V85+AJ264+T85+R85+P85+N85+L85+J85+H85</f>
        <v>1244.447655</v>
      </c>
      <c r="AM85" s="557"/>
      <c r="AO85" s="405">
        <f t="shared" ref="AO85:AO110" si="300">H85+J85+P85+T85+V85+X85+Z85+AB85+AH85+AJ85-D85</f>
        <v>13.3224300000002</v>
      </c>
    </row>
    <row r="86" customHeight="1" outlineLevel="3" spans="1:41">
      <c r="A86" s="514" t="s">
        <v>331</v>
      </c>
      <c r="B86" s="586" t="s">
        <v>332</v>
      </c>
      <c r="C86" s="507">
        <f t="shared" si="281"/>
        <v>229.732769856364</v>
      </c>
      <c r="D86" s="507">
        <f t="shared" si="282"/>
        <v>1639.792308</v>
      </c>
      <c r="E86" s="507">
        <f t="shared" si="283"/>
        <v>333.679462724301</v>
      </c>
      <c r="F86" s="507">
        <f t="shared" si="284"/>
        <v>1639.792308</v>
      </c>
      <c r="G86" s="545">
        <f>0.25*700+AN86</f>
        <v>344.85201075504</v>
      </c>
      <c r="H86" s="507">
        <f t="shared" si="285"/>
        <v>1091.2097</v>
      </c>
      <c r="I86" s="545">
        <f>0.28*700+AN87</f>
        <v>328.640566290929</v>
      </c>
      <c r="J86" s="507">
        <f t="shared" si="286"/>
        <v>548.582608</v>
      </c>
      <c r="K86" s="516">
        <f>0.2*600</f>
        <v>120</v>
      </c>
      <c r="L86" s="507">
        <f t="shared" ref="L86" si="301">K86*K$8</f>
        <v>0</v>
      </c>
      <c r="M86" s="516">
        <f>0.22*550</f>
        <v>121</v>
      </c>
      <c r="N86" s="507">
        <f t="shared" si="288"/>
        <v>0</v>
      </c>
      <c r="O86" s="509">
        <f>P86*0</f>
        <v>0</v>
      </c>
      <c r="P86" s="507">
        <v>0</v>
      </c>
      <c r="Q86" s="516"/>
      <c r="R86" s="507">
        <f t="shared" si="290"/>
        <v>0</v>
      </c>
      <c r="S86" s="509">
        <f>0.2*650</f>
        <v>130</v>
      </c>
      <c r="T86" s="507">
        <f t="shared" si="291"/>
        <v>0</v>
      </c>
      <c r="U86" s="509">
        <f>0.2*550</f>
        <v>110</v>
      </c>
      <c r="V86" s="507">
        <f t="shared" si="292"/>
        <v>3.65904</v>
      </c>
      <c r="W86" s="596">
        <f>0.2*550</f>
        <v>110</v>
      </c>
      <c r="X86" s="507">
        <f t="shared" ref="X86:X97" si="302">W86*W$8</f>
        <v>2.18339</v>
      </c>
      <c r="Y86" s="509">
        <f>0.2*550</f>
        <v>110</v>
      </c>
      <c r="Z86" s="507">
        <f t="shared" si="294"/>
        <v>0.8272</v>
      </c>
      <c r="AA86" s="509">
        <f>0.2*550</f>
        <v>110</v>
      </c>
      <c r="AB86" s="507">
        <f t="shared" si="295"/>
        <v>2.21199</v>
      </c>
      <c r="AC86" s="507">
        <f t="shared" si="296"/>
        <v>0</v>
      </c>
      <c r="AD86" s="507">
        <f t="shared" si="278"/>
        <v>0</v>
      </c>
      <c r="AE86" s="516">
        <f t="shared" ref="AE86:AE97" si="303">AI86</f>
        <v>0</v>
      </c>
      <c r="AF86" s="507">
        <f t="shared" ref="AF86" si="304">AE86*AE$8</f>
        <v>0</v>
      </c>
      <c r="AG86" s="516"/>
      <c r="AH86" s="507">
        <f t="shared" si="298"/>
        <v>0</v>
      </c>
      <c r="AI86" s="516"/>
      <c r="AJ86" s="507">
        <f t="shared" si="299"/>
        <v>0</v>
      </c>
      <c r="AK86" s="604"/>
      <c r="AL86" s="560">
        <f>AJ86+AH86+AF86+AB86+Z86+X86+V86+AJ265+T86+R86+P86+N86+L86+J86+H86</f>
        <v>1648.673928</v>
      </c>
      <c r="AM86" s="557">
        <f>7678*700/10000</f>
        <v>537.46</v>
      </c>
      <c r="AN86" s="405">
        <f>AM86/G8</f>
        <v>169.85201075504</v>
      </c>
      <c r="AO86" s="405">
        <f t="shared" si="300"/>
        <v>8.88161999999988</v>
      </c>
    </row>
    <row r="87" customHeight="1" outlineLevel="3" spans="1:41">
      <c r="A87" s="538" t="s">
        <v>333</v>
      </c>
      <c r="B87" s="586" t="s">
        <v>334</v>
      </c>
      <c r="C87" s="507">
        <f t="shared" si="281"/>
        <v>18.982812495403</v>
      </c>
      <c r="D87" s="507">
        <f t="shared" si="282"/>
        <v>135.4959936</v>
      </c>
      <c r="E87" s="507">
        <f t="shared" si="283"/>
        <v>18.8845421317574</v>
      </c>
      <c r="F87" s="507">
        <f t="shared" si="284"/>
        <v>92.8038144</v>
      </c>
      <c r="G87" s="516">
        <f>0.04*480</f>
        <v>19.2</v>
      </c>
      <c r="H87" s="507">
        <f t="shared" si="285"/>
        <v>60.7542528</v>
      </c>
      <c r="I87" s="516">
        <f>0.04*480</f>
        <v>19.2</v>
      </c>
      <c r="J87" s="507">
        <f t="shared" si="286"/>
        <v>32.0495616</v>
      </c>
      <c r="K87" s="516">
        <f>0.04*320</f>
        <v>12.8</v>
      </c>
      <c r="L87" s="507">
        <f t="shared" ref="L87" si="305">K87*K$8</f>
        <v>0</v>
      </c>
      <c r="M87" s="516">
        <f>0.04*350</f>
        <v>14</v>
      </c>
      <c r="N87" s="507">
        <f t="shared" si="288"/>
        <v>0</v>
      </c>
      <c r="O87" s="516">
        <f>0.04*320</f>
        <v>12.8</v>
      </c>
      <c r="P87" s="507">
        <f t="shared" si="289"/>
        <v>0</v>
      </c>
      <c r="Q87" s="516">
        <f>0.04*320</f>
        <v>12.8</v>
      </c>
      <c r="R87" s="507">
        <f t="shared" si="290"/>
        <v>0</v>
      </c>
      <c r="S87" s="516">
        <f>0.04*420</f>
        <v>16.8</v>
      </c>
      <c r="T87" s="507">
        <f t="shared" si="291"/>
        <v>0</v>
      </c>
      <c r="U87" s="516">
        <f>0.04*480</f>
        <v>19.2</v>
      </c>
      <c r="V87" s="507">
        <f t="shared" si="292"/>
        <v>0.6386688</v>
      </c>
      <c r="W87" s="516">
        <f>0.04*460</f>
        <v>18.4</v>
      </c>
      <c r="X87" s="507">
        <f t="shared" si="302"/>
        <v>0.3652216</v>
      </c>
      <c r="Y87" s="516">
        <f>0.04*480</f>
        <v>19.2</v>
      </c>
      <c r="Z87" s="507">
        <f t="shared" si="294"/>
        <v>0.144384</v>
      </c>
      <c r="AA87" s="516">
        <f>0.04*480</f>
        <v>19.2</v>
      </c>
      <c r="AB87" s="507">
        <f t="shared" si="295"/>
        <v>0.3860928</v>
      </c>
      <c r="AC87" s="507">
        <f t="shared" si="296"/>
        <v>19.2</v>
      </c>
      <c r="AD87" s="507">
        <f t="shared" si="278"/>
        <v>42.6921792</v>
      </c>
      <c r="AE87" s="516">
        <f>0.04*450</f>
        <v>18</v>
      </c>
      <c r="AF87" s="507">
        <f t="shared" ref="AF87" si="306">AE87*AE$8</f>
        <v>0</v>
      </c>
      <c r="AG87" s="516">
        <f>0.04*480</f>
        <v>19.2</v>
      </c>
      <c r="AH87" s="507">
        <f t="shared" si="298"/>
        <v>7.5746112</v>
      </c>
      <c r="AI87" s="516">
        <f>0.04*480</f>
        <v>19.2</v>
      </c>
      <c r="AJ87" s="507">
        <f t="shared" si="299"/>
        <v>35.117568</v>
      </c>
      <c r="AK87" s="521" t="s">
        <v>335</v>
      </c>
      <c r="AL87" s="560">
        <f>AJ87+AH87+AF87+AB87+Z87+X87+V87+AJ266+T87+R87+P87+N87+L87+J87+H87</f>
        <v>137.0303608</v>
      </c>
      <c r="AM87" s="557">
        <f>3163*700/10000</f>
        <v>221.41</v>
      </c>
      <c r="AN87" s="405">
        <f>AM87/I8</f>
        <v>132.640566290929</v>
      </c>
      <c r="AO87" s="405">
        <f t="shared" si="300"/>
        <v>1.53436720000002</v>
      </c>
    </row>
    <row r="88" customHeight="1" outlineLevel="3" spans="1:41">
      <c r="A88" s="538" t="s">
        <v>336</v>
      </c>
      <c r="B88" s="586" t="s">
        <v>337</v>
      </c>
      <c r="C88" s="507">
        <f t="shared" si="281"/>
        <v>29.6718426131209</v>
      </c>
      <c r="D88" s="507">
        <f t="shared" si="282"/>
        <v>211.79242</v>
      </c>
      <c r="E88" s="507">
        <f t="shared" si="283"/>
        <v>25.4361071442089</v>
      </c>
      <c r="F88" s="507">
        <f t="shared" si="284"/>
        <v>125</v>
      </c>
      <c r="G88" s="516">
        <f>经济指标!I9*5000/10000/G8</f>
        <v>29.0745078507492</v>
      </c>
      <c r="H88" s="507">
        <f t="shared" si="285"/>
        <v>92</v>
      </c>
      <c r="I88" s="516">
        <f>经济指标!I10*5000/10000/I8</f>
        <v>19.7693811824247</v>
      </c>
      <c r="J88" s="507">
        <f t="shared" si="286"/>
        <v>33</v>
      </c>
      <c r="K88" s="516">
        <f>经济指标!I11*2000/10000*0</f>
        <v>0</v>
      </c>
      <c r="L88" s="507">
        <f t="shared" ref="L88" si="307">K88*K$8</f>
        <v>0</v>
      </c>
      <c r="M88" s="516">
        <v>0</v>
      </c>
      <c r="N88" s="507">
        <f t="shared" si="288"/>
        <v>0</v>
      </c>
      <c r="O88" s="516"/>
      <c r="P88" s="507">
        <f t="shared" si="289"/>
        <v>0</v>
      </c>
      <c r="Q88" s="516"/>
      <c r="R88" s="507">
        <f t="shared" si="290"/>
        <v>0</v>
      </c>
      <c r="S88" s="516">
        <v>0</v>
      </c>
      <c r="T88" s="507">
        <f t="shared" si="291"/>
        <v>0</v>
      </c>
      <c r="U88" s="516"/>
      <c r="V88" s="507">
        <f t="shared" si="292"/>
        <v>0</v>
      </c>
      <c r="W88" s="516"/>
      <c r="X88" s="507">
        <f t="shared" si="302"/>
        <v>0</v>
      </c>
      <c r="Y88" s="516"/>
      <c r="Z88" s="507">
        <f t="shared" si="294"/>
        <v>0</v>
      </c>
      <c r="AA88" s="516"/>
      <c r="AB88" s="507">
        <f t="shared" si="295"/>
        <v>0</v>
      </c>
      <c r="AC88" s="507">
        <f t="shared" si="296"/>
        <v>39.0332490687194</v>
      </c>
      <c r="AD88" s="507">
        <f t="shared" si="278"/>
        <v>86.79242</v>
      </c>
      <c r="AE88" s="516">
        <f t="shared" si="303"/>
        <v>0</v>
      </c>
      <c r="AF88" s="507">
        <f t="shared" ref="AF88" si="308">AE88*AE$8</f>
        <v>0</v>
      </c>
      <c r="AG88" s="509">
        <v>220</v>
      </c>
      <c r="AH88" s="507">
        <f t="shared" si="298"/>
        <v>86.79242</v>
      </c>
      <c r="AI88" s="516"/>
      <c r="AJ88" s="507">
        <f t="shared" si="299"/>
        <v>0</v>
      </c>
      <c r="AK88" s="521" t="s">
        <v>338</v>
      </c>
      <c r="AL88" s="560">
        <f>AJ88+AH88+AF88+AB88+Z88+X88+V88+AJ267+T88+R88+P88+N88+L88+J88+H88</f>
        <v>211.79242</v>
      </c>
      <c r="AM88" s="557"/>
      <c r="AO88" s="405">
        <f t="shared" si="300"/>
        <v>0</v>
      </c>
    </row>
    <row r="89" customHeight="1" outlineLevel="3" spans="1:41">
      <c r="A89" s="538" t="s">
        <v>339</v>
      </c>
      <c r="B89" s="586" t="s">
        <v>340</v>
      </c>
      <c r="C89" s="507">
        <f t="shared" si="281"/>
        <v>135.434309471022</v>
      </c>
      <c r="D89" s="507">
        <f t="shared" si="282"/>
        <v>966.7064</v>
      </c>
      <c r="E89" s="507">
        <f t="shared" si="283"/>
        <v>196.71398053914</v>
      </c>
      <c r="F89" s="507">
        <f t="shared" si="284"/>
        <v>966.7064</v>
      </c>
      <c r="G89" s="516">
        <f>800*0.25</f>
        <v>200</v>
      </c>
      <c r="H89" s="507">
        <f t="shared" si="285"/>
        <v>632.8568</v>
      </c>
      <c r="I89" s="516">
        <f>800*0.25</f>
        <v>200</v>
      </c>
      <c r="J89" s="507">
        <f t="shared" si="286"/>
        <v>333.8496</v>
      </c>
      <c r="K89" s="516"/>
      <c r="L89" s="507">
        <f t="shared" ref="L89" si="309">K89*K$8</f>
        <v>0</v>
      </c>
      <c r="M89" s="516">
        <v>0</v>
      </c>
      <c r="N89" s="507">
        <f t="shared" si="288"/>
        <v>0</v>
      </c>
      <c r="O89" s="516">
        <f>P89*0</f>
        <v>0</v>
      </c>
      <c r="P89" s="507">
        <v>0</v>
      </c>
      <c r="Q89" s="516"/>
      <c r="R89" s="507">
        <f t="shared" si="290"/>
        <v>0</v>
      </c>
      <c r="S89" s="516">
        <v>0</v>
      </c>
      <c r="T89" s="507">
        <f t="shared" si="291"/>
        <v>0</v>
      </c>
      <c r="U89" s="516"/>
      <c r="V89" s="507">
        <f t="shared" si="292"/>
        <v>0</v>
      </c>
      <c r="W89" s="516"/>
      <c r="X89" s="507">
        <f t="shared" si="302"/>
        <v>0</v>
      </c>
      <c r="Y89" s="516"/>
      <c r="Z89" s="507">
        <f t="shared" si="294"/>
        <v>0</v>
      </c>
      <c r="AA89" s="516"/>
      <c r="AB89" s="507">
        <f t="shared" si="295"/>
        <v>0</v>
      </c>
      <c r="AC89" s="507">
        <f t="shared" si="296"/>
        <v>0</v>
      </c>
      <c r="AD89" s="507">
        <f t="shared" si="278"/>
        <v>0</v>
      </c>
      <c r="AE89" s="516">
        <f t="shared" si="303"/>
        <v>0</v>
      </c>
      <c r="AF89" s="507">
        <f t="shared" ref="AF89" si="310">AE89*AE$8</f>
        <v>0</v>
      </c>
      <c r="AG89" s="516"/>
      <c r="AH89" s="507">
        <f t="shared" si="298"/>
        <v>0</v>
      </c>
      <c r="AI89" s="516"/>
      <c r="AJ89" s="507">
        <f t="shared" si="299"/>
        <v>0</v>
      </c>
      <c r="AK89" s="521" t="s">
        <v>341</v>
      </c>
      <c r="AL89" s="560">
        <f t="shared" ref="AL89:AL120" si="311">AJ89+AH89+AF89+AB89+Z89+X89+V89+AJ268+T89+R89+P89+N89+L89+J89+H89</f>
        <v>966.7064</v>
      </c>
      <c r="AM89" s="557"/>
      <c r="AO89" s="405">
        <f t="shared" si="300"/>
        <v>0</v>
      </c>
    </row>
    <row r="90" customHeight="1" outlineLevel="3" spans="1:41">
      <c r="A90" s="514" t="s">
        <v>342</v>
      </c>
      <c r="B90" s="586" t="s">
        <v>343</v>
      </c>
      <c r="C90" s="507">
        <f t="shared" si="281"/>
        <v>77.8747279458378</v>
      </c>
      <c r="D90" s="507">
        <f t="shared" si="282"/>
        <v>555.85618</v>
      </c>
      <c r="E90" s="507">
        <f t="shared" si="283"/>
        <v>113.110538810005</v>
      </c>
      <c r="F90" s="507">
        <f t="shared" si="284"/>
        <v>555.85618</v>
      </c>
      <c r="G90" s="516">
        <f>100*1.15</f>
        <v>115</v>
      </c>
      <c r="H90" s="507">
        <f t="shared" si="285"/>
        <v>363.89266</v>
      </c>
      <c r="I90" s="516">
        <f>100*1.15</f>
        <v>115</v>
      </c>
      <c r="J90" s="507">
        <f t="shared" si="286"/>
        <v>191.96352</v>
      </c>
      <c r="K90" s="516">
        <v>70</v>
      </c>
      <c r="L90" s="507">
        <f t="shared" ref="L90" si="312">K90*K$8</f>
        <v>0</v>
      </c>
      <c r="M90" s="516">
        <v>70</v>
      </c>
      <c r="N90" s="507">
        <f t="shared" si="288"/>
        <v>0</v>
      </c>
      <c r="O90" s="516">
        <f>0.2*70</f>
        <v>14</v>
      </c>
      <c r="P90" s="507">
        <f t="shared" si="289"/>
        <v>0</v>
      </c>
      <c r="Q90" s="516">
        <v>80</v>
      </c>
      <c r="R90" s="507">
        <f t="shared" si="290"/>
        <v>0</v>
      </c>
      <c r="S90" s="516">
        <f>G90</f>
        <v>115</v>
      </c>
      <c r="T90" s="507">
        <f t="shared" si="291"/>
        <v>0</v>
      </c>
      <c r="U90" s="516">
        <f>S90</f>
        <v>115</v>
      </c>
      <c r="V90" s="507">
        <f t="shared" si="292"/>
        <v>3.82536</v>
      </c>
      <c r="W90" s="516">
        <f>G90</f>
        <v>115</v>
      </c>
      <c r="X90" s="507">
        <f t="shared" si="302"/>
        <v>2.282635</v>
      </c>
      <c r="Y90" s="516">
        <f>G90</f>
        <v>115</v>
      </c>
      <c r="Z90" s="507">
        <f t="shared" si="294"/>
        <v>0.8648</v>
      </c>
      <c r="AA90" s="516">
        <f>Y90</f>
        <v>115</v>
      </c>
      <c r="AB90" s="507">
        <f t="shared" si="295"/>
        <v>2.312535</v>
      </c>
      <c r="AC90" s="507">
        <f t="shared" si="296"/>
        <v>0</v>
      </c>
      <c r="AD90" s="507">
        <f t="shared" si="278"/>
        <v>0</v>
      </c>
      <c r="AE90" s="516">
        <f t="shared" si="303"/>
        <v>0</v>
      </c>
      <c r="AF90" s="507">
        <f t="shared" ref="AF90" si="313">AE90*AE$8</f>
        <v>0</v>
      </c>
      <c r="AG90" s="516"/>
      <c r="AH90" s="507">
        <f t="shared" si="298"/>
        <v>0</v>
      </c>
      <c r="AI90" s="516"/>
      <c r="AJ90" s="507">
        <f t="shared" si="299"/>
        <v>0</v>
      </c>
      <c r="AK90" s="521" t="s">
        <v>344</v>
      </c>
      <c r="AL90" s="560">
        <f t="shared" si="311"/>
        <v>565.14151</v>
      </c>
      <c r="AM90" s="557"/>
      <c r="AO90" s="405">
        <f t="shared" si="300"/>
        <v>9.28533000000004</v>
      </c>
    </row>
    <row r="91" customHeight="1" outlineLevel="3" spans="1:41">
      <c r="A91" s="538" t="s">
        <v>345</v>
      </c>
      <c r="B91" s="586" t="s">
        <v>346</v>
      </c>
      <c r="C91" s="507">
        <f t="shared" si="281"/>
        <v>7.90950520641792</v>
      </c>
      <c r="D91" s="507">
        <f t="shared" si="282"/>
        <v>56.456664</v>
      </c>
      <c r="E91" s="507">
        <f t="shared" si="283"/>
        <v>7.86855922156559</v>
      </c>
      <c r="F91" s="507">
        <f t="shared" si="284"/>
        <v>38.668256</v>
      </c>
      <c r="G91" s="516">
        <v>8</v>
      </c>
      <c r="H91" s="507">
        <f t="shared" si="285"/>
        <v>25.314272</v>
      </c>
      <c r="I91" s="516">
        <v>8</v>
      </c>
      <c r="J91" s="507">
        <f t="shared" si="286"/>
        <v>13.353984</v>
      </c>
      <c r="K91" s="516">
        <v>6</v>
      </c>
      <c r="L91" s="507">
        <f t="shared" ref="L91" si="314">K91*K$8</f>
        <v>0</v>
      </c>
      <c r="M91" s="516">
        <v>6</v>
      </c>
      <c r="N91" s="507">
        <f t="shared" si="288"/>
        <v>0</v>
      </c>
      <c r="O91" s="516">
        <v>6</v>
      </c>
      <c r="P91" s="507">
        <f t="shared" si="289"/>
        <v>0</v>
      </c>
      <c r="Q91" s="516">
        <v>5</v>
      </c>
      <c r="R91" s="507">
        <f t="shared" si="290"/>
        <v>0</v>
      </c>
      <c r="S91" s="516">
        <v>6</v>
      </c>
      <c r="T91" s="507">
        <f t="shared" si="291"/>
        <v>0</v>
      </c>
      <c r="U91" s="516">
        <v>8</v>
      </c>
      <c r="V91" s="507">
        <f t="shared" si="292"/>
        <v>0.266112</v>
      </c>
      <c r="W91" s="516">
        <v>6</v>
      </c>
      <c r="X91" s="507">
        <f t="shared" si="302"/>
        <v>0.119094</v>
      </c>
      <c r="Y91" s="516">
        <v>8</v>
      </c>
      <c r="Z91" s="507">
        <f t="shared" si="294"/>
        <v>0.06016</v>
      </c>
      <c r="AA91" s="516">
        <v>8</v>
      </c>
      <c r="AB91" s="507">
        <f t="shared" si="295"/>
        <v>0.160872</v>
      </c>
      <c r="AC91" s="507">
        <f t="shared" si="296"/>
        <v>8</v>
      </c>
      <c r="AD91" s="507">
        <f t="shared" si="278"/>
        <v>17.788408</v>
      </c>
      <c r="AE91" s="516">
        <f t="shared" si="303"/>
        <v>8</v>
      </c>
      <c r="AF91" s="507">
        <f t="shared" ref="AF91" si="315">AE91*AE$8</f>
        <v>0</v>
      </c>
      <c r="AG91" s="516">
        <v>8</v>
      </c>
      <c r="AH91" s="507">
        <f t="shared" si="298"/>
        <v>3.156088</v>
      </c>
      <c r="AI91" s="516">
        <v>8</v>
      </c>
      <c r="AJ91" s="507">
        <f t="shared" si="299"/>
        <v>14.63232</v>
      </c>
      <c r="AK91" s="559"/>
      <c r="AL91" s="560">
        <f t="shared" si="311"/>
        <v>57.062902</v>
      </c>
      <c r="AM91" s="557"/>
      <c r="AO91" s="405">
        <f t="shared" si="300"/>
        <v>0.606237999999991</v>
      </c>
    </row>
    <row r="92" customHeight="1" outlineLevel="3" spans="1:41">
      <c r="A92" s="538" t="s">
        <v>347</v>
      </c>
      <c r="B92" s="586" t="s">
        <v>348</v>
      </c>
      <c r="C92" s="507">
        <f t="shared" si="281"/>
        <v>81.2605856826134</v>
      </c>
      <c r="D92" s="507">
        <f t="shared" si="282"/>
        <v>580.02384</v>
      </c>
      <c r="E92" s="507">
        <f t="shared" si="283"/>
        <v>118.028388323484</v>
      </c>
      <c r="F92" s="507">
        <f t="shared" si="284"/>
        <v>580.02384</v>
      </c>
      <c r="G92" s="516">
        <v>120</v>
      </c>
      <c r="H92" s="507">
        <f t="shared" si="285"/>
        <v>379.71408</v>
      </c>
      <c r="I92" s="516">
        <v>120</v>
      </c>
      <c r="J92" s="507">
        <f t="shared" si="286"/>
        <v>200.30976</v>
      </c>
      <c r="K92" s="516"/>
      <c r="L92" s="507">
        <f t="shared" ref="L92" si="316">K92*K$8</f>
        <v>0</v>
      </c>
      <c r="M92" s="516"/>
      <c r="N92" s="507">
        <f t="shared" si="288"/>
        <v>0</v>
      </c>
      <c r="O92" s="516"/>
      <c r="P92" s="507">
        <f t="shared" si="289"/>
        <v>0</v>
      </c>
      <c r="Q92" s="516"/>
      <c r="R92" s="507">
        <f t="shared" si="290"/>
        <v>0</v>
      </c>
      <c r="S92" s="516"/>
      <c r="T92" s="507">
        <f t="shared" si="291"/>
        <v>0</v>
      </c>
      <c r="U92" s="516"/>
      <c r="V92" s="507">
        <f t="shared" si="292"/>
        <v>0</v>
      </c>
      <c r="W92" s="516"/>
      <c r="X92" s="507">
        <f t="shared" si="302"/>
        <v>0</v>
      </c>
      <c r="Y92" s="516"/>
      <c r="Z92" s="507">
        <f t="shared" si="294"/>
        <v>0</v>
      </c>
      <c r="AA92" s="516"/>
      <c r="AB92" s="507">
        <f t="shared" si="295"/>
        <v>0</v>
      </c>
      <c r="AC92" s="507">
        <f t="shared" si="296"/>
        <v>0</v>
      </c>
      <c r="AD92" s="507">
        <f t="shared" si="278"/>
        <v>0</v>
      </c>
      <c r="AE92" s="516">
        <f t="shared" si="303"/>
        <v>0</v>
      </c>
      <c r="AF92" s="507">
        <f t="shared" ref="AF92" si="317">AE92*AE$8</f>
        <v>0</v>
      </c>
      <c r="AG92" s="516"/>
      <c r="AH92" s="507">
        <f t="shared" si="298"/>
        <v>0</v>
      </c>
      <c r="AI92" s="516"/>
      <c r="AJ92" s="507">
        <f t="shared" si="299"/>
        <v>0</v>
      </c>
      <c r="AK92" s="559"/>
      <c r="AL92" s="560">
        <f t="shared" si="311"/>
        <v>580.02384</v>
      </c>
      <c r="AM92" s="557">
        <f>10/4</f>
        <v>2.5</v>
      </c>
      <c r="AO92" s="405">
        <f t="shared" si="300"/>
        <v>0</v>
      </c>
    </row>
    <row r="93" customHeight="1" outlineLevel="3" spans="1:41">
      <c r="A93" s="538" t="s">
        <v>349</v>
      </c>
      <c r="B93" s="586" t="s">
        <v>350</v>
      </c>
      <c r="C93" s="507">
        <f t="shared" si="281"/>
        <v>49.434407540112</v>
      </c>
      <c r="D93" s="507">
        <f t="shared" si="282"/>
        <v>352.85415</v>
      </c>
      <c r="E93" s="507">
        <f t="shared" si="283"/>
        <v>49.1784951347849</v>
      </c>
      <c r="F93" s="507">
        <f t="shared" si="284"/>
        <v>241.6766</v>
      </c>
      <c r="G93" s="530">
        <v>50</v>
      </c>
      <c r="H93" s="507">
        <f t="shared" si="285"/>
        <v>158.2142</v>
      </c>
      <c r="I93" s="530">
        <f>G93</f>
        <v>50</v>
      </c>
      <c r="J93" s="507">
        <f t="shared" si="286"/>
        <v>83.4624</v>
      </c>
      <c r="K93" s="530">
        <f>I93</f>
        <v>50</v>
      </c>
      <c r="L93" s="507">
        <f t="shared" ref="L93" si="318">K93*K$8</f>
        <v>0</v>
      </c>
      <c r="M93" s="530">
        <v>16</v>
      </c>
      <c r="N93" s="507">
        <f t="shared" si="288"/>
        <v>0</v>
      </c>
      <c r="O93" s="530">
        <v>16</v>
      </c>
      <c r="P93" s="507">
        <f t="shared" si="289"/>
        <v>0</v>
      </c>
      <c r="Q93" s="530">
        <v>13.6</v>
      </c>
      <c r="R93" s="507">
        <f t="shared" si="290"/>
        <v>0</v>
      </c>
      <c r="S93" s="530">
        <f>G93</f>
        <v>50</v>
      </c>
      <c r="T93" s="507">
        <f t="shared" si="291"/>
        <v>0</v>
      </c>
      <c r="U93" s="530">
        <f>G93</f>
        <v>50</v>
      </c>
      <c r="V93" s="507">
        <f t="shared" si="292"/>
        <v>1.6632</v>
      </c>
      <c r="W93" s="530">
        <f>G93</f>
        <v>50</v>
      </c>
      <c r="X93" s="507">
        <f t="shared" si="302"/>
        <v>0.99245</v>
      </c>
      <c r="Y93" s="530">
        <f>G93</f>
        <v>50</v>
      </c>
      <c r="Z93" s="507">
        <f t="shared" si="294"/>
        <v>0.376</v>
      </c>
      <c r="AA93" s="530">
        <f>G93</f>
        <v>50</v>
      </c>
      <c r="AB93" s="507">
        <f t="shared" si="295"/>
        <v>1.00545</v>
      </c>
      <c r="AC93" s="507">
        <f t="shared" si="296"/>
        <v>50</v>
      </c>
      <c r="AD93" s="507">
        <f t="shared" si="278"/>
        <v>111.17755</v>
      </c>
      <c r="AE93" s="516">
        <f t="shared" si="303"/>
        <v>50</v>
      </c>
      <c r="AF93" s="507">
        <f t="shared" ref="AF93" si="319">AE93*AE$8</f>
        <v>0</v>
      </c>
      <c r="AG93" s="516">
        <v>50</v>
      </c>
      <c r="AH93" s="507">
        <f t="shared" si="298"/>
        <v>19.72555</v>
      </c>
      <c r="AI93" s="516">
        <v>50</v>
      </c>
      <c r="AJ93" s="507">
        <f t="shared" si="299"/>
        <v>91.452</v>
      </c>
      <c r="AK93" s="559"/>
      <c r="AL93" s="560">
        <f t="shared" si="311"/>
        <v>356.89125</v>
      </c>
      <c r="AM93" s="557"/>
      <c r="AO93" s="405">
        <f t="shared" si="300"/>
        <v>4.03710000000001</v>
      </c>
    </row>
    <row r="94" customHeight="1" outlineLevel="3" spans="1:41">
      <c r="A94" s="538" t="s">
        <v>351</v>
      </c>
      <c r="B94" s="586" t="s">
        <v>352</v>
      </c>
      <c r="C94" s="507">
        <f t="shared" si="281"/>
        <v>5.41737237884089</v>
      </c>
      <c r="D94" s="507">
        <f t="shared" si="282"/>
        <v>38.668256</v>
      </c>
      <c r="E94" s="507">
        <f t="shared" si="283"/>
        <v>7.86855922156559</v>
      </c>
      <c r="F94" s="507">
        <f t="shared" si="284"/>
        <v>38.668256</v>
      </c>
      <c r="G94" s="530">
        <v>8</v>
      </c>
      <c r="H94" s="507">
        <f t="shared" si="285"/>
        <v>25.314272</v>
      </c>
      <c r="I94" s="530">
        <v>8</v>
      </c>
      <c r="J94" s="507">
        <f t="shared" si="286"/>
        <v>13.353984</v>
      </c>
      <c r="K94" s="530">
        <f>I94</f>
        <v>8</v>
      </c>
      <c r="L94" s="507">
        <f t="shared" ref="L94" si="320">K94*K$8</f>
        <v>0</v>
      </c>
      <c r="M94" s="530">
        <v>8.5</v>
      </c>
      <c r="N94" s="507">
        <f t="shared" si="288"/>
        <v>0</v>
      </c>
      <c r="O94" s="530">
        <v>8.5</v>
      </c>
      <c r="P94" s="507">
        <f t="shared" si="289"/>
        <v>0</v>
      </c>
      <c r="Q94" s="530">
        <v>7.8</v>
      </c>
      <c r="R94" s="507">
        <f t="shared" si="290"/>
        <v>0</v>
      </c>
      <c r="S94" s="530">
        <v>8.5</v>
      </c>
      <c r="T94" s="507">
        <f t="shared" si="291"/>
        <v>0</v>
      </c>
      <c r="U94" s="530">
        <v>8</v>
      </c>
      <c r="V94" s="507">
        <f t="shared" si="292"/>
        <v>0.266112</v>
      </c>
      <c r="W94" s="530">
        <v>8</v>
      </c>
      <c r="X94" s="507">
        <f t="shared" si="302"/>
        <v>0.158792</v>
      </c>
      <c r="Y94" s="530">
        <v>8</v>
      </c>
      <c r="Z94" s="507">
        <f t="shared" si="294"/>
        <v>0.06016</v>
      </c>
      <c r="AA94" s="530">
        <v>8</v>
      </c>
      <c r="AB94" s="507">
        <f t="shared" si="295"/>
        <v>0.160872</v>
      </c>
      <c r="AC94" s="507">
        <f t="shared" si="296"/>
        <v>0</v>
      </c>
      <c r="AD94" s="507">
        <f t="shared" si="278"/>
        <v>0</v>
      </c>
      <c r="AE94" s="516">
        <f t="shared" si="303"/>
        <v>0</v>
      </c>
      <c r="AF94" s="507">
        <f t="shared" ref="AF94" si="321">AE94*AE$8</f>
        <v>0</v>
      </c>
      <c r="AG94" s="516"/>
      <c r="AH94" s="507">
        <f t="shared" si="298"/>
        <v>0</v>
      </c>
      <c r="AI94" s="516"/>
      <c r="AJ94" s="507">
        <f t="shared" si="299"/>
        <v>0</v>
      </c>
      <c r="AK94" s="559"/>
      <c r="AL94" s="560">
        <f t="shared" si="311"/>
        <v>39.314192</v>
      </c>
      <c r="AM94" s="557"/>
      <c r="AO94" s="405">
        <f t="shared" si="300"/>
        <v>0.645935999999999</v>
      </c>
    </row>
    <row r="95" customHeight="1" outlineLevel="2" spans="1:41">
      <c r="A95" s="514" t="s">
        <v>353</v>
      </c>
      <c r="B95" s="521" t="s">
        <v>354</v>
      </c>
      <c r="C95" s="507">
        <f t="shared" si="281"/>
        <v>99.6101753685471</v>
      </c>
      <c r="D95" s="507">
        <f t="shared" si="282"/>
        <v>711</v>
      </c>
      <c r="E95" s="507">
        <f t="shared" si="283"/>
        <v>144.68057743626</v>
      </c>
      <c r="F95" s="507">
        <f t="shared" si="284"/>
        <v>711</v>
      </c>
      <c r="G95" s="545">
        <f>经济指标!E26*1*21/G8</f>
        <v>99.5485866628912</v>
      </c>
      <c r="H95" s="507">
        <f t="shared" si="285"/>
        <v>315</v>
      </c>
      <c r="I95" s="545">
        <f>经济指标!E27*18*2/I8</f>
        <v>237.232574189096</v>
      </c>
      <c r="J95" s="507">
        <f t="shared" si="286"/>
        <v>396</v>
      </c>
      <c r="K95" s="516">
        <f>经济指标!E28*20*0</f>
        <v>0</v>
      </c>
      <c r="L95" s="507">
        <f t="shared" ref="L95" si="322">K95*K$8</f>
        <v>0</v>
      </c>
      <c r="M95" s="516">
        <v>0</v>
      </c>
      <c r="N95" s="507">
        <f t="shared" si="288"/>
        <v>0</v>
      </c>
      <c r="O95" s="516"/>
      <c r="P95" s="507">
        <f t="shared" si="289"/>
        <v>0</v>
      </c>
      <c r="Q95" s="516"/>
      <c r="R95" s="507">
        <f t="shared" si="290"/>
        <v>0</v>
      </c>
      <c r="S95" s="516">
        <v>0</v>
      </c>
      <c r="T95" s="507">
        <f t="shared" si="291"/>
        <v>0</v>
      </c>
      <c r="U95" s="516"/>
      <c r="V95" s="507">
        <f t="shared" si="292"/>
        <v>0</v>
      </c>
      <c r="W95" s="516"/>
      <c r="X95" s="507">
        <f t="shared" si="302"/>
        <v>0</v>
      </c>
      <c r="Y95" s="516"/>
      <c r="Z95" s="507">
        <f t="shared" si="294"/>
        <v>0</v>
      </c>
      <c r="AA95" s="516"/>
      <c r="AB95" s="507">
        <f t="shared" si="295"/>
        <v>0</v>
      </c>
      <c r="AC95" s="507">
        <f t="shared" si="296"/>
        <v>0</v>
      </c>
      <c r="AD95" s="507">
        <f t="shared" si="278"/>
        <v>0</v>
      </c>
      <c r="AE95" s="516">
        <f t="shared" si="303"/>
        <v>0</v>
      </c>
      <c r="AF95" s="507">
        <f t="shared" ref="AF95" si="323">AE95*AE$8</f>
        <v>0</v>
      </c>
      <c r="AG95" s="516"/>
      <c r="AH95" s="507">
        <f t="shared" si="298"/>
        <v>0</v>
      </c>
      <c r="AI95" s="516"/>
      <c r="AJ95" s="507">
        <f t="shared" si="299"/>
        <v>0</v>
      </c>
      <c r="AK95" s="559" t="s">
        <v>355</v>
      </c>
      <c r="AL95" s="560">
        <f t="shared" si="311"/>
        <v>711</v>
      </c>
      <c r="AM95" s="557"/>
      <c r="AO95" s="405">
        <f t="shared" si="300"/>
        <v>0</v>
      </c>
    </row>
    <row r="96" customHeight="1" outlineLevel="2" spans="1:41">
      <c r="A96" s="514" t="s">
        <v>356</v>
      </c>
      <c r="B96" s="537" t="s">
        <v>357</v>
      </c>
      <c r="C96" s="507">
        <f t="shared" si="281"/>
        <v>59.1016240941744</v>
      </c>
      <c r="D96" s="507">
        <f t="shared" si="282"/>
        <v>421.85705</v>
      </c>
      <c r="E96" s="507">
        <f t="shared" si="283"/>
        <v>17.9730312147837</v>
      </c>
      <c r="F96" s="507">
        <f t="shared" si="284"/>
        <v>88.3244</v>
      </c>
      <c r="G96" s="530">
        <v>20</v>
      </c>
      <c r="H96" s="507">
        <f t="shared" si="285"/>
        <v>63.28568</v>
      </c>
      <c r="I96" s="516">
        <v>15</v>
      </c>
      <c r="J96" s="507">
        <f t="shared" si="286"/>
        <v>25.03872</v>
      </c>
      <c r="K96" s="516">
        <v>30</v>
      </c>
      <c r="L96" s="507">
        <f t="shared" ref="L96" si="324">K96*K$8</f>
        <v>0</v>
      </c>
      <c r="M96" s="509">
        <v>110</v>
      </c>
      <c r="N96" s="507">
        <f t="shared" si="288"/>
        <v>0</v>
      </c>
      <c r="O96" s="516">
        <v>110</v>
      </c>
      <c r="P96" s="507">
        <f t="shared" si="289"/>
        <v>0</v>
      </c>
      <c r="Q96" s="530">
        <v>70</v>
      </c>
      <c r="R96" s="507">
        <f t="shared" si="290"/>
        <v>0</v>
      </c>
      <c r="S96" s="530">
        <v>30</v>
      </c>
      <c r="T96" s="507">
        <f t="shared" si="291"/>
        <v>0</v>
      </c>
      <c r="U96" s="530">
        <v>25</v>
      </c>
      <c r="V96" s="507">
        <f t="shared" si="292"/>
        <v>0.8316</v>
      </c>
      <c r="W96" s="530">
        <v>25</v>
      </c>
      <c r="X96" s="507">
        <f t="shared" si="302"/>
        <v>0.496225</v>
      </c>
      <c r="Y96" s="530">
        <v>25</v>
      </c>
      <c r="Z96" s="507">
        <f t="shared" si="294"/>
        <v>0.188</v>
      </c>
      <c r="AA96" s="530">
        <v>25</v>
      </c>
      <c r="AB96" s="507">
        <f t="shared" si="295"/>
        <v>0.502725</v>
      </c>
      <c r="AC96" s="507">
        <f t="shared" si="296"/>
        <v>150</v>
      </c>
      <c r="AD96" s="507">
        <f t="shared" si="278"/>
        <v>333.53265</v>
      </c>
      <c r="AE96" s="516">
        <f t="shared" si="303"/>
        <v>150</v>
      </c>
      <c r="AF96" s="507">
        <f t="shared" ref="AF96" si="325">AE96*AE$8</f>
        <v>0</v>
      </c>
      <c r="AG96" s="516">
        <v>150</v>
      </c>
      <c r="AH96" s="507">
        <f t="shared" si="298"/>
        <v>59.17665</v>
      </c>
      <c r="AI96" s="516">
        <v>150</v>
      </c>
      <c r="AJ96" s="507">
        <f t="shared" si="299"/>
        <v>274.356</v>
      </c>
      <c r="AK96" s="559"/>
      <c r="AL96" s="560">
        <f t="shared" si="311"/>
        <v>423.8756</v>
      </c>
      <c r="AM96" s="557"/>
      <c r="AO96" s="405">
        <f t="shared" si="300"/>
        <v>2.01855</v>
      </c>
    </row>
    <row r="97" customHeight="1" outlineLevel="2" spans="1:41">
      <c r="A97" s="587" t="s">
        <v>358</v>
      </c>
      <c r="B97" s="588" t="s">
        <v>359</v>
      </c>
      <c r="C97" s="507">
        <f t="shared" si="281"/>
        <v>338.585773677556</v>
      </c>
      <c r="D97" s="507">
        <f t="shared" si="282"/>
        <v>2416.766</v>
      </c>
      <c r="E97" s="507">
        <f t="shared" si="283"/>
        <v>491.784951347849</v>
      </c>
      <c r="F97" s="507">
        <f t="shared" si="284"/>
        <v>2416.766</v>
      </c>
      <c r="G97" s="545">
        <v>500</v>
      </c>
      <c r="H97" s="507">
        <f t="shared" si="285"/>
        <v>1582.142</v>
      </c>
      <c r="I97" s="545">
        <v>500</v>
      </c>
      <c r="J97" s="507">
        <f t="shared" si="286"/>
        <v>834.624</v>
      </c>
      <c r="K97" s="516"/>
      <c r="L97" s="507">
        <f t="shared" ref="L97" si="326">K97*K$8</f>
        <v>0</v>
      </c>
      <c r="M97" s="516"/>
      <c r="N97" s="507">
        <f t="shared" si="288"/>
        <v>0</v>
      </c>
      <c r="O97" s="516"/>
      <c r="P97" s="507">
        <f t="shared" si="289"/>
        <v>0</v>
      </c>
      <c r="Q97" s="516"/>
      <c r="R97" s="507">
        <f t="shared" si="290"/>
        <v>0</v>
      </c>
      <c r="S97" s="516"/>
      <c r="T97" s="507">
        <f t="shared" si="291"/>
        <v>0</v>
      </c>
      <c r="U97" s="516"/>
      <c r="V97" s="507">
        <f t="shared" si="292"/>
        <v>0</v>
      </c>
      <c r="W97" s="516">
        <v>0</v>
      </c>
      <c r="X97" s="507">
        <f t="shared" si="302"/>
        <v>0</v>
      </c>
      <c r="Y97" s="516"/>
      <c r="Z97" s="507">
        <f t="shared" si="294"/>
        <v>0</v>
      </c>
      <c r="AA97" s="516"/>
      <c r="AB97" s="507">
        <f t="shared" si="295"/>
        <v>0</v>
      </c>
      <c r="AC97" s="507">
        <f t="shared" si="296"/>
        <v>0</v>
      </c>
      <c r="AD97" s="507">
        <f t="shared" si="278"/>
        <v>0</v>
      </c>
      <c r="AE97" s="516">
        <f t="shared" si="303"/>
        <v>0</v>
      </c>
      <c r="AF97" s="507">
        <f t="shared" ref="AF97" si="327">AE97*AE$8</f>
        <v>0</v>
      </c>
      <c r="AG97" s="516"/>
      <c r="AH97" s="507">
        <f t="shared" si="298"/>
        <v>0</v>
      </c>
      <c r="AI97" s="516"/>
      <c r="AJ97" s="507">
        <f t="shared" si="299"/>
        <v>0</v>
      </c>
      <c r="AK97" s="559"/>
      <c r="AL97" s="560">
        <f t="shared" si="311"/>
        <v>2416.766</v>
      </c>
      <c r="AM97" s="557"/>
      <c r="AO97" s="405">
        <f t="shared" si="300"/>
        <v>0</v>
      </c>
    </row>
    <row r="98" customHeight="1" outlineLevel="1" spans="1:41">
      <c r="A98" s="505">
        <v>3.3</v>
      </c>
      <c r="B98" s="581" t="s">
        <v>360</v>
      </c>
      <c r="C98" s="581">
        <f>SUM(C99:C103)</f>
        <v>255.73516364033</v>
      </c>
      <c r="D98" s="581">
        <f t="shared" ref="D98:AJ98" si="328">SUM(D99:D103)</f>
        <v>1491.681368</v>
      </c>
      <c r="E98" s="581">
        <f t="shared" si="328"/>
        <v>303.540536811745</v>
      </c>
      <c r="F98" s="581">
        <f t="shared" si="328"/>
        <v>1491.681368</v>
      </c>
      <c r="G98" s="581">
        <f t="shared" si="328"/>
        <v>289.92776686901</v>
      </c>
      <c r="H98" s="581">
        <f t="shared" si="328"/>
        <v>917.413793859338</v>
      </c>
      <c r="I98" s="581">
        <f t="shared" si="328"/>
        <v>344.027714360396</v>
      </c>
      <c r="J98" s="581">
        <f t="shared" si="328"/>
        <v>574.267574140662</v>
      </c>
      <c r="K98" s="581">
        <f t="shared" si="328"/>
        <v>144.821633538373</v>
      </c>
      <c r="L98" s="581">
        <f t="shared" si="328"/>
        <v>0</v>
      </c>
      <c r="M98" s="581">
        <f t="shared" si="328"/>
        <v>0</v>
      </c>
      <c r="N98" s="581">
        <f t="shared" si="328"/>
        <v>0</v>
      </c>
      <c r="O98" s="581">
        <f t="shared" si="328"/>
        <v>144.821633538373</v>
      </c>
      <c r="P98" s="581">
        <f t="shared" si="328"/>
        <v>0</v>
      </c>
      <c r="Q98" s="581">
        <f t="shared" si="328"/>
        <v>600</v>
      </c>
      <c r="R98" s="581">
        <f t="shared" si="328"/>
        <v>0</v>
      </c>
      <c r="S98" s="581">
        <f t="shared" si="328"/>
        <v>944.821633538373</v>
      </c>
      <c r="T98" s="581">
        <f t="shared" si="328"/>
        <v>0</v>
      </c>
      <c r="U98" s="581">
        <f t="shared" si="328"/>
        <v>400</v>
      </c>
      <c r="V98" s="581">
        <f t="shared" si="328"/>
        <v>13.3056</v>
      </c>
      <c r="W98" s="581">
        <f t="shared" si="328"/>
        <v>400</v>
      </c>
      <c r="X98" s="581">
        <f t="shared" si="328"/>
        <v>7.9396</v>
      </c>
      <c r="Y98" s="581">
        <f t="shared" si="328"/>
        <v>400</v>
      </c>
      <c r="Z98" s="581">
        <f t="shared" si="328"/>
        <v>3.008</v>
      </c>
      <c r="AA98" s="581">
        <f t="shared" si="328"/>
        <v>400</v>
      </c>
      <c r="AB98" s="581">
        <f t="shared" si="328"/>
        <v>8.0436</v>
      </c>
      <c r="AC98" s="581">
        <f t="shared" si="328"/>
        <v>0</v>
      </c>
      <c r="AD98" s="581">
        <f t="shared" si="328"/>
        <v>0</v>
      </c>
      <c r="AE98" s="581">
        <f t="shared" si="328"/>
        <v>0</v>
      </c>
      <c r="AF98" s="581">
        <f t="shared" si="328"/>
        <v>0</v>
      </c>
      <c r="AG98" s="581">
        <f t="shared" si="328"/>
        <v>0</v>
      </c>
      <c r="AH98" s="581">
        <f t="shared" si="328"/>
        <v>0</v>
      </c>
      <c r="AI98" s="581">
        <f t="shared" si="328"/>
        <v>0</v>
      </c>
      <c r="AJ98" s="581">
        <f t="shared" si="328"/>
        <v>0</v>
      </c>
      <c r="AK98" s="559"/>
      <c r="AL98" s="560">
        <f t="shared" si="311"/>
        <v>1523.978168</v>
      </c>
      <c r="AM98" s="557"/>
      <c r="AO98" s="405">
        <f t="shared" si="300"/>
        <v>32.2967999999998</v>
      </c>
    </row>
    <row r="99" customHeight="1" outlineLevel="2" spans="1:41">
      <c r="A99" s="514" t="s">
        <v>361</v>
      </c>
      <c r="B99" s="537" t="s">
        <v>362</v>
      </c>
      <c r="C99" s="507">
        <f>D99/$C$8</f>
        <v>110.913530101957</v>
      </c>
      <c r="D99" s="507">
        <f>F99+AD99</f>
        <v>791.681368</v>
      </c>
      <c r="E99" s="507">
        <f>F99/$E$8</f>
        <v>161.098336804175</v>
      </c>
      <c r="F99" s="507">
        <f>H99+J99+L99+N99+P99+R99+T99</f>
        <v>791.681368</v>
      </c>
      <c r="G99" s="545">
        <f>(经济指标!E26*30*3000+经济指标!E26*30*2000)/10000/G8+74</f>
        <v>145.106133330637</v>
      </c>
      <c r="H99" s="507">
        <f>G99*G$8</f>
        <v>459.157016</v>
      </c>
      <c r="I99" s="545">
        <f>经济指标!E27*38*5000/10000/I8+74</f>
        <v>199.206080822023</v>
      </c>
      <c r="J99" s="507">
        <f t="shared" ref="J99:J103" si="329">I99*I$8</f>
        <v>332.524352</v>
      </c>
      <c r="K99" s="516">
        <f>经济指标!E28*60*2000/10000*0</f>
        <v>0</v>
      </c>
      <c r="L99" s="507">
        <f t="shared" ref="L99" si="330">K99*K$8</f>
        <v>0</v>
      </c>
      <c r="M99" s="509">
        <v>0</v>
      </c>
      <c r="N99" s="507">
        <f t="shared" ref="N99:N103" si="331">M99*M$8</f>
        <v>0</v>
      </c>
      <c r="O99" s="516"/>
      <c r="P99" s="507">
        <f>O99*O$8</f>
        <v>0</v>
      </c>
      <c r="Q99" s="516"/>
      <c r="R99" s="507">
        <f t="shared" ref="R99:R103" si="332">Q99*Q$8</f>
        <v>0</v>
      </c>
      <c r="S99" s="516">
        <v>0</v>
      </c>
      <c r="T99" s="507">
        <f>S99*S$8</f>
        <v>0</v>
      </c>
      <c r="U99" s="516"/>
      <c r="V99" s="507">
        <f t="shared" ref="V99:V103" si="333">U99*U$8</f>
        <v>0</v>
      </c>
      <c r="W99" s="516"/>
      <c r="X99" s="507">
        <f t="shared" ref="X99:X103" si="334">W99*W$8</f>
        <v>0</v>
      </c>
      <c r="Y99" s="516"/>
      <c r="Z99" s="507">
        <f t="shared" ref="Z99:Z103" si="335">Y99*Y$8</f>
        <v>0</v>
      </c>
      <c r="AA99" s="516"/>
      <c r="AB99" s="507">
        <f t="shared" ref="AB99:AB103" si="336">AA99*AA$8</f>
        <v>0</v>
      </c>
      <c r="AC99" s="507">
        <f>AD99/AC$8</f>
        <v>0</v>
      </c>
      <c r="AD99" s="507">
        <f>AF99*0+AH99+AJ99</f>
        <v>0</v>
      </c>
      <c r="AE99" s="516"/>
      <c r="AF99" s="507">
        <f t="shared" ref="AF99" si="337">AE99*AE$8</f>
        <v>0</v>
      </c>
      <c r="AG99" s="516"/>
      <c r="AH99" s="507">
        <f t="shared" ref="AH99" si="338">AG99*AG$8</f>
        <v>0</v>
      </c>
      <c r="AI99" s="516"/>
      <c r="AJ99" s="507">
        <f t="shared" ref="AJ99" si="339">AI99*AI$8</f>
        <v>0</v>
      </c>
      <c r="AK99" s="559" t="s">
        <v>363</v>
      </c>
      <c r="AL99" s="560">
        <f t="shared" si="311"/>
        <v>791.681368</v>
      </c>
      <c r="AM99" s="557"/>
      <c r="AO99" s="405">
        <f t="shared" si="300"/>
        <v>0</v>
      </c>
    </row>
    <row r="100" customHeight="1" outlineLevel="2" spans="1:41">
      <c r="A100" s="514" t="s">
        <v>364</v>
      </c>
      <c r="B100" s="537" t="s">
        <v>365</v>
      </c>
      <c r="C100" s="507">
        <f>D100/$C$8</f>
        <v>0</v>
      </c>
      <c r="D100" s="507">
        <f>F100+AD100</f>
        <v>0</v>
      </c>
      <c r="E100" s="507">
        <f>F100/$E$8</f>
        <v>0</v>
      </c>
      <c r="F100" s="507">
        <f>H100+J100+L100+N100+P100+R100+T100</f>
        <v>0</v>
      </c>
      <c r="G100" s="516"/>
      <c r="H100" s="507">
        <f>G100*G$8</f>
        <v>0</v>
      </c>
      <c r="I100" s="516"/>
      <c r="J100" s="507">
        <f t="shared" si="329"/>
        <v>0</v>
      </c>
      <c r="K100" s="516"/>
      <c r="L100" s="507">
        <f t="shared" ref="L100" si="340">K100*K$8</f>
        <v>0</v>
      </c>
      <c r="M100" s="516"/>
      <c r="N100" s="507">
        <f t="shared" si="331"/>
        <v>0</v>
      </c>
      <c r="O100" s="516"/>
      <c r="P100" s="507">
        <f>O100*O$8</f>
        <v>0</v>
      </c>
      <c r="Q100" s="516">
        <v>600</v>
      </c>
      <c r="R100" s="507">
        <f t="shared" si="332"/>
        <v>0</v>
      </c>
      <c r="S100" s="516">
        <v>800</v>
      </c>
      <c r="T100" s="507">
        <f>S100*S$8</f>
        <v>0</v>
      </c>
      <c r="U100" s="516">
        <v>400</v>
      </c>
      <c r="V100" s="507">
        <f t="shared" si="333"/>
        <v>13.3056</v>
      </c>
      <c r="W100" s="516">
        <v>400</v>
      </c>
      <c r="X100" s="507">
        <f t="shared" si="334"/>
        <v>7.9396</v>
      </c>
      <c r="Y100" s="516">
        <v>400</v>
      </c>
      <c r="Z100" s="507">
        <f t="shared" si="335"/>
        <v>3.008</v>
      </c>
      <c r="AA100" s="516">
        <v>400</v>
      </c>
      <c r="AB100" s="507">
        <f t="shared" si="336"/>
        <v>8.0436</v>
      </c>
      <c r="AC100" s="507">
        <f>AD100/AC$8</f>
        <v>0</v>
      </c>
      <c r="AD100" s="507">
        <f>AF100*0+AH100+AJ100</f>
        <v>0</v>
      </c>
      <c r="AE100" s="516"/>
      <c r="AF100" s="507">
        <f t="shared" ref="AF100" si="341">AE100*AE$8</f>
        <v>0</v>
      </c>
      <c r="AG100" s="516"/>
      <c r="AH100" s="507">
        <f t="shared" ref="AH100" si="342">AG100*AG$8</f>
        <v>0</v>
      </c>
      <c r="AI100" s="516"/>
      <c r="AJ100" s="507">
        <f t="shared" ref="AJ100:AJ101" si="343">AI100*AI$8</f>
        <v>0</v>
      </c>
      <c r="AK100" s="605" t="s">
        <v>366</v>
      </c>
      <c r="AL100" s="560">
        <f t="shared" si="311"/>
        <v>32.2968</v>
      </c>
      <c r="AM100" s="557"/>
      <c r="AO100" s="405">
        <f t="shared" si="300"/>
        <v>32.2968</v>
      </c>
    </row>
    <row r="101" customHeight="1" outlineLevel="2" spans="1:41">
      <c r="A101" s="514" t="s">
        <v>367</v>
      </c>
      <c r="B101" s="537" t="s">
        <v>368</v>
      </c>
      <c r="C101" s="507">
        <f>AM101/(G8+I8+O8+S8)</f>
        <v>144.821633538373</v>
      </c>
      <c r="D101" s="507">
        <f>F101+AD101</f>
        <v>700</v>
      </c>
      <c r="E101" s="507">
        <f>F101/$E$8</f>
        <v>142.44220000757</v>
      </c>
      <c r="F101" s="507">
        <f>H101+J101+L101+N101+P101+R101+T101</f>
        <v>700</v>
      </c>
      <c r="G101" s="516">
        <f>AN101</f>
        <v>144.821633538373</v>
      </c>
      <c r="H101" s="507">
        <f>G101*G$8</f>
        <v>458.256777859338</v>
      </c>
      <c r="I101" s="516">
        <f>AN101</f>
        <v>144.821633538373</v>
      </c>
      <c r="J101" s="507">
        <f t="shared" si="329"/>
        <v>241.743222140662</v>
      </c>
      <c r="K101" s="516">
        <f>I101</f>
        <v>144.821633538373</v>
      </c>
      <c r="L101" s="507">
        <f t="shared" ref="L101" si="344">K101*K$8</f>
        <v>0</v>
      </c>
      <c r="M101" s="516">
        <v>0</v>
      </c>
      <c r="N101" s="507">
        <f t="shared" si="331"/>
        <v>0</v>
      </c>
      <c r="O101" s="516">
        <f>I101</f>
        <v>144.821633538373</v>
      </c>
      <c r="P101" s="507">
        <f>O101*O$8</f>
        <v>0</v>
      </c>
      <c r="Q101" s="516">
        <v>0</v>
      </c>
      <c r="R101" s="507">
        <f t="shared" si="332"/>
        <v>0</v>
      </c>
      <c r="S101" s="516">
        <f>G101</f>
        <v>144.821633538373</v>
      </c>
      <c r="T101" s="507">
        <f>S101*S$8</f>
        <v>0</v>
      </c>
      <c r="U101" s="516"/>
      <c r="V101" s="507">
        <f t="shared" si="333"/>
        <v>0</v>
      </c>
      <c r="W101" s="516">
        <v>0</v>
      </c>
      <c r="X101" s="507">
        <f t="shared" si="334"/>
        <v>0</v>
      </c>
      <c r="Y101" s="516"/>
      <c r="Z101" s="507">
        <f t="shared" si="335"/>
        <v>0</v>
      </c>
      <c r="AA101" s="516"/>
      <c r="AB101" s="507">
        <f t="shared" si="336"/>
        <v>0</v>
      </c>
      <c r="AC101" s="507">
        <f>AD101/AC$8</f>
        <v>0</v>
      </c>
      <c r="AD101" s="507">
        <f>AF101*0+AH101+AJ101</f>
        <v>0</v>
      </c>
      <c r="AE101" s="516">
        <v>0</v>
      </c>
      <c r="AF101" s="507">
        <f t="shared" ref="AF101" si="345">AE101*AE$8</f>
        <v>0</v>
      </c>
      <c r="AG101" s="516"/>
      <c r="AH101" s="507">
        <f t="shared" ref="AH101" si="346">AG101*AG$8</f>
        <v>0</v>
      </c>
      <c r="AI101" s="516"/>
      <c r="AJ101" s="507">
        <f t="shared" si="343"/>
        <v>0</v>
      </c>
      <c r="AK101" s="559"/>
      <c r="AL101" s="560">
        <f t="shared" si="311"/>
        <v>700</v>
      </c>
      <c r="AM101" s="557">
        <f>700</f>
        <v>700</v>
      </c>
      <c r="AN101" s="405">
        <f>AM101/(I8+K8+O8+S8+G8)</f>
        <v>144.821633538373</v>
      </c>
      <c r="AO101" s="405">
        <f t="shared" si="300"/>
        <v>0</v>
      </c>
    </row>
    <row r="102" ht="21" customHeight="1" outlineLevel="2" spans="1:41">
      <c r="A102" s="514" t="s">
        <v>369</v>
      </c>
      <c r="B102" s="537" t="s">
        <v>370</v>
      </c>
      <c r="C102" s="507">
        <f>D102/$C$8</f>
        <v>0</v>
      </c>
      <c r="D102" s="507">
        <f>F102+AD102</f>
        <v>0</v>
      </c>
      <c r="E102" s="507">
        <f>F102/$E$8</f>
        <v>0</v>
      </c>
      <c r="F102" s="507">
        <f>H102+J102+L102+N102+P102+R102+T102</f>
        <v>0</v>
      </c>
      <c r="G102" s="516">
        <v>0</v>
      </c>
      <c r="H102" s="507">
        <f>G102*G$8</f>
        <v>0</v>
      </c>
      <c r="I102" s="516">
        <v>0</v>
      </c>
      <c r="J102" s="507">
        <f t="shared" si="329"/>
        <v>0</v>
      </c>
      <c r="K102" s="516">
        <f>100*4500/10000*0</f>
        <v>0</v>
      </c>
      <c r="L102" s="507">
        <f t="shared" ref="L102" si="347">K102*K$8</f>
        <v>0</v>
      </c>
      <c r="M102" s="516">
        <v>0</v>
      </c>
      <c r="N102" s="507">
        <f t="shared" si="331"/>
        <v>0</v>
      </c>
      <c r="O102" s="516"/>
      <c r="P102" s="507">
        <f>O102*O$8</f>
        <v>0</v>
      </c>
      <c r="Q102" s="516"/>
      <c r="R102" s="507">
        <f t="shared" si="332"/>
        <v>0</v>
      </c>
      <c r="S102" s="516">
        <v>0</v>
      </c>
      <c r="T102" s="507">
        <f>S102*S$8</f>
        <v>0</v>
      </c>
      <c r="U102" s="516"/>
      <c r="V102" s="507">
        <f t="shared" si="333"/>
        <v>0</v>
      </c>
      <c r="W102" s="516"/>
      <c r="X102" s="507">
        <f t="shared" si="334"/>
        <v>0</v>
      </c>
      <c r="Y102" s="516"/>
      <c r="Z102" s="507">
        <f t="shared" si="335"/>
        <v>0</v>
      </c>
      <c r="AA102" s="516"/>
      <c r="AB102" s="507">
        <f t="shared" si="336"/>
        <v>0</v>
      </c>
      <c r="AC102" s="507">
        <f>AD102/AC$8</f>
        <v>0</v>
      </c>
      <c r="AD102" s="507">
        <f>AF102*0+AH102+AJ102</f>
        <v>0</v>
      </c>
      <c r="AE102" s="516">
        <v>0</v>
      </c>
      <c r="AF102" s="507">
        <f t="shared" ref="AF102" si="348">AE102*AE$8</f>
        <v>0</v>
      </c>
      <c r="AG102" s="516"/>
      <c r="AH102" s="507">
        <f t="shared" ref="AH102" si="349">AG102*AG$8</f>
        <v>0</v>
      </c>
      <c r="AI102" s="516"/>
      <c r="AJ102" s="507">
        <f t="shared" ref="AJ102" si="350">AI102*AI$8</f>
        <v>0</v>
      </c>
      <c r="AK102" s="559"/>
      <c r="AL102" s="560">
        <f t="shared" si="311"/>
        <v>0</v>
      </c>
      <c r="AM102" s="557"/>
      <c r="AO102" s="405">
        <f t="shared" si="300"/>
        <v>0</v>
      </c>
    </row>
    <row r="103" customHeight="1" outlineLevel="2" spans="1:41">
      <c r="A103" s="514" t="s">
        <v>371</v>
      </c>
      <c r="B103" s="537" t="s">
        <v>372</v>
      </c>
      <c r="C103" s="507">
        <f>D103/$C$8</f>
        <v>0</v>
      </c>
      <c r="D103" s="507">
        <f>F103+AD103</f>
        <v>0</v>
      </c>
      <c r="E103" s="507">
        <f>F103/$E$8</f>
        <v>0</v>
      </c>
      <c r="F103" s="507">
        <f>H103+J103+L103+N103+P103+R103+T103</f>
        <v>0</v>
      </c>
      <c r="G103" s="516"/>
      <c r="H103" s="507">
        <f>G103*G$8</f>
        <v>0</v>
      </c>
      <c r="I103" s="516"/>
      <c r="J103" s="507">
        <f t="shared" si="329"/>
        <v>0</v>
      </c>
      <c r="K103" s="516"/>
      <c r="L103" s="507">
        <f t="shared" ref="L103" si="351">K103*K$8</f>
        <v>0</v>
      </c>
      <c r="M103" s="516"/>
      <c r="N103" s="507">
        <f t="shared" si="331"/>
        <v>0</v>
      </c>
      <c r="O103" s="516"/>
      <c r="P103" s="507">
        <f>O103*O$8</f>
        <v>0</v>
      </c>
      <c r="Q103" s="516"/>
      <c r="R103" s="507">
        <f t="shared" si="332"/>
        <v>0</v>
      </c>
      <c r="S103" s="516"/>
      <c r="T103" s="507">
        <f>S103*S$8</f>
        <v>0</v>
      </c>
      <c r="U103" s="516"/>
      <c r="V103" s="507">
        <f t="shared" si="333"/>
        <v>0</v>
      </c>
      <c r="W103" s="516"/>
      <c r="X103" s="507">
        <f t="shared" si="334"/>
        <v>0</v>
      </c>
      <c r="Y103" s="516"/>
      <c r="Z103" s="507">
        <f t="shared" si="335"/>
        <v>0</v>
      </c>
      <c r="AA103" s="516"/>
      <c r="AB103" s="507">
        <f t="shared" si="336"/>
        <v>0</v>
      </c>
      <c r="AC103" s="507">
        <f>AD103/AC$8</f>
        <v>0</v>
      </c>
      <c r="AD103" s="507">
        <f>AF103*0+AH103+AJ103</f>
        <v>0</v>
      </c>
      <c r="AE103" s="516"/>
      <c r="AF103" s="507">
        <f t="shared" ref="AF103" si="352">AE103*AE$8</f>
        <v>0</v>
      </c>
      <c r="AG103" s="516"/>
      <c r="AH103" s="507">
        <f t="shared" ref="AH103" si="353">AG103*AG$8</f>
        <v>0</v>
      </c>
      <c r="AI103" s="516"/>
      <c r="AJ103" s="507">
        <f t="shared" ref="AJ103" si="354">AI103*AI$8</f>
        <v>0</v>
      </c>
      <c r="AK103" s="559" t="s">
        <v>225</v>
      </c>
      <c r="AL103" s="560">
        <f t="shared" si="311"/>
        <v>0</v>
      </c>
      <c r="AM103" s="557"/>
      <c r="AO103" s="405">
        <f t="shared" si="300"/>
        <v>0</v>
      </c>
    </row>
    <row r="104" customHeight="1" outlineLevel="1" spans="1:41">
      <c r="A104" s="589">
        <v>3.4</v>
      </c>
      <c r="B104" s="590" t="s">
        <v>373</v>
      </c>
      <c r="C104" s="581">
        <f>SUM(C105:C109)</f>
        <v>3.55927734288806</v>
      </c>
      <c r="D104" s="581">
        <f t="shared" ref="D104:AJ104" si="355">SUM(D105:D109)</f>
        <v>25.4054988</v>
      </c>
      <c r="E104" s="581">
        <f t="shared" si="355"/>
        <v>3.54085164970451</v>
      </c>
      <c r="F104" s="581">
        <f t="shared" si="355"/>
        <v>17.4007152</v>
      </c>
      <c r="G104" s="581">
        <f t="shared" si="355"/>
        <v>3.6</v>
      </c>
      <c r="H104" s="581">
        <f t="shared" si="355"/>
        <v>11.3914224</v>
      </c>
      <c r="I104" s="581">
        <f t="shared" si="355"/>
        <v>3.6</v>
      </c>
      <c r="J104" s="581">
        <f t="shared" si="355"/>
        <v>6.0092928</v>
      </c>
      <c r="K104" s="581">
        <f t="shared" si="355"/>
        <v>3.6</v>
      </c>
      <c r="L104" s="581">
        <f t="shared" si="355"/>
        <v>0</v>
      </c>
      <c r="M104" s="581">
        <f t="shared" si="355"/>
        <v>3.6</v>
      </c>
      <c r="N104" s="581">
        <f t="shared" si="355"/>
        <v>0</v>
      </c>
      <c r="O104" s="581">
        <f t="shared" si="355"/>
        <v>3.6</v>
      </c>
      <c r="P104" s="581">
        <f t="shared" si="355"/>
        <v>0</v>
      </c>
      <c r="Q104" s="581">
        <f t="shared" si="355"/>
        <v>1.2</v>
      </c>
      <c r="R104" s="581">
        <f t="shared" si="355"/>
        <v>0</v>
      </c>
      <c r="S104" s="581">
        <f t="shared" si="355"/>
        <v>3.6</v>
      </c>
      <c r="T104" s="581">
        <f t="shared" si="355"/>
        <v>0</v>
      </c>
      <c r="U104" s="581">
        <f t="shared" si="355"/>
        <v>3.6</v>
      </c>
      <c r="V104" s="581">
        <f t="shared" si="355"/>
        <v>0.1197504</v>
      </c>
      <c r="W104" s="581">
        <f t="shared" si="355"/>
        <v>3.6</v>
      </c>
      <c r="X104" s="581">
        <f t="shared" si="355"/>
        <v>0.0714564</v>
      </c>
      <c r="Y104" s="581">
        <f t="shared" si="355"/>
        <v>3.6</v>
      </c>
      <c r="Z104" s="581">
        <f t="shared" si="355"/>
        <v>0.027072</v>
      </c>
      <c r="AA104" s="581">
        <f t="shared" si="355"/>
        <v>3.6</v>
      </c>
      <c r="AB104" s="581">
        <f t="shared" si="355"/>
        <v>0.0723924</v>
      </c>
      <c r="AC104" s="581">
        <f t="shared" si="355"/>
        <v>3.6</v>
      </c>
      <c r="AD104" s="581">
        <f t="shared" si="355"/>
        <v>8.0047836</v>
      </c>
      <c r="AE104" s="581">
        <f t="shared" si="355"/>
        <v>3.6</v>
      </c>
      <c r="AF104" s="581">
        <f t="shared" si="355"/>
        <v>0</v>
      </c>
      <c r="AG104" s="581">
        <f t="shared" si="355"/>
        <v>3.6</v>
      </c>
      <c r="AH104" s="581">
        <f t="shared" si="355"/>
        <v>1.4202396</v>
      </c>
      <c r="AI104" s="581">
        <f t="shared" si="355"/>
        <v>3.6</v>
      </c>
      <c r="AJ104" s="581">
        <f t="shared" si="355"/>
        <v>6.584544</v>
      </c>
      <c r="AK104" s="559"/>
      <c r="AL104" s="560">
        <f t="shared" si="311"/>
        <v>25.69617</v>
      </c>
      <c r="AM104" s="557"/>
      <c r="AO104" s="405">
        <f t="shared" si="300"/>
        <v>0.290671199999995</v>
      </c>
    </row>
    <row r="105" customHeight="1" outlineLevel="2" spans="1:41">
      <c r="A105" s="514" t="s">
        <v>374</v>
      </c>
      <c r="B105" s="537" t="s">
        <v>375</v>
      </c>
      <c r="C105" s="507">
        <f t="shared" ref="C105:C110" si="356">D105/$C$8</f>
        <v>0.98868815080224</v>
      </c>
      <c r="D105" s="507">
        <f t="shared" ref="D105:D110" si="357">F105+AD105</f>
        <v>7.057083</v>
      </c>
      <c r="E105" s="507">
        <f t="shared" ref="E105:E110" si="358">F105/$E$8</f>
        <v>0.983569902695698</v>
      </c>
      <c r="F105" s="507">
        <f t="shared" ref="F105:F110" si="359">H105+J105+L105+N105+P105+R105+T105</f>
        <v>4.833532</v>
      </c>
      <c r="G105" s="516">
        <v>1</v>
      </c>
      <c r="H105" s="507">
        <f t="shared" ref="H105:H110" si="360">G105*G$8</f>
        <v>3.164284</v>
      </c>
      <c r="I105" s="516">
        <f>G105</f>
        <v>1</v>
      </c>
      <c r="J105" s="507">
        <f t="shared" ref="J105:J110" si="361">I105*I$8</f>
        <v>1.669248</v>
      </c>
      <c r="K105" s="516">
        <v>1</v>
      </c>
      <c r="L105" s="507">
        <f t="shared" ref="L105" si="362">K105*K$8</f>
        <v>0</v>
      </c>
      <c r="M105" s="516">
        <f>G105</f>
        <v>1</v>
      </c>
      <c r="N105" s="507">
        <f t="shared" ref="N105:N110" si="363">M105*M$8</f>
        <v>0</v>
      </c>
      <c r="O105" s="516">
        <v>1</v>
      </c>
      <c r="P105" s="507">
        <f t="shared" ref="P105:P110" si="364">O105*O$8</f>
        <v>0</v>
      </c>
      <c r="Q105" s="516">
        <v>0.2</v>
      </c>
      <c r="R105" s="507">
        <f t="shared" ref="R105:R110" si="365">Q105*Q$8</f>
        <v>0</v>
      </c>
      <c r="S105" s="516">
        <v>1</v>
      </c>
      <c r="T105" s="507">
        <f t="shared" ref="T105:T110" si="366">S105*S$8</f>
        <v>0</v>
      </c>
      <c r="U105" s="516">
        <v>1</v>
      </c>
      <c r="V105" s="507">
        <f t="shared" ref="V105:V110" si="367">U105*U$8</f>
        <v>0.033264</v>
      </c>
      <c r="W105" s="516">
        <v>1</v>
      </c>
      <c r="X105" s="507">
        <f t="shared" ref="X105:X110" si="368">W105*W$8</f>
        <v>0.019849</v>
      </c>
      <c r="Y105" s="516">
        <v>1</v>
      </c>
      <c r="Z105" s="507">
        <f t="shared" ref="Z105:Z110" si="369">Y105*Y$8</f>
        <v>0.00752</v>
      </c>
      <c r="AA105" s="516">
        <v>1</v>
      </c>
      <c r="AB105" s="507">
        <f t="shared" ref="AB105:AB110" si="370">AA105*AA$8</f>
        <v>0.020109</v>
      </c>
      <c r="AC105" s="507">
        <f t="shared" ref="AC105:AC110" si="371">AD105/AC$8</f>
        <v>1</v>
      </c>
      <c r="AD105" s="507">
        <f t="shared" ref="AD105:AD110" si="372">AF105*0+AH105+AJ105</f>
        <v>2.223551</v>
      </c>
      <c r="AE105" s="516">
        <f t="shared" ref="AE105:AE110" si="373">AG105</f>
        <v>1</v>
      </c>
      <c r="AF105" s="507">
        <f t="shared" ref="AF105" si="374">AE105*AE$8</f>
        <v>0</v>
      </c>
      <c r="AG105" s="516">
        <v>1</v>
      </c>
      <c r="AH105" s="507">
        <f t="shared" ref="AH105:AH110" si="375">AG105*AG$8</f>
        <v>0.394511</v>
      </c>
      <c r="AI105" s="516">
        <v>1</v>
      </c>
      <c r="AJ105" s="507">
        <f t="shared" ref="AJ105:AJ110" si="376">AI105*AI$8</f>
        <v>1.82904</v>
      </c>
      <c r="AK105" s="537" t="s">
        <v>376</v>
      </c>
      <c r="AL105" s="560">
        <f t="shared" si="311"/>
        <v>7.137825</v>
      </c>
      <c r="AM105" s="557"/>
      <c r="AO105" s="405">
        <f t="shared" si="300"/>
        <v>0.080741999999999</v>
      </c>
    </row>
    <row r="106" customHeight="1" outlineLevel="2" spans="1:41">
      <c r="A106" s="514" t="s">
        <v>377</v>
      </c>
      <c r="B106" s="537" t="s">
        <v>378</v>
      </c>
      <c r="C106" s="507">
        <f t="shared" si="356"/>
        <v>0</v>
      </c>
      <c r="D106" s="507">
        <f t="shared" si="357"/>
        <v>0</v>
      </c>
      <c r="E106" s="507">
        <f t="shared" si="358"/>
        <v>0</v>
      </c>
      <c r="F106" s="507">
        <f t="shared" si="359"/>
        <v>0</v>
      </c>
      <c r="G106" s="516"/>
      <c r="H106" s="507">
        <f t="shared" si="360"/>
        <v>0</v>
      </c>
      <c r="I106" s="516"/>
      <c r="J106" s="507">
        <f t="shared" si="361"/>
        <v>0</v>
      </c>
      <c r="K106" s="516"/>
      <c r="L106" s="507">
        <f t="shared" ref="L106" si="377">K106*K$8</f>
        <v>0</v>
      </c>
      <c r="M106" s="516"/>
      <c r="N106" s="507">
        <f t="shared" si="363"/>
        <v>0</v>
      </c>
      <c r="O106" s="516"/>
      <c r="P106" s="507">
        <f t="shared" si="364"/>
        <v>0</v>
      </c>
      <c r="Q106" s="516"/>
      <c r="R106" s="507">
        <f t="shared" si="365"/>
        <v>0</v>
      </c>
      <c r="S106" s="516"/>
      <c r="T106" s="507">
        <f t="shared" si="366"/>
        <v>0</v>
      </c>
      <c r="U106" s="516"/>
      <c r="V106" s="507">
        <f t="shared" si="367"/>
        <v>0</v>
      </c>
      <c r="W106" s="516"/>
      <c r="X106" s="507">
        <f t="shared" si="368"/>
        <v>0</v>
      </c>
      <c r="Y106" s="516"/>
      <c r="Z106" s="507">
        <f t="shared" si="369"/>
        <v>0</v>
      </c>
      <c r="AA106" s="516"/>
      <c r="AB106" s="507">
        <f t="shared" si="370"/>
        <v>0</v>
      </c>
      <c r="AC106" s="507">
        <f t="shared" si="371"/>
        <v>0</v>
      </c>
      <c r="AD106" s="507">
        <f t="shared" si="372"/>
        <v>0</v>
      </c>
      <c r="AE106" s="516">
        <f t="shared" si="373"/>
        <v>0</v>
      </c>
      <c r="AF106" s="507">
        <f t="shared" ref="AF106" si="378">AE106*AE$8</f>
        <v>0</v>
      </c>
      <c r="AG106" s="516"/>
      <c r="AH106" s="507">
        <f t="shared" si="375"/>
        <v>0</v>
      </c>
      <c r="AI106" s="516"/>
      <c r="AJ106" s="507">
        <f t="shared" si="376"/>
        <v>0</v>
      </c>
      <c r="AK106" s="537" t="s">
        <v>379</v>
      </c>
      <c r="AL106" s="560">
        <f t="shared" si="311"/>
        <v>0</v>
      </c>
      <c r="AM106" s="557"/>
      <c r="AO106" s="405">
        <f t="shared" si="300"/>
        <v>0</v>
      </c>
    </row>
    <row r="107" customHeight="1" outlineLevel="2" spans="1:41">
      <c r="A107" s="514" t="s">
        <v>380</v>
      </c>
      <c r="B107" s="537" t="s">
        <v>381</v>
      </c>
      <c r="C107" s="507">
        <f t="shared" si="356"/>
        <v>0</v>
      </c>
      <c r="D107" s="507">
        <f t="shared" si="357"/>
        <v>0</v>
      </c>
      <c r="E107" s="507">
        <f t="shared" si="358"/>
        <v>0</v>
      </c>
      <c r="F107" s="507">
        <f t="shared" si="359"/>
        <v>0</v>
      </c>
      <c r="G107" s="516"/>
      <c r="H107" s="507">
        <f t="shared" si="360"/>
        <v>0</v>
      </c>
      <c r="I107" s="516"/>
      <c r="J107" s="507">
        <f t="shared" si="361"/>
        <v>0</v>
      </c>
      <c r="K107" s="516"/>
      <c r="L107" s="507">
        <f t="shared" ref="L107" si="379">K107*K$8</f>
        <v>0</v>
      </c>
      <c r="M107" s="516"/>
      <c r="N107" s="507">
        <f t="shared" si="363"/>
        <v>0</v>
      </c>
      <c r="O107" s="516"/>
      <c r="P107" s="507">
        <f t="shared" si="364"/>
        <v>0</v>
      </c>
      <c r="Q107" s="516"/>
      <c r="R107" s="507">
        <f t="shared" si="365"/>
        <v>0</v>
      </c>
      <c r="S107" s="516"/>
      <c r="T107" s="507">
        <f t="shared" si="366"/>
        <v>0</v>
      </c>
      <c r="U107" s="516"/>
      <c r="V107" s="507">
        <f t="shared" si="367"/>
        <v>0</v>
      </c>
      <c r="W107" s="516"/>
      <c r="X107" s="507">
        <f t="shared" si="368"/>
        <v>0</v>
      </c>
      <c r="Y107" s="516"/>
      <c r="Z107" s="507">
        <f t="shared" si="369"/>
        <v>0</v>
      </c>
      <c r="AA107" s="516"/>
      <c r="AB107" s="507">
        <f t="shared" si="370"/>
        <v>0</v>
      </c>
      <c r="AC107" s="507">
        <f t="shared" si="371"/>
        <v>0</v>
      </c>
      <c r="AD107" s="507">
        <f t="shared" si="372"/>
        <v>0</v>
      </c>
      <c r="AE107" s="516">
        <f t="shared" si="373"/>
        <v>0</v>
      </c>
      <c r="AF107" s="507">
        <f t="shared" ref="AF107" si="380">AE107*AE$8</f>
        <v>0</v>
      </c>
      <c r="AG107" s="516"/>
      <c r="AH107" s="507">
        <f t="shared" si="375"/>
        <v>0</v>
      </c>
      <c r="AI107" s="516"/>
      <c r="AJ107" s="507">
        <f t="shared" si="376"/>
        <v>0</v>
      </c>
      <c r="AK107" s="537" t="s">
        <v>382</v>
      </c>
      <c r="AL107" s="560">
        <f t="shared" si="311"/>
        <v>0</v>
      </c>
      <c r="AM107" s="557"/>
      <c r="AO107" s="405">
        <f t="shared" si="300"/>
        <v>0</v>
      </c>
    </row>
    <row r="108" customHeight="1" outlineLevel="2" spans="1:41">
      <c r="A108" s="514" t="s">
        <v>383</v>
      </c>
      <c r="B108" s="591" t="s">
        <v>384</v>
      </c>
      <c r="C108" s="507">
        <f t="shared" si="356"/>
        <v>1.58190104128358</v>
      </c>
      <c r="D108" s="507">
        <f t="shared" si="357"/>
        <v>11.2913328</v>
      </c>
      <c r="E108" s="507">
        <f t="shared" si="358"/>
        <v>1.57371184431312</v>
      </c>
      <c r="F108" s="507">
        <f t="shared" si="359"/>
        <v>7.7336512</v>
      </c>
      <c r="G108" s="516">
        <v>1.6</v>
      </c>
      <c r="H108" s="507">
        <f t="shared" si="360"/>
        <v>5.0628544</v>
      </c>
      <c r="I108" s="516">
        <v>1.6</v>
      </c>
      <c r="J108" s="507">
        <f t="shared" si="361"/>
        <v>2.6707968</v>
      </c>
      <c r="K108" s="516">
        <v>1.6</v>
      </c>
      <c r="L108" s="507">
        <f t="shared" ref="L108" si="381">K108*K$8</f>
        <v>0</v>
      </c>
      <c r="M108" s="516">
        <f>G108</f>
        <v>1.6</v>
      </c>
      <c r="N108" s="507">
        <f t="shared" si="363"/>
        <v>0</v>
      </c>
      <c r="O108" s="516">
        <v>1.6</v>
      </c>
      <c r="P108" s="507">
        <f t="shared" si="364"/>
        <v>0</v>
      </c>
      <c r="Q108" s="516"/>
      <c r="R108" s="507">
        <f t="shared" si="365"/>
        <v>0</v>
      </c>
      <c r="S108" s="516">
        <v>1.6</v>
      </c>
      <c r="T108" s="507">
        <f t="shared" si="366"/>
        <v>0</v>
      </c>
      <c r="U108" s="516">
        <v>1.6</v>
      </c>
      <c r="V108" s="507">
        <f t="shared" si="367"/>
        <v>0.0532224</v>
      </c>
      <c r="W108" s="516">
        <v>1.6</v>
      </c>
      <c r="X108" s="507">
        <f t="shared" si="368"/>
        <v>0.0317584</v>
      </c>
      <c r="Y108" s="516">
        <v>1.6</v>
      </c>
      <c r="Z108" s="507">
        <f t="shared" si="369"/>
        <v>0.012032</v>
      </c>
      <c r="AA108" s="516">
        <v>1.6</v>
      </c>
      <c r="AB108" s="507">
        <f t="shared" si="370"/>
        <v>0.0321744</v>
      </c>
      <c r="AC108" s="507">
        <f t="shared" si="371"/>
        <v>1.6</v>
      </c>
      <c r="AD108" s="507">
        <f t="shared" si="372"/>
        <v>3.5576816</v>
      </c>
      <c r="AE108" s="516">
        <f t="shared" si="373"/>
        <v>1.6</v>
      </c>
      <c r="AF108" s="507">
        <f t="shared" ref="AF108" si="382">AE108*AE$8</f>
        <v>0</v>
      </c>
      <c r="AG108" s="516">
        <v>1.6</v>
      </c>
      <c r="AH108" s="507">
        <f t="shared" si="375"/>
        <v>0.6312176</v>
      </c>
      <c r="AI108" s="516">
        <v>1.6</v>
      </c>
      <c r="AJ108" s="507">
        <f t="shared" si="376"/>
        <v>2.926464</v>
      </c>
      <c r="AK108" s="606" t="s">
        <v>170</v>
      </c>
      <c r="AL108" s="560">
        <f t="shared" si="311"/>
        <v>11.42052</v>
      </c>
      <c r="AM108" s="557"/>
      <c r="AO108" s="405">
        <f t="shared" si="300"/>
        <v>0.129187200000001</v>
      </c>
    </row>
    <row r="109" customHeight="1" outlineLevel="2" spans="1:41">
      <c r="A109" s="514" t="s">
        <v>385</v>
      </c>
      <c r="B109" s="525" t="s">
        <v>386</v>
      </c>
      <c r="C109" s="507">
        <f t="shared" si="356"/>
        <v>0.98868815080224</v>
      </c>
      <c r="D109" s="507">
        <f t="shared" si="357"/>
        <v>7.057083</v>
      </c>
      <c r="E109" s="507">
        <f t="shared" si="358"/>
        <v>0.983569902695698</v>
      </c>
      <c r="F109" s="507">
        <f t="shared" si="359"/>
        <v>4.833532</v>
      </c>
      <c r="G109" s="516">
        <v>1</v>
      </c>
      <c r="H109" s="507">
        <f t="shared" si="360"/>
        <v>3.164284</v>
      </c>
      <c r="I109" s="516">
        <v>1</v>
      </c>
      <c r="J109" s="507">
        <f t="shared" si="361"/>
        <v>1.669248</v>
      </c>
      <c r="K109" s="516">
        <v>1</v>
      </c>
      <c r="L109" s="507">
        <f t="shared" ref="L109" si="383">K109*K$8</f>
        <v>0</v>
      </c>
      <c r="M109" s="516">
        <v>1</v>
      </c>
      <c r="N109" s="507">
        <f t="shared" si="363"/>
        <v>0</v>
      </c>
      <c r="O109" s="516">
        <v>1</v>
      </c>
      <c r="P109" s="507">
        <f t="shared" si="364"/>
        <v>0</v>
      </c>
      <c r="Q109" s="516">
        <v>1</v>
      </c>
      <c r="R109" s="507">
        <f t="shared" si="365"/>
        <v>0</v>
      </c>
      <c r="S109" s="516">
        <v>1</v>
      </c>
      <c r="T109" s="507">
        <f t="shared" si="366"/>
        <v>0</v>
      </c>
      <c r="U109" s="516">
        <v>1</v>
      </c>
      <c r="V109" s="507">
        <f t="shared" si="367"/>
        <v>0.033264</v>
      </c>
      <c r="W109" s="516">
        <v>1</v>
      </c>
      <c r="X109" s="507">
        <f t="shared" si="368"/>
        <v>0.019849</v>
      </c>
      <c r="Y109" s="516">
        <v>1</v>
      </c>
      <c r="Z109" s="507">
        <f t="shared" si="369"/>
        <v>0.00752</v>
      </c>
      <c r="AA109" s="516">
        <v>1</v>
      </c>
      <c r="AB109" s="507">
        <f t="shared" si="370"/>
        <v>0.020109</v>
      </c>
      <c r="AC109" s="507">
        <f t="shared" si="371"/>
        <v>1</v>
      </c>
      <c r="AD109" s="507">
        <f t="shared" si="372"/>
        <v>2.223551</v>
      </c>
      <c r="AE109" s="516">
        <f t="shared" si="373"/>
        <v>1</v>
      </c>
      <c r="AF109" s="507">
        <f t="shared" ref="AF109" si="384">AE109*AE$8</f>
        <v>0</v>
      </c>
      <c r="AG109" s="516">
        <v>1</v>
      </c>
      <c r="AH109" s="507">
        <f t="shared" si="375"/>
        <v>0.394511</v>
      </c>
      <c r="AI109" s="516">
        <v>1</v>
      </c>
      <c r="AJ109" s="507">
        <f t="shared" si="376"/>
        <v>1.82904</v>
      </c>
      <c r="AK109" s="537" t="s">
        <v>387</v>
      </c>
      <c r="AL109" s="560">
        <f t="shared" si="311"/>
        <v>7.137825</v>
      </c>
      <c r="AM109" s="557"/>
      <c r="AO109" s="405">
        <f t="shared" si="300"/>
        <v>0.080741999999999</v>
      </c>
    </row>
    <row r="110" customHeight="1" outlineLevel="1" spans="1:41">
      <c r="A110" s="505">
        <v>3.5</v>
      </c>
      <c r="B110" s="506" t="s">
        <v>388</v>
      </c>
      <c r="C110" s="507">
        <f t="shared" si="356"/>
        <v>14.8303222620336</v>
      </c>
      <c r="D110" s="507">
        <f t="shared" si="357"/>
        <v>105.856245</v>
      </c>
      <c r="E110" s="507">
        <f t="shared" si="358"/>
        <v>14.7535485404355</v>
      </c>
      <c r="F110" s="507">
        <f t="shared" si="359"/>
        <v>72.50298</v>
      </c>
      <c r="G110" s="516">
        <v>15</v>
      </c>
      <c r="H110" s="507">
        <f t="shared" si="360"/>
        <v>47.46426</v>
      </c>
      <c r="I110" s="516">
        <f>G110</f>
        <v>15</v>
      </c>
      <c r="J110" s="507">
        <f t="shared" si="361"/>
        <v>25.03872</v>
      </c>
      <c r="K110" s="516">
        <v>10</v>
      </c>
      <c r="L110" s="507">
        <f t="shared" ref="L110" si="385">K110*K$8</f>
        <v>0</v>
      </c>
      <c r="M110" s="516">
        <v>10</v>
      </c>
      <c r="N110" s="507">
        <f t="shared" si="363"/>
        <v>0</v>
      </c>
      <c r="O110" s="516">
        <f>G110</f>
        <v>15</v>
      </c>
      <c r="P110" s="507">
        <f t="shared" si="364"/>
        <v>0</v>
      </c>
      <c r="Q110" s="516">
        <v>2</v>
      </c>
      <c r="R110" s="507">
        <f t="shared" si="365"/>
        <v>0</v>
      </c>
      <c r="S110" s="516">
        <f>G110</f>
        <v>15</v>
      </c>
      <c r="T110" s="507">
        <f t="shared" si="366"/>
        <v>0</v>
      </c>
      <c r="U110" s="516">
        <f>G110</f>
        <v>15</v>
      </c>
      <c r="V110" s="507">
        <f t="shared" si="367"/>
        <v>0.49896</v>
      </c>
      <c r="W110" s="516">
        <f>I110</f>
        <v>15</v>
      </c>
      <c r="X110" s="507">
        <f t="shared" si="368"/>
        <v>0.297735</v>
      </c>
      <c r="Y110" s="516">
        <f>G110</f>
        <v>15</v>
      </c>
      <c r="Z110" s="507">
        <f t="shared" si="369"/>
        <v>0.1128</v>
      </c>
      <c r="AA110" s="516">
        <f>G110</f>
        <v>15</v>
      </c>
      <c r="AB110" s="507">
        <f t="shared" si="370"/>
        <v>0.301635</v>
      </c>
      <c r="AC110" s="507">
        <f t="shared" si="371"/>
        <v>15</v>
      </c>
      <c r="AD110" s="507">
        <f t="shared" si="372"/>
        <v>33.353265</v>
      </c>
      <c r="AE110" s="516">
        <f t="shared" si="373"/>
        <v>15</v>
      </c>
      <c r="AF110" s="507">
        <f t="shared" ref="AF110" si="386">AE110*AE$8</f>
        <v>0</v>
      </c>
      <c r="AG110" s="516">
        <f>G110</f>
        <v>15</v>
      </c>
      <c r="AH110" s="507">
        <f t="shared" si="375"/>
        <v>5.917665</v>
      </c>
      <c r="AI110" s="516">
        <f>G110</f>
        <v>15</v>
      </c>
      <c r="AJ110" s="507">
        <f t="shared" si="376"/>
        <v>27.4356</v>
      </c>
      <c r="AK110" s="607" t="s">
        <v>389</v>
      </c>
      <c r="AL110" s="560">
        <f t="shared" si="311"/>
        <v>107.067375</v>
      </c>
      <c r="AM110" s="557"/>
      <c r="AO110" s="405">
        <f t="shared" si="300"/>
        <v>1.21113000000001</v>
      </c>
    </row>
    <row r="111" customHeight="1" spans="1:41">
      <c r="A111" s="502">
        <v>4</v>
      </c>
      <c r="B111" s="503" t="s">
        <v>390</v>
      </c>
      <c r="C111" s="503">
        <f t="shared" ref="C111:AJ111" si="387">C112+C118+C122+C126+C128+C131+C132+C135+C141+C145+C146+C147+C152+C161+C162+C163</f>
        <v>491.044124319073</v>
      </c>
      <c r="D111" s="503">
        <f t="shared" si="387"/>
        <v>3504.98702666778</v>
      </c>
      <c r="E111" s="503">
        <f t="shared" si="387"/>
        <v>657.096084988801</v>
      </c>
      <c r="F111" s="503">
        <f t="shared" si="387"/>
        <v>3206.05030071297</v>
      </c>
      <c r="G111" s="503">
        <f t="shared" si="387"/>
        <v>667.985200940224</v>
      </c>
      <c r="H111" s="503">
        <f t="shared" si="387"/>
        <v>2113.69488357194</v>
      </c>
      <c r="I111" s="503">
        <f t="shared" si="387"/>
        <v>654.39971600447</v>
      </c>
      <c r="J111" s="503">
        <f t="shared" si="387"/>
        <v>1092.35541714103</v>
      </c>
      <c r="K111" s="503">
        <f t="shared" si="387"/>
        <v>577.100216853381</v>
      </c>
      <c r="L111" s="503">
        <f t="shared" si="387"/>
        <v>0</v>
      </c>
      <c r="M111" s="503">
        <f t="shared" si="387"/>
        <v>603.100216853381</v>
      </c>
      <c r="N111" s="503">
        <f t="shared" si="387"/>
        <v>0</v>
      </c>
      <c r="O111" s="503">
        <f t="shared" si="387"/>
        <v>585.100216853381</v>
      </c>
      <c r="P111" s="503">
        <f t="shared" si="387"/>
        <v>0</v>
      </c>
      <c r="Q111" s="503">
        <f t="shared" si="387"/>
        <v>162.004934976691</v>
      </c>
      <c r="R111" s="503">
        <f t="shared" si="387"/>
        <v>0</v>
      </c>
      <c r="S111" s="503">
        <f t="shared" si="387"/>
        <v>614.100216853381</v>
      </c>
      <c r="T111" s="503">
        <f t="shared" si="387"/>
        <v>0</v>
      </c>
      <c r="U111" s="503">
        <f t="shared" si="387"/>
        <v>339.44113760144</v>
      </c>
      <c r="V111" s="503">
        <f t="shared" si="387"/>
        <v>11.2911700011743</v>
      </c>
      <c r="W111" s="503">
        <f t="shared" si="387"/>
        <v>308.44113760144</v>
      </c>
      <c r="X111" s="503">
        <f t="shared" si="387"/>
        <v>6.12224814025099</v>
      </c>
      <c r="Y111" s="503">
        <f t="shared" si="387"/>
        <v>339.44113760144</v>
      </c>
      <c r="Z111" s="503">
        <f t="shared" si="387"/>
        <v>2.55259735476283</v>
      </c>
      <c r="AA111" s="503">
        <f t="shared" si="387"/>
        <v>339.44113760144</v>
      </c>
      <c r="AB111" s="503">
        <f t="shared" si="387"/>
        <v>6.82582183602736</v>
      </c>
      <c r="AC111" s="503">
        <f t="shared" si="387"/>
        <v>134.44113760144</v>
      </c>
      <c r="AD111" s="503">
        <f t="shared" si="387"/>
        <v>298.93672595482</v>
      </c>
      <c r="AE111" s="503">
        <f t="shared" si="387"/>
        <v>139.44113760144</v>
      </c>
      <c r="AF111" s="503">
        <f t="shared" si="387"/>
        <v>0</v>
      </c>
      <c r="AG111" s="503">
        <f t="shared" si="387"/>
        <v>134.44113760144</v>
      </c>
      <c r="AH111" s="503">
        <f t="shared" si="387"/>
        <v>53.0385076362818</v>
      </c>
      <c r="AI111" s="503">
        <f t="shared" si="387"/>
        <v>134.44113760144</v>
      </c>
      <c r="AJ111" s="503">
        <f t="shared" si="387"/>
        <v>245.898218318538</v>
      </c>
      <c r="AK111" s="559"/>
      <c r="AL111" s="560">
        <f t="shared" si="311"/>
        <v>3531.778864</v>
      </c>
      <c r="AM111" s="557"/>
      <c r="AO111" s="405">
        <f t="shared" ref="AO111:AO142" si="388">H111+J111+P111+T111+V111+X111+Z111+AB111+AH111+AJ111-D111</f>
        <v>26.7918373322154</v>
      </c>
    </row>
    <row r="112" customHeight="1" outlineLevel="1" spans="1:41">
      <c r="A112" s="592">
        <v>4.1</v>
      </c>
      <c r="B112" s="579" t="s">
        <v>391</v>
      </c>
      <c r="C112" s="579">
        <f t="shared" ref="C112:L112" si="389">SUM(C113:C117)</f>
        <v>84.0384928181904</v>
      </c>
      <c r="D112" s="579">
        <f t="shared" si="389"/>
        <v>599.852055</v>
      </c>
      <c r="E112" s="579">
        <f t="shared" si="389"/>
        <v>83.6034417291344</v>
      </c>
      <c r="F112" s="579">
        <f t="shared" si="389"/>
        <v>410.85022</v>
      </c>
      <c r="G112" s="579">
        <f t="shared" si="389"/>
        <v>85</v>
      </c>
      <c r="H112" s="579">
        <f t="shared" si="389"/>
        <v>268.96414</v>
      </c>
      <c r="I112" s="579">
        <f t="shared" si="389"/>
        <v>85</v>
      </c>
      <c r="J112" s="579">
        <f t="shared" si="389"/>
        <v>141.88608</v>
      </c>
      <c r="K112" s="579">
        <f t="shared" si="389"/>
        <v>67</v>
      </c>
      <c r="L112" s="579">
        <f t="shared" si="389"/>
        <v>0</v>
      </c>
      <c r="M112" s="579">
        <f t="shared" ref="M112:AJ112" si="390">SUM(M113:M117)</f>
        <v>85</v>
      </c>
      <c r="N112" s="579">
        <f t="shared" si="390"/>
        <v>0</v>
      </c>
      <c r="O112" s="579">
        <f t="shared" si="390"/>
        <v>67</v>
      </c>
      <c r="P112" s="579">
        <f t="shared" si="390"/>
        <v>0</v>
      </c>
      <c r="Q112" s="579">
        <f t="shared" si="390"/>
        <v>85</v>
      </c>
      <c r="R112" s="579">
        <f t="shared" si="390"/>
        <v>0</v>
      </c>
      <c r="S112" s="579">
        <f t="shared" si="390"/>
        <v>86</v>
      </c>
      <c r="T112" s="579">
        <f t="shared" si="390"/>
        <v>0</v>
      </c>
      <c r="U112" s="579">
        <f t="shared" si="390"/>
        <v>85</v>
      </c>
      <c r="V112" s="579">
        <f t="shared" si="390"/>
        <v>2.82744</v>
      </c>
      <c r="W112" s="579">
        <f t="shared" si="390"/>
        <v>67</v>
      </c>
      <c r="X112" s="579">
        <f t="shared" si="390"/>
        <v>1.329883</v>
      </c>
      <c r="Y112" s="579">
        <f t="shared" si="390"/>
        <v>85</v>
      </c>
      <c r="Z112" s="579">
        <f t="shared" si="390"/>
        <v>0.6392</v>
      </c>
      <c r="AA112" s="579">
        <f t="shared" si="390"/>
        <v>85</v>
      </c>
      <c r="AB112" s="579">
        <f t="shared" si="390"/>
        <v>1.709265</v>
      </c>
      <c r="AC112" s="579">
        <f t="shared" si="390"/>
        <v>85</v>
      </c>
      <c r="AD112" s="579">
        <f t="shared" si="390"/>
        <v>189.001835</v>
      </c>
      <c r="AE112" s="579">
        <f t="shared" si="390"/>
        <v>85</v>
      </c>
      <c r="AF112" s="579">
        <f t="shared" si="390"/>
        <v>0</v>
      </c>
      <c r="AG112" s="579">
        <f t="shared" si="390"/>
        <v>85</v>
      </c>
      <c r="AH112" s="579">
        <f t="shared" si="390"/>
        <v>33.533435</v>
      </c>
      <c r="AI112" s="579">
        <f t="shared" si="390"/>
        <v>85</v>
      </c>
      <c r="AJ112" s="579">
        <f t="shared" si="390"/>
        <v>155.4684</v>
      </c>
      <c r="AK112" s="559"/>
      <c r="AL112" s="560">
        <f t="shared" si="311"/>
        <v>606.357843</v>
      </c>
      <c r="AM112" s="557"/>
      <c r="AO112" s="405">
        <f t="shared" si="388"/>
        <v>6.50578799999994</v>
      </c>
    </row>
    <row r="113" customHeight="1" outlineLevel="2" spans="1:41">
      <c r="A113" s="514" t="s">
        <v>392</v>
      </c>
      <c r="B113" s="593" t="s">
        <v>393</v>
      </c>
      <c r="C113" s="507">
        <f>D113/$C$8</f>
        <v>0</v>
      </c>
      <c r="D113" s="507">
        <f>F113+AD113</f>
        <v>0</v>
      </c>
      <c r="E113" s="507">
        <f>F113/$E$8</f>
        <v>0</v>
      </c>
      <c r="F113" s="507">
        <f>H113+J113+L113+N113+P113+R113+T113+V113+X113+Z113+AB113</f>
        <v>0</v>
      </c>
      <c r="G113" s="516"/>
      <c r="H113" s="507">
        <f>G113*G$8</f>
        <v>0</v>
      </c>
      <c r="I113" s="516"/>
      <c r="J113" s="507">
        <f t="shared" ref="J113:J117" si="391">I113*I$8</f>
        <v>0</v>
      </c>
      <c r="K113" s="516"/>
      <c r="L113" s="507">
        <f t="shared" ref="L113" si="392">K113*K$8</f>
        <v>0</v>
      </c>
      <c r="M113" s="516"/>
      <c r="N113" s="507">
        <f t="shared" ref="N113:N117" si="393">M113*M$8</f>
        <v>0</v>
      </c>
      <c r="O113" s="516"/>
      <c r="P113" s="507">
        <f>O113*O$8</f>
        <v>0</v>
      </c>
      <c r="Q113" s="516"/>
      <c r="R113" s="507">
        <f t="shared" ref="R113:R117" si="394">Q113*Q$8</f>
        <v>0</v>
      </c>
      <c r="S113" s="516"/>
      <c r="T113" s="507">
        <f>S113*S$8</f>
        <v>0</v>
      </c>
      <c r="U113" s="516"/>
      <c r="V113" s="507">
        <f t="shared" ref="V113:V117" si="395">U113*U$8</f>
        <v>0</v>
      </c>
      <c r="W113" s="516"/>
      <c r="X113" s="507">
        <f t="shared" ref="X113:X117" si="396">W113*W$8</f>
        <v>0</v>
      </c>
      <c r="Y113" s="516"/>
      <c r="Z113" s="507">
        <f t="shared" ref="Z113:Z117" si="397">Y113*Y$8</f>
        <v>0</v>
      </c>
      <c r="AA113" s="516"/>
      <c r="AB113" s="507">
        <f t="shared" ref="AB113:AB117" si="398">AA113*AA$8</f>
        <v>0</v>
      </c>
      <c r="AC113" s="507">
        <f>AD113/AC$8</f>
        <v>0</v>
      </c>
      <c r="AD113" s="507">
        <f>AF113*0+AH113+AJ113</f>
        <v>0</v>
      </c>
      <c r="AE113" s="516"/>
      <c r="AF113" s="507">
        <f t="shared" ref="AF113" si="399">AE113*AE$8</f>
        <v>0</v>
      </c>
      <c r="AG113" s="516"/>
      <c r="AH113" s="507">
        <f t="shared" ref="AH113:AH117" si="400">AG113*AG$8</f>
        <v>0</v>
      </c>
      <c r="AI113" s="516"/>
      <c r="AJ113" s="507">
        <f t="shared" ref="AJ113:AJ117" si="401">AI113*AI$8</f>
        <v>0</v>
      </c>
      <c r="AK113" s="559" t="s">
        <v>394</v>
      </c>
      <c r="AL113" s="560">
        <f t="shared" si="311"/>
        <v>0</v>
      </c>
      <c r="AM113" s="557"/>
      <c r="AO113" s="405">
        <f t="shared" si="388"/>
        <v>0</v>
      </c>
    </row>
    <row r="114" customHeight="1" outlineLevel="2" spans="1:41">
      <c r="A114" s="514" t="s">
        <v>395</v>
      </c>
      <c r="B114" s="593" t="s">
        <v>396</v>
      </c>
      <c r="C114" s="507">
        <f>D114/$C$8</f>
        <v>84.0384928181904</v>
      </c>
      <c r="D114" s="507">
        <f>F114+AD114</f>
        <v>599.852055</v>
      </c>
      <c r="E114" s="507">
        <f>F114/$E$8</f>
        <v>83.6034417291344</v>
      </c>
      <c r="F114" s="507">
        <f>H114+J114+L114+N114+P114+R114+T114</f>
        <v>410.85022</v>
      </c>
      <c r="G114" s="516">
        <v>85</v>
      </c>
      <c r="H114" s="507">
        <f>G114*G$8</f>
        <v>268.96414</v>
      </c>
      <c r="I114" s="516">
        <v>85</v>
      </c>
      <c r="J114" s="507">
        <f t="shared" si="391"/>
        <v>141.88608</v>
      </c>
      <c r="K114" s="516">
        <v>67</v>
      </c>
      <c r="L114" s="507">
        <f t="shared" ref="L114" si="402">K114*K$8</f>
        <v>0</v>
      </c>
      <c r="M114" s="516">
        <f>G114</f>
        <v>85</v>
      </c>
      <c r="N114" s="507">
        <f t="shared" si="393"/>
        <v>0</v>
      </c>
      <c r="O114" s="516">
        <v>67</v>
      </c>
      <c r="P114" s="507">
        <f>O114*O$8</f>
        <v>0</v>
      </c>
      <c r="Q114" s="516">
        <v>85</v>
      </c>
      <c r="R114" s="507">
        <f t="shared" si="394"/>
        <v>0</v>
      </c>
      <c r="S114" s="516">
        <v>86</v>
      </c>
      <c r="T114" s="507">
        <f>S114*S$8</f>
        <v>0</v>
      </c>
      <c r="U114" s="516">
        <v>85</v>
      </c>
      <c r="V114" s="507">
        <f t="shared" si="395"/>
        <v>2.82744</v>
      </c>
      <c r="W114" s="516">
        <v>67</v>
      </c>
      <c r="X114" s="507">
        <f t="shared" si="396"/>
        <v>1.329883</v>
      </c>
      <c r="Y114" s="516">
        <v>85</v>
      </c>
      <c r="Z114" s="507">
        <f t="shared" si="397"/>
        <v>0.6392</v>
      </c>
      <c r="AA114" s="516">
        <v>85</v>
      </c>
      <c r="AB114" s="507">
        <f t="shared" si="398"/>
        <v>1.709265</v>
      </c>
      <c r="AC114" s="507">
        <f>AD114/AC$8</f>
        <v>85</v>
      </c>
      <c r="AD114" s="507">
        <f>AF114*0+AH114+AJ114</f>
        <v>189.001835</v>
      </c>
      <c r="AE114" s="516">
        <v>85</v>
      </c>
      <c r="AF114" s="507">
        <f t="shared" ref="AF114" si="403">AE114*AE$8</f>
        <v>0</v>
      </c>
      <c r="AG114" s="516">
        <v>85</v>
      </c>
      <c r="AH114" s="507">
        <f t="shared" si="400"/>
        <v>33.533435</v>
      </c>
      <c r="AI114" s="516">
        <v>85</v>
      </c>
      <c r="AJ114" s="507">
        <f t="shared" si="401"/>
        <v>155.4684</v>
      </c>
      <c r="AK114" s="559" t="s">
        <v>397</v>
      </c>
      <c r="AL114" s="560">
        <f t="shared" si="311"/>
        <v>606.357843</v>
      </c>
      <c r="AM114" s="557"/>
      <c r="AO114" s="405">
        <f t="shared" si="388"/>
        <v>6.50578799999994</v>
      </c>
    </row>
    <row r="115" customHeight="1" outlineLevel="2" spans="1:41">
      <c r="A115" s="514" t="s">
        <v>398</v>
      </c>
      <c r="B115" s="537" t="s">
        <v>399</v>
      </c>
      <c r="C115" s="507">
        <f>D115/$C$8</f>
        <v>0</v>
      </c>
      <c r="D115" s="507">
        <f>F115+AD115</f>
        <v>0</v>
      </c>
      <c r="E115" s="507">
        <f>F115/$E$8</f>
        <v>0</v>
      </c>
      <c r="F115" s="507">
        <f>H115+J115+L115+N115+P115+R115+T115+V115+X115+Z115+AB115</f>
        <v>0</v>
      </c>
      <c r="G115" s="516"/>
      <c r="H115" s="507">
        <f>G115*G$8</f>
        <v>0</v>
      </c>
      <c r="I115" s="516"/>
      <c r="J115" s="507">
        <f t="shared" si="391"/>
        <v>0</v>
      </c>
      <c r="K115" s="516"/>
      <c r="L115" s="507">
        <f t="shared" ref="L115" si="404">K115*K$8</f>
        <v>0</v>
      </c>
      <c r="M115" s="516"/>
      <c r="N115" s="507">
        <f t="shared" si="393"/>
        <v>0</v>
      </c>
      <c r="O115" s="516"/>
      <c r="P115" s="507">
        <f>O115*O$8</f>
        <v>0</v>
      </c>
      <c r="Q115" s="516"/>
      <c r="R115" s="507">
        <f t="shared" si="394"/>
        <v>0</v>
      </c>
      <c r="S115" s="516"/>
      <c r="T115" s="507">
        <f>S115*S$8</f>
        <v>0</v>
      </c>
      <c r="U115" s="516"/>
      <c r="V115" s="507">
        <f t="shared" si="395"/>
        <v>0</v>
      </c>
      <c r="W115" s="516"/>
      <c r="X115" s="507">
        <f t="shared" si="396"/>
        <v>0</v>
      </c>
      <c r="Y115" s="516"/>
      <c r="Z115" s="507">
        <f t="shared" si="397"/>
        <v>0</v>
      </c>
      <c r="AA115" s="516"/>
      <c r="AB115" s="507">
        <f t="shared" si="398"/>
        <v>0</v>
      </c>
      <c r="AC115" s="507">
        <f>AD115/AC$8</f>
        <v>0</v>
      </c>
      <c r="AD115" s="507">
        <f>AF115*0+AH115+AJ115</f>
        <v>0</v>
      </c>
      <c r="AE115" s="516"/>
      <c r="AF115" s="507">
        <f t="shared" ref="AF115" si="405">AE115*AE$8</f>
        <v>0</v>
      </c>
      <c r="AG115" s="516"/>
      <c r="AH115" s="507">
        <f t="shared" si="400"/>
        <v>0</v>
      </c>
      <c r="AI115" s="516"/>
      <c r="AJ115" s="507">
        <f t="shared" si="401"/>
        <v>0</v>
      </c>
      <c r="AK115" s="559"/>
      <c r="AL115" s="560">
        <f t="shared" si="311"/>
        <v>0</v>
      </c>
      <c r="AM115" s="557"/>
      <c r="AO115" s="405">
        <f t="shared" si="388"/>
        <v>0</v>
      </c>
    </row>
    <row r="116" customHeight="1" outlineLevel="2" spans="1:41">
      <c r="A116" s="514" t="s">
        <v>400</v>
      </c>
      <c r="B116" s="537" t="s">
        <v>401</v>
      </c>
      <c r="C116" s="507">
        <f>D116/$C$8</f>
        <v>0</v>
      </c>
      <c r="D116" s="507">
        <f>F116+AD116</f>
        <v>0</v>
      </c>
      <c r="E116" s="507">
        <f>F116/$E$8</f>
        <v>0</v>
      </c>
      <c r="F116" s="507">
        <f>H116+J116+L116+N116+P116+R116+T116+V116+X116+Z116+AB116</f>
        <v>0</v>
      </c>
      <c r="G116" s="516"/>
      <c r="H116" s="507">
        <f>G116*G$8</f>
        <v>0</v>
      </c>
      <c r="I116" s="516"/>
      <c r="J116" s="507">
        <f t="shared" si="391"/>
        <v>0</v>
      </c>
      <c r="K116" s="516"/>
      <c r="L116" s="507">
        <f t="shared" ref="L116" si="406">K116*K$8</f>
        <v>0</v>
      </c>
      <c r="M116" s="516"/>
      <c r="N116" s="507">
        <f t="shared" si="393"/>
        <v>0</v>
      </c>
      <c r="O116" s="516"/>
      <c r="P116" s="507">
        <f>O116*O$8</f>
        <v>0</v>
      </c>
      <c r="Q116" s="516"/>
      <c r="R116" s="507">
        <f t="shared" si="394"/>
        <v>0</v>
      </c>
      <c r="S116" s="516"/>
      <c r="T116" s="507">
        <f>S116*S$8</f>
        <v>0</v>
      </c>
      <c r="U116" s="516"/>
      <c r="V116" s="507">
        <f t="shared" si="395"/>
        <v>0</v>
      </c>
      <c r="W116" s="516"/>
      <c r="X116" s="507">
        <f t="shared" si="396"/>
        <v>0</v>
      </c>
      <c r="Y116" s="516"/>
      <c r="Z116" s="507">
        <f t="shared" si="397"/>
        <v>0</v>
      </c>
      <c r="AA116" s="516"/>
      <c r="AB116" s="507">
        <f t="shared" si="398"/>
        <v>0</v>
      </c>
      <c r="AC116" s="507">
        <f>AD116/AC$8</f>
        <v>0</v>
      </c>
      <c r="AD116" s="507">
        <f>AF116*0+AH116+AJ116</f>
        <v>0</v>
      </c>
      <c r="AE116" s="516"/>
      <c r="AF116" s="507">
        <f t="shared" ref="AF116" si="407">AE116*AE$8</f>
        <v>0</v>
      </c>
      <c r="AG116" s="516"/>
      <c r="AH116" s="507">
        <f t="shared" si="400"/>
        <v>0</v>
      </c>
      <c r="AI116" s="516"/>
      <c r="AJ116" s="507">
        <f t="shared" si="401"/>
        <v>0</v>
      </c>
      <c r="AK116" s="559"/>
      <c r="AL116" s="560">
        <f t="shared" si="311"/>
        <v>0</v>
      </c>
      <c r="AM116" s="557"/>
      <c r="AO116" s="405">
        <f t="shared" si="388"/>
        <v>0</v>
      </c>
    </row>
    <row r="117" customHeight="1" outlineLevel="2" spans="1:41">
      <c r="A117" s="514" t="s">
        <v>402</v>
      </c>
      <c r="B117" s="537" t="s">
        <v>403</v>
      </c>
      <c r="C117" s="507">
        <f>D117/$C$8</f>
        <v>0</v>
      </c>
      <c r="D117" s="507">
        <f>F117+AD117</f>
        <v>0</v>
      </c>
      <c r="E117" s="507">
        <f>F117/$E$8</f>
        <v>0</v>
      </c>
      <c r="F117" s="507">
        <f>H117+J117+L117+N117+P117+R117+T117+V117+X117+Z117+AB117</f>
        <v>0</v>
      </c>
      <c r="G117" s="516"/>
      <c r="H117" s="507">
        <f>G117*G$8</f>
        <v>0</v>
      </c>
      <c r="I117" s="516"/>
      <c r="J117" s="507">
        <f t="shared" si="391"/>
        <v>0</v>
      </c>
      <c r="K117" s="516"/>
      <c r="L117" s="507">
        <f t="shared" ref="L117" si="408">K117*K$8</f>
        <v>0</v>
      </c>
      <c r="M117" s="516"/>
      <c r="N117" s="507">
        <f t="shared" si="393"/>
        <v>0</v>
      </c>
      <c r="O117" s="516"/>
      <c r="P117" s="507">
        <f>O117*O$8</f>
        <v>0</v>
      </c>
      <c r="Q117" s="516"/>
      <c r="R117" s="507">
        <f t="shared" si="394"/>
        <v>0</v>
      </c>
      <c r="S117" s="516"/>
      <c r="T117" s="507">
        <f>S117*S$8</f>
        <v>0</v>
      </c>
      <c r="U117" s="516"/>
      <c r="V117" s="507">
        <f t="shared" si="395"/>
        <v>0</v>
      </c>
      <c r="W117" s="516"/>
      <c r="X117" s="507">
        <f t="shared" si="396"/>
        <v>0</v>
      </c>
      <c r="Y117" s="516"/>
      <c r="Z117" s="507">
        <f t="shared" si="397"/>
        <v>0</v>
      </c>
      <c r="AA117" s="516"/>
      <c r="AB117" s="507">
        <f t="shared" si="398"/>
        <v>0</v>
      </c>
      <c r="AC117" s="507">
        <f>AD117/AC$8</f>
        <v>0</v>
      </c>
      <c r="AD117" s="507">
        <f>AF117*0+AH117+AJ117</f>
        <v>0</v>
      </c>
      <c r="AE117" s="516"/>
      <c r="AF117" s="507">
        <f t="shared" ref="AF117" si="409">AE117*AE$8</f>
        <v>0</v>
      </c>
      <c r="AG117" s="516"/>
      <c r="AH117" s="507">
        <f t="shared" si="400"/>
        <v>0</v>
      </c>
      <c r="AI117" s="516"/>
      <c r="AJ117" s="507">
        <f t="shared" si="401"/>
        <v>0</v>
      </c>
      <c r="AK117" s="559"/>
      <c r="AL117" s="560">
        <f t="shared" si="311"/>
        <v>0</v>
      </c>
      <c r="AM117" s="557"/>
      <c r="AO117" s="405">
        <f t="shared" si="388"/>
        <v>0</v>
      </c>
    </row>
    <row r="118" customHeight="1" outlineLevel="1" spans="1:41">
      <c r="A118" s="505">
        <v>4.2</v>
      </c>
      <c r="B118" s="506" t="s">
        <v>404</v>
      </c>
      <c r="C118" s="579">
        <f>SUM(C119:C121)</f>
        <v>47.4020083148578</v>
      </c>
      <c r="D118" s="579">
        <f t="shared" ref="D118:AJ118" si="410">SUM(D119:D121)</f>
        <v>338.34724</v>
      </c>
      <c r="E118" s="579">
        <f t="shared" si="410"/>
        <v>68.8498931886989</v>
      </c>
      <c r="F118" s="579">
        <f t="shared" si="410"/>
        <v>338.34724</v>
      </c>
      <c r="G118" s="579">
        <f t="shared" si="410"/>
        <v>70</v>
      </c>
      <c r="H118" s="579">
        <f t="shared" si="410"/>
        <v>221.49988</v>
      </c>
      <c r="I118" s="579">
        <f t="shared" si="410"/>
        <v>70</v>
      </c>
      <c r="J118" s="579">
        <f t="shared" si="410"/>
        <v>116.84736</v>
      </c>
      <c r="K118" s="579">
        <f t="shared" si="410"/>
        <v>62</v>
      </c>
      <c r="L118" s="579">
        <f t="shared" si="410"/>
        <v>0</v>
      </c>
      <c r="M118" s="579">
        <f t="shared" si="410"/>
        <v>70</v>
      </c>
      <c r="N118" s="579">
        <f t="shared" si="410"/>
        <v>0</v>
      </c>
      <c r="O118" s="579">
        <f t="shared" si="410"/>
        <v>70</v>
      </c>
      <c r="P118" s="579">
        <f t="shared" si="410"/>
        <v>0</v>
      </c>
      <c r="Q118" s="579">
        <f t="shared" si="410"/>
        <v>50</v>
      </c>
      <c r="R118" s="579">
        <f t="shared" si="410"/>
        <v>0</v>
      </c>
      <c r="S118" s="579">
        <f t="shared" si="410"/>
        <v>70</v>
      </c>
      <c r="T118" s="579">
        <f t="shared" si="410"/>
        <v>0</v>
      </c>
      <c r="U118" s="579">
        <f t="shared" si="410"/>
        <v>70</v>
      </c>
      <c r="V118" s="579">
        <f t="shared" si="410"/>
        <v>2.32848</v>
      </c>
      <c r="W118" s="579">
        <f t="shared" si="410"/>
        <v>62</v>
      </c>
      <c r="X118" s="579">
        <f t="shared" si="410"/>
        <v>1.230638</v>
      </c>
      <c r="Y118" s="579">
        <f t="shared" si="410"/>
        <v>70</v>
      </c>
      <c r="Z118" s="579">
        <f t="shared" si="410"/>
        <v>0.5264</v>
      </c>
      <c r="AA118" s="579">
        <f t="shared" si="410"/>
        <v>70</v>
      </c>
      <c r="AB118" s="579">
        <f t="shared" si="410"/>
        <v>1.40763</v>
      </c>
      <c r="AC118" s="579">
        <f t="shared" si="410"/>
        <v>0</v>
      </c>
      <c r="AD118" s="579">
        <f t="shared" si="410"/>
        <v>0</v>
      </c>
      <c r="AE118" s="579">
        <f t="shared" si="410"/>
        <v>0</v>
      </c>
      <c r="AF118" s="579">
        <f t="shared" si="410"/>
        <v>0</v>
      </c>
      <c r="AG118" s="579">
        <f t="shared" si="410"/>
        <v>0</v>
      </c>
      <c r="AH118" s="579">
        <f t="shared" si="410"/>
        <v>0</v>
      </c>
      <c r="AI118" s="579">
        <f t="shared" si="410"/>
        <v>0</v>
      </c>
      <c r="AJ118" s="579">
        <f t="shared" si="410"/>
        <v>0</v>
      </c>
      <c r="AK118" s="559"/>
      <c r="AL118" s="560">
        <f t="shared" si="311"/>
        <v>343.840388</v>
      </c>
      <c r="AM118" s="557"/>
      <c r="AO118" s="405">
        <f t="shared" si="388"/>
        <v>5.49314800000002</v>
      </c>
    </row>
    <row r="119" customHeight="1" outlineLevel="2" spans="1:41">
      <c r="A119" s="514" t="s">
        <v>405</v>
      </c>
      <c r="B119" s="593" t="s">
        <v>406</v>
      </c>
      <c r="C119" s="507">
        <f>D119/$C$8</f>
        <v>0</v>
      </c>
      <c r="D119" s="507">
        <f>F119+AD119</f>
        <v>0</v>
      </c>
      <c r="E119" s="507">
        <f>F119/$E$8</f>
        <v>0</v>
      </c>
      <c r="F119" s="507">
        <f>H119+J119+L119+N119+P119+R119+T119+V119+X119+Z119+AB119</f>
        <v>0</v>
      </c>
      <c r="G119" s="516"/>
      <c r="H119" s="507">
        <f>G119*G$8</f>
        <v>0</v>
      </c>
      <c r="I119" s="516"/>
      <c r="J119" s="507">
        <f t="shared" ref="J119:J121" si="411">I119*I$8</f>
        <v>0</v>
      </c>
      <c r="K119" s="516"/>
      <c r="L119" s="507">
        <f t="shared" ref="L119" si="412">K119*K$8</f>
        <v>0</v>
      </c>
      <c r="M119" s="516"/>
      <c r="N119" s="507">
        <f t="shared" ref="N119:N121" si="413">M119*M$8</f>
        <v>0</v>
      </c>
      <c r="O119" s="516"/>
      <c r="P119" s="507">
        <f t="shared" ref="P119:P121" si="414">O119*O$8</f>
        <v>0</v>
      </c>
      <c r="Q119" s="516"/>
      <c r="R119" s="507">
        <f t="shared" ref="R119:R121" si="415">Q119*Q$8</f>
        <v>0</v>
      </c>
      <c r="S119" s="516"/>
      <c r="T119" s="507">
        <f t="shared" ref="T119:T121" si="416">S119*S$8</f>
        <v>0</v>
      </c>
      <c r="U119" s="516"/>
      <c r="V119" s="507">
        <f t="shared" ref="V119:V121" si="417">U119*U$8</f>
        <v>0</v>
      </c>
      <c r="W119" s="516"/>
      <c r="X119" s="507">
        <f t="shared" ref="X119:X121" si="418">W119*W$8</f>
        <v>0</v>
      </c>
      <c r="Y119" s="516"/>
      <c r="Z119" s="507">
        <f t="shared" ref="Z119:Z121" si="419">Y119*Y$8</f>
        <v>0</v>
      </c>
      <c r="AA119" s="516"/>
      <c r="AB119" s="507">
        <f t="shared" ref="AB119:AB121" si="420">AA119*AA$8</f>
        <v>0</v>
      </c>
      <c r="AC119" s="507">
        <f>AD119/AC$8</f>
        <v>0</v>
      </c>
      <c r="AD119" s="507">
        <f>AF119*0+AH119+AJ119</f>
        <v>0</v>
      </c>
      <c r="AE119" s="516"/>
      <c r="AF119" s="507">
        <f t="shared" ref="AF119" si="421">AE119*AE$8</f>
        <v>0</v>
      </c>
      <c r="AG119" s="516"/>
      <c r="AH119" s="507">
        <f t="shared" ref="AH119:AH121" si="422">AG119*AG$8</f>
        <v>0</v>
      </c>
      <c r="AI119" s="516"/>
      <c r="AJ119" s="507">
        <f t="shared" ref="AJ119:AJ121" si="423">AI119*AI$8</f>
        <v>0</v>
      </c>
      <c r="AK119" s="559"/>
      <c r="AL119" s="560">
        <f t="shared" si="311"/>
        <v>0</v>
      </c>
      <c r="AM119" s="557"/>
      <c r="AO119" s="405">
        <f t="shared" si="388"/>
        <v>0</v>
      </c>
    </row>
    <row r="120" customHeight="1" outlineLevel="2" spans="1:41">
      <c r="A120" s="514" t="s">
        <v>407</v>
      </c>
      <c r="B120" s="593" t="s">
        <v>408</v>
      </c>
      <c r="C120" s="507">
        <f>D120/$C$8</f>
        <v>47.4020083148578</v>
      </c>
      <c r="D120" s="507">
        <f>F120+AD120</f>
        <v>338.34724</v>
      </c>
      <c r="E120" s="507">
        <f>F120/$E$8</f>
        <v>68.8498931886989</v>
      </c>
      <c r="F120" s="507">
        <f>H120+J120+L120+N120+P120+R120+T120</f>
        <v>338.34724</v>
      </c>
      <c r="G120" s="516">
        <v>70</v>
      </c>
      <c r="H120" s="507">
        <f>G120*G$8</f>
        <v>221.49988</v>
      </c>
      <c r="I120" s="516">
        <f>G120</f>
        <v>70</v>
      </c>
      <c r="J120" s="507">
        <f t="shared" si="411"/>
        <v>116.84736</v>
      </c>
      <c r="K120" s="516">
        <v>62</v>
      </c>
      <c r="L120" s="507">
        <f t="shared" ref="L120" si="424">K120*K$8</f>
        <v>0</v>
      </c>
      <c r="M120" s="516">
        <f>G120</f>
        <v>70</v>
      </c>
      <c r="N120" s="507">
        <f t="shared" si="413"/>
        <v>0</v>
      </c>
      <c r="O120" s="516">
        <f>G120</f>
        <v>70</v>
      </c>
      <c r="P120" s="507">
        <f t="shared" si="414"/>
        <v>0</v>
      </c>
      <c r="Q120" s="516">
        <v>50</v>
      </c>
      <c r="R120" s="507">
        <f t="shared" si="415"/>
        <v>0</v>
      </c>
      <c r="S120" s="516">
        <f>G120</f>
        <v>70</v>
      </c>
      <c r="T120" s="507">
        <f t="shared" si="416"/>
        <v>0</v>
      </c>
      <c r="U120" s="516">
        <f>G120</f>
        <v>70</v>
      </c>
      <c r="V120" s="507">
        <f t="shared" si="417"/>
        <v>2.32848</v>
      </c>
      <c r="W120" s="516">
        <v>62</v>
      </c>
      <c r="X120" s="507">
        <f t="shared" si="418"/>
        <v>1.230638</v>
      </c>
      <c r="Y120" s="516">
        <f>G120</f>
        <v>70</v>
      </c>
      <c r="Z120" s="507">
        <f t="shared" si="419"/>
        <v>0.5264</v>
      </c>
      <c r="AA120" s="516">
        <f>G120</f>
        <v>70</v>
      </c>
      <c r="AB120" s="507">
        <f t="shared" si="420"/>
        <v>1.40763</v>
      </c>
      <c r="AC120" s="507">
        <f>AD120/AC$8</f>
        <v>0</v>
      </c>
      <c r="AD120" s="507">
        <f>AF120*0+AH120+AJ120</f>
        <v>0</v>
      </c>
      <c r="AE120" s="516"/>
      <c r="AF120" s="507">
        <f t="shared" ref="AF120" si="425">AE120*AE$8</f>
        <v>0</v>
      </c>
      <c r="AG120" s="516"/>
      <c r="AH120" s="507">
        <f t="shared" si="422"/>
        <v>0</v>
      </c>
      <c r="AI120" s="516"/>
      <c r="AJ120" s="507">
        <f t="shared" si="423"/>
        <v>0</v>
      </c>
      <c r="AK120" s="559" t="s">
        <v>409</v>
      </c>
      <c r="AL120" s="560">
        <f t="shared" si="311"/>
        <v>343.840388</v>
      </c>
      <c r="AM120" s="557"/>
      <c r="AO120" s="405">
        <f t="shared" si="388"/>
        <v>5.49314800000002</v>
      </c>
    </row>
    <row r="121" customHeight="1" outlineLevel="2" spans="1:41">
      <c r="A121" s="514" t="s">
        <v>410</v>
      </c>
      <c r="B121" s="537" t="s">
        <v>411</v>
      </c>
      <c r="C121" s="507">
        <f>D121/$C$8</f>
        <v>0</v>
      </c>
      <c r="D121" s="507">
        <f>F121+AD121</f>
        <v>0</v>
      </c>
      <c r="E121" s="507">
        <f>F121/$E$8</f>
        <v>0</v>
      </c>
      <c r="F121" s="507">
        <f>H121+J121+L121+N121+P121+R121+T121+V121+X121+Z121+AB121</f>
        <v>0</v>
      </c>
      <c r="G121" s="516"/>
      <c r="H121" s="507">
        <f>G121*G$8</f>
        <v>0</v>
      </c>
      <c r="I121" s="516"/>
      <c r="J121" s="507">
        <f t="shared" si="411"/>
        <v>0</v>
      </c>
      <c r="K121" s="516"/>
      <c r="L121" s="507">
        <f t="shared" ref="L121" si="426">K121*K$8</f>
        <v>0</v>
      </c>
      <c r="M121" s="516"/>
      <c r="N121" s="507">
        <f t="shared" si="413"/>
        <v>0</v>
      </c>
      <c r="O121" s="516"/>
      <c r="P121" s="507">
        <f t="shared" si="414"/>
        <v>0</v>
      </c>
      <c r="Q121" s="516"/>
      <c r="R121" s="507">
        <f t="shared" si="415"/>
        <v>0</v>
      </c>
      <c r="S121" s="516"/>
      <c r="T121" s="507">
        <f t="shared" si="416"/>
        <v>0</v>
      </c>
      <c r="U121" s="516"/>
      <c r="V121" s="507">
        <f t="shared" si="417"/>
        <v>0</v>
      </c>
      <c r="W121" s="516"/>
      <c r="X121" s="507">
        <f t="shared" si="418"/>
        <v>0</v>
      </c>
      <c r="Y121" s="516"/>
      <c r="Z121" s="507">
        <f t="shared" si="419"/>
        <v>0</v>
      </c>
      <c r="AA121" s="516"/>
      <c r="AB121" s="507">
        <f t="shared" si="420"/>
        <v>0</v>
      </c>
      <c r="AC121" s="507">
        <f>AD121/AC$8</f>
        <v>0</v>
      </c>
      <c r="AD121" s="507">
        <f>AF121*0+AH121+AJ121</f>
        <v>0</v>
      </c>
      <c r="AE121" s="516"/>
      <c r="AF121" s="507">
        <f t="shared" ref="AF121" si="427">AE121*AE$8</f>
        <v>0</v>
      </c>
      <c r="AG121" s="516"/>
      <c r="AH121" s="507">
        <f t="shared" si="422"/>
        <v>0</v>
      </c>
      <c r="AI121" s="516"/>
      <c r="AJ121" s="507">
        <f t="shared" si="423"/>
        <v>0</v>
      </c>
      <c r="AK121" s="559"/>
      <c r="AL121" s="560">
        <f t="shared" ref="AL121:AL153" si="428">AJ121+AH121+AF121+AB121+Z121+X121+V121+AJ300+T121+R121+P121+N121+L121+J121+H121</f>
        <v>0</v>
      </c>
      <c r="AM121" s="557"/>
      <c r="AO121" s="405">
        <f t="shared" si="388"/>
        <v>0</v>
      </c>
    </row>
    <row r="122" customHeight="1" outlineLevel="1" spans="1:41">
      <c r="A122" s="505">
        <v>4.3</v>
      </c>
      <c r="B122" s="506" t="s">
        <v>412</v>
      </c>
      <c r="C122" s="579">
        <f>SUM(C123:C125)</f>
        <v>0</v>
      </c>
      <c r="D122" s="579">
        <f t="shared" ref="D122:AJ122" si="429">SUM(D123:D125)</f>
        <v>0</v>
      </c>
      <c r="E122" s="579">
        <f t="shared" si="429"/>
        <v>0</v>
      </c>
      <c r="F122" s="579">
        <f t="shared" si="429"/>
        <v>0</v>
      </c>
      <c r="G122" s="579">
        <f t="shared" si="429"/>
        <v>0</v>
      </c>
      <c r="H122" s="579">
        <f t="shared" si="429"/>
        <v>0</v>
      </c>
      <c r="I122" s="579">
        <f t="shared" si="429"/>
        <v>0</v>
      </c>
      <c r="J122" s="579">
        <f t="shared" si="429"/>
        <v>0</v>
      </c>
      <c r="K122" s="579">
        <f t="shared" si="429"/>
        <v>0</v>
      </c>
      <c r="L122" s="579">
        <f t="shared" si="429"/>
        <v>0</v>
      </c>
      <c r="M122" s="579">
        <f t="shared" si="429"/>
        <v>0</v>
      </c>
      <c r="N122" s="579">
        <f t="shared" si="429"/>
        <v>0</v>
      </c>
      <c r="O122" s="579">
        <f t="shared" si="429"/>
        <v>0</v>
      </c>
      <c r="P122" s="579">
        <f t="shared" si="429"/>
        <v>0</v>
      </c>
      <c r="Q122" s="579">
        <f t="shared" si="429"/>
        <v>0</v>
      </c>
      <c r="R122" s="579">
        <f t="shared" si="429"/>
        <v>0</v>
      </c>
      <c r="S122" s="579">
        <f t="shared" si="429"/>
        <v>0</v>
      </c>
      <c r="T122" s="579">
        <f t="shared" si="429"/>
        <v>0</v>
      </c>
      <c r="U122" s="579">
        <f t="shared" si="429"/>
        <v>0</v>
      </c>
      <c r="V122" s="579">
        <f t="shared" si="429"/>
        <v>0</v>
      </c>
      <c r="W122" s="579">
        <f t="shared" si="429"/>
        <v>0</v>
      </c>
      <c r="X122" s="579">
        <f t="shared" si="429"/>
        <v>0</v>
      </c>
      <c r="Y122" s="579">
        <f t="shared" si="429"/>
        <v>0</v>
      </c>
      <c r="Z122" s="579">
        <f t="shared" si="429"/>
        <v>0</v>
      </c>
      <c r="AA122" s="579">
        <f t="shared" si="429"/>
        <v>0</v>
      </c>
      <c r="AB122" s="579">
        <f t="shared" si="429"/>
        <v>0</v>
      </c>
      <c r="AC122" s="579">
        <f t="shared" si="429"/>
        <v>0</v>
      </c>
      <c r="AD122" s="579">
        <f t="shared" si="429"/>
        <v>0</v>
      </c>
      <c r="AE122" s="579">
        <f t="shared" si="429"/>
        <v>0</v>
      </c>
      <c r="AF122" s="579">
        <f t="shared" si="429"/>
        <v>0</v>
      </c>
      <c r="AG122" s="579">
        <f t="shared" si="429"/>
        <v>0</v>
      </c>
      <c r="AH122" s="579">
        <f t="shared" si="429"/>
        <v>0</v>
      </c>
      <c r="AI122" s="579">
        <f t="shared" si="429"/>
        <v>0</v>
      </c>
      <c r="AJ122" s="579">
        <f t="shared" si="429"/>
        <v>0</v>
      </c>
      <c r="AK122" s="559"/>
      <c r="AL122" s="560">
        <f t="shared" si="428"/>
        <v>0</v>
      </c>
      <c r="AM122" s="557"/>
      <c r="AO122" s="405">
        <f t="shared" si="388"/>
        <v>0</v>
      </c>
    </row>
    <row r="123" customHeight="1" outlineLevel="2" spans="1:41">
      <c r="A123" s="514" t="s">
        <v>413</v>
      </c>
      <c r="B123" s="593" t="s">
        <v>414</v>
      </c>
      <c r="C123" s="507">
        <f>D123/$C$8</f>
        <v>0</v>
      </c>
      <c r="D123" s="507">
        <f>F123+AD123</f>
        <v>0</v>
      </c>
      <c r="E123" s="507">
        <f>F123/$E$8</f>
        <v>0</v>
      </c>
      <c r="F123" s="507">
        <f>H123+J123+L123+N123+P123+R123+T123+V123+X123+Z123+AB123</f>
        <v>0</v>
      </c>
      <c r="G123" s="516"/>
      <c r="H123" s="507">
        <f>G123*G$8</f>
        <v>0</v>
      </c>
      <c r="I123" s="516"/>
      <c r="J123" s="507">
        <f t="shared" ref="J123" si="430">I123*I$8</f>
        <v>0</v>
      </c>
      <c r="K123" s="516"/>
      <c r="L123" s="507">
        <f t="shared" ref="L123" si="431">K123*K$8</f>
        <v>0</v>
      </c>
      <c r="M123" s="516"/>
      <c r="N123" s="507">
        <f t="shared" ref="N123:N125" si="432">M123*M$8</f>
        <v>0</v>
      </c>
      <c r="O123" s="516"/>
      <c r="P123" s="507">
        <f t="shared" ref="P123:P125" si="433">O123*O$8</f>
        <v>0</v>
      </c>
      <c r="Q123" s="516"/>
      <c r="R123" s="507">
        <f t="shared" ref="R123:R125" si="434">Q123*Q$8</f>
        <v>0</v>
      </c>
      <c r="S123" s="516"/>
      <c r="T123" s="507">
        <f t="shared" ref="T123:T125" si="435">S123*S$8</f>
        <v>0</v>
      </c>
      <c r="U123" s="516"/>
      <c r="V123" s="507">
        <f t="shared" ref="V123" si="436">U123*U$8</f>
        <v>0</v>
      </c>
      <c r="W123" s="516"/>
      <c r="X123" s="507">
        <f t="shared" ref="X123" si="437">W123*W$8</f>
        <v>0</v>
      </c>
      <c r="Y123" s="516"/>
      <c r="Z123" s="507">
        <f t="shared" ref="Z123" si="438">Y123*Y$8</f>
        <v>0</v>
      </c>
      <c r="AA123" s="516"/>
      <c r="AB123" s="507">
        <f t="shared" ref="AB123" si="439">AA123*AA$8</f>
        <v>0</v>
      </c>
      <c r="AC123" s="507">
        <f>AD123/AC$8</f>
        <v>0</v>
      </c>
      <c r="AD123" s="507">
        <f>AF123*0+AH123+AJ123</f>
        <v>0</v>
      </c>
      <c r="AE123" s="516"/>
      <c r="AF123" s="507">
        <f t="shared" ref="AF123" si="440">AE123*AE$8</f>
        <v>0</v>
      </c>
      <c r="AG123" s="516"/>
      <c r="AH123" s="507">
        <f t="shared" ref="AH123" si="441">AG123*AG$8</f>
        <v>0</v>
      </c>
      <c r="AI123" s="516"/>
      <c r="AJ123" s="507">
        <f t="shared" ref="AJ123" si="442">AI123*AI$8</f>
        <v>0</v>
      </c>
      <c r="AK123" s="559"/>
      <c r="AL123" s="560">
        <f t="shared" si="428"/>
        <v>0</v>
      </c>
      <c r="AM123" s="557"/>
      <c r="AO123" s="405">
        <f t="shared" si="388"/>
        <v>0</v>
      </c>
    </row>
    <row r="124" customHeight="1" outlineLevel="2" spans="1:41">
      <c r="A124" s="514" t="s">
        <v>415</v>
      </c>
      <c r="B124" s="593" t="s">
        <v>416</v>
      </c>
      <c r="C124" s="507">
        <f>D124/$C$8</f>
        <v>0</v>
      </c>
      <c r="D124" s="507">
        <f>F124+AD124</f>
        <v>0</v>
      </c>
      <c r="E124" s="507">
        <f>F124/$E$8</f>
        <v>0</v>
      </c>
      <c r="F124" s="507">
        <f>H124+J124+L124+N124+P124+R124+T124+V124+X124+Z124+AB124</f>
        <v>0</v>
      </c>
      <c r="G124" s="516"/>
      <c r="H124" s="507">
        <f>G124*G$8</f>
        <v>0</v>
      </c>
      <c r="I124" s="516"/>
      <c r="J124" s="507">
        <f t="shared" ref="J124" si="443">I124*I$8</f>
        <v>0</v>
      </c>
      <c r="K124" s="516"/>
      <c r="L124" s="507">
        <f t="shared" ref="L124" si="444">K124*K$8</f>
        <v>0</v>
      </c>
      <c r="M124" s="516"/>
      <c r="N124" s="507">
        <f t="shared" si="432"/>
        <v>0</v>
      </c>
      <c r="O124" s="516"/>
      <c r="P124" s="507">
        <f t="shared" si="433"/>
        <v>0</v>
      </c>
      <c r="Q124" s="516"/>
      <c r="R124" s="507">
        <f t="shared" si="434"/>
        <v>0</v>
      </c>
      <c r="S124" s="516"/>
      <c r="T124" s="507">
        <f t="shared" si="435"/>
        <v>0</v>
      </c>
      <c r="U124" s="516"/>
      <c r="V124" s="507">
        <f t="shared" ref="V124" si="445">U124*U$8</f>
        <v>0</v>
      </c>
      <c r="W124" s="516"/>
      <c r="X124" s="507">
        <f t="shared" ref="X124" si="446">W124*W$8</f>
        <v>0</v>
      </c>
      <c r="Y124" s="516"/>
      <c r="Z124" s="507">
        <f t="shared" ref="Z124" si="447">Y124*Y$8</f>
        <v>0</v>
      </c>
      <c r="AA124" s="516"/>
      <c r="AB124" s="507">
        <f t="shared" ref="AB124" si="448">AA124*AA$8</f>
        <v>0</v>
      </c>
      <c r="AC124" s="507">
        <f>AD124/AC$8</f>
        <v>0</v>
      </c>
      <c r="AD124" s="507">
        <f>AF124*0+AH124+AJ124</f>
        <v>0</v>
      </c>
      <c r="AE124" s="516"/>
      <c r="AF124" s="507">
        <f t="shared" ref="AF124" si="449">AE124*AE$8</f>
        <v>0</v>
      </c>
      <c r="AG124" s="516"/>
      <c r="AH124" s="507">
        <f t="shared" ref="AH124" si="450">AG124*AG$8</f>
        <v>0</v>
      </c>
      <c r="AI124" s="516"/>
      <c r="AJ124" s="507">
        <f t="shared" ref="AJ124" si="451">AI124*AI$8</f>
        <v>0</v>
      </c>
      <c r="AK124" s="559"/>
      <c r="AL124" s="560">
        <f t="shared" si="428"/>
        <v>0</v>
      </c>
      <c r="AM124" s="557"/>
      <c r="AO124" s="405">
        <f t="shared" si="388"/>
        <v>0</v>
      </c>
    </row>
    <row r="125" customHeight="1" outlineLevel="2" spans="1:41">
      <c r="A125" s="514" t="s">
        <v>417</v>
      </c>
      <c r="B125" s="576" t="s">
        <v>418</v>
      </c>
      <c r="C125" s="507">
        <f>D125/$C$8</f>
        <v>0</v>
      </c>
      <c r="D125" s="507">
        <f>F125+AD125</f>
        <v>0</v>
      </c>
      <c r="E125" s="507">
        <f>F125/$E$8</f>
        <v>0</v>
      </c>
      <c r="F125" s="507">
        <f>H125+J125+L125+N125+P125+R125+T125+V125+X125+Z125+AB125</f>
        <v>0</v>
      </c>
      <c r="G125" s="516"/>
      <c r="H125" s="507">
        <f>G125*G$8</f>
        <v>0</v>
      </c>
      <c r="I125" s="516"/>
      <c r="J125" s="507">
        <f t="shared" ref="J125" si="452">I125*I$8</f>
        <v>0</v>
      </c>
      <c r="K125" s="516"/>
      <c r="L125" s="507">
        <f t="shared" ref="L125" si="453">K125*K$8</f>
        <v>0</v>
      </c>
      <c r="M125" s="516"/>
      <c r="N125" s="507">
        <f t="shared" si="432"/>
        <v>0</v>
      </c>
      <c r="O125" s="516"/>
      <c r="P125" s="507">
        <f t="shared" si="433"/>
        <v>0</v>
      </c>
      <c r="Q125" s="516"/>
      <c r="R125" s="507">
        <f t="shared" si="434"/>
        <v>0</v>
      </c>
      <c r="S125" s="516"/>
      <c r="T125" s="507">
        <f t="shared" si="435"/>
        <v>0</v>
      </c>
      <c r="U125" s="516"/>
      <c r="V125" s="507">
        <f t="shared" ref="V125" si="454">U125*U$8</f>
        <v>0</v>
      </c>
      <c r="W125" s="516"/>
      <c r="X125" s="507">
        <f t="shared" ref="X125" si="455">W125*W$8</f>
        <v>0</v>
      </c>
      <c r="Y125" s="516"/>
      <c r="Z125" s="507">
        <f t="shared" ref="Z125" si="456">Y125*Y$8</f>
        <v>0</v>
      </c>
      <c r="AA125" s="516"/>
      <c r="AB125" s="507">
        <f t="shared" ref="AB125" si="457">AA125*AA$8</f>
        <v>0</v>
      </c>
      <c r="AC125" s="507">
        <f>AD125/AC$8</f>
        <v>0</v>
      </c>
      <c r="AD125" s="507">
        <f>AF125*0+AH125+AJ125</f>
        <v>0</v>
      </c>
      <c r="AE125" s="516"/>
      <c r="AF125" s="507">
        <f t="shared" ref="AF125" si="458">AE125*AE$8</f>
        <v>0</v>
      </c>
      <c r="AG125" s="516"/>
      <c r="AH125" s="507">
        <f t="shared" ref="AH125" si="459">AG125*AG$8</f>
        <v>0</v>
      </c>
      <c r="AI125" s="516"/>
      <c r="AJ125" s="507">
        <f t="shared" ref="AJ125" si="460">AI125*AI$8</f>
        <v>0</v>
      </c>
      <c r="AK125" s="559"/>
      <c r="AL125" s="560">
        <f t="shared" si="428"/>
        <v>0</v>
      </c>
      <c r="AM125" s="557"/>
      <c r="AO125" s="405">
        <f t="shared" si="388"/>
        <v>0</v>
      </c>
    </row>
    <row r="126" customHeight="1" outlineLevel="1" spans="1:41">
      <c r="A126" s="505">
        <v>4.4</v>
      </c>
      <c r="B126" s="506" t="s">
        <v>419</v>
      </c>
      <c r="C126" s="579">
        <f>C127</f>
        <v>0</v>
      </c>
      <c r="D126" s="579">
        <f t="shared" ref="D126:AJ126" si="461">D127</f>
        <v>0</v>
      </c>
      <c r="E126" s="579">
        <f t="shared" si="461"/>
        <v>0</v>
      </c>
      <c r="F126" s="579">
        <f t="shared" si="461"/>
        <v>0</v>
      </c>
      <c r="G126" s="579">
        <f t="shared" si="461"/>
        <v>0</v>
      </c>
      <c r="H126" s="579">
        <f t="shared" si="461"/>
        <v>0</v>
      </c>
      <c r="I126" s="579">
        <f t="shared" si="461"/>
        <v>0</v>
      </c>
      <c r="J126" s="579">
        <f t="shared" si="461"/>
        <v>0</v>
      </c>
      <c r="K126" s="579">
        <f t="shared" si="461"/>
        <v>0</v>
      </c>
      <c r="L126" s="579">
        <f t="shared" si="461"/>
        <v>0</v>
      </c>
      <c r="M126" s="579">
        <f t="shared" si="461"/>
        <v>0</v>
      </c>
      <c r="N126" s="579">
        <f t="shared" si="461"/>
        <v>0</v>
      </c>
      <c r="O126" s="579">
        <f t="shared" si="461"/>
        <v>0</v>
      </c>
      <c r="P126" s="579">
        <f t="shared" si="461"/>
        <v>0</v>
      </c>
      <c r="Q126" s="579">
        <f t="shared" si="461"/>
        <v>0</v>
      </c>
      <c r="R126" s="579">
        <f t="shared" si="461"/>
        <v>0</v>
      </c>
      <c r="S126" s="579">
        <f t="shared" si="461"/>
        <v>0</v>
      </c>
      <c r="T126" s="579">
        <f t="shared" si="461"/>
        <v>0</v>
      </c>
      <c r="U126" s="579">
        <f t="shared" si="461"/>
        <v>0</v>
      </c>
      <c r="V126" s="579">
        <f t="shared" si="461"/>
        <v>0</v>
      </c>
      <c r="W126" s="579">
        <f t="shared" si="461"/>
        <v>0</v>
      </c>
      <c r="X126" s="579">
        <f t="shared" si="461"/>
        <v>0</v>
      </c>
      <c r="Y126" s="579">
        <f t="shared" si="461"/>
        <v>0</v>
      </c>
      <c r="Z126" s="579">
        <f t="shared" si="461"/>
        <v>0</v>
      </c>
      <c r="AA126" s="579">
        <f t="shared" si="461"/>
        <v>0</v>
      </c>
      <c r="AB126" s="579">
        <f t="shared" si="461"/>
        <v>0</v>
      </c>
      <c r="AC126" s="579">
        <f t="shared" si="461"/>
        <v>0</v>
      </c>
      <c r="AD126" s="579">
        <f t="shared" si="461"/>
        <v>0</v>
      </c>
      <c r="AE126" s="579">
        <f t="shared" si="461"/>
        <v>0</v>
      </c>
      <c r="AF126" s="579">
        <f t="shared" si="461"/>
        <v>0</v>
      </c>
      <c r="AG126" s="579">
        <f t="shared" si="461"/>
        <v>0</v>
      </c>
      <c r="AH126" s="579">
        <f t="shared" si="461"/>
        <v>0</v>
      </c>
      <c r="AI126" s="579">
        <f t="shared" si="461"/>
        <v>0</v>
      </c>
      <c r="AJ126" s="579">
        <f t="shared" si="461"/>
        <v>0</v>
      </c>
      <c r="AK126" s="559"/>
      <c r="AL126" s="560">
        <f t="shared" si="428"/>
        <v>0</v>
      </c>
      <c r="AM126" s="557"/>
      <c r="AO126" s="405">
        <f t="shared" si="388"/>
        <v>0</v>
      </c>
    </row>
    <row r="127" customHeight="1" outlineLevel="1" spans="1:41">
      <c r="A127" s="514" t="s">
        <v>420</v>
      </c>
      <c r="B127" s="537" t="s">
        <v>421</v>
      </c>
      <c r="C127" s="507">
        <f>D127/$C$8</f>
        <v>0</v>
      </c>
      <c r="D127" s="507">
        <f>F127+AD127</f>
        <v>0</v>
      </c>
      <c r="E127" s="507">
        <f>F127/$E$8</f>
        <v>0</v>
      </c>
      <c r="F127" s="507">
        <f>H127+J127+L127+N127+P127+R127+T127+V127+X127+Z127+AB127</f>
        <v>0</v>
      </c>
      <c r="G127" s="516"/>
      <c r="H127" s="507">
        <f>G127*G$8</f>
        <v>0</v>
      </c>
      <c r="I127" s="516"/>
      <c r="J127" s="507">
        <f t="shared" ref="J127" si="462">I127*I$8</f>
        <v>0</v>
      </c>
      <c r="K127" s="516"/>
      <c r="L127" s="507">
        <f t="shared" ref="L127" si="463">K127*K$8</f>
        <v>0</v>
      </c>
      <c r="M127" s="516"/>
      <c r="N127" s="507">
        <f t="shared" ref="N127" si="464">M127*M$8</f>
        <v>0</v>
      </c>
      <c r="O127" s="516"/>
      <c r="P127" s="507">
        <f t="shared" ref="P127" si="465">O127*O$8</f>
        <v>0</v>
      </c>
      <c r="Q127" s="516"/>
      <c r="R127" s="507">
        <f t="shared" ref="R127" si="466">Q127*Q$8</f>
        <v>0</v>
      </c>
      <c r="S127" s="516"/>
      <c r="T127" s="507">
        <f t="shared" ref="T127" si="467">S127*S$8</f>
        <v>0</v>
      </c>
      <c r="U127" s="516"/>
      <c r="V127" s="507">
        <f t="shared" ref="V127" si="468">U127*U$8</f>
        <v>0</v>
      </c>
      <c r="W127" s="516"/>
      <c r="X127" s="507">
        <f t="shared" ref="X127" si="469">W127*W$8</f>
        <v>0</v>
      </c>
      <c r="Y127" s="516"/>
      <c r="Z127" s="507">
        <f t="shared" ref="Z127" si="470">Y127*Y$8</f>
        <v>0</v>
      </c>
      <c r="AA127" s="516"/>
      <c r="AB127" s="507">
        <f t="shared" ref="AB127" si="471">AA127*AA$8</f>
        <v>0</v>
      </c>
      <c r="AC127" s="507">
        <f>AD127/AC$8</f>
        <v>0</v>
      </c>
      <c r="AD127" s="507">
        <f>AF127*0+AH127+AJ127</f>
        <v>0</v>
      </c>
      <c r="AE127" s="516"/>
      <c r="AF127" s="507">
        <f t="shared" ref="AF127" si="472">AE127*AE$8</f>
        <v>0</v>
      </c>
      <c r="AG127" s="516"/>
      <c r="AH127" s="507">
        <f t="shared" ref="AH127" si="473">AG127*AG$8</f>
        <v>0</v>
      </c>
      <c r="AI127" s="516"/>
      <c r="AJ127" s="507">
        <f t="shared" ref="AJ127" si="474">AI127*AI$8</f>
        <v>0</v>
      </c>
      <c r="AK127" s="559"/>
      <c r="AL127" s="560">
        <f t="shared" si="428"/>
        <v>0</v>
      </c>
      <c r="AM127" s="557"/>
      <c r="AO127" s="405">
        <f t="shared" si="388"/>
        <v>0</v>
      </c>
    </row>
    <row r="128" customHeight="1" outlineLevel="1" spans="1:41">
      <c r="A128" s="505">
        <v>4.5</v>
      </c>
      <c r="B128" s="506" t="s">
        <v>422</v>
      </c>
      <c r="C128" s="579">
        <f>C129+C130</f>
        <v>0</v>
      </c>
      <c r="D128" s="579">
        <f t="shared" ref="D128:AJ128" si="475">D129+D130</f>
        <v>0</v>
      </c>
      <c r="E128" s="579">
        <f t="shared" si="475"/>
        <v>0</v>
      </c>
      <c r="F128" s="579">
        <f t="shared" si="475"/>
        <v>0</v>
      </c>
      <c r="G128" s="579">
        <f t="shared" si="475"/>
        <v>0</v>
      </c>
      <c r="H128" s="579">
        <f t="shared" si="475"/>
        <v>0</v>
      </c>
      <c r="I128" s="579">
        <f t="shared" si="475"/>
        <v>0</v>
      </c>
      <c r="J128" s="579">
        <f t="shared" si="475"/>
        <v>0</v>
      </c>
      <c r="K128" s="579">
        <f t="shared" si="475"/>
        <v>0</v>
      </c>
      <c r="L128" s="579">
        <f t="shared" si="475"/>
        <v>0</v>
      </c>
      <c r="M128" s="579">
        <f t="shared" si="475"/>
        <v>0</v>
      </c>
      <c r="N128" s="579">
        <f t="shared" si="475"/>
        <v>0</v>
      </c>
      <c r="O128" s="579">
        <f t="shared" si="475"/>
        <v>0</v>
      </c>
      <c r="P128" s="579">
        <f t="shared" si="475"/>
        <v>0</v>
      </c>
      <c r="Q128" s="579">
        <f t="shared" si="475"/>
        <v>0</v>
      </c>
      <c r="R128" s="579">
        <f t="shared" si="475"/>
        <v>0</v>
      </c>
      <c r="S128" s="579">
        <f t="shared" si="475"/>
        <v>0</v>
      </c>
      <c r="T128" s="579">
        <f t="shared" si="475"/>
        <v>0</v>
      </c>
      <c r="U128" s="579">
        <f t="shared" si="475"/>
        <v>0</v>
      </c>
      <c r="V128" s="579">
        <f t="shared" si="475"/>
        <v>0</v>
      </c>
      <c r="W128" s="579">
        <f t="shared" si="475"/>
        <v>0</v>
      </c>
      <c r="X128" s="579">
        <f t="shared" si="475"/>
        <v>0</v>
      </c>
      <c r="Y128" s="579">
        <f t="shared" si="475"/>
        <v>0</v>
      </c>
      <c r="Z128" s="579">
        <f t="shared" si="475"/>
        <v>0</v>
      </c>
      <c r="AA128" s="579">
        <f t="shared" si="475"/>
        <v>0</v>
      </c>
      <c r="AB128" s="579">
        <f t="shared" si="475"/>
        <v>0</v>
      </c>
      <c r="AC128" s="579">
        <f t="shared" si="475"/>
        <v>0</v>
      </c>
      <c r="AD128" s="579">
        <f t="shared" si="475"/>
        <v>0</v>
      </c>
      <c r="AE128" s="579">
        <f t="shared" si="475"/>
        <v>0</v>
      </c>
      <c r="AF128" s="579">
        <f t="shared" si="475"/>
        <v>0</v>
      </c>
      <c r="AG128" s="579">
        <f t="shared" si="475"/>
        <v>0</v>
      </c>
      <c r="AH128" s="579">
        <f t="shared" si="475"/>
        <v>0</v>
      </c>
      <c r="AI128" s="579">
        <f t="shared" si="475"/>
        <v>0</v>
      </c>
      <c r="AJ128" s="579">
        <f t="shared" si="475"/>
        <v>0</v>
      </c>
      <c r="AK128" s="559"/>
      <c r="AL128" s="560">
        <f t="shared" si="428"/>
        <v>0</v>
      </c>
      <c r="AM128" s="557"/>
      <c r="AO128" s="405">
        <f t="shared" si="388"/>
        <v>0</v>
      </c>
    </row>
    <row r="129" customHeight="1" outlineLevel="2" spans="1:41">
      <c r="A129" s="514" t="s">
        <v>423</v>
      </c>
      <c r="B129" s="537" t="s">
        <v>424</v>
      </c>
      <c r="C129" s="507">
        <f>D129/$C$8</f>
        <v>0</v>
      </c>
      <c r="D129" s="507">
        <f>F129+AD129</f>
        <v>0</v>
      </c>
      <c r="E129" s="507">
        <f>F129/$E$8</f>
        <v>0</v>
      </c>
      <c r="F129" s="507">
        <f>H129+J129+L129+N129+P129+R129+T129+V129+X129+Z129+AB129</f>
        <v>0</v>
      </c>
      <c r="G129" s="516"/>
      <c r="H129" s="507">
        <f>G129*G$8</f>
        <v>0</v>
      </c>
      <c r="I129" s="516"/>
      <c r="J129" s="507">
        <f t="shared" ref="J129" si="476">I129*I$8</f>
        <v>0</v>
      </c>
      <c r="K129" s="516"/>
      <c r="L129" s="507">
        <f t="shared" ref="L129" si="477">K129*K$8</f>
        <v>0</v>
      </c>
      <c r="M129" s="516"/>
      <c r="N129" s="507">
        <f t="shared" ref="N129:N131" si="478">M129*M$8</f>
        <v>0</v>
      </c>
      <c r="O129" s="516"/>
      <c r="P129" s="507">
        <f t="shared" ref="P129:P131" si="479">O129*O$8</f>
        <v>0</v>
      </c>
      <c r="Q129" s="516"/>
      <c r="R129" s="507">
        <f t="shared" ref="R129:R131" si="480">Q129*Q$8</f>
        <v>0</v>
      </c>
      <c r="S129" s="516"/>
      <c r="T129" s="507">
        <f t="shared" ref="T129:T131" si="481">S129*S$8</f>
        <v>0</v>
      </c>
      <c r="U129" s="516"/>
      <c r="V129" s="507">
        <f t="shared" ref="V129" si="482">U129*U$8</f>
        <v>0</v>
      </c>
      <c r="W129" s="516"/>
      <c r="X129" s="507">
        <f t="shared" ref="X129" si="483">W129*W$8</f>
        <v>0</v>
      </c>
      <c r="Y129" s="516"/>
      <c r="Z129" s="507">
        <f t="shared" ref="Z129" si="484">Y129*Y$8</f>
        <v>0</v>
      </c>
      <c r="AA129" s="516"/>
      <c r="AB129" s="507">
        <f t="shared" ref="AB129" si="485">AA129*AA$8</f>
        <v>0</v>
      </c>
      <c r="AC129" s="507">
        <f>AD129/AC$8</f>
        <v>0</v>
      </c>
      <c r="AD129" s="507">
        <f>AF129*0+AH129+AJ129</f>
        <v>0</v>
      </c>
      <c r="AE129" s="516"/>
      <c r="AF129" s="507">
        <f t="shared" ref="AF129" si="486">AE129*AE$8</f>
        <v>0</v>
      </c>
      <c r="AG129" s="516"/>
      <c r="AH129" s="507">
        <f t="shared" ref="AH129" si="487">AG129*AG$8</f>
        <v>0</v>
      </c>
      <c r="AI129" s="516"/>
      <c r="AJ129" s="507">
        <f t="shared" ref="AJ129" si="488">AI129*AI$8</f>
        <v>0</v>
      </c>
      <c r="AK129" s="559"/>
      <c r="AL129" s="560">
        <f t="shared" si="428"/>
        <v>0</v>
      </c>
      <c r="AM129" s="557"/>
      <c r="AO129" s="405">
        <f t="shared" si="388"/>
        <v>0</v>
      </c>
    </row>
    <row r="130" customHeight="1" outlineLevel="2" spans="1:41">
      <c r="A130" s="514" t="s">
        <v>425</v>
      </c>
      <c r="B130" s="537" t="s">
        <v>426</v>
      </c>
      <c r="C130" s="507">
        <f>D130/$C$8</f>
        <v>0</v>
      </c>
      <c r="D130" s="507">
        <f>F130+AD130</f>
        <v>0</v>
      </c>
      <c r="E130" s="507">
        <f>F130/$E$8</f>
        <v>0</v>
      </c>
      <c r="F130" s="507">
        <f>H130+J130+L130+N130+P130+R130+T130+V130+X130+Z130+AB130</f>
        <v>0</v>
      </c>
      <c r="G130" s="516"/>
      <c r="H130" s="507">
        <f>G130*G$8</f>
        <v>0</v>
      </c>
      <c r="I130" s="516"/>
      <c r="J130" s="507">
        <f t="shared" ref="J130" si="489">I130*I$8</f>
        <v>0</v>
      </c>
      <c r="K130" s="516"/>
      <c r="L130" s="507">
        <f t="shared" ref="L130" si="490">K130*K$8</f>
        <v>0</v>
      </c>
      <c r="M130" s="516"/>
      <c r="N130" s="507">
        <f t="shared" si="478"/>
        <v>0</v>
      </c>
      <c r="O130" s="516"/>
      <c r="P130" s="507">
        <f t="shared" si="479"/>
        <v>0</v>
      </c>
      <c r="Q130" s="516"/>
      <c r="R130" s="507">
        <f t="shared" si="480"/>
        <v>0</v>
      </c>
      <c r="S130" s="516"/>
      <c r="T130" s="507">
        <f t="shared" si="481"/>
        <v>0</v>
      </c>
      <c r="U130" s="516"/>
      <c r="V130" s="507">
        <f t="shared" ref="V130" si="491">U130*U$8</f>
        <v>0</v>
      </c>
      <c r="W130" s="516"/>
      <c r="X130" s="507">
        <f t="shared" ref="X130" si="492">W130*W$8</f>
        <v>0</v>
      </c>
      <c r="Y130" s="516"/>
      <c r="Z130" s="507">
        <f t="shared" ref="Z130" si="493">Y130*Y$8</f>
        <v>0</v>
      </c>
      <c r="AA130" s="516"/>
      <c r="AB130" s="507">
        <f t="shared" ref="AB130" si="494">AA130*AA$8</f>
        <v>0</v>
      </c>
      <c r="AC130" s="507">
        <f>AD130/AC$8</f>
        <v>0</v>
      </c>
      <c r="AD130" s="507">
        <f>AF130*0+AH130+AJ130</f>
        <v>0</v>
      </c>
      <c r="AE130" s="516"/>
      <c r="AF130" s="507">
        <f t="shared" ref="AF130" si="495">AE130*AE$8</f>
        <v>0</v>
      </c>
      <c r="AG130" s="516"/>
      <c r="AH130" s="507">
        <f t="shared" ref="AH130" si="496">AG130*AG$8</f>
        <v>0</v>
      </c>
      <c r="AI130" s="516"/>
      <c r="AJ130" s="507">
        <f t="shared" ref="AJ130" si="497">AI130*AI$8</f>
        <v>0</v>
      </c>
      <c r="AK130" s="559"/>
      <c r="AL130" s="560">
        <f t="shared" si="428"/>
        <v>0</v>
      </c>
      <c r="AM130" s="557"/>
      <c r="AO130" s="405">
        <f t="shared" si="388"/>
        <v>0</v>
      </c>
    </row>
    <row r="131" customHeight="1" outlineLevel="1" spans="1:41">
      <c r="A131" s="505">
        <v>4.6</v>
      </c>
      <c r="B131" s="506" t="s">
        <v>427</v>
      </c>
      <c r="C131" s="507">
        <f>D131/$C$8</f>
        <v>0</v>
      </c>
      <c r="D131" s="507">
        <f>F131+AD131</f>
        <v>0</v>
      </c>
      <c r="E131" s="507">
        <f>F131/$E$8</f>
        <v>0</v>
      </c>
      <c r="F131" s="507">
        <f>H131+J131+L131+N131+P131+R131+T131+V131+X131+Z131+AB131</f>
        <v>0</v>
      </c>
      <c r="G131" s="516"/>
      <c r="H131" s="507">
        <f>G131*G$8</f>
        <v>0</v>
      </c>
      <c r="I131" s="516"/>
      <c r="J131" s="507">
        <f t="shared" ref="J131" si="498">I131*I$8</f>
        <v>0</v>
      </c>
      <c r="K131" s="516"/>
      <c r="L131" s="507">
        <f t="shared" ref="L131" si="499">K131*K$8</f>
        <v>0</v>
      </c>
      <c r="M131" s="516"/>
      <c r="N131" s="507">
        <f t="shared" si="478"/>
        <v>0</v>
      </c>
      <c r="O131" s="516"/>
      <c r="P131" s="507">
        <f t="shared" si="479"/>
        <v>0</v>
      </c>
      <c r="Q131" s="516"/>
      <c r="R131" s="507">
        <f t="shared" si="480"/>
        <v>0</v>
      </c>
      <c r="S131" s="516"/>
      <c r="T131" s="507">
        <f t="shared" si="481"/>
        <v>0</v>
      </c>
      <c r="U131" s="516"/>
      <c r="V131" s="507">
        <f t="shared" ref="V131" si="500">U131*U$8</f>
        <v>0</v>
      </c>
      <c r="W131" s="516"/>
      <c r="X131" s="507">
        <f t="shared" ref="X131" si="501">W131*W$8</f>
        <v>0</v>
      </c>
      <c r="Y131" s="516"/>
      <c r="Z131" s="507">
        <f t="shared" ref="Z131" si="502">Y131*Y$8</f>
        <v>0</v>
      </c>
      <c r="AA131" s="516"/>
      <c r="AB131" s="507">
        <f t="shared" ref="AB131" si="503">AA131*AA$8</f>
        <v>0</v>
      </c>
      <c r="AC131" s="507">
        <f>AD131/AC$8</f>
        <v>0</v>
      </c>
      <c r="AD131" s="507">
        <f>AF131*0+AH131+AJ131</f>
        <v>0</v>
      </c>
      <c r="AE131" s="516"/>
      <c r="AF131" s="507">
        <f t="shared" ref="AF131" si="504">AE131*AE$8</f>
        <v>0</v>
      </c>
      <c r="AG131" s="516"/>
      <c r="AH131" s="507">
        <f t="shared" ref="AH131" si="505">AG131*AG$8</f>
        <v>0</v>
      </c>
      <c r="AI131" s="516"/>
      <c r="AJ131" s="507">
        <f t="shared" ref="AJ131" si="506">AI131*AI$8</f>
        <v>0</v>
      </c>
      <c r="AK131" s="559"/>
      <c r="AL131" s="560">
        <f t="shared" si="428"/>
        <v>0</v>
      </c>
      <c r="AM131" s="557"/>
      <c r="AO131" s="405">
        <f t="shared" si="388"/>
        <v>0</v>
      </c>
    </row>
    <row r="132" customHeight="1" outlineLevel="1" spans="1:41">
      <c r="A132" s="505">
        <v>4.7</v>
      </c>
      <c r="B132" s="506" t="s">
        <v>428</v>
      </c>
      <c r="C132" s="579">
        <f>C133+C134</f>
        <v>17.2389669300764</v>
      </c>
      <c r="D132" s="579">
        <f t="shared" ref="D132:AJ132" si="507">D133+D134</f>
        <v>123.048729127673</v>
      </c>
      <c r="E132" s="579">
        <f t="shared" si="507"/>
        <v>17.149724119007</v>
      </c>
      <c r="F132" s="579">
        <f t="shared" si="507"/>
        <v>84.2784433452089</v>
      </c>
      <c r="G132" s="579">
        <f t="shared" si="507"/>
        <v>17.4362026247491</v>
      </c>
      <c r="H132" s="579">
        <f t="shared" si="507"/>
        <v>55.1730969862517</v>
      </c>
      <c r="I132" s="579">
        <f t="shared" si="507"/>
        <v>17.4362026247491</v>
      </c>
      <c r="J132" s="579">
        <f t="shared" si="507"/>
        <v>29.1053463589572</v>
      </c>
      <c r="K132" s="579">
        <f t="shared" si="507"/>
        <v>10</v>
      </c>
      <c r="L132" s="579">
        <f t="shared" si="507"/>
        <v>0</v>
      </c>
      <c r="M132" s="579">
        <f t="shared" si="507"/>
        <v>10</v>
      </c>
      <c r="N132" s="579">
        <f t="shared" si="507"/>
        <v>0</v>
      </c>
      <c r="O132" s="579">
        <f t="shared" si="507"/>
        <v>10</v>
      </c>
      <c r="P132" s="579">
        <f t="shared" si="507"/>
        <v>0</v>
      </c>
      <c r="Q132" s="579">
        <f t="shared" si="507"/>
        <v>10</v>
      </c>
      <c r="R132" s="579">
        <f t="shared" si="507"/>
        <v>0</v>
      </c>
      <c r="S132" s="579">
        <f t="shared" si="507"/>
        <v>10</v>
      </c>
      <c r="T132" s="579">
        <f t="shared" si="507"/>
        <v>0</v>
      </c>
      <c r="U132" s="579">
        <f t="shared" si="507"/>
        <v>17.4362026247491</v>
      </c>
      <c r="V132" s="579">
        <f t="shared" si="507"/>
        <v>0.579997844109655</v>
      </c>
      <c r="W132" s="579">
        <f t="shared" si="507"/>
        <v>17.4362026247491</v>
      </c>
      <c r="X132" s="579">
        <f t="shared" si="507"/>
        <v>0.346091185898646</v>
      </c>
      <c r="Y132" s="579">
        <f t="shared" si="507"/>
        <v>17.4362026247491</v>
      </c>
      <c r="Z132" s="579">
        <f t="shared" si="507"/>
        <v>0.131120243738114</v>
      </c>
      <c r="AA132" s="579">
        <f t="shared" si="507"/>
        <v>17.4362026247491</v>
      </c>
      <c r="AB132" s="579">
        <f t="shared" si="507"/>
        <v>0.35062459858108</v>
      </c>
      <c r="AC132" s="579">
        <f t="shared" si="507"/>
        <v>17.4362026247491</v>
      </c>
      <c r="AD132" s="579">
        <f t="shared" si="507"/>
        <v>38.7702857824636</v>
      </c>
      <c r="AE132" s="579">
        <f t="shared" si="507"/>
        <v>17.4362026247491</v>
      </c>
      <c r="AF132" s="579">
        <f t="shared" si="507"/>
        <v>0</v>
      </c>
      <c r="AG132" s="579">
        <f t="shared" si="507"/>
        <v>17.4362026247491</v>
      </c>
      <c r="AH132" s="579">
        <f t="shared" si="507"/>
        <v>6.87877373369241</v>
      </c>
      <c r="AI132" s="579">
        <f t="shared" si="507"/>
        <v>17.4362026247491</v>
      </c>
      <c r="AJ132" s="579">
        <f t="shared" si="507"/>
        <v>31.8915120487712</v>
      </c>
      <c r="AK132" s="559"/>
      <c r="AL132" s="560">
        <f t="shared" si="428"/>
        <v>124.456563</v>
      </c>
      <c r="AM132" s="557"/>
      <c r="AO132" s="405">
        <f t="shared" si="388"/>
        <v>1.40783387232749</v>
      </c>
    </row>
    <row r="133" customHeight="1" outlineLevel="2" spans="1:41">
      <c r="A133" s="514" t="s">
        <v>429</v>
      </c>
      <c r="B133" s="537" t="s">
        <v>430</v>
      </c>
      <c r="C133" s="507">
        <f>D133/$C$8</f>
        <v>17.2389669300764</v>
      </c>
      <c r="D133" s="507">
        <f>F133+AD133</f>
        <v>123.048729127673</v>
      </c>
      <c r="E133" s="507">
        <f>F133/$E$8</f>
        <v>17.149724119007</v>
      </c>
      <c r="F133" s="507">
        <f>H133+J133+L133+N133+P133+R133+T133</f>
        <v>84.2784433452089</v>
      </c>
      <c r="G133" s="516">
        <f>AN133</f>
        <v>17.4362026247491</v>
      </c>
      <c r="H133" s="507">
        <f>G133*G$8</f>
        <v>55.1730969862517</v>
      </c>
      <c r="I133" s="516">
        <f>G133</f>
        <v>17.4362026247491</v>
      </c>
      <c r="J133" s="507">
        <f t="shared" ref="J133:J134" si="508">I133*I$8</f>
        <v>29.1053463589572</v>
      </c>
      <c r="K133" s="516">
        <v>10</v>
      </c>
      <c r="L133" s="507">
        <f t="shared" ref="L133" si="509">K133*K$8</f>
        <v>0</v>
      </c>
      <c r="M133" s="516">
        <v>10</v>
      </c>
      <c r="N133" s="507">
        <f t="shared" ref="N133:N134" si="510">M133*M$8</f>
        <v>0</v>
      </c>
      <c r="O133" s="516">
        <v>10</v>
      </c>
      <c r="P133" s="507">
        <f t="shared" ref="P133:P134" si="511">O133*O$8</f>
        <v>0</v>
      </c>
      <c r="Q133" s="516">
        <v>10</v>
      </c>
      <c r="R133" s="507">
        <f t="shared" ref="R133:R134" si="512">Q133*Q$8</f>
        <v>0</v>
      </c>
      <c r="S133" s="516">
        <v>10</v>
      </c>
      <c r="T133" s="507">
        <f t="shared" ref="T133:T134" si="513">S133*S$8</f>
        <v>0</v>
      </c>
      <c r="U133" s="516">
        <f>G133</f>
        <v>17.4362026247491</v>
      </c>
      <c r="V133" s="507">
        <f t="shared" ref="V133:V134" si="514">U133*U$8</f>
        <v>0.579997844109655</v>
      </c>
      <c r="W133" s="516">
        <f>G133</f>
        <v>17.4362026247491</v>
      </c>
      <c r="X133" s="507">
        <f t="shared" ref="X133:X134" si="515">W133*W$8</f>
        <v>0.346091185898646</v>
      </c>
      <c r="Y133" s="516">
        <f>G133</f>
        <v>17.4362026247491</v>
      </c>
      <c r="Z133" s="507">
        <f t="shared" ref="Z133:Z134" si="516">Y133*Y$8</f>
        <v>0.131120243738114</v>
      </c>
      <c r="AA133" s="516">
        <f>G133</f>
        <v>17.4362026247491</v>
      </c>
      <c r="AB133" s="507">
        <f t="shared" ref="AB133:AB134" si="517">AA133*AA$8</f>
        <v>0.35062459858108</v>
      </c>
      <c r="AC133" s="507">
        <f>AD133/AC$8</f>
        <v>17.4362026247491</v>
      </c>
      <c r="AD133" s="507">
        <f>AF133*0+AH133+AJ133</f>
        <v>38.7702857824636</v>
      </c>
      <c r="AE133" s="516">
        <f>AG133</f>
        <v>17.4362026247491</v>
      </c>
      <c r="AF133" s="507">
        <f t="shared" ref="AF133" si="518">AE133*AE$8</f>
        <v>0</v>
      </c>
      <c r="AG133" s="516">
        <f>G133</f>
        <v>17.4362026247491</v>
      </c>
      <c r="AH133" s="507">
        <f t="shared" ref="AH133:AH134" si="519">AG133*AG$8</f>
        <v>6.87877373369241</v>
      </c>
      <c r="AI133" s="516">
        <f>G133</f>
        <v>17.4362026247491</v>
      </c>
      <c r="AJ133" s="507">
        <f t="shared" ref="AJ133:AJ134" si="520">AI133*AI$8</f>
        <v>31.8915120487712</v>
      </c>
      <c r="AK133" s="559" t="s">
        <v>431</v>
      </c>
      <c r="AL133" s="560">
        <f t="shared" si="428"/>
        <v>124.456563</v>
      </c>
      <c r="AM133" s="557">
        <f>45*经济指标!K25/10000</f>
        <v>124.456563</v>
      </c>
      <c r="AN133" s="405">
        <f>AM133/C8</f>
        <v>17.4362026247491</v>
      </c>
      <c r="AO133" s="405">
        <f t="shared" si="388"/>
        <v>1.40783387232749</v>
      </c>
    </row>
    <row r="134" customHeight="1" outlineLevel="2" spans="1:41">
      <c r="A134" s="514" t="s">
        <v>432</v>
      </c>
      <c r="B134" s="576" t="s">
        <v>433</v>
      </c>
      <c r="C134" s="507">
        <f>D134/$C$8</f>
        <v>0</v>
      </c>
      <c r="D134" s="507">
        <f>F134+AD134</f>
        <v>0</v>
      </c>
      <c r="E134" s="507">
        <f>F134/$E$8</f>
        <v>0</v>
      </c>
      <c r="F134" s="507">
        <f>H134+J134+L134+N134+P134+R134+T134+V134+X134+Z134+AB134</f>
        <v>0</v>
      </c>
      <c r="G134" s="516"/>
      <c r="H134" s="507">
        <f>G134*G$8</f>
        <v>0</v>
      </c>
      <c r="I134" s="516"/>
      <c r="J134" s="507">
        <f t="shared" si="508"/>
        <v>0</v>
      </c>
      <c r="K134" s="516"/>
      <c r="L134" s="507">
        <f t="shared" ref="L134" si="521">K134*K$8</f>
        <v>0</v>
      </c>
      <c r="M134" s="516"/>
      <c r="N134" s="507">
        <f t="shared" si="510"/>
        <v>0</v>
      </c>
      <c r="O134" s="516"/>
      <c r="P134" s="507">
        <f t="shared" si="511"/>
        <v>0</v>
      </c>
      <c r="Q134" s="516"/>
      <c r="R134" s="507">
        <f t="shared" si="512"/>
        <v>0</v>
      </c>
      <c r="S134" s="516"/>
      <c r="T134" s="507">
        <f t="shared" si="513"/>
        <v>0</v>
      </c>
      <c r="U134" s="516"/>
      <c r="V134" s="507">
        <f t="shared" si="514"/>
        <v>0</v>
      </c>
      <c r="W134" s="516"/>
      <c r="X134" s="507">
        <f t="shared" si="515"/>
        <v>0</v>
      </c>
      <c r="Y134" s="516"/>
      <c r="Z134" s="507">
        <f t="shared" si="516"/>
        <v>0</v>
      </c>
      <c r="AA134" s="516"/>
      <c r="AB134" s="507">
        <f t="shared" si="517"/>
        <v>0</v>
      </c>
      <c r="AC134" s="507">
        <f>AD134/AC$8</f>
        <v>0</v>
      </c>
      <c r="AD134" s="507">
        <f>AF134*0+AH134+AJ134</f>
        <v>0</v>
      </c>
      <c r="AE134" s="516"/>
      <c r="AF134" s="507">
        <f t="shared" ref="AF134" si="522">AE134*AE$8</f>
        <v>0</v>
      </c>
      <c r="AG134" s="516"/>
      <c r="AH134" s="507">
        <f t="shared" si="519"/>
        <v>0</v>
      </c>
      <c r="AI134" s="516"/>
      <c r="AJ134" s="507">
        <f t="shared" si="520"/>
        <v>0</v>
      </c>
      <c r="AK134" s="559"/>
      <c r="AL134" s="560">
        <f t="shared" si="428"/>
        <v>0</v>
      </c>
      <c r="AM134" s="557"/>
      <c r="AO134" s="405">
        <f t="shared" si="388"/>
        <v>0</v>
      </c>
    </row>
    <row r="135" customHeight="1" outlineLevel="1" spans="1:41">
      <c r="A135" s="505">
        <v>4.8</v>
      </c>
      <c r="B135" s="506" t="s">
        <v>434</v>
      </c>
      <c r="C135" s="579">
        <f>SUM(C136:C140)</f>
        <v>24.5172724184188</v>
      </c>
      <c r="D135" s="579">
        <f t="shared" ref="D135:AJ135" si="523">SUM(D136:D140)</f>
        <v>175</v>
      </c>
      <c r="E135" s="579">
        <f t="shared" si="523"/>
        <v>35.6105500018925</v>
      </c>
      <c r="F135" s="579">
        <f t="shared" si="523"/>
        <v>175</v>
      </c>
      <c r="G135" s="579">
        <f t="shared" si="523"/>
        <v>40.7043109910488</v>
      </c>
      <c r="H135" s="579">
        <f t="shared" si="523"/>
        <v>128.8</v>
      </c>
      <c r="I135" s="579">
        <f t="shared" si="523"/>
        <v>27.6771336553945</v>
      </c>
      <c r="J135" s="579">
        <f t="shared" si="523"/>
        <v>46.2</v>
      </c>
      <c r="K135" s="579">
        <f t="shared" si="523"/>
        <v>0</v>
      </c>
      <c r="L135" s="579">
        <f t="shared" si="523"/>
        <v>0</v>
      </c>
      <c r="M135" s="579">
        <f t="shared" si="523"/>
        <v>0</v>
      </c>
      <c r="N135" s="579">
        <f t="shared" si="523"/>
        <v>0</v>
      </c>
      <c r="O135" s="579">
        <f t="shared" si="523"/>
        <v>0</v>
      </c>
      <c r="P135" s="579">
        <f t="shared" si="523"/>
        <v>0</v>
      </c>
      <c r="Q135" s="579">
        <f t="shared" si="523"/>
        <v>0</v>
      </c>
      <c r="R135" s="579">
        <f t="shared" si="523"/>
        <v>0</v>
      </c>
      <c r="S135" s="579">
        <f t="shared" si="523"/>
        <v>0</v>
      </c>
      <c r="T135" s="579">
        <f t="shared" si="523"/>
        <v>0</v>
      </c>
      <c r="U135" s="579">
        <f t="shared" si="523"/>
        <v>0</v>
      </c>
      <c r="V135" s="579">
        <f t="shared" si="523"/>
        <v>0</v>
      </c>
      <c r="W135" s="579">
        <f t="shared" si="523"/>
        <v>0</v>
      </c>
      <c r="X135" s="579">
        <f t="shared" si="523"/>
        <v>0</v>
      </c>
      <c r="Y135" s="579">
        <f t="shared" si="523"/>
        <v>0</v>
      </c>
      <c r="Z135" s="579">
        <f t="shared" si="523"/>
        <v>0</v>
      </c>
      <c r="AA135" s="579">
        <f t="shared" si="523"/>
        <v>0</v>
      </c>
      <c r="AB135" s="579">
        <f t="shared" si="523"/>
        <v>0</v>
      </c>
      <c r="AC135" s="579">
        <f t="shared" si="523"/>
        <v>0</v>
      </c>
      <c r="AD135" s="579">
        <f t="shared" si="523"/>
        <v>0</v>
      </c>
      <c r="AE135" s="579">
        <f t="shared" si="523"/>
        <v>0</v>
      </c>
      <c r="AF135" s="579">
        <f t="shared" si="523"/>
        <v>0</v>
      </c>
      <c r="AG135" s="579">
        <f t="shared" si="523"/>
        <v>0</v>
      </c>
      <c r="AH135" s="579">
        <f t="shared" si="523"/>
        <v>0</v>
      </c>
      <c r="AI135" s="579">
        <f t="shared" si="523"/>
        <v>0</v>
      </c>
      <c r="AJ135" s="579">
        <f t="shared" si="523"/>
        <v>0</v>
      </c>
      <c r="AK135" s="559"/>
      <c r="AL135" s="560">
        <f t="shared" si="428"/>
        <v>175</v>
      </c>
      <c r="AM135" s="557"/>
      <c r="AO135" s="405">
        <f t="shared" si="388"/>
        <v>0</v>
      </c>
    </row>
    <row r="136" customHeight="1" outlineLevel="2" spans="1:41">
      <c r="A136" s="514" t="s">
        <v>435</v>
      </c>
      <c r="B136" s="593" t="s">
        <v>436</v>
      </c>
      <c r="C136" s="507">
        <f>D136/$C$8</f>
        <v>0</v>
      </c>
      <c r="D136" s="507">
        <f>F136+AD136</f>
        <v>0</v>
      </c>
      <c r="E136" s="507">
        <f>F136/$E$8</f>
        <v>0</v>
      </c>
      <c r="F136" s="507">
        <f>H136+J136+L136+N136+P136+R136+T136+V136+X136+Z136+AB136</f>
        <v>0</v>
      </c>
      <c r="G136" s="516"/>
      <c r="H136" s="507">
        <f>G136*G$8</f>
        <v>0</v>
      </c>
      <c r="I136" s="516"/>
      <c r="J136" s="507">
        <f t="shared" ref="J136:J140" si="524">I136*I$8</f>
        <v>0</v>
      </c>
      <c r="K136" s="516"/>
      <c r="L136" s="507">
        <f t="shared" ref="L136" si="525">K136*K$8</f>
        <v>0</v>
      </c>
      <c r="M136" s="516"/>
      <c r="N136" s="507">
        <f t="shared" ref="N136:N140" si="526">M136*M$8</f>
        <v>0</v>
      </c>
      <c r="O136" s="516"/>
      <c r="P136" s="507">
        <f t="shared" ref="P136:P140" si="527">O136*O$8</f>
        <v>0</v>
      </c>
      <c r="Q136" s="516"/>
      <c r="R136" s="507">
        <f t="shared" ref="R136:R140" si="528">Q136*Q$8</f>
        <v>0</v>
      </c>
      <c r="S136" s="516"/>
      <c r="T136" s="507">
        <f>S136*S$8</f>
        <v>0</v>
      </c>
      <c r="U136" s="516"/>
      <c r="V136" s="507">
        <f t="shared" ref="V136" si="529">U136*U$8</f>
        <v>0</v>
      </c>
      <c r="W136" s="516"/>
      <c r="X136" s="507">
        <f t="shared" ref="X136" si="530">W136*W$8</f>
        <v>0</v>
      </c>
      <c r="Y136" s="516"/>
      <c r="Z136" s="507">
        <f t="shared" ref="Z136" si="531">Y136*Y$8</f>
        <v>0</v>
      </c>
      <c r="AA136" s="516"/>
      <c r="AB136" s="507">
        <f t="shared" ref="AB136" si="532">AA136*AA$8</f>
        <v>0</v>
      </c>
      <c r="AC136" s="507">
        <f>AD136/AC$8</f>
        <v>0</v>
      </c>
      <c r="AD136" s="507">
        <f>AF136*0+AH136+AJ136</f>
        <v>0</v>
      </c>
      <c r="AE136" s="516"/>
      <c r="AF136" s="507">
        <f t="shared" ref="AF136" si="533">AE136*AE$8</f>
        <v>0</v>
      </c>
      <c r="AG136" s="516"/>
      <c r="AH136" s="507">
        <f t="shared" ref="AH136" si="534">AG136*AG$8</f>
        <v>0</v>
      </c>
      <c r="AI136" s="516"/>
      <c r="AJ136" s="507">
        <f t="shared" ref="AJ136" si="535">AI136*AI$8</f>
        <v>0</v>
      </c>
      <c r="AK136" s="559"/>
      <c r="AL136" s="560">
        <f t="shared" si="428"/>
        <v>0</v>
      </c>
      <c r="AM136" s="557"/>
      <c r="AO136" s="405">
        <f t="shared" si="388"/>
        <v>0</v>
      </c>
    </row>
    <row r="137" customHeight="1" outlineLevel="2" spans="1:41">
      <c r="A137" s="514" t="s">
        <v>437</v>
      </c>
      <c r="B137" s="593" t="s">
        <v>438</v>
      </c>
      <c r="C137" s="507">
        <f>D137/$C$8</f>
        <v>24.5172724184188</v>
      </c>
      <c r="D137" s="507">
        <f>F137+AD137</f>
        <v>175</v>
      </c>
      <c r="E137" s="507">
        <f>F137/$E$8</f>
        <v>35.6105500018925</v>
      </c>
      <c r="F137" s="507">
        <f>H137+J137+L137+N137+P137+R137+T137</f>
        <v>175</v>
      </c>
      <c r="G137" s="516">
        <f>经济指标!I9*7000/10000/G8</f>
        <v>40.7043109910488</v>
      </c>
      <c r="H137" s="507">
        <f>G137*G$8</f>
        <v>128.8</v>
      </c>
      <c r="I137" s="516">
        <f>经济指标!I10*7000/10000/I8</f>
        <v>27.6771336553945</v>
      </c>
      <c r="J137" s="507">
        <f t="shared" si="524"/>
        <v>46.2</v>
      </c>
      <c r="K137" s="516">
        <f>经济指标!I11*3500/10000*0</f>
        <v>0</v>
      </c>
      <c r="L137" s="507">
        <f t="shared" ref="L137" si="536">K137*K$8</f>
        <v>0</v>
      </c>
      <c r="M137" s="516"/>
      <c r="N137" s="507">
        <f t="shared" si="526"/>
        <v>0</v>
      </c>
      <c r="O137" s="516"/>
      <c r="P137" s="507">
        <f t="shared" si="527"/>
        <v>0</v>
      </c>
      <c r="Q137" s="516"/>
      <c r="R137" s="507">
        <f t="shared" si="528"/>
        <v>0</v>
      </c>
      <c r="S137" s="516">
        <v>0</v>
      </c>
      <c r="T137" s="507">
        <f>S137*S$8</f>
        <v>0</v>
      </c>
      <c r="U137" s="516"/>
      <c r="V137" s="507">
        <f t="shared" ref="V137" si="537">U137*U$8</f>
        <v>0</v>
      </c>
      <c r="W137" s="516"/>
      <c r="X137" s="507">
        <f t="shared" ref="X137" si="538">W137*W$8</f>
        <v>0</v>
      </c>
      <c r="Y137" s="516"/>
      <c r="Z137" s="507">
        <f t="shared" ref="Z137" si="539">Y137*Y$8</f>
        <v>0</v>
      </c>
      <c r="AA137" s="516"/>
      <c r="AB137" s="507">
        <f t="shared" ref="AB137" si="540">AA137*AA$8</f>
        <v>0</v>
      </c>
      <c r="AC137" s="507">
        <f>AD137/AC$8</f>
        <v>0</v>
      </c>
      <c r="AD137" s="507">
        <f>AF137*0+AH137+AJ137</f>
        <v>0</v>
      </c>
      <c r="AE137" s="516"/>
      <c r="AF137" s="507">
        <f t="shared" ref="AF137" si="541">AE137*AE$8</f>
        <v>0</v>
      </c>
      <c r="AG137" s="516"/>
      <c r="AH137" s="507">
        <f t="shared" ref="AH137" si="542">AG137*AG$8</f>
        <v>0</v>
      </c>
      <c r="AI137" s="516"/>
      <c r="AJ137" s="507">
        <f t="shared" ref="AJ137" si="543">AI137*AI$8</f>
        <v>0</v>
      </c>
      <c r="AK137" s="559" t="s">
        <v>439</v>
      </c>
      <c r="AL137" s="560">
        <f t="shared" si="428"/>
        <v>175</v>
      </c>
      <c r="AM137" s="557"/>
      <c r="AO137" s="405">
        <f t="shared" si="388"/>
        <v>0</v>
      </c>
    </row>
    <row r="138" customHeight="1" outlineLevel="2" spans="1:41">
      <c r="A138" s="514" t="s">
        <v>440</v>
      </c>
      <c r="B138" s="537" t="s">
        <v>441</v>
      </c>
      <c r="C138" s="507">
        <f>D138/$C$8</f>
        <v>0</v>
      </c>
      <c r="D138" s="507">
        <f>F138+AD138</f>
        <v>0</v>
      </c>
      <c r="E138" s="507">
        <f>F138/$E$8</f>
        <v>0</v>
      </c>
      <c r="F138" s="507">
        <f>H138+J138+L138+N138+P138+R138+T138+V138+X138+Z138+AB138</f>
        <v>0</v>
      </c>
      <c r="G138" s="516"/>
      <c r="H138" s="507">
        <f>G138*G$8</f>
        <v>0</v>
      </c>
      <c r="I138" s="516"/>
      <c r="J138" s="507">
        <f t="shared" si="524"/>
        <v>0</v>
      </c>
      <c r="K138" s="516"/>
      <c r="L138" s="507">
        <f t="shared" ref="L138" si="544">K138*K$8</f>
        <v>0</v>
      </c>
      <c r="M138" s="516"/>
      <c r="N138" s="507">
        <f t="shared" si="526"/>
        <v>0</v>
      </c>
      <c r="O138" s="516"/>
      <c r="P138" s="507">
        <f t="shared" si="527"/>
        <v>0</v>
      </c>
      <c r="Q138" s="516"/>
      <c r="R138" s="507">
        <f t="shared" si="528"/>
        <v>0</v>
      </c>
      <c r="S138" s="516"/>
      <c r="T138" s="507">
        <f>S138*S$8</f>
        <v>0</v>
      </c>
      <c r="U138" s="516"/>
      <c r="V138" s="507">
        <f t="shared" ref="V138" si="545">U138*U$8</f>
        <v>0</v>
      </c>
      <c r="W138" s="516"/>
      <c r="X138" s="507">
        <f t="shared" ref="X138" si="546">W138*W$8</f>
        <v>0</v>
      </c>
      <c r="Y138" s="516"/>
      <c r="Z138" s="507">
        <f t="shared" ref="Z138" si="547">Y138*Y$8</f>
        <v>0</v>
      </c>
      <c r="AA138" s="516"/>
      <c r="AB138" s="507">
        <f t="shared" ref="AB138" si="548">AA138*AA$8</f>
        <v>0</v>
      </c>
      <c r="AC138" s="507">
        <f>AD138/AC$8</f>
        <v>0</v>
      </c>
      <c r="AD138" s="507">
        <f>AF138*0+AH138+AJ138</f>
        <v>0</v>
      </c>
      <c r="AE138" s="516"/>
      <c r="AF138" s="507">
        <f t="shared" ref="AF138" si="549">AE138*AE$8</f>
        <v>0</v>
      </c>
      <c r="AG138" s="516"/>
      <c r="AH138" s="507">
        <f t="shared" ref="AH138" si="550">AG138*AG$8</f>
        <v>0</v>
      </c>
      <c r="AI138" s="516"/>
      <c r="AJ138" s="507">
        <f t="shared" ref="AJ138" si="551">AI138*AI$8</f>
        <v>0</v>
      </c>
      <c r="AK138" s="559"/>
      <c r="AL138" s="560">
        <f t="shared" si="428"/>
        <v>0</v>
      </c>
      <c r="AM138" s="557"/>
      <c r="AO138" s="405">
        <f t="shared" si="388"/>
        <v>0</v>
      </c>
    </row>
    <row r="139" customHeight="1" outlineLevel="2" spans="1:41">
      <c r="A139" s="514" t="s">
        <v>442</v>
      </c>
      <c r="B139" s="537" t="s">
        <v>443</v>
      </c>
      <c r="C139" s="507">
        <f>D139/$C$8</f>
        <v>0</v>
      </c>
      <c r="D139" s="507">
        <f>F139+AD139</f>
        <v>0</v>
      </c>
      <c r="E139" s="507">
        <f>F139/$E$8</f>
        <v>0</v>
      </c>
      <c r="F139" s="507">
        <f>H139+J139+L139+N139+P139+R139+T139+V139+X139+Z139+AB139</f>
        <v>0</v>
      </c>
      <c r="G139" s="516"/>
      <c r="H139" s="507">
        <f>G139*G$8</f>
        <v>0</v>
      </c>
      <c r="I139" s="516"/>
      <c r="J139" s="507">
        <f t="shared" si="524"/>
        <v>0</v>
      </c>
      <c r="K139" s="516"/>
      <c r="L139" s="507">
        <f t="shared" ref="L139" si="552">K139*K$8</f>
        <v>0</v>
      </c>
      <c r="M139" s="516"/>
      <c r="N139" s="507">
        <f t="shared" si="526"/>
        <v>0</v>
      </c>
      <c r="O139" s="516"/>
      <c r="P139" s="507">
        <f t="shared" si="527"/>
        <v>0</v>
      </c>
      <c r="Q139" s="516"/>
      <c r="R139" s="507">
        <f t="shared" si="528"/>
        <v>0</v>
      </c>
      <c r="S139" s="516"/>
      <c r="T139" s="507">
        <f>S139*S$8</f>
        <v>0</v>
      </c>
      <c r="U139" s="516"/>
      <c r="V139" s="507">
        <f t="shared" ref="V139" si="553">U139*U$8</f>
        <v>0</v>
      </c>
      <c r="W139" s="516"/>
      <c r="X139" s="507">
        <f t="shared" ref="X139" si="554">W139*W$8</f>
        <v>0</v>
      </c>
      <c r="Y139" s="516"/>
      <c r="Z139" s="507">
        <f t="shared" ref="Z139" si="555">Y139*Y$8</f>
        <v>0</v>
      </c>
      <c r="AA139" s="516"/>
      <c r="AB139" s="507">
        <f t="shared" ref="AB139" si="556">AA139*AA$8</f>
        <v>0</v>
      </c>
      <c r="AC139" s="507">
        <f>AD139/AC$8</f>
        <v>0</v>
      </c>
      <c r="AD139" s="507">
        <f>AF139*0+AH139+AJ139</f>
        <v>0</v>
      </c>
      <c r="AE139" s="516"/>
      <c r="AF139" s="507">
        <f t="shared" ref="AF139" si="557">AE139*AE$8</f>
        <v>0</v>
      </c>
      <c r="AG139" s="516"/>
      <c r="AH139" s="507">
        <f t="shared" ref="AH139" si="558">AG139*AG$8</f>
        <v>0</v>
      </c>
      <c r="AI139" s="516"/>
      <c r="AJ139" s="507">
        <f t="shared" ref="AJ139" si="559">AI139*AI$8</f>
        <v>0</v>
      </c>
      <c r="AK139" s="559"/>
      <c r="AL139" s="560">
        <f t="shared" si="428"/>
        <v>0</v>
      </c>
      <c r="AM139" s="557"/>
      <c r="AO139" s="405">
        <f t="shared" si="388"/>
        <v>0</v>
      </c>
    </row>
    <row r="140" customHeight="1" outlineLevel="2" spans="1:41">
      <c r="A140" s="514" t="s">
        <v>444</v>
      </c>
      <c r="B140" s="537" t="s">
        <v>445</v>
      </c>
      <c r="C140" s="507">
        <f>D140/$C$8</f>
        <v>0</v>
      </c>
      <c r="D140" s="507">
        <f>F140+AD140</f>
        <v>0</v>
      </c>
      <c r="E140" s="507">
        <f>F140/$E$8</f>
        <v>0</v>
      </c>
      <c r="F140" s="507">
        <f>H140+J140+L140+N140+P140+R140+T140+V140+X140+Z140+AB140</f>
        <v>0</v>
      </c>
      <c r="G140" s="516"/>
      <c r="H140" s="507">
        <f>G140*G$8</f>
        <v>0</v>
      </c>
      <c r="I140" s="516"/>
      <c r="J140" s="507">
        <f t="shared" si="524"/>
        <v>0</v>
      </c>
      <c r="K140" s="516"/>
      <c r="L140" s="507">
        <f t="shared" ref="L140" si="560">K140*K$8</f>
        <v>0</v>
      </c>
      <c r="M140" s="516"/>
      <c r="N140" s="507">
        <f t="shared" si="526"/>
        <v>0</v>
      </c>
      <c r="O140" s="516"/>
      <c r="P140" s="507">
        <f t="shared" si="527"/>
        <v>0</v>
      </c>
      <c r="Q140" s="516"/>
      <c r="R140" s="507">
        <f t="shared" si="528"/>
        <v>0</v>
      </c>
      <c r="S140" s="516"/>
      <c r="T140" s="507">
        <f>S140*S$8</f>
        <v>0</v>
      </c>
      <c r="U140" s="516"/>
      <c r="V140" s="507">
        <f t="shared" ref="V140" si="561">U140*U$8</f>
        <v>0</v>
      </c>
      <c r="W140" s="516"/>
      <c r="X140" s="507">
        <f t="shared" ref="X140" si="562">W140*W$8</f>
        <v>0</v>
      </c>
      <c r="Y140" s="516"/>
      <c r="Z140" s="507">
        <f t="shared" ref="Z140" si="563">Y140*Y$8</f>
        <v>0</v>
      </c>
      <c r="AA140" s="516"/>
      <c r="AB140" s="507">
        <f t="shared" ref="AB140" si="564">AA140*AA$8</f>
        <v>0</v>
      </c>
      <c r="AC140" s="507">
        <f>AD140/AC$8</f>
        <v>0</v>
      </c>
      <c r="AD140" s="507">
        <f>AF140*0+AH140+AJ140</f>
        <v>0</v>
      </c>
      <c r="AE140" s="516"/>
      <c r="AF140" s="507">
        <f t="shared" ref="AF140" si="565">AE140*AE$8</f>
        <v>0</v>
      </c>
      <c r="AG140" s="516"/>
      <c r="AH140" s="507">
        <f t="shared" ref="AH140" si="566">AG140*AG$8</f>
        <v>0</v>
      </c>
      <c r="AI140" s="516"/>
      <c r="AJ140" s="507">
        <f t="shared" ref="AJ140" si="567">AI140*AI$8</f>
        <v>0</v>
      </c>
      <c r="AK140" s="559"/>
      <c r="AL140" s="560">
        <f t="shared" si="428"/>
        <v>0</v>
      </c>
      <c r="AM140" s="557"/>
      <c r="AO140" s="405">
        <f t="shared" si="388"/>
        <v>0</v>
      </c>
    </row>
    <row r="141" customHeight="1" outlineLevel="1" spans="1:41">
      <c r="A141" s="505">
        <v>4.9</v>
      </c>
      <c r="B141" s="506" t="s">
        <v>446</v>
      </c>
      <c r="C141" s="579">
        <f>SUM(C142:C144)</f>
        <v>0.840592197202929</v>
      </c>
      <c r="D141" s="579">
        <f t="shared" ref="D141:AJ141" si="568">SUM(D142:D144)</f>
        <v>6</v>
      </c>
      <c r="E141" s="579">
        <f t="shared" si="568"/>
        <v>1.22093314292203</v>
      </c>
      <c r="F141" s="579">
        <f t="shared" si="568"/>
        <v>6</v>
      </c>
      <c r="G141" s="579">
        <f t="shared" si="568"/>
        <v>1.39557637683596</v>
      </c>
      <c r="H141" s="579">
        <f t="shared" si="568"/>
        <v>4.416</v>
      </c>
      <c r="I141" s="579">
        <f t="shared" si="568"/>
        <v>0.948930296756384</v>
      </c>
      <c r="J141" s="579">
        <f t="shared" si="568"/>
        <v>1.584</v>
      </c>
      <c r="K141" s="579">
        <f t="shared" si="568"/>
        <v>0</v>
      </c>
      <c r="L141" s="579">
        <f t="shared" si="568"/>
        <v>0</v>
      </c>
      <c r="M141" s="579">
        <f t="shared" si="568"/>
        <v>0</v>
      </c>
      <c r="N141" s="579">
        <f t="shared" si="568"/>
        <v>0</v>
      </c>
      <c r="O141" s="579">
        <f t="shared" si="568"/>
        <v>0</v>
      </c>
      <c r="P141" s="579">
        <f t="shared" si="568"/>
        <v>0</v>
      </c>
      <c r="Q141" s="579">
        <f t="shared" si="568"/>
        <v>0</v>
      </c>
      <c r="R141" s="579">
        <f t="shared" si="568"/>
        <v>0</v>
      </c>
      <c r="S141" s="579">
        <f t="shared" si="568"/>
        <v>0</v>
      </c>
      <c r="T141" s="579">
        <f t="shared" si="568"/>
        <v>0</v>
      </c>
      <c r="U141" s="579">
        <f t="shared" si="568"/>
        <v>0</v>
      </c>
      <c r="V141" s="579">
        <f t="shared" si="568"/>
        <v>0</v>
      </c>
      <c r="W141" s="579">
        <f t="shared" si="568"/>
        <v>0</v>
      </c>
      <c r="X141" s="579">
        <f t="shared" si="568"/>
        <v>0</v>
      </c>
      <c r="Y141" s="579">
        <f t="shared" si="568"/>
        <v>0</v>
      </c>
      <c r="Z141" s="579">
        <f t="shared" si="568"/>
        <v>0</v>
      </c>
      <c r="AA141" s="579">
        <f t="shared" si="568"/>
        <v>0</v>
      </c>
      <c r="AB141" s="579">
        <f t="shared" si="568"/>
        <v>0</v>
      </c>
      <c r="AC141" s="579">
        <f t="shared" si="568"/>
        <v>0</v>
      </c>
      <c r="AD141" s="579">
        <f t="shared" si="568"/>
        <v>0</v>
      </c>
      <c r="AE141" s="579">
        <f t="shared" si="568"/>
        <v>0</v>
      </c>
      <c r="AF141" s="579">
        <f t="shared" si="568"/>
        <v>0</v>
      </c>
      <c r="AG141" s="579">
        <f t="shared" si="568"/>
        <v>0</v>
      </c>
      <c r="AH141" s="579">
        <f t="shared" si="568"/>
        <v>0</v>
      </c>
      <c r="AI141" s="579">
        <f t="shared" si="568"/>
        <v>0</v>
      </c>
      <c r="AJ141" s="579">
        <f t="shared" si="568"/>
        <v>0</v>
      </c>
      <c r="AK141" s="559"/>
      <c r="AL141" s="560">
        <f t="shared" si="428"/>
        <v>6</v>
      </c>
      <c r="AM141" s="557"/>
      <c r="AO141" s="405">
        <f t="shared" si="388"/>
        <v>0</v>
      </c>
    </row>
    <row r="142" customHeight="1" outlineLevel="2" spans="1:41">
      <c r="A142" s="514" t="s">
        <v>447</v>
      </c>
      <c r="B142" s="537" t="s">
        <v>448</v>
      </c>
      <c r="C142" s="507">
        <f>D142/$C$8</f>
        <v>0.840592197202929</v>
      </c>
      <c r="D142" s="507">
        <f>F142+AD142</f>
        <v>6</v>
      </c>
      <c r="E142" s="507">
        <f>F142/$E$8</f>
        <v>1.22093314292203</v>
      </c>
      <c r="F142" s="507">
        <f>H142+J142+L142+N142+P142+R142+T142</f>
        <v>6</v>
      </c>
      <c r="G142" s="516">
        <f>经济指标!I9*240/10000/G8</f>
        <v>1.39557637683596</v>
      </c>
      <c r="H142" s="507">
        <f>G142*G$8</f>
        <v>4.416</v>
      </c>
      <c r="I142" s="516">
        <f>经济指标!I10*240/10000/I8</f>
        <v>0.948930296756384</v>
      </c>
      <c r="J142" s="507">
        <f>I142*I$8</f>
        <v>1.584</v>
      </c>
      <c r="K142" s="516">
        <f>经济指标!I11*240/10000*0</f>
        <v>0</v>
      </c>
      <c r="L142" s="507">
        <f t="shared" ref="L142" si="569">K142*K$8</f>
        <v>0</v>
      </c>
      <c r="M142" s="516">
        <v>0</v>
      </c>
      <c r="N142" s="507">
        <f t="shared" ref="N142:N146" si="570">M142*M$8</f>
        <v>0</v>
      </c>
      <c r="O142" s="516"/>
      <c r="P142" s="507">
        <f>O142*O$8</f>
        <v>0</v>
      </c>
      <c r="Q142" s="516"/>
      <c r="R142" s="507">
        <f t="shared" ref="R142:R146" si="571">Q142*Q$8</f>
        <v>0</v>
      </c>
      <c r="S142" s="516">
        <v>0</v>
      </c>
      <c r="T142" s="507">
        <f>S142*S$8</f>
        <v>0</v>
      </c>
      <c r="U142" s="516"/>
      <c r="V142" s="507">
        <f t="shared" ref="V142:V146" si="572">U142*U$8</f>
        <v>0</v>
      </c>
      <c r="W142" s="516"/>
      <c r="X142" s="507">
        <f t="shared" ref="X142" si="573">W142*W$8</f>
        <v>0</v>
      </c>
      <c r="Y142" s="516"/>
      <c r="Z142" s="507">
        <f t="shared" ref="Z142" si="574">Y142*Y$8</f>
        <v>0</v>
      </c>
      <c r="AA142" s="516"/>
      <c r="AB142" s="507">
        <f t="shared" ref="AB142" si="575">AA142*AA$8</f>
        <v>0</v>
      </c>
      <c r="AC142" s="507">
        <f>AD142/AC$8</f>
        <v>0</v>
      </c>
      <c r="AD142" s="507">
        <f>AF142*0+AH142+AJ142</f>
        <v>0</v>
      </c>
      <c r="AE142" s="516"/>
      <c r="AF142" s="507">
        <f t="shared" ref="AF142" si="576">AE142*AE$8</f>
        <v>0</v>
      </c>
      <c r="AG142" s="516"/>
      <c r="AH142" s="507">
        <f t="shared" ref="AH142" si="577">AG142*AG$8</f>
        <v>0</v>
      </c>
      <c r="AI142" s="516"/>
      <c r="AJ142" s="507">
        <f t="shared" ref="AJ142" si="578">AI142*AI$8</f>
        <v>0</v>
      </c>
      <c r="AK142" s="559" t="s">
        <v>449</v>
      </c>
      <c r="AL142" s="560">
        <f t="shared" si="428"/>
        <v>6</v>
      </c>
      <c r="AM142" s="557"/>
      <c r="AO142" s="405">
        <f t="shared" si="388"/>
        <v>0</v>
      </c>
    </row>
    <row r="143" customHeight="1" outlineLevel="2" spans="1:41">
      <c r="A143" s="514" t="s">
        <v>450</v>
      </c>
      <c r="B143" s="537" t="s">
        <v>451</v>
      </c>
      <c r="C143" s="507">
        <f>D143/$C$8</f>
        <v>0</v>
      </c>
      <c r="D143" s="507">
        <f>F143+AD143</f>
        <v>0</v>
      </c>
      <c r="E143" s="507">
        <f>F143/$E$8</f>
        <v>0</v>
      </c>
      <c r="F143" s="507">
        <f>H143+J143+L143+N143+P143+R143+T143+V143+X143+Z143+AB143</f>
        <v>0</v>
      </c>
      <c r="G143" s="516"/>
      <c r="H143" s="507">
        <f>G143*G$8</f>
        <v>0</v>
      </c>
      <c r="I143" s="516"/>
      <c r="J143" s="507">
        <f>I143*I$8</f>
        <v>0</v>
      </c>
      <c r="K143" s="516"/>
      <c r="L143" s="507">
        <f t="shared" ref="L143" si="579">K143*K$8</f>
        <v>0</v>
      </c>
      <c r="M143" s="516"/>
      <c r="N143" s="507">
        <f t="shared" si="570"/>
        <v>0</v>
      </c>
      <c r="O143" s="516"/>
      <c r="P143" s="507">
        <f>O143*O$8</f>
        <v>0</v>
      </c>
      <c r="Q143" s="516"/>
      <c r="R143" s="507">
        <f t="shared" si="571"/>
        <v>0</v>
      </c>
      <c r="S143" s="516"/>
      <c r="T143" s="507">
        <f>S143*S$8</f>
        <v>0</v>
      </c>
      <c r="U143" s="516"/>
      <c r="V143" s="507">
        <f t="shared" si="572"/>
        <v>0</v>
      </c>
      <c r="W143" s="516"/>
      <c r="X143" s="507">
        <f t="shared" ref="X143" si="580">W143*W$8</f>
        <v>0</v>
      </c>
      <c r="Y143" s="516"/>
      <c r="Z143" s="507">
        <f t="shared" ref="Z143" si="581">Y143*Y$8</f>
        <v>0</v>
      </c>
      <c r="AA143" s="516"/>
      <c r="AB143" s="507">
        <f t="shared" ref="AB143" si="582">AA143*AA$8</f>
        <v>0</v>
      </c>
      <c r="AC143" s="507">
        <f>AD143/AC$8</f>
        <v>0</v>
      </c>
      <c r="AD143" s="507">
        <f>AF143*0+AH143+AJ143</f>
        <v>0</v>
      </c>
      <c r="AE143" s="516"/>
      <c r="AF143" s="507">
        <f t="shared" ref="AF143" si="583">AE143*AE$8</f>
        <v>0</v>
      </c>
      <c r="AG143" s="516"/>
      <c r="AH143" s="507">
        <f t="shared" ref="AH143" si="584">AG143*AG$8</f>
        <v>0</v>
      </c>
      <c r="AI143" s="516"/>
      <c r="AJ143" s="507">
        <f t="shared" ref="AJ143" si="585">AI143*AI$8</f>
        <v>0</v>
      </c>
      <c r="AK143" s="559"/>
      <c r="AL143" s="560">
        <f t="shared" si="428"/>
        <v>0</v>
      </c>
      <c r="AM143" s="557"/>
      <c r="AO143" s="405">
        <f t="shared" ref="AO143:AO185" si="586">H143+J143+P143+T143+V143+X143+Z143+AB143+AH143+AJ143-D143</f>
        <v>0</v>
      </c>
    </row>
    <row r="144" customHeight="1" outlineLevel="2" spans="1:41">
      <c r="A144" s="514" t="s">
        <v>452</v>
      </c>
      <c r="B144" s="537" t="s">
        <v>453</v>
      </c>
      <c r="C144" s="507">
        <f>D144/$C$8</f>
        <v>0</v>
      </c>
      <c r="D144" s="507">
        <f>F144+AD144</f>
        <v>0</v>
      </c>
      <c r="E144" s="507">
        <f>F144/$E$8</f>
        <v>0</v>
      </c>
      <c r="F144" s="507">
        <f>H144+J144+L144+N144+P144+R144+T144+V144+X144+Z144+AB144</f>
        <v>0</v>
      </c>
      <c r="G144" s="516"/>
      <c r="H144" s="507">
        <f>G144*G$8</f>
        <v>0</v>
      </c>
      <c r="I144" s="516"/>
      <c r="J144" s="507">
        <f>I144*I$8</f>
        <v>0</v>
      </c>
      <c r="K144" s="516"/>
      <c r="L144" s="507">
        <f t="shared" ref="L144" si="587">K144*K$8</f>
        <v>0</v>
      </c>
      <c r="M144" s="516"/>
      <c r="N144" s="507">
        <f t="shared" si="570"/>
        <v>0</v>
      </c>
      <c r="O144" s="516"/>
      <c r="P144" s="507">
        <f>O144*O$8</f>
        <v>0</v>
      </c>
      <c r="Q144" s="516"/>
      <c r="R144" s="507">
        <f t="shared" si="571"/>
        <v>0</v>
      </c>
      <c r="S144" s="516"/>
      <c r="T144" s="507">
        <f>S144*S$8</f>
        <v>0</v>
      </c>
      <c r="U144" s="516"/>
      <c r="V144" s="507">
        <f t="shared" si="572"/>
        <v>0</v>
      </c>
      <c r="W144" s="516"/>
      <c r="X144" s="507">
        <f t="shared" ref="X144" si="588">W144*W$8</f>
        <v>0</v>
      </c>
      <c r="Y144" s="516"/>
      <c r="Z144" s="507">
        <f t="shared" ref="Z144" si="589">Y144*Y$8</f>
        <v>0</v>
      </c>
      <c r="AA144" s="516"/>
      <c r="AB144" s="507">
        <f t="shared" ref="AB144" si="590">AA144*AA$8</f>
        <v>0</v>
      </c>
      <c r="AC144" s="507">
        <f>AD144/AC$8</f>
        <v>0</v>
      </c>
      <c r="AD144" s="507">
        <f>AF144*0+AH144+AJ144</f>
        <v>0</v>
      </c>
      <c r="AE144" s="516"/>
      <c r="AF144" s="507">
        <f t="shared" ref="AF144" si="591">AE144*AE$8</f>
        <v>0</v>
      </c>
      <c r="AG144" s="516"/>
      <c r="AH144" s="507">
        <f t="shared" ref="AH144" si="592">AG144*AG$8</f>
        <v>0</v>
      </c>
      <c r="AI144" s="516"/>
      <c r="AJ144" s="507">
        <f t="shared" ref="AJ144" si="593">AI144*AI$8</f>
        <v>0</v>
      </c>
      <c r="AK144" s="559"/>
      <c r="AL144" s="560">
        <f t="shared" si="428"/>
        <v>0</v>
      </c>
      <c r="AM144" s="557"/>
      <c r="AO144" s="405">
        <f t="shared" si="586"/>
        <v>0</v>
      </c>
    </row>
    <row r="145" customHeight="1" outlineLevel="1" spans="1:41">
      <c r="A145" s="505" t="s">
        <v>454</v>
      </c>
      <c r="B145" s="506" t="s">
        <v>455</v>
      </c>
      <c r="C145" s="507">
        <f>D145/$C$8</f>
        <v>0</v>
      </c>
      <c r="D145" s="507">
        <f>F145+AD145</f>
        <v>0</v>
      </c>
      <c r="E145" s="507">
        <f>F145/$E$8</f>
        <v>0</v>
      </c>
      <c r="F145" s="507">
        <f>H145+J145+L145+N145+P145+R145+T145+V145+X145+Z145+AB145</f>
        <v>0</v>
      </c>
      <c r="G145" s="516"/>
      <c r="H145" s="507">
        <f>G145*G$8</f>
        <v>0</v>
      </c>
      <c r="I145" s="516"/>
      <c r="J145" s="507">
        <f>I145*I$8</f>
        <v>0</v>
      </c>
      <c r="K145" s="516"/>
      <c r="L145" s="507">
        <f t="shared" ref="L145" si="594">K145*K$8</f>
        <v>0</v>
      </c>
      <c r="M145" s="516"/>
      <c r="N145" s="507">
        <f t="shared" si="570"/>
        <v>0</v>
      </c>
      <c r="O145" s="516"/>
      <c r="P145" s="507">
        <f>O145*O$8</f>
        <v>0</v>
      </c>
      <c r="Q145" s="516"/>
      <c r="R145" s="507">
        <f t="shared" si="571"/>
        <v>0</v>
      </c>
      <c r="S145" s="516"/>
      <c r="T145" s="507">
        <f>S145*S$8</f>
        <v>0</v>
      </c>
      <c r="U145" s="516"/>
      <c r="V145" s="507">
        <f t="shared" si="572"/>
        <v>0</v>
      </c>
      <c r="W145" s="516"/>
      <c r="X145" s="507">
        <f t="shared" ref="X145" si="595">W145*W$8</f>
        <v>0</v>
      </c>
      <c r="Y145" s="516"/>
      <c r="Z145" s="507">
        <f t="shared" ref="Z145" si="596">Y145*Y$8</f>
        <v>0</v>
      </c>
      <c r="AA145" s="516"/>
      <c r="AB145" s="507">
        <f t="shared" ref="AB145" si="597">AA145*AA$8</f>
        <v>0</v>
      </c>
      <c r="AC145" s="507">
        <f>AD145/AC$8</f>
        <v>0</v>
      </c>
      <c r="AD145" s="507">
        <f>AF145*0+AH145+AJ145</f>
        <v>0</v>
      </c>
      <c r="AE145" s="516"/>
      <c r="AF145" s="507">
        <f t="shared" ref="AF145" si="598">AE145*AE$8</f>
        <v>0</v>
      </c>
      <c r="AG145" s="516"/>
      <c r="AH145" s="507">
        <f t="shared" ref="AH145" si="599">AG145*AG$8</f>
        <v>0</v>
      </c>
      <c r="AI145" s="516"/>
      <c r="AJ145" s="507">
        <f t="shared" ref="AJ145" si="600">AI145*AI$8</f>
        <v>0</v>
      </c>
      <c r="AK145" s="559"/>
      <c r="AL145" s="560">
        <f t="shared" si="428"/>
        <v>0</v>
      </c>
      <c r="AM145" s="557"/>
      <c r="AO145" s="405">
        <f t="shared" si="586"/>
        <v>0</v>
      </c>
    </row>
    <row r="146" customHeight="1" outlineLevel="1" spans="1:41">
      <c r="A146" s="505">
        <v>4.11</v>
      </c>
      <c r="B146" s="506" t="s">
        <v>456</v>
      </c>
      <c r="C146" s="507">
        <f>D146/$C$8</f>
        <v>24.717203770056</v>
      </c>
      <c r="D146" s="507">
        <f>F146+AD146</f>
        <v>176.427075</v>
      </c>
      <c r="E146" s="507">
        <f>F146/$E$8</f>
        <v>24.5892475673925</v>
      </c>
      <c r="F146" s="507">
        <f>H146+J146+L146+N146+P146+R146+T146</f>
        <v>120.8383</v>
      </c>
      <c r="G146" s="516">
        <v>25</v>
      </c>
      <c r="H146" s="507">
        <f>G146*G$8</f>
        <v>79.1071</v>
      </c>
      <c r="I146" s="516">
        <v>25</v>
      </c>
      <c r="J146" s="507">
        <f>I146*I$8</f>
        <v>41.7312</v>
      </c>
      <c r="K146" s="516">
        <v>15</v>
      </c>
      <c r="L146" s="507">
        <f t="shared" ref="L146" si="601">K146*K$8</f>
        <v>0</v>
      </c>
      <c r="M146" s="516">
        <v>15</v>
      </c>
      <c r="N146" s="507">
        <f t="shared" si="570"/>
        <v>0</v>
      </c>
      <c r="O146" s="516">
        <v>15</v>
      </c>
      <c r="P146" s="507">
        <f>O146*O$8</f>
        <v>0</v>
      </c>
      <c r="Q146" s="516">
        <v>10</v>
      </c>
      <c r="R146" s="507">
        <f t="shared" si="571"/>
        <v>0</v>
      </c>
      <c r="S146" s="516">
        <f>G146</f>
        <v>25</v>
      </c>
      <c r="T146" s="507">
        <f>S146*S$8</f>
        <v>0</v>
      </c>
      <c r="U146" s="516">
        <f>G146</f>
        <v>25</v>
      </c>
      <c r="V146" s="507">
        <f t="shared" si="572"/>
        <v>0.8316</v>
      </c>
      <c r="W146" s="516">
        <v>25</v>
      </c>
      <c r="X146" s="507">
        <f t="shared" ref="X146" si="602">W146*W$8</f>
        <v>0.496225</v>
      </c>
      <c r="Y146" s="516">
        <f>G146</f>
        <v>25</v>
      </c>
      <c r="Z146" s="507">
        <f t="shared" ref="Z146" si="603">Y146*Y$8</f>
        <v>0.188</v>
      </c>
      <c r="AA146" s="516">
        <f>G146</f>
        <v>25</v>
      </c>
      <c r="AB146" s="507">
        <f t="shared" ref="AB146" si="604">AA146*AA$8</f>
        <v>0.502725</v>
      </c>
      <c r="AC146" s="507">
        <f>AD146/AC$8</f>
        <v>25</v>
      </c>
      <c r="AD146" s="507">
        <f>AF146*0+AH146+AJ146</f>
        <v>55.588775</v>
      </c>
      <c r="AE146" s="516">
        <v>30</v>
      </c>
      <c r="AF146" s="507">
        <f t="shared" ref="AF146" si="605">AE146*AE$8</f>
        <v>0</v>
      </c>
      <c r="AG146" s="516">
        <f>G146</f>
        <v>25</v>
      </c>
      <c r="AH146" s="507">
        <f t="shared" ref="AH146" si="606">AG146*AG$8</f>
        <v>9.862775</v>
      </c>
      <c r="AI146" s="516">
        <f>G146</f>
        <v>25</v>
      </c>
      <c r="AJ146" s="507">
        <f t="shared" ref="AJ146" si="607">AI146*AI$8</f>
        <v>45.726</v>
      </c>
      <c r="AK146" s="607" t="s">
        <v>457</v>
      </c>
      <c r="AL146" s="560">
        <f t="shared" si="428"/>
        <v>178.445625</v>
      </c>
      <c r="AM146" s="557"/>
      <c r="AO146" s="405">
        <f t="shared" si="586"/>
        <v>2.01855</v>
      </c>
    </row>
    <row r="147" customHeight="1" outlineLevel="1" spans="1:41">
      <c r="A147" s="505">
        <v>4.12</v>
      </c>
      <c r="B147" s="506" t="s">
        <v>458</v>
      </c>
      <c r="C147" s="579">
        <f>SUM(C148:C151)</f>
        <v>91.4181588929401</v>
      </c>
      <c r="D147" s="579">
        <f t="shared" ref="D147:AJ147" si="608">SUM(D148:D151)</f>
        <v>652.52682</v>
      </c>
      <c r="E147" s="579">
        <f t="shared" si="608"/>
        <v>132.781936863919</v>
      </c>
      <c r="F147" s="579">
        <f t="shared" si="608"/>
        <v>652.52682</v>
      </c>
      <c r="G147" s="579">
        <f t="shared" si="608"/>
        <v>135</v>
      </c>
      <c r="H147" s="579">
        <f t="shared" si="608"/>
        <v>427.17834</v>
      </c>
      <c r="I147" s="579">
        <f t="shared" si="608"/>
        <v>135</v>
      </c>
      <c r="J147" s="579">
        <f t="shared" si="608"/>
        <v>225.34848</v>
      </c>
      <c r="K147" s="579">
        <f t="shared" si="608"/>
        <v>130</v>
      </c>
      <c r="L147" s="579">
        <f t="shared" si="608"/>
        <v>0</v>
      </c>
      <c r="M147" s="579">
        <f t="shared" si="608"/>
        <v>130</v>
      </c>
      <c r="N147" s="579">
        <f t="shared" si="608"/>
        <v>0</v>
      </c>
      <c r="O147" s="579">
        <f t="shared" si="608"/>
        <v>130</v>
      </c>
      <c r="P147" s="579">
        <f t="shared" si="608"/>
        <v>0</v>
      </c>
      <c r="Q147" s="579">
        <f t="shared" si="608"/>
        <v>0</v>
      </c>
      <c r="R147" s="579">
        <f t="shared" si="608"/>
        <v>0</v>
      </c>
      <c r="S147" s="579">
        <f t="shared" si="608"/>
        <v>130</v>
      </c>
      <c r="T147" s="579">
        <f t="shared" si="608"/>
        <v>0</v>
      </c>
      <c r="U147" s="579">
        <f t="shared" si="608"/>
        <v>135</v>
      </c>
      <c r="V147" s="579">
        <f t="shared" si="608"/>
        <v>4.49064</v>
      </c>
      <c r="W147" s="579">
        <f t="shared" si="608"/>
        <v>130</v>
      </c>
      <c r="X147" s="579">
        <f t="shared" si="608"/>
        <v>2.58037</v>
      </c>
      <c r="Y147" s="579">
        <f t="shared" si="608"/>
        <v>135</v>
      </c>
      <c r="Z147" s="579">
        <f t="shared" si="608"/>
        <v>1.0152</v>
      </c>
      <c r="AA147" s="579">
        <f t="shared" si="608"/>
        <v>135</v>
      </c>
      <c r="AB147" s="579">
        <f t="shared" si="608"/>
        <v>2.714715</v>
      </c>
      <c r="AC147" s="579">
        <f t="shared" si="608"/>
        <v>0</v>
      </c>
      <c r="AD147" s="579">
        <f t="shared" si="608"/>
        <v>0</v>
      </c>
      <c r="AE147" s="579">
        <f t="shared" si="608"/>
        <v>0</v>
      </c>
      <c r="AF147" s="579">
        <f t="shared" si="608"/>
        <v>0</v>
      </c>
      <c r="AG147" s="579">
        <f t="shared" si="608"/>
        <v>0</v>
      </c>
      <c r="AH147" s="579">
        <f t="shared" si="608"/>
        <v>0</v>
      </c>
      <c r="AI147" s="579">
        <f t="shared" si="608"/>
        <v>0</v>
      </c>
      <c r="AJ147" s="579">
        <f t="shared" si="608"/>
        <v>0</v>
      </c>
      <c r="AK147" s="607" t="s">
        <v>459</v>
      </c>
      <c r="AL147" s="560">
        <f t="shared" si="428"/>
        <v>663.327745</v>
      </c>
      <c r="AM147" s="557"/>
      <c r="AO147" s="405">
        <f t="shared" si="586"/>
        <v>10.800925</v>
      </c>
    </row>
    <row r="148" customHeight="1" outlineLevel="2" spans="1:41">
      <c r="A148" s="514" t="s">
        <v>460</v>
      </c>
      <c r="B148" s="537" t="s">
        <v>461</v>
      </c>
      <c r="C148" s="507">
        <f>D148/$C$8</f>
        <v>0</v>
      </c>
      <c r="D148" s="507">
        <f>F148+AD148</f>
        <v>0</v>
      </c>
      <c r="E148" s="507">
        <f>F148/$E$8</f>
        <v>0</v>
      </c>
      <c r="F148" s="507">
        <f>H148+J148+L148+N148+P148+R148+T148+V148+X148+Z148+AB148</f>
        <v>0</v>
      </c>
      <c r="G148" s="516"/>
      <c r="H148" s="507">
        <f>G148*G$8</f>
        <v>0</v>
      </c>
      <c r="I148" s="516"/>
      <c r="J148" s="507">
        <f t="shared" ref="J148" si="609">I148*I$8</f>
        <v>0</v>
      </c>
      <c r="K148" s="516"/>
      <c r="L148" s="507">
        <f t="shared" ref="L148" si="610">K148*K$8</f>
        <v>0</v>
      </c>
      <c r="M148" s="516"/>
      <c r="N148" s="507">
        <f t="shared" ref="N148:N151" si="611">M148*M$8</f>
        <v>0</v>
      </c>
      <c r="O148" s="516"/>
      <c r="P148" s="507">
        <f t="shared" ref="P148:P151" si="612">O148*O$8</f>
        <v>0</v>
      </c>
      <c r="Q148" s="516"/>
      <c r="R148" s="507">
        <f t="shared" ref="R148:R151" si="613">Q148*Q$8</f>
        <v>0</v>
      </c>
      <c r="S148" s="516"/>
      <c r="T148" s="507">
        <f t="shared" ref="T148:T151" si="614">S148*S$8</f>
        <v>0</v>
      </c>
      <c r="U148" s="516"/>
      <c r="V148" s="507">
        <f t="shared" ref="V148" si="615">U148*U$8</f>
        <v>0</v>
      </c>
      <c r="W148" s="516"/>
      <c r="X148" s="507">
        <f t="shared" ref="X148" si="616">W148*W$8</f>
        <v>0</v>
      </c>
      <c r="Y148" s="516"/>
      <c r="Z148" s="507">
        <f t="shared" ref="Z148" si="617">Y148*Y$8</f>
        <v>0</v>
      </c>
      <c r="AA148" s="516"/>
      <c r="AB148" s="507">
        <f t="shared" ref="AB148" si="618">AA148*AA$8</f>
        <v>0</v>
      </c>
      <c r="AC148" s="507">
        <f>AD148/AC$8</f>
        <v>0</v>
      </c>
      <c r="AD148" s="507">
        <f>AF148*0+AH148+AJ148</f>
        <v>0</v>
      </c>
      <c r="AE148" s="516"/>
      <c r="AF148" s="507">
        <f t="shared" ref="AF148" si="619">AE148*AE$8</f>
        <v>0</v>
      </c>
      <c r="AG148" s="516"/>
      <c r="AH148" s="507">
        <f>AG148*AG$8</f>
        <v>0</v>
      </c>
      <c r="AI148" s="516"/>
      <c r="AJ148" s="507">
        <f t="shared" ref="AJ148" si="620">AI148*AI$8</f>
        <v>0</v>
      </c>
      <c r="AK148" s="559"/>
      <c r="AL148" s="560">
        <f t="shared" si="428"/>
        <v>0</v>
      </c>
      <c r="AM148" s="557"/>
      <c r="AO148" s="405">
        <f t="shared" si="586"/>
        <v>0</v>
      </c>
    </row>
    <row r="149" customHeight="1" outlineLevel="2" spans="1:41">
      <c r="A149" s="514" t="s">
        <v>462</v>
      </c>
      <c r="B149" s="537" t="s">
        <v>463</v>
      </c>
      <c r="C149" s="507">
        <f>D149/$C$8</f>
        <v>91.4181588929401</v>
      </c>
      <c r="D149" s="507">
        <f>F149+AD149</f>
        <v>652.52682</v>
      </c>
      <c r="E149" s="507">
        <f>F149/$E$8</f>
        <v>132.781936863919</v>
      </c>
      <c r="F149" s="507">
        <f>H149+J149+L149+N149+P149+R149+T149</f>
        <v>652.52682</v>
      </c>
      <c r="G149" s="516">
        <v>135</v>
      </c>
      <c r="H149" s="507">
        <f>G149*G$8</f>
        <v>427.17834</v>
      </c>
      <c r="I149" s="516">
        <v>135</v>
      </c>
      <c r="J149" s="507">
        <f t="shared" ref="J149" si="621">I149*I$8</f>
        <v>225.34848</v>
      </c>
      <c r="K149" s="516">
        <v>130</v>
      </c>
      <c r="L149" s="507">
        <f t="shared" ref="L149" si="622">K149*K$8</f>
        <v>0</v>
      </c>
      <c r="M149" s="516">
        <v>130</v>
      </c>
      <c r="N149" s="507">
        <f t="shared" si="611"/>
        <v>0</v>
      </c>
      <c r="O149" s="516">
        <v>130</v>
      </c>
      <c r="P149" s="507">
        <f t="shared" si="612"/>
        <v>0</v>
      </c>
      <c r="Q149" s="516"/>
      <c r="R149" s="507">
        <f t="shared" si="613"/>
        <v>0</v>
      </c>
      <c r="S149" s="516">
        <v>130</v>
      </c>
      <c r="T149" s="507">
        <f t="shared" si="614"/>
        <v>0</v>
      </c>
      <c r="U149" s="516">
        <v>135</v>
      </c>
      <c r="V149" s="507">
        <f t="shared" ref="V149" si="623">U149*U$8</f>
        <v>4.49064</v>
      </c>
      <c r="W149" s="516">
        <v>130</v>
      </c>
      <c r="X149" s="507">
        <f t="shared" ref="X149" si="624">W149*W$8</f>
        <v>2.58037</v>
      </c>
      <c r="Y149" s="516">
        <v>135</v>
      </c>
      <c r="Z149" s="507">
        <f t="shared" ref="Z149" si="625">Y149*Y$8</f>
        <v>1.0152</v>
      </c>
      <c r="AA149" s="516">
        <v>135</v>
      </c>
      <c r="AB149" s="507">
        <f t="shared" ref="AB149" si="626">AA149*AA$8</f>
        <v>2.714715</v>
      </c>
      <c r="AC149" s="507">
        <f>AD149/AC$8</f>
        <v>0</v>
      </c>
      <c r="AD149" s="507">
        <f>AF149*0+AH149+AJ149</f>
        <v>0</v>
      </c>
      <c r="AE149" s="516"/>
      <c r="AF149" s="507">
        <f t="shared" ref="AF149" si="627">AE149*AE$8</f>
        <v>0</v>
      </c>
      <c r="AG149" s="516"/>
      <c r="AH149" s="507">
        <f t="shared" ref="AH149" si="628">AG149*AG$8</f>
        <v>0</v>
      </c>
      <c r="AI149" s="516"/>
      <c r="AJ149" s="507">
        <f t="shared" ref="AJ149" si="629">AI149*AI$8</f>
        <v>0</v>
      </c>
      <c r="AK149" s="559" t="s">
        <v>459</v>
      </c>
      <c r="AL149" s="560">
        <f t="shared" si="428"/>
        <v>663.327745</v>
      </c>
      <c r="AM149" s="557"/>
      <c r="AO149" s="405">
        <f t="shared" si="586"/>
        <v>10.800925</v>
      </c>
    </row>
    <row r="150" customHeight="1" outlineLevel="2" spans="1:41">
      <c r="A150" s="514" t="s">
        <v>464</v>
      </c>
      <c r="B150" s="537" t="s">
        <v>465</v>
      </c>
      <c r="C150" s="507">
        <f>D150/$C$8</f>
        <v>0</v>
      </c>
      <c r="D150" s="507">
        <f>F150+AD150</f>
        <v>0</v>
      </c>
      <c r="E150" s="507">
        <f>F150/$E$8</f>
        <v>0</v>
      </c>
      <c r="F150" s="507">
        <f>H150+J150+L150+N150+P150+R150+T150+V150+X150+Z150+AB150</f>
        <v>0</v>
      </c>
      <c r="G150" s="516"/>
      <c r="H150" s="507">
        <f>G150*G$8</f>
        <v>0</v>
      </c>
      <c r="I150" s="516"/>
      <c r="J150" s="507">
        <f t="shared" ref="J150" si="630">I150*I$8</f>
        <v>0</v>
      </c>
      <c r="K150" s="516"/>
      <c r="L150" s="507">
        <f t="shared" ref="L150" si="631">K150*K$8</f>
        <v>0</v>
      </c>
      <c r="M150" s="516"/>
      <c r="N150" s="507">
        <f t="shared" si="611"/>
        <v>0</v>
      </c>
      <c r="O150" s="516"/>
      <c r="P150" s="507">
        <f t="shared" si="612"/>
        <v>0</v>
      </c>
      <c r="Q150" s="516"/>
      <c r="R150" s="507">
        <f t="shared" si="613"/>
        <v>0</v>
      </c>
      <c r="S150" s="516"/>
      <c r="T150" s="507">
        <f t="shared" si="614"/>
        <v>0</v>
      </c>
      <c r="U150" s="516"/>
      <c r="V150" s="507">
        <f t="shared" ref="V150" si="632">U150*U$8</f>
        <v>0</v>
      </c>
      <c r="W150" s="516"/>
      <c r="X150" s="507">
        <f t="shared" ref="X150" si="633">W150*W$8</f>
        <v>0</v>
      </c>
      <c r="Y150" s="516"/>
      <c r="Z150" s="507">
        <f t="shared" ref="Z150" si="634">Y150*Y$8</f>
        <v>0</v>
      </c>
      <c r="AA150" s="516"/>
      <c r="AB150" s="507">
        <f t="shared" ref="AB150" si="635">AA150*AA$8</f>
        <v>0</v>
      </c>
      <c r="AC150" s="507">
        <f>AD150/AC$8</f>
        <v>0</v>
      </c>
      <c r="AD150" s="507">
        <f>AF150*0+AH150+AJ150</f>
        <v>0</v>
      </c>
      <c r="AE150" s="516"/>
      <c r="AF150" s="507">
        <f t="shared" ref="AF150" si="636">AE150*AE$8</f>
        <v>0</v>
      </c>
      <c r="AG150" s="516"/>
      <c r="AH150" s="507">
        <f t="shared" ref="AH150" si="637">AG150*AG$8</f>
        <v>0</v>
      </c>
      <c r="AI150" s="516"/>
      <c r="AJ150" s="507">
        <f t="shared" ref="AJ150" si="638">AI150*AI$8</f>
        <v>0</v>
      </c>
      <c r="AK150" s="559"/>
      <c r="AL150" s="560">
        <f t="shared" si="428"/>
        <v>0</v>
      </c>
      <c r="AM150" s="557"/>
      <c r="AO150" s="405">
        <f t="shared" si="586"/>
        <v>0</v>
      </c>
    </row>
    <row r="151" customHeight="1" outlineLevel="2" spans="1:41">
      <c r="A151" s="514" t="s">
        <v>466</v>
      </c>
      <c r="B151" s="537" t="s">
        <v>467</v>
      </c>
      <c r="C151" s="507">
        <f>D151/$C$8</f>
        <v>0</v>
      </c>
      <c r="D151" s="507">
        <f>F151+AD151</f>
        <v>0</v>
      </c>
      <c r="E151" s="507">
        <f>F151/$E$8</f>
        <v>0</v>
      </c>
      <c r="F151" s="507">
        <f>H151+J151+L151+N151+P151+R151+T151+V151+X151+Z151+AB151</f>
        <v>0</v>
      </c>
      <c r="G151" s="516"/>
      <c r="H151" s="507">
        <f>G151*G$8</f>
        <v>0</v>
      </c>
      <c r="I151" s="516"/>
      <c r="J151" s="507">
        <f t="shared" ref="J151" si="639">I151*I$8</f>
        <v>0</v>
      </c>
      <c r="K151" s="516"/>
      <c r="L151" s="507">
        <f t="shared" ref="L151" si="640">K151*K$8</f>
        <v>0</v>
      </c>
      <c r="M151" s="516"/>
      <c r="N151" s="507">
        <f t="shared" si="611"/>
        <v>0</v>
      </c>
      <c r="O151" s="516"/>
      <c r="P151" s="507">
        <f t="shared" si="612"/>
        <v>0</v>
      </c>
      <c r="Q151" s="516"/>
      <c r="R151" s="507">
        <f t="shared" si="613"/>
        <v>0</v>
      </c>
      <c r="S151" s="516"/>
      <c r="T151" s="507">
        <f t="shared" si="614"/>
        <v>0</v>
      </c>
      <c r="U151" s="516"/>
      <c r="V151" s="507">
        <f t="shared" ref="V151" si="641">U151*U$8</f>
        <v>0</v>
      </c>
      <c r="W151" s="516"/>
      <c r="X151" s="507">
        <f t="shared" ref="X151" si="642">W151*W$8</f>
        <v>0</v>
      </c>
      <c r="Y151" s="516"/>
      <c r="Z151" s="507">
        <f t="shared" ref="Z151" si="643">Y151*Y$8</f>
        <v>0</v>
      </c>
      <c r="AA151" s="516"/>
      <c r="AB151" s="507">
        <f t="shared" ref="AB151" si="644">AA151*AA$8</f>
        <v>0</v>
      </c>
      <c r="AC151" s="507">
        <f>AD151/AC$8</f>
        <v>0</v>
      </c>
      <c r="AD151" s="507">
        <f>AF151*0+AH151+AJ151</f>
        <v>0</v>
      </c>
      <c r="AE151" s="516"/>
      <c r="AF151" s="507">
        <f t="shared" ref="AF151" si="645">AE151*AE$8</f>
        <v>0</v>
      </c>
      <c r="AG151" s="516"/>
      <c r="AH151" s="507">
        <f t="shared" ref="AH151" si="646">AG151*AG$8</f>
        <v>0</v>
      </c>
      <c r="AI151" s="516"/>
      <c r="AJ151" s="507">
        <f t="shared" ref="AJ151" si="647">AI151*AI$8</f>
        <v>0</v>
      </c>
      <c r="AK151" s="559"/>
      <c r="AL151" s="560">
        <f t="shared" si="428"/>
        <v>0</v>
      </c>
      <c r="AM151" s="557"/>
      <c r="AO151" s="405">
        <f t="shared" si="586"/>
        <v>0</v>
      </c>
    </row>
    <row r="152" customHeight="1" outlineLevel="1" spans="1:41">
      <c r="A152" s="505">
        <v>4.13</v>
      </c>
      <c r="B152" s="506" t="s">
        <v>468</v>
      </c>
      <c r="C152" s="579">
        <f t="shared" ref="C152:AJ152" si="648">SUM(C153:C160)</f>
        <v>193.735584719435</v>
      </c>
      <c r="D152" s="579">
        <f t="shared" si="648"/>
        <v>1382.8507</v>
      </c>
      <c r="E152" s="579">
        <f t="shared" si="648"/>
        <v>286.09528187669</v>
      </c>
      <c r="F152" s="579">
        <f t="shared" si="648"/>
        <v>1382.8507</v>
      </c>
      <c r="G152" s="579">
        <f t="shared" si="648"/>
        <v>286.09528187669</v>
      </c>
      <c r="H152" s="579">
        <f t="shared" si="648"/>
        <v>905.2867229179</v>
      </c>
      <c r="I152" s="579">
        <f t="shared" si="648"/>
        <v>286.09528187669</v>
      </c>
      <c r="J152" s="579">
        <f t="shared" si="648"/>
        <v>477.563977082101</v>
      </c>
      <c r="K152" s="579">
        <f t="shared" si="648"/>
        <v>286.09528187669</v>
      </c>
      <c r="L152" s="579">
        <f t="shared" si="648"/>
        <v>0</v>
      </c>
      <c r="M152" s="579">
        <f t="shared" si="648"/>
        <v>286.09528187669</v>
      </c>
      <c r="N152" s="579">
        <f>M152*M8</f>
        <v>0</v>
      </c>
      <c r="O152" s="579">
        <f t="shared" si="648"/>
        <v>286.09528187669</v>
      </c>
      <c r="P152" s="579">
        <f t="shared" si="648"/>
        <v>0</v>
      </c>
      <c r="Q152" s="579">
        <f t="shared" si="648"/>
        <v>0</v>
      </c>
      <c r="R152" s="579">
        <f t="shared" si="648"/>
        <v>0</v>
      </c>
      <c r="S152" s="579">
        <f t="shared" si="648"/>
        <v>286.09528187669</v>
      </c>
      <c r="T152" s="579">
        <f t="shared" si="648"/>
        <v>0</v>
      </c>
      <c r="U152" s="579">
        <f t="shared" si="648"/>
        <v>0</v>
      </c>
      <c r="V152" s="579">
        <f t="shared" si="648"/>
        <v>0</v>
      </c>
      <c r="W152" s="579">
        <f t="shared" si="648"/>
        <v>0</v>
      </c>
      <c r="X152" s="579">
        <f t="shared" si="648"/>
        <v>0</v>
      </c>
      <c r="Y152" s="579">
        <f t="shared" si="648"/>
        <v>0</v>
      </c>
      <c r="Z152" s="579">
        <f t="shared" si="648"/>
        <v>0</v>
      </c>
      <c r="AA152" s="579">
        <f t="shared" si="648"/>
        <v>0</v>
      </c>
      <c r="AB152" s="579">
        <f t="shared" si="648"/>
        <v>0</v>
      </c>
      <c r="AC152" s="579">
        <f t="shared" si="648"/>
        <v>0</v>
      </c>
      <c r="AD152" s="579">
        <f t="shared" si="648"/>
        <v>0</v>
      </c>
      <c r="AE152" s="579">
        <f t="shared" si="648"/>
        <v>0</v>
      </c>
      <c r="AF152" s="579">
        <f t="shared" si="648"/>
        <v>0</v>
      </c>
      <c r="AG152" s="579">
        <f t="shared" si="648"/>
        <v>0</v>
      </c>
      <c r="AH152" s="579">
        <f t="shared" si="648"/>
        <v>0</v>
      </c>
      <c r="AI152" s="579">
        <f t="shared" si="648"/>
        <v>0</v>
      </c>
      <c r="AJ152" s="579">
        <f t="shared" si="648"/>
        <v>0</v>
      </c>
      <c r="AK152" s="559"/>
      <c r="AL152" s="560">
        <f t="shared" si="428"/>
        <v>1382.8507</v>
      </c>
      <c r="AM152" s="557"/>
      <c r="AO152" s="405">
        <f t="shared" si="586"/>
        <v>0</v>
      </c>
    </row>
    <row r="153" customHeight="1" outlineLevel="2" spans="1:41">
      <c r="A153" s="608" t="s">
        <v>469</v>
      </c>
      <c r="B153" s="609" t="s">
        <v>470</v>
      </c>
      <c r="C153" s="507">
        <f>D153/$C$8</f>
        <v>193.735584719435</v>
      </c>
      <c r="D153" s="507">
        <f>F153+AD153</f>
        <v>1382.8507</v>
      </c>
      <c r="E153" s="507">
        <f>F153/(G8+I8+M8+O8+S8)</f>
        <v>286.09528187669</v>
      </c>
      <c r="F153" s="507">
        <f>H153+J153+L153+N153+P153+R153+T153</f>
        <v>1382.8507</v>
      </c>
      <c r="G153" s="516">
        <f>AM153/(G8+I8+M8+S8+O8)</f>
        <v>286.09528187669</v>
      </c>
      <c r="H153" s="507">
        <f>G153*G$8</f>
        <v>905.2867229179</v>
      </c>
      <c r="I153" s="516">
        <f>AN153</f>
        <v>286.09528187669</v>
      </c>
      <c r="J153" s="507">
        <f t="shared" ref="J153" si="649">I153*I$8</f>
        <v>477.563977082101</v>
      </c>
      <c r="K153" s="516">
        <f>I153</f>
        <v>286.09528187669</v>
      </c>
      <c r="L153" s="507">
        <f t="shared" ref="L153" si="650">K153*K$8</f>
        <v>0</v>
      </c>
      <c r="M153" s="516">
        <f>G153</f>
        <v>286.09528187669</v>
      </c>
      <c r="N153" s="507">
        <f>M153*M8</f>
        <v>0</v>
      </c>
      <c r="O153" s="516">
        <f>I153</f>
        <v>286.09528187669</v>
      </c>
      <c r="P153" s="507">
        <f>O153*O8</f>
        <v>0</v>
      </c>
      <c r="Q153" s="516"/>
      <c r="R153" s="507">
        <f t="shared" ref="R153:R163" si="651">Q153*Q$8</f>
        <v>0</v>
      </c>
      <c r="S153" s="516">
        <f>I153</f>
        <v>286.09528187669</v>
      </c>
      <c r="T153" s="507">
        <f>S153*S8</f>
        <v>0</v>
      </c>
      <c r="U153" s="516"/>
      <c r="V153" s="507">
        <f t="shared" ref="V153" si="652">U153*U$8</f>
        <v>0</v>
      </c>
      <c r="W153" s="516"/>
      <c r="X153" s="507">
        <f t="shared" ref="X153" si="653">W153*W$8</f>
        <v>0</v>
      </c>
      <c r="Y153" s="516"/>
      <c r="Z153" s="507">
        <f t="shared" ref="Z153" si="654">Y153*Y$8</f>
        <v>0</v>
      </c>
      <c r="AA153" s="516"/>
      <c r="AB153" s="507">
        <f t="shared" ref="AB153" si="655">AA153*AA$8</f>
        <v>0</v>
      </c>
      <c r="AC153" s="507">
        <f t="shared" ref="AC153:AC163" si="656">AD153/AC$8</f>
        <v>0</v>
      </c>
      <c r="AD153" s="507">
        <f>AF153*0+AH153+AJ153</f>
        <v>0</v>
      </c>
      <c r="AE153" s="516"/>
      <c r="AF153" s="507">
        <f t="shared" ref="AF153" si="657">AE153*AE$8</f>
        <v>0</v>
      </c>
      <c r="AG153" s="516"/>
      <c r="AH153" s="507">
        <f t="shared" ref="AH153" si="658">AG153*AG$8</f>
        <v>0</v>
      </c>
      <c r="AI153" s="516"/>
      <c r="AJ153" s="507">
        <f t="shared" ref="AJ153" si="659">AI153*AI$8</f>
        <v>0</v>
      </c>
      <c r="AK153" s="619" t="s">
        <v>471</v>
      </c>
      <c r="AL153" s="560">
        <f t="shared" si="428"/>
        <v>1382.8507</v>
      </c>
      <c r="AM153" s="557">
        <f>经济指标!K25*500/10000</f>
        <v>1382.8507</v>
      </c>
      <c r="AN153" s="405">
        <f>AM153/(I8+K8+O8+S8+G8)</f>
        <v>286.09528187669</v>
      </c>
      <c r="AO153" s="405">
        <f t="shared" si="586"/>
        <v>0</v>
      </c>
    </row>
    <row r="154" customHeight="1" outlineLevel="2" spans="1:41">
      <c r="A154" s="608" t="s">
        <v>472</v>
      </c>
      <c r="B154" s="610" t="s">
        <v>473</v>
      </c>
      <c r="C154" s="507">
        <f t="shared" ref="C154:C163" si="660">D154/$C$8</f>
        <v>0</v>
      </c>
      <c r="D154" s="507">
        <f t="shared" ref="D154:D163" si="661">F154+AD154</f>
        <v>0</v>
      </c>
      <c r="E154" s="507">
        <f t="shared" ref="E154:E163" si="662">F154/$E$8</f>
        <v>0</v>
      </c>
      <c r="F154" s="507">
        <f t="shared" ref="F154:F163" si="663">H154+J154+L154+N154+P154+R154+T154+V154+X154+Z154+AB154</f>
        <v>0</v>
      </c>
      <c r="G154" s="516"/>
      <c r="H154" s="507">
        <f t="shared" ref="H154:H163" si="664">G154*G$8</f>
        <v>0</v>
      </c>
      <c r="I154" s="516"/>
      <c r="J154" s="507">
        <f t="shared" ref="J154:J163" si="665">I154*I$8</f>
        <v>0</v>
      </c>
      <c r="K154" s="516"/>
      <c r="L154" s="507">
        <f t="shared" ref="L154" si="666">K154*K$8</f>
        <v>0</v>
      </c>
      <c r="M154" s="516"/>
      <c r="N154" s="507">
        <f t="shared" ref="N154:N163" si="667">M154*M$8</f>
        <v>0</v>
      </c>
      <c r="O154" s="516"/>
      <c r="P154" s="507">
        <f t="shared" ref="P154:P163" si="668">O154*O$8</f>
        <v>0</v>
      </c>
      <c r="Q154" s="516"/>
      <c r="R154" s="507">
        <f t="shared" si="651"/>
        <v>0</v>
      </c>
      <c r="S154" s="516"/>
      <c r="T154" s="507">
        <f t="shared" ref="T154:T163" si="669">S154*S$8</f>
        <v>0</v>
      </c>
      <c r="U154" s="516"/>
      <c r="V154" s="507">
        <f t="shared" ref="V154:V163" si="670">U154*U$8</f>
        <v>0</v>
      </c>
      <c r="W154" s="516"/>
      <c r="X154" s="507">
        <f t="shared" ref="X154:X163" si="671">W154*W$8</f>
        <v>0</v>
      </c>
      <c r="Y154" s="516"/>
      <c r="Z154" s="507">
        <f t="shared" ref="Z154" si="672">Y154*Y$8</f>
        <v>0</v>
      </c>
      <c r="AA154" s="516"/>
      <c r="AB154" s="507">
        <f t="shared" ref="AB154" si="673">AA154*AA$8</f>
        <v>0</v>
      </c>
      <c r="AC154" s="507">
        <f t="shared" si="656"/>
        <v>0</v>
      </c>
      <c r="AD154" s="507">
        <f>AF154*0+AH154+AJ154</f>
        <v>0</v>
      </c>
      <c r="AE154" s="516"/>
      <c r="AF154" s="507">
        <f t="shared" ref="AF154" si="674">AE154*AE$8</f>
        <v>0</v>
      </c>
      <c r="AG154" s="516"/>
      <c r="AH154" s="507">
        <f t="shared" ref="AH154" si="675">AG154*AG$8</f>
        <v>0</v>
      </c>
      <c r="AI154" s="516"/>
      <c r="AJ154" s="507">
        <f t="shared" ref="AJ154" si="676">AI154*AI$8</f>
        <v>0</v>
      </c>
      <c r="AK154" s="559"/>
      <c r="AL154" s="560">
        <f t="shared" ref="AL154:AL186" si="677">AJ154+AH154+AF154+AB154+Z154+X154+V154+AJ333+T154+R154+P154+N154+L154+J154+H154</f>
        <v>0</v>
      </c>
      <c r="AM154" s="557"/>
      <c r="AO154" s="405">
        <f t="shared" si="586"/>
        <v>0</v>
      </c>
    </row>
    <row r="155" customHeight="1" outlineLevel="2" spans="1:41">
      <c r="A155" s="608" t="s">
        <v>474</v>
      </c>
      <c r="B155" s="611" t="s">
        <v>475</v>
      </c>
      <c r="C155" s="507">
        <f t="shared" si="660"/>
        <v>0</v>
      </c>
      <c r="D155" s="507">
        <f t="shared" si="661"/>
        <v>0</v>
      </c>
      <c r="E155" s="507">
        <f t="shared" si="662"/>
        <v>0</v>
      </c>
      <c r="F155" s="507">
        <f t="shared" si="663"/>
        <v>0</v>
      </c>
      <c r="G155" s="516"/>
      <c r="H155" s="507">
        <f t="shared" si="664"/>
        <v>0</v>
      </c>
      <c r="I155" s="516"/>
      <c r="J155" s="507">
        <f t="shared" si="665"/>
        <v>0</v>
      </c>
      <c r="K155" s="516"/>
      <c r="L155" s="507">
        <f t="shared" ref="L155" si="678">K155*K$8</f>
        <v>0</v>
      </c>
      <c r="M155" s="516"/>
      <c r="N155" s="507">
        <f t="shared" si="667"/>
        <v>0</v>
      </c>
      <c r="O155" s="516"/>
      <c r="P155" s="507">
        <f t="shared" si="668"/>
        <v>0</v>
      </c>
      <c r="Q155" s="516"/>
      <c r="R155" s="507">
        <f t="shared" si="651"/>
        <v>0</v>
      </c>
      <c r="S155" s="516"/>
      <c r="T155" s="507">
        <f t="shared" si="669"/>
        <v>0</v>
      </c>
      <c r="U155" s="516"/>
      <c r="V155" s="507">
        <f t="shared" si="670"/>
        <v>0</v>
      </c>
      <c r="W155" s="516"/>
      <c r="X155" s="507">
        <f t="shared" si="671"/>
        <v>0</v>
      </c>
      <c r="Y155" s="516"/>
      <c r="Z155" s="507">
        <f t="shared" ref="Z155" si="679">Y155*Y$8</f>
        <v>0</v>
      </c>
      <c r="AA155" s="516"/>
      <c r="AB155" s="507">
        <f t="shared" ref="AB155" si="680">AA155*AA$8</f>
        <v>0</v>
      </c>
      <c r="AC155" s="507">
        <f t="shared" si="656"/>
        <v>0</v>
      </c>
      <c r="AD155" s="507">
        <f t="shared" ref="AD155:AD163" si="681">AF155*0+AH155+AJ155</f>
        <v>0</v>
      </c>
      <c r="AE155" s="516"/>
      <c r="AF155" s="507">
        <f t="shared" ref="AF155" si="682">AE155*AE$8</f>
        <v>0</v>
      </c>
      <c r="AG155" s="516"/>
      <c r="AH155" s="507">
        <f t="shared" ref="AH155" si="683">AG155*AG$8</f>
        <v>0</v>
      </c>
      <c r="AI155" s="516"/>
      <c r="AJ155" s="507">
        <f t="shared" ref="AJ155" si="684">AI155*AI$8</f>
        <v>0</v>
      </c>
      <c r="AK155" s="559"/>
      <c r="AL155" s="560">
        <f t="shared" si="677"/>
        <v>0</v>
      </c>
      <c r="AM155" s="557"/>
      <c r="AO155" s="405">
        <f t="shared" si="586"/>
        <v>0</v>
      </c>
    </row>
    <row r="156" customHeight="1" outlineLevel="2" spans="1:41">
      <c r="A156" s="608" t="s">
        <v>476</v>
      </c>
      <c r="B156" s="610" t="s">
        <v>477</v>
      </c>
      <c r="C156" s="507">
        <f t="shared" si="660"/>
        <v>0</v>
      </c>
      <c r="D156" s="507">
        <f t="shared" si="661"/>
        <v>0</v>
      </c>
      <c r="E156" s="507">
        <f t="shared" si="662"/>
        <v>0</v>
      </c>
      <c r="F156" s="507">
        <f t="shared" si="663"/>
        <v>0</v>
      </c>
      <c r="G156" s="516"/>
      <c r="H156" s="507">
        <f t="shared" si="664"/>
        <v>0</v>
      </c>
      <c r="I156" s="516"/>
      <c r="J156" s="507">
        <f t="shared" si="665"/>
        <v>0</v>
      </c>
      <c r="K156" s="516"/>
      <c r="L156" s="507">
        <f t="shared" ref="L156" si="685">K156*K$8</f>
        <v>0</v>
      </c>
      <c r="M156" s="516"/>
      <c r="N156" s="507">
        <f t="shared" si="667"/>
        <v>0</v>
      </c>
      <c r="O156" s="516"/>
      <c r="P156" s="507">
        <f t="shared" si="668"/>
        <v>0</v>
      </c>
      <c r="Q156" s="516"/>
      <c r="R156" s="507">
        <f t="shared" si="651"/>
        <v>0</v>
      </c>
      <c r="S156" s="516"/>
      <c r="T156" s="507">
        <f t="shared" si="669"/>
        <v>0</v>
      </c>
      <c r="U156" s="516"/>
      <c r="V156" s="507">
        <f t="shared" si="670"/>
        <v>0</v>
      </c>
      <c r="W156" s="516"/>
      <c r="X156" s="507">
        <f t="shared" si="671"/>
        <v>0</v>
      </c>
      <c r="Y156" s="516"/>
      <c r="Z156" s="507">
        <f t="shared" ref="Z156" si="686">Y156*Y$8</f>
        <v>0</v>
      </c>
      <c r="AA156" s="516"/>
      <c r="AB156" s="507">
        <f t="shared" ref="AB156" si="687">AA156*AA$8</f>
        <v>0</v>
      </c>
      <c r="AC156" s="507">
        <f t="shared" si="656"/>
        <v>0</v>
      </c>
      <c r="AD156" s="507">
        <f t="shared" si="681"/>
        <v>0</v>
      </c>
      <c r="AE156" s="516"/>
      <c r="AF156" s="507">
        <f t="shared" ref="AF156" si="688">AE156*AE$8</f>
        <v>0</v>
      </c>
      <c r="AG156" s="516"/>
      <c r="AH156" s="507">
        <f t="shared" ref="AH156" si="689">AG156*AG$8</f>
        <v>0</v>
      </c>
      <c r="AI156" s="516"/>
      <c r="AJ156" s="507">
        <f t="shared" ref="AJ156" si="690">AI156*AI$8</f>
        <v>0</v>
      </c>
      <c r="AK156" s="559"/>
      <c r="AL156" s="560">
        <f t="shared" si="677"/>
        <v>0</v>
      </c>
      <c r="AM156" s="557"/>
      <c r="AO156" s="405">
        <f t="shared" si="586"/>
        <v>0</v>
      </c>
    </row>
    <row r="157" customHeight="1" outlineLevel="2" spans="1:41">
      <c r="A157" s="608" t="s">
        <v>478</v>
      </c>
      <c r="B157" s="610" t="s">
        <v>479</v>
      </c>
      <c r="C157" s="507">
        <f t="shared" si="660"/>
        <v>0</v>
      </c>
      <c r="D157" s="507">
        <f t="shared" si="661"/>
        <v>0</v>
      </c>
      <c r="E157" s="507">
        <f t="shared" si="662"/>
        <v>0</v>
      </c>
      <c r="F157" s="507">
        <f t="shared" si="663"/>
        <v>0</v>
      </c>
      <c r="G157" s="516"/>
      <c r="H157" s="507">
        <f t="shared" si="664"/>
        <v>0</v>
      </c>
      <c r="I157" s="516"/>
      <c r="J157" s="507">
        <f t="shared" si="665"/>
        <v>0</v>
      </c>
      <c r="K157" s="516"/>
      <c r="L157" s="507">
        <f t="shared" ref="L157" si="691">K157*K$8</f>
        <v>0</v>
      </c>
      <c r="M157" s="516"/>
      <c r="N157" s="507">
        <f t="shared" si="667"/>
        <v>0</v>
      </c>
      <c r="O157" s="516"/>
      <c r="P157" s="507">
        <f t="shared" si="668"/>
        <v>0</v>
      </c>
      <c r="Q157" s="516"/>
      <c r="R157" s="507">
        <f t="shared" si="651"/>
        <v>0</v>
      </c>
      <c r="S157" s="516"/>
      <c r="T157" s="507">
        <f t="shared" si="669"/>
        <v>0</v>
      </c>
      <c r="U157" s="516"/>
      <c r="V157" s="507">
        <f t="shared" si="670"/>
        <v>0</v>
      </c>
      <c r="W157" s="516"/>
      <c r="X157" s="507">
        <f t="shared" si="671"/>
        <v>0</v>
      </c>
      <c r="Y157" s="516"/>
      <c r="Z157" s="507">
        <f t="shared" ref="Z157" si="692">Y157*Y$8</f>
        <v>0</v>
      </c>
      <c r="AA157" s="516"/>
      <c r="AB157" s="507">
        <f t="shared" ref="AB157" si="693">AA157*AA$8</f>
        <v>0</v>
      </c>
      <c r="AC157" s="507">
        <f t="shared" si="656"/>
        <v>0</v>
      </c>
      <c r="AD157" s="507">
        <f t="shared" si="681"/>
        <v>0</v>
      </c>
      <c r="AE157" s="516"/>
      <c r="AF157" s="507">
        <f t="shared" ref="AF157" si="694">AE157*AE$8</f>
        <v>0</v>
      </c>
      <c r="AG157" s="516"/>
      <c r="AH157" s="507">
        <f t="shared" ref="AH157" si="695">AG157*AG$8</f>
        <v>0</v>
      </c>
      <c r="AI157" s="516"/>
      <c r="AJ157" s="507">
        <f t="shared" ref="AJ157" si="696">AI157*AI$8</f>
        <v>0</v>
      </c>
      <c r="AK157" s="559"/>
      <c r="AL157" s="560">
        <f t="shared" si="677"/>
        <v>0</v>
      </c>
      <c r="AM157" s="557"/>
      <c r="AO157" s="405">
        <f t="shared" si="586"/>
        <v>0</v>
      </c>
    </row>
    <row r="158" customHeight="1" outlineLevel="2" spans="1:41">
      <c r="A158" s="608" t="s">
        <v>480</v>
      </c>
      <c r="B158" s="610" t="s">
        <v>481</v>
      </c>
      <c r="C158" s="507">
        <f t="shared" si="660"/>
        <v>0</v>
      </c>
      <c r="D158" s="507">
        <f t="shared" si="661"/>
        <v>0</v>
      </c>
      <c r="E158" s="507">
        <f t="shared" si="662"/>
        <v>0</v>
      </c>
      <c r="F158" s="507">
        <f t="shared" si="663"/>
        <v>0</v>
      </c>
      <c r="G158" s="516"/>
      <c r="H158" s="507">
        <f t="shared" si="664"/>
        <v>0</v>
      </c>
      <c r="I158" s="516"/>
      <c r="J158" s="507">
        <f t="shared" si="665"/>
        <v>0</v>
      </c>
      <c r="K158" s="516"/>
      <c r="L158" s="507">
        <f t="shared" ref="L158" si="697">K158*K$8</f>
        <v>0</v>
      </c>
      <c r="M158" s="516"/>
      <c r="N158" s="507">
        <f t="shared" si="667"/>
        <v>0</v>
      </c>
      <c r="O158" s="516"/>
      <c r="P158" s="507">
        <f t="shared" si="668"/>
        <v>0</v>
      </c>
      <c r="Q158" s="516"/>
      <c r="R158" s="507">
        <f t="shared" si="651"/>
        <v>0</v>
      </c>
      <c r="S158" s="516"/>
      <c r="T158" s="507">
        <f t="shared" si="669"/>
        <v>0</v>
      </c>
      <c r="U158" s="516"/>
      <c r="V158" s="507">
        <f t="shared" si="670"/>
        <v>0</v>
      </c>
      <c r="W158" s="516"/>
      <c r="X158" s="507">
        <f t="shared" si="671"/>
        <v>0</v>
      </c>
      <c r="Y158" s="516"/>
      <c r="Z158" s="507">
        <f t="shared" ref="Z158" si="698">Y158*Y$8</f>
        <v>0</v>
      </c>
      <c r="AA158" s="516"/>
      <c r="AB158" s="507">
        <f t="shared" ref="AB158" si="699">AA158*AA$8</f>
        <v>0</v>
      </c>
      <c r="AC158" s="507">
        <f t="shared" si="656"/>
        <v>0</v>
      </c>
      <c r="AD158" s="507">
        <f t="shared" si="681"/>
        <v>0</v>
      </c>
      <c r="AE158" s="516"/>
      <c r="AF158" s="507">
        <f t="shared" ref="AF158" si="700">AE158*AE$8</f>
        <v>0</v>
      </c>
      <c r="AG158" s="516"/>
      <c r="AH158" s="507">
        <f t="shared" ref="AH158" si="701">AG158*AG$8</f>
        <v>0</v>
      </c>
      <c r="AI158" s="516"/>
      <c r="AJ158" s="507">
        <f t="shared" ref="AJ158" si="702">AI158*AI$8</f>
        <v>0</v>
      </c>
      <c r="AK158" s="559"/>
      <c r="AL158" s="560">
        <f t="shared" si="677"/>
        <v>0</v>
      </c>
      <c r="AM158" s="557"/>
      <c r="AO158" s="405">
        <f t="shared" si="586"/>
        <v>0</v>
      </c>
    </row>
    <row r="159" customHeight="1" outlineLevel="2" spans="1:41">
      <c r="A159" s="608" t="s">
        <v>482</v>
      </c>
      <c r="B159" s="610" t="s">
        <v>483</v>
      </c>
      <c r="C159" s="507">
        <f t="shared" si="660"/>
        <v>0</v>
      </c>
      <c r="D159" s="507">
        <f t="shared" si="661"/>
        <v>0</v>
      </c>
      <c r="E159" s="507">
        <f t="shared" si="662"/>
        <v>0</v>
      </c>
      <c r="F159" s="507">
        <f t="shared" si="663"/>
        <v>0</v>
      </c>
      <c r="G159" s="516"/>
      <c r="H159" s="507">
        <f t="shared" si="664"/>
        <v>0</v>
      </c>
      <c r="I159" s="516"/>
      <c r="J159" s="507">
        <f t="shared" si="665"/>
        <v>0</v>
      </c>
      <c r="K159" s="516"/>
      <c r="L159" s="507">
        <f t="shared" ref="L159" si="703">K159*K$8</f>
        <v>0</v>
      </c>
      <c r="M159" s="516"/>
      <c r="N159" s="507">
        <f t="shared" si="667"/>
        <v>0</v>
      </c>
      <c r="O159" s="516"/>
      <c r="P159" s="507">
        <f t="shared" si="668"/>
        <v>0</v>
      </c>
      <c r="Q159" s="516"/>
      <c r="R159" s="507">
        <f t="shared" si="651"/>
        <v>0</v>
      </c>
      <c r="S159" s="516"/>
      <c r="T159" s="507">
        <f t="shared" si="669"/>
        <v>0</v>
      </c>
      <c r="U159" s="516"/>
      <c r="V159" s="507">
        <f t="shared" si="670"/>
        <v>0</v>
      </c>
      <c r="W159" s="516"/>
      <c r="X159" s="507">
        <f t="shared" si="671"/>
        <v>0</v>
      </c>
      <c r="Y159" s="516"/>
      <c r="Z159" s="507">
        <f t="shared" ref="Z159" si="704">Y159*Y$8</f>
        <v>0</v>
      </c>
      <c r="AA159" s="516"/>
      <c r="AB159" s="507">
        <f t="shared" ref="AB159" si="705">AA159*AA$8</f>
        <v>0</v>
      </c>
      <c r="AC159" s="507">
        <f t="shared" si="656"/>
        <v>0</v>
      </c>
      <c r="AD159" s="507">
        <f t="shared" si="681"/>
        <v>0</v>
      </c>
      <c r="AE159" s="516"/>
      <c r="AF159" s="507">
        <f t="shared" ref="AF159" si="706">AE159*AE$8</f>
        <v>0</v>
      </c>
      <c r="AG159" s="516"/>
      <c r="AH159" s="507">
        <f t="shared" ref="AH159" si="707">AG159*AG$8</f>
        <v>0</v>
      </c>
      <c r="AI159" s="516"/>
      <c r="AJ159" s="507">
        <f t="shared" ref="AJ159" si="708">AI159*AI$8</f>
        <v>0</v>
      </c>
      <c r="AK159" s="559"/>
      <c r="AL159" s="560">
        <f t="shared" si="677"/>
        <v>0</v>
      </c>
      <c r="AM159" s="557"/>
      <c r="AO159" s="405">
        <f t="shared" si="586"/>
        <v>0</v>
      </c>
    </row>
    <row r="160" customHeight="1" outlineLevel="2" spans="1:41">
      <c r="A160" s="608" t="s">
        <v>484</v>
      </c>
      <c r="B160" s="610" t="s">
        <v>485</v>
      </c>
      <c r="C160" s="507">
        <f t="shared" si="660"/>
        <v>0</v>
      </c>
      <c r="D160" s="507">
        <f t="shared" si="661"/>
        <v>0</v>
      </c>
      <c r="E160" s="507">
        <f t="shared" si="662"/>
        <v>0</v>
      </c>
      <c r="F160" s="507">
        <f t="shared" si="663"/>
        <v>0</v>
      </c>
      <c r="G160" s="516"/>
      <c r="H160" s="507">
        <f t="shared" si="664"/>
        <v>0</v>
      </c>
      <c r="I160" s="516"/>
      <c r="J160" s="507">
        <f t="shared" si="665"/>
        <v>0</v>
      </c>
      <c r="K160" s="516"/>
      <c r="L160" s="507">
        <f t="shared" ref="L160" si="709">K160*K$8</f>
        <v>0</v>
      </c>
      <c r="M160" s="516"/>
      <c r="N160" s="507">
        <f t="shared" si="667"/>
        <v>0</v>
      </c>
      <c r="O160" s="516"/>
      <c r="P160" s="507">
        <f t="shared" si="668"/>
        <v>0</v>
      </c>
      <c r="Q160" s="516"/>
      <c r="R160" s="507">
        <f t="shared" si="651"/>
        <v>0</v>
      </c>
      <c r="S160" s="516"/>
      <c r="T160" s="507">
        <f t="shared" si="669"/>
        <v>0</v>
      </c>
      <c r="U160" s="516"/>
      <c r="V160" s="507">
        <f t="shared" si="670"/>
        <v>0</v>
      </c>
      <c r="W160" s="516"/>
      <c r="X160" s="507">
        <f t="shared" si="671"/>
        <v>0</v>
      </c>
      <c r="Y160" s="516"/>
      <c r="Z160" s="507">
        <f t="shared" ref="Z160" si="710">Y160*Y$8</f>
        <v>0</v>
      </c>
      <c r="AA160" s="516"/>
      <c r="AB160" s="507">
        <f t="shared" ref="AB160" si="711">AA160*AA$8</f>
        <v>0</v>
      </c>
      <c r="AC160" s="507">
        <f t="shared" si="656"/>
        <v>0</v>
      </c>
      <c r="AD160" s="507">
        <f t="shared" si="681"/>
        <v>0</v>
      </c>
      <c r="AE160" s="516"/>
      <c r="AF160" s="507">
        <f t="shared" ref="AF160" si="712">AE160*AE$8</f>
        <v>0</v>
      </c>
      <c r="AG160" s="516"/>
      <c r="AH160" s="507">
        <f t="shared" ref="AH160" si="713">AG160*AG$8</f>
        <v>0</v>
      </c>
      <c r="AI160" s="516"/>
      <c r="AJ160" s="507">
        <f t="shared" ref="AJ160" si="714">AI160*AI$8</f>
        <v>0</v>
      </c>
      <c r="AK160" s="559"/>
      <c r="AL160" s="560">
        <f t="shared" si="677"/>
        <v>0</v>
      </c>
      <c r="AM160" s="557"/>
      <c r="AO160" s="405">
        <f t="shared" si="586"/>
        <v>0</v>
      </c>
    </row>
    <row r="161" customHeight="1" outlineLevel="1" spans="1:41">
      <c r="A161" s="505">
        <v>4.14</v>
      </c>
      <c r="B161" s="506" t="s">
        <v>486</v>
      </c>
      <c r="C161" s="507">
        <f t="shared" si="660"/>
        <v>6.92569620859464</v>
      </c>
      <c r="D161" s="507">
        <f t="shared" si="661"/>
        <v>49.434407540112</v>
      </c>
      <c r="E161" s="507">
        <f t="shared" si="662"/>
        <v>6.88984321341374</v>
      </c>
      <c r="F161" s="507">
        <f>H161+J161+L161+N161+P161+R161+T161</f>
        <v>33.8585773677556</v>
      </c>
      <c r="G161" s="516">
        <f>$AM$161/$C$8</f>
        <v>7.00493497669108</v>
      </c>
      <c r="H161" s="507">
        <f t="shared" si="664"/>
        <v>22.165603667784</v>
      </c>
      <c r="I161" s="516">
        <f>$AM$161/$C$8</f>
        <v>7.00493497669108</v>
      </c>
      <c r="J161" s="507">
        <f t="shared" si="665"/>
        <v>11.6929736999716</v>
      </c>
      <c r="K161" s="516">
        <f>$AM$161/$C$8</f>
        <v>7.00493497669108</v>
      </c>
      <c r="L161" s="507">
        <f t="shared" ref="L161" si="715">K161*K$8</f>
        <v>0</v>
      </c>
      <c r="M161" s="516">
        <f>$AM$161/$C$8</f>
        <v>7.00493497669108</v>
      </c>
      <c r="N161" s="507">
        <f t="shared" si="667"/>
        <v>0</v>
      </c>
      <c r="O161" s="516">
        <f>$AM$161/$C$8</f>
        <v>7.00493497669108</v>
      </c>
      <c r="P161" s="507">
        <f t="shared" si="668"/>
        <v>0</v>
      </c>
      <c r="Q161" s="516">
        <f>$AM$161/$C$8</f>
        <v>7.00493497669108</v>
      </c>
      <c r="R161" s="507">
        <f t="shared" si="651"/>
        <v>0</v>
      </c>
      <c r="S161" s="516">
        <f>$AM$161/$C$8</f>
        <v>7.00493497669108</v>
      </c>
      <c r="T161" s="507">
        <f t="shared" si="669"/>
        <v>0</v>
      </c>
      <c r="U161" s="516">
        <f>$AM$161/$C$8</f>
        <v>7.00493497669108</v>
      </c>
      <c r="V161" s="507">
        <f t="shared" si="670"/>
        <v>0.233012157064652</v>
      </c>
      <c r="W161" s="516">
        <f>$AM$161/$C$8</f>
        <v>7.00493497669108</v>
      </c>
      <c r="X161" s="507">
        <f t="shared" si="671"/>
        <v>0.139040954352341</v>
      </c>
      <c r="Y161" s="516">
        <f>$AM$161/$C$8</f>
        <v>7.00493497669108</v>
      </c>
      <c r="Z161" s="507">
        <f t="shared" ref="Z161" si="716">Y161*Y$8</f>
        <v>0.0526771110247169</v>
      </c>
      <c r="AA161" s="516">
        <f>$AM$161/$C$8</f>
        <v>7.00493497669108</v>
      </c>
      <c r="AB161" s="507">
        <f t="shared" ref="AB161:AB162" si="717">AA161*AA$8</f>
        <v>0.140862237446281</v>
      </c>
      <c r="AC161" s="507">
        <f t="shared" si="656"/>
        <v>7.00493497669108</v>
      </c>
      <c r="AD161" s="507">
        <f t="shared" si="681"/>
        <v>15.5758301723564</v>
      </c>
      <c r="AE161" s="516">
        <f>AG161</f>
        <v>7.00493497669108</v>
      </c>
      <c r="AF161" s="507">
        <f t="shared" ref="AF161" si="718">AE161*AE$8</f>
        <v>0</v>
      </c>
      <c r="AG161" s="516">
        <f>$AM$161/$C$8</f>
        <v>7.00493497669108</v>
      </c>
      <c r="AH161" s="507">
        <f t="shared" ref="AH161" si="719">AG161*AG$8</f>
        <v>2.76352390258937</v>
      </c>
      <c r="AI161" s="516">
        <f>$AM$161/$C$8</f>
        <v>7.00493497669108</v>
      </c>
      <c r="AJ161" s="507">
        <f t="shared" ref="AJ161" si="720">AI161*AI$8</f>
        <v>12.8123062697671</v>
      </c>
      <c r="AK161" s="607" t="s">
        <v>487</v>
      </c>
      <c r="AL161" s="560">
        <f t="shared" si="677"/>
        <v>50</v>
      </c>
      <c r="AM161" s="557">
        <v>50</v>
      </c>
      <c r="AO161" s="405">
        <f t="shared" si="586"/>
        <v>0.565592459887981</v>
      </c>
    </row>
    <row r="162" customHeight="1" outlineLevel="1" spans="1:41">
      <c r="A162" s="505">
        <v>4.15</v>
      </c>
      <c r="B162" s="506" t="s">
        <v>488</v>
      </c>
      <c r="C162" s="507">
        <f t="shared" si="660"/>
        <v>0.210148049300732</v>
      </c>
      <c r="D162" s="507">
        <f t="shared" si="661"/>
        <v>1.5</v>
      </c>
      <c r="E162" s="507">
        <f t="shared" si="662"/>
        <v>0.305233285730507</v>
      </c>
      <c r="F162" s="507">
        <f>H162+J162+L162+N162+P162+R162+T162</f>
        <v>1.5</v>
      </c>
      <c r="G162" s="516">
        <f>经济指标!I9*60/10000/G8</f>
        <v>0.34889409420899</v>
      </c>
      <c r="H162" s="507">
        <f t="shared" si="664"/>
        <v>1.104</v>
      </c>
      <c r="I162" s="516">
        <f>经济指标!I10*60/10000/I8</f>
        <v>0.237232574189096</v>
      </c>
      <c r="J162" s="507">
        <f t="shared" si="665"/>
        <v>0.396</v>
      </c>
      <c r="K162" s="516">
        <f>经济指标!I11*60/10000*0</f>
        <v>0</v>
      </c>
      <c r="L162" s="507">
        <f t="shared" ref="L162" si="721">K162*K$8</f>
        <v>0</v>
      </c>
      <c r="M162" s="516"/>
      <c r="N162" s="507">
        <f t="shared" si="667"/>
        <v>0</v>
      </c>
      <c r="O162" s="516"/>
      <c r="P162" s="507">
        <f t="shared" si="668"/>
        <v>0</v>
      </c>
      <c r="Q162" s="516"/>
      <c r="R162" s="507">
        <f t="shared" si="651"/>
        <v>0</v>
      </c>
      <c r="S162" s="516">
        <v>0</v>
      </c>
      <c r="T162" s="507">
        <f t="shared" si="669"/>
        <v>0</v>
      </c>
      <c r="U162" s="516"/>
      <c r="V162" s="507">
        <f t="shared" si="670"/>
        <v>0</v>
      </c>
      <c r="W162" s="516"/>
      <c r="X162" s="507">
        <f t="shared" si="671"/>
        <v>0</v>
      </c>
      <c r="Y162" s="516"/>
      <c r="Z162" s="507">
        <f t="shared" ref="Z162" si="722">Y162*Y$8</f>
        <v>0</v>
      </c>
      <c r="AA162" s="516"/>
      <c r="AB162" s="507">
        <f t="shared" si="717"/>
        <v>0</v>
      </c>
      <c r="AC162" s="507">
        <f t="shared" si="656"/>
        <v>0</v>
      </c>
      <c r="AD162" s="507">
        <f t="shared" si="681"/>
        <v>0</v>
      </c>
      <c r="AE162" s="516"/>
      <c r="AF162" s="507">
        <f t="shared" ref="AF162" si="723">AE162*AE$8</f>
        <v>0</v>
      </c>
      <c r="AG162" s="516"/>
      <c r="AH162" s="507">
        <f t="shared" ref="AH162" si="724">AG162*AG$8</f>
        <v>0</v>
      </c>
      <c r="AI162" s="516"/>
      <c r="AJ162" s="507">
        <f t="shared" ref="AJ162" si="725">AI162*AI$8</f>
        <v>0</v>
      </c>
      <c r="AK162" s="559"/>
      <c r="AL162" s="560">
        <f t="shared" si="677"/>
        <v>1.5</v>
      </c>
      <c r="AM162" s="557"/>
      <c r="AO162" s="405">
        <f t="shared" si="586"/>
        <v>0</v>
      </c>
    </row>
    <row r="163" customHeight="1" outlineLevel="1" spans="1:41">
      <c r="A163" s="505">
        <v>4.16</v>
      </c>
      <c r="B163" s="506" t="s">
        <v>489</v>
      </c>
      <c r="C163" s="507">
        <f t="shared" si="660"/>
        <v>0</v>
      </c>
      <c r="D163" s="507">
        <f t="shared" si="661"/>
        <v>0</v>
      </c>
      <c r="E163" s="507">
        <f t="shared" si="662"/>
        <v>0</v>
      </c>
      <c r="F163" s="507">
        <f t="shared" si="663"/>
        <v>0</v>
      </c>
      <c r="G163" s="516"/>
      <c r="H163" s="507">
        <f t="shared" si="664"/>
        <v>0</v>
      </c>
      <c r="I163" s="516"/>
      <c r="J163" s="507">
        <f t="shared" si="665"/>
        <v>0</v>
      </c>
      <c r="K163" s="516"/>
      <c r="L163" s="507">
        <f t="shared" ref="L163" si="726">K163*K$8</f>
        <v>0</v>
      </c>
      <c r="M163" s="516"/>
      <c r="N163" s="507">
        <f t="shared" si="667"/>
        <v>0</v>
      </c>
      <c r="O163" s="516"/>
      <c r="P163" s="507">
        <f t="shared" si="668"/>
        <v>0</v>
      </c>
      <c r="Q163" s="516"/>
      <c r="R163" s="507">
        <f t="shared" si="651"/>
        <v>0</v>
      </c>
      <c r="S163" s="516"/>
      <c r="T163" s="507">
        <f t="shared" si="669"/>
        <v>0</v>
      </c>
      <c r="U163" s="516"/>
      <c r="V163" s="507">
        <f t="shared" si="670"/>
        <v>0</v>
      </c>
      <c r="W163" s="516"/>
      <c r="X163" s="507">
        <f t="shared" si="671"/>
        <v>0</v>
      </c>
      <c r="Y163" s="516"/>
      <c r="Z163" s="507">
        <f t="shared" ref="Z163" si="727">Y163*Y$8</f>
        <v>0</v>
      </c>
      <c r="AA163" s="516"/>
      <c r="AB163" s="507">
        <f t="shared" ref="AB163" si="728">AA163*AA$8</f>
        <v>0</v>
      </c>
      <c r="AC163" s="507">
        <f t="shared" si="656"/>
        <v>0</v>
      </c>
      <c r="AD163" s="507">
        <f t="shared" si="681"/>
        <v>0</v>
      </c>
      <c r="AE163" s="516"/>
      <c r="AF163" s="507">
        <f t="shared" ref="AF163" si="729">AE163*AE$8</f>
        <v>0</v>
      </c>
      <c r="AG163" s="516"/>
      <c r="AH163" s="507">
        <f t="shared" ref="AH163" si="730">AG163*AG$8</f>
        <v>0</v>
      </c>
      <c r="AI163" s="516"/>
      <c r="AJ163" s="507">
        <f t="shared" ref="AJ163" si="731">AI163*AI$8</f>
        <v>0</v>
      </c>
      <c r="AK163" s="559"/>
      <c r="AL163" s="560">
        <f t="shared" si="677"/>
        <v>0</v>
      </c>
      <c r="AM163" s="557"/>
      <c r="AO163" s="405">
        <f t="shared" si="586"/>
        <v>0</v>
      </c>
    </row>
    <row r="164" customHeight="1" spans="1:41">
      <c r="A164" s="612">
        <v>5</v>
      </c>
      <c r="B164" s="613" t="s">
        <v>490</v>
      </c>
      <c r="C164" s="613">
        <f>C165+C169+C170+C171+C172+C177+C178+C179+C180</f>
        <v>84.2147384878809</v>
      </c>
      <c r="D164" s="613">
        <f>D165+D169+D170+D171+D172+D177+D178+D179+D180</f>
        <v>601.110065747259</v>
      </c>
      <c r="E164" s="613">
        <f>E165+E169+E170+E171+E172+E177+E178+E179+E180</f>
        <v>64.6295491963327</v>
      </c>
      <c r="F164" s="613">
        <f t="shared" ref="F164:L164" si="732">F165+F169+F170+F171+F172+F177+F178+F179+F180</f>
        <v>317.607313247259</v>
      </c>
      <c r="G164" s="613">
        <f t="shared" si="732"/>
        <v>65.7091570402883</v>
      </c>
      <c r="H164" s="613">
        <f t="shared" si="732"/>
        <v>207.922434276072</v>
      </c>
      <c r="I164" s="613">
        <f t="shared" si="732"/>
        <v>65.7091570402883</v>
      </c>
      <c r="J164" s="613">
        <f t="shared" si="732"/>
        <v>109.684878971187</v>
      </c>
      <c r="K164" s="613">
        <f t="shared" si="732"/>
        <v>7.5</v>
      </c>
      <c r="L164" s="613">
        <f t="shared" si="732"/>
        <v>0</v>
      </c>
      <c r="M164" s="613">
        <f t="shared" ref="M164:AJ164" si="733">M165+M169+M170+M171+M172+M177+M178+M179+M180</f>
        <v>7.5</v>
      </c>
      <c r="N164" s="613">
        <f t="shared" si="733"/>
        <v>0</v>
      </c>
      <c r="O164" s="613">
        <f t="shared" si="733"/>
        <v>7.5</v>
      </c>
      <c r="P164" s="613">
        <f t="shared" si="733"/>
        <v>0</v>
      </c>
      <c r="Q164" s="613">
        <f t="shared" si="733"/>
        <v>7.5</v>
      </c>
      <c r="R164" s="613">
        <f t="shared" si="733"/>
        <v>0</v>
      </c>
      <c r="S164" s="613">
        <f t="shared" si="733"/>
        <v>65.7091570402883</v>
      </c>
      <c r="T164" s="613">
        <f t="shared" si="733"/>
        <v>0</v>
      </c>
      <c r="U164" s="613">
        <f t="shared" si="733"/>
        <v>7.5</v>
      </c>
      <c r="V164" s="613">
        <f t="shared" si="733"/>
        <v>0.24948</v>
      </c>
      <c r="W164" s="613">
        <f t="shared" si="733"/>
        <v>7.5</v>
      </c>
      <c r="X164" s="613">
        <f t="shared" si="733"/>
        <v>0.1488675</v>
      </c>
      <c r="Y164" s="613">
        <f t="shared" si="733"/>
        <v>7.5</v>
      </c>
      <c r="Z164" s="613">
        <f t="shared" si="733"/>
        <v>0.0564</v>
      </c>
      <c r="AA164" s="613">
        <f t="shared" si="733"/>
        <v>7.5</v>
      </c>
      <c r="AB164" s="613">
        <f t="shared" si="733"/>
        <v>0.1508175</v>
      </c>
      <c r="AC164" s="613">
        <f t="shared" si="733"/>
        <v>127.5</v>
      </c>
      <c r="AD164" s="613">
        <f t="shared" si="733"/>
        <v>283.5027525</v>
      </c>
      <c r="AE164" s="613">
        <f t="shared" si="733"/>
        <v>117.5</v>
      </c>
      <c r="AF164" s="613">
        <f t="shared" si="733"/>
        <v>0</v>
      </c>
      <c r="AG164" s="613">
        <f t="shared" si="733"/>
        <v>127.5</v>
      </c>
      <c r="AH164" s="613">
        <f t="shared" si="733"/>
        <v>50.3001525</v>
      </c>
      <c r="AI164" s="613">
        <f t="shared" si="733"/>
        <v>127.5</v>
      </c>
      <c r="AJ164" s="613">
        <f t="shared" si="733"/>
        <v>233.2026</v>
      </c>
      <c r="AK164" s="559"/>
      <c r="AL164" s="560">
        <f t="shared" si="677"/>
        <v>601.715630747259</v>
      </c>
      <c r="AM164" s="557"/>
      <c r="AO164" s="405">
        <f t="shared" si="586"/>
        <v>0.60556500000007</v>
      </c>
    </row>
    <row r="165" s="490" customFormat="1" customHeight="1" outlineLevel="1" spans="1:41">
      <c r="A165" s="505">
        <v>5.1</v>
      </c>
      <c r="B165" s="506" t="s">
        <v>491</v>
      </c>
      <c r="C165" s="579">
        <f>SUM(C166:C168)</f>
        <v>39.4175849432087</v>
      </c>
      <c r="D165" s="579">
        <f>SUM(D166:D168)</f>
        <v>281.355823247259</v>
      </c>
      <c r="E165" s="579">
        <f>SUM(E166:E168)</f>
        <v>57.252774926115</v>
      </c>
      <c r="F165" s="579">
        <f t="shared" ref="F165:L165" si="734">SUM(F166:F168)</f>
        <v>281.355823247259</v>
      </c>
      <c r="G165" s="579">
        <f t="shared" si="734"/>
        <v>58.2091570402883</v>
      </c>
      <c r="H165" s="579">
        <f t="shared" si="734"/>
        <v>184.190304276072</v>
      </c>
      <c r="I165" s="579">
        <f t="shared" si="734"/>
        <v>58.2091570402883</v>
      </c>
      <c r="J165" s="579">
        <f t="shared" si="734"/>
        <v>97.1655189711871</v>
      </c>
      <c r="K165" s="579">
        <f t="shared" si="734"/>
        <v>0</v>
      </c>
      <c r="L165" s="579">
        <f t="shared" si="734"/>
        <v>0</v>
      </c>
      <c r="M165" s="579">
        <f t="shared" ref="M165:AJ165" si="735">SUM(M166:M168)</f>
        <v>0</v>
      </c>
      <c r="N165" s="579">
        <f t="shared" si="735"/>
        <v>0</v>
      </c>
      <c r="O165" s="579">
        <f t="shared" si="735"/>
        <v>0</v>
      </c>
      <c r="P165" s="579">
        <f t="shared" si="735"/>
        <v>0</v>
      </c>
      <c r="Q165" s="579">
        <f t="shared" si="735"/>
        <v>0</v>
      </c>
      <c r="R165" s="579">
        <f t="shared" si="735"/>
        <v>0</v>
      </c>
      <c r="S165" s="579">
        <f t="shared" si="735"/>
        <v>58.2091570402883</v>
      </c>
      <c r="T165" s="579">
        <f t="shared" si="735"/>
        <v>0</v>
      </c>
      <c r="U165" s="579">
        <f t="shared" si="735"/>
        <v>0</v>
      </c>
      <c r="V165" s="579">
        <f t="shared" si="735"/>
        <v>0</v>
      </c>
      <c r="W165" s="579">
        <f t="shared" si="735"/>
        <v>0</v>
      </c>
      <c r="X165" s="579">
        <f t="shared" si="735"/>
        <v>0</v>
      </c>
      <c r="Y165" s="579">
        <f t="shared" si="735"/>
        <v>0</v>
      </c>
      <c r="Z165" s="579">
        <f t="shared" si="735"/>
        <v>0</v>
      </c>
      <c r="AA165" s="579">
        <f t="shared" si="735"/>
        <v>0</v>
      </c>
      <c r="AB165" s="579">
        <f t="shared" si="735"/>
        <v>0</v>
      </c>
      <c r="AC165" s="579">
        <f t="shared" si="735"/>
        <v>0</v>
      </c>
      <c r="AD165" s="579">
        <f t="shared" si="735"/>
        <v>0</v>
      </c>
      <c r="AE165" s="579">
        <f t="shared" si="735"/>
        <v>0</v>
      </c>
      <c r="AF165" s="579">
        <f t="shared" si="735"/>
        <v>0</v>
      </c>
      <c r="AG165" s="579">
        <f t="shared" si="735"/>
        <v>0</v>
      </c>
      <c r="AH165" s="579">
        <f t="shared" si="735"/>
        <v>0</v>
      </c>
      <c r="AI165" s="579">
        <f t="shared" si="735"/>
        <v>0</v>
      </c>
      <c r="AJ165" s="579">
        <f t="shared" si="735"/>
        <v>0</v>
      </c>
      <c r="AK165" s="559"/>
      <c r="AL165" s="560">
        <f t="shared" si="677"/>
        <v>281.355823247259</v>
      </c>
      <c r="AM165" s="562"/>
      <c r="AO165" s="405">
        <f t="shared" si="586"/>
        <v>0</v>
      </c>
    </row>
    <row r="166" s="490" customFormat="1" customHeight="1" outlineLevel="2" spans="1:41">
      <c r="A166" s="614" t="s">
        <v>492</v>
      </c>
      <c r="B166" s="525" t="s">
        <v>493</v>
      </c>
      <c r="C166" s="507">
        <f t="shared" ref="C166:C171" si="736">D166/$C$8</f>
        <v>9.62931057287293</v>
      </c>
      <c r="D166" s="507">
        <f t="shared" ref="D166:D171" si="737">F166+AD166</f>
        <v>68.7323337398167</v>
      </c>
      <c r="E166" s="507">
        <f>F166/$E$8</f>
        <v>13.98626404222</v>
      </c>
      <c r="F166" s="507">
        <f t="shared" ref="F166:F171" si="738">H166+J166+L166+N166+P166+R166+T166+V166+X166+Z166+AB166</f>
        <v>68.7323337398167</v>
      </c>
      <c r="G166" s="516">
        <f>W194</f>
        <v>14.2198983558641</v>
      </c>
      <c r="H166" s="507">
        <f t="shared" ref="H166:H171" si="739">G166*G$8</f>
        <v>44.9957968490872</v>
      </c>
      <c r="I166" s="516">
        <f>G166</f>
        <v>14.2198983558641</v>
      </c>
      <c r="J166" s="507">
        <f t="shared" ref="J166" si="740">I166*I$8</f>
        <v>23.7365368907295</v>
      </c>
      <c r="K166" s="516"/>
      <c r="L166" s="507">
        <f t="shared" ref="L166" si="741">K166*K$8</f>
        <v>0</v>
      </c>
      <c r="M166" s="516"/>
      <c r="N166" s="507">
        <f t="shared" ref="N166:N171" si="742">M166*M$8</f>
        <v>0</v>
      </c>
      <c r="O166" s="516"/>
      <c r="P166" s="507">
        <f t="shared" ref="P166:P171" si="743">O166*O$8</f>
        <v>0</v>
      </c>
      <c r="Q166" s="516"/>
      <c r="R166" s="507">
        <f t="shared" ref="R166:R171" si="744">Q166*Q$8</f>
        <v>0</v>
      </c>
      <c r="S166" s="516">
        <f>G166</f>
        <v>14.2198983558641</v>
      </c>
      <c r="T166" s="507">
        <f t="shared" ref="T166:T171" si="745">S166*S$8</f>
        <v>0</v>
      </c>
      <c r="U166" s="516"/>
      <c r="V166" s="507">
        <f t="shared" ref="V166" si="746">U166*U$8</f>
        <v>0</v>
      </c>
      <c r="W166" s="516"/>
      <c r="X166" s="507">
        <f t="shared" ref="X166" si="747">W166*W$8</f>
        <v>0</v>
      </c>
      <c r="Y166" s="516"/>
      <c r="Z166" s="507">
        <f t="shared" ref="Z166" si="748">Y166*Y$8</f>
        <v>0</v>
      </c>
      <c r="AA166" s="516"/>
      <c r="AB166" s="507">
        <f t="shared" ref="AB166" si="749">AA166*AA$8</f>
        <v>0</v>
      </c>
      <c r="AC166" s="507">
        <f t="shared" ref="AC166:AC171" si="750">AD166/AC$8</f>
        <v>0</v>
      </c>
      <c r="AD166" s="507">
        <f t="shared" ref="AD166:AD171" si="751">AF166*0+AH166+AJ166</f>
        <v>0</v>
      </c>
      <c r="AE166" s="516"/>
      <c r="AF166" s="507">
        <f t="shared" ref="AF166" si="752">AE166*AE$8</f>
        <v>0</v>
      </c>
      <c r="AG166" s="516"/>
      <c r="AH166" s="507">
        <f t="shared" ref="AH166" si="753">AG166*AG$8</f>
        <v>0</v>
      </c>
      <c r="AI166" s="516"/>
      <c r="AJ166" s="507">
        <f t="shared" ref="AJ166" si="754">AI166*AI$8</f>
        <v>0</v>
      </c>
      <c r="AK166" s="559"/>
      <c r="AL166" s="560">
        <f t="shared" si="677"/>
        <v>68.7323337398167</v>
      </c>
      <c r="AM166" s="562"/>
      <c r="AO166" s="405">
        <f t="shared" si="586"/>
        <v>0</v>
      </c>
    </row>
    <row r="167" s="490" customFormat="1" customHeight="1" outlineLevel="2" spans="1:41">
      <c r="A167" s="614" t="s">
        <v>494</v>
      </c>
      <c r="B167" s="525" t="s">
        <v>495</v>
      </c>
      <c r="C167" s="507">
        <f t="shared" si="736"/>
        <v>0</v>
      </c>
      <c r="D167" s="507">
        <f t="shared" si="737"/>
        <v>0</v>
      </c>
      <c r="E167" s="507">
        <f t="shared" ref="E166:E171" si="755">F167/$E$8</f>
        <v>0</v>
      </c>
      <c r="F167" s="507">
        <f t="shared" si="738"/>
        <v>0</v>
      </c>
      <c r="G167" s="516"/>
      <c r="H167" s="507">
        <f t="shared" si="739"/>
        <v>0</v>
      </c>
      <c r="J167" s="507"/>
      <c r="K167" s="516"/>
      <c r="L167" s="507">
        <f t="shared" ref="L167" si="756">K167*K$8</f>
        <v>0</v>
      </c>
      <c r="M167" s="516"/>
      <c r="N167" s="507">
        <f t="shared" si="742"/>
        <v>0</v>
      </c>
      <c r="O167" s="516"/>
      <c r="P167" s="507">
        <f t="shared" si="743"/>
        <v>0</v>
      </c>
      <c r="Q167" s="516"/>
      <c r="R167" s="507">
        <f t="shared" si="744"/>
        <v>0</v>
      </c>
      <c r="S167" s="516"/>
      <c r="T167" s="507">
        <f t="shared" si="745"/>
        <v>0</v>
      </c>
      <c r="U167" s="516"/>
      <c r="V167" s="507">
        <f t="shared" ref="V167" si="757">U167*U$8</f>
        <v>0</v>
      </c>
      <c r="W167" s="516"/>
      <c r="X167" s="507">
        <f t="shared" ref="X167" si="758">W167*W$8</f>
        <v>0</v>
      </c>
      <c r="Y167" s="516"/>
      <c r="Z167" s="507">
        <f t="shared" ref="Z167" si="759">Y167*Y$8</f>
        <v>0</v>
      </c>
      <c r="AA167" s="516"/>
      <c r="AB167" s="507">
        <f t="shared" ref="AB167" si="760">AA167*AA$8</f>
        <v>0</v>
      </c>
      <c r="AC167" s="507">
        <f t="shared" si="750"/>
        <v>0</v>
      </c>
      <c r="AD167" s="507">
        <f t="shared" si="751"/>
        <v>0</v>
      </c>
      <c r="AE167" s="516"/>
      <c r="AF167" s="507">
        <f t="shared" ref="AF167" si="761">AE167*AE$8</f>
        <v>0</v>
      </c>
      <c r="AG167" s="516"/>
      <c r="AH167" s="507">
        <f t="shared" ref="AH167" si="762">AG167*AG$8</f>
        <v>0</v>
      </c>
      <c r="AI167" s="516"/>
      <c r="AJ167" s="507">
        <f t="shared" ref="AJ167" si="763">AI167*AI$8</f>
        <v>0</v>
      </c>
      <c r="AK167" s="559"/>
      <c r="AL167" s="560">
        <f t="shared" si="677"/>
        <v>0</v>
      </c>
      <c r="AM167" s="562"/>
      <c r="AO167" s="405">
        <f t="shared" si="586"/>
        <v>0</v>
      </c>
    </row>
    <row r="168" s="490" customFormat="1" customHeight="1" outlineLevel="2" spans="1:41">
      <c r="A168" s="614" t="s">
        <v>496</v>
      </c>
      <c r="B168" s="525" t="s">
        <v>107</v>
      </c>
      <c r="C168" s="507">
        <f t="shared" si="736"/>
        <v>29.7882743703358</v>
      </c>
      <c r="D168" s="507">
        <f t="shared" si="737"/>
        <v>212.623489507442</v>
      </c>
      <c r="E168" s="507">
        <f t="shared" si="755"/>
        <v>43.266510883895</v>
      </c>
      <c r="F168" s="507">
        <f t="shared" si="738"/>
        <v>212.623489507442</v>
      </c>
      <c r="G168" s="516">
        <f>U194+Y194+AA194</f>
        <v>43.9892586844241</v>
      </c>
      <c r="H168" s="507">
        <f t="shared" si="739"/>
        <v>139.194507426984</v>
      </c>
      <c r="I168" s="516">
        <f>G168</f>
        <v>43.9892586844241</v>
      </c>
      <c r="J168" s="507">
        <f t="shared" ref="J168:J169" si="764">I168*I$8</f>
        <v>73.4289820804576</v>
      </c>
      <c r="K168" s="516"/>
      <c r="L168" s="507">
        <f t="shared" ref="L168" si="765">K168*K$8</f>
        <v>0</v>
      </c>
      <c r="M168" s="516"/>
      <c r="N168" s="507">
        <f t="shared" si="742"/>
        <v>0</v>
      </c>
      <c r="O168" s="516"/>
      <c r="P168" s="507">
        <f t="shared" si="743"/>
        <v>0</v>
      </c>
      <c r="Q168" s="516"/>
      <c r="R168" s="507">
        <f t="shared" si="744"/>
        <v>0</v>
      </c>
      <c r="S168" s="516">
        <f>G168</f>
        <v>43.9892586844241</v>
      </c>
      <c r="T168" s="507">
        <f t="shared" si="745"/>
        <v>0</v>
      </c>
      <c r="U168" s="516"/>
      <c r="V168" s="507">
        <f t="shared" ref="V168" si="766">U168*U$8</f>
        <v>0</v>
      </c>
      <c r="W168" s="516"/>
      <c r="X168" s="507">
        <f t="shared" ref="X168" si="767">W168*W$8</f>
        <v>0</v>
      </c>
      <c r="Y168" s="516"/>
      <c r="Z168" s="507">
        <f t="shared" ref="Z168" si="768">Y168*Y$8</f>
        <v>0</v>
      </c>
      <c r="AA168" s="516"/>
      <c r="AB168" s="507">
        <f t="shared" ref="AB168" si="769">AA168*AA$8</f>
        <v>0</v>
      </c>
      <c r="AC168" s="507">
        <f t="shared" si="750"/>
        <v>0</v>
      </c>
      <c r="AD168" s="507">
        <f t="shared" si="751"/>
        <v>0</v>
      </c>
      <c r="AE168" s="516"/>
      <c r="AF168" s="507">
        <f t="shared" ref="AF168" si="770">AE168*AE$8</f>
        <v>0</v>
      </c>
      <c r="AG168" s="516"/>
      <c r="AH168" s="507">
        <f t="shared" ref="AH168" si="771">AG168*AG$8</f>
        <v>0</v>
      </c>
      <c r="AI168" s="516"/>
      <c r="AJ168" s="507">
        <f t="shared" ref="AJ168" si="772">AI168*AI$8</f>
        <v>0</v>
      </c>
      <c r="AK168" s="559"/>
      <c r="AL168" s="560">
        <f t="shared" si="677"/>
        <v>212.623489507442</v>
      </c>
      <c r="AM168" s="562"/>
      <c r="AO168" s="405">
        <f t="shared" si="586"/>
        <v>0</v>
      </c>
    </row>
    <row r="169" s="490" customFormat="1" customHeight="1" outlineLevel="1" spans="1:41">
      <c r="A169" s="505">
        <v>5.2</v>
      </c>
      <c r="B169" s="506" t="s">
        <v>497</v>
      </c>
      <c r="C169" s="507">
        <f t="shared" si="736"/>
        <v>37.3819924136554</v>
      </c>
      <c r="D169" s="507">
        <f t="shared" si="737"/>
        <v>266.82612</v>
      </c>
      <c r="E169" s="507">
        <f t="shared" si="755"/>
        <v>0</v>
      </c>
      <c r="F169" s="507">
        <f t="shared" si="738"/>
        <v>0</v>
      </c>
      <c r="G169" s="516"/>
      <c r="H169" s="507">
        <f t="shared" si="739"/>
        <v>0</v>
      </c>
      <c r="I169" s="516">
        <f>AE194</f>
        <v>0</v>
      </c>
      <c r="J169" s="507">
        <f t="shared" si="764"/>
        <v>0</v>
      </c>
      <c r="K169" s="516"/>
      <c r="L169" s="507">
        <f t="shared" ref="L169" si="773">K169*K$8</f>
        <v>0</v>
      </c>
      <c r="M169" s="516"/>
      <c r="N169" s="507">
        <f t="shared" si="742"/>
        <v>0</v>
      </c>
      <c r="O169" s="516"/>
      <c r="P169" s="507">
        <f t="shared" si="743"/>
        <v>0</v>
      </c>
      <c r="Q169" s="516"/>
      <c r="R169" s="507">
        <f t="shared" si="744"/>
        <v>0</v>
      </c>
      <c r="S169" s="516"/>
      <c r="T169" s="507">
        <f t="shared" si="745"/>
        <v>0</v>
      </c>
      <c r="U169" s="516"/>
      <c r="V169" s="507">
        <f t="shared" ref="V169" si="774">U169*U$8</f>
        <v>0</v>
      </c>
      <c r="W169" s="516"/>
      <c r="X169" s="507">
        <f t="shared" ref="X169" si="775">W169*W$8</f>
        <v>0</v>
      </c>
      <c r="Y169" s="516"/>
      <c r="Z169" s="507">
        <f t="shared" ref="Z169" si="776">Y169*Y$8</f>
        <v>0</v>
      </c>
      <c r="AA169" s="516"/>
      <c r="AB169" s="507">
        <f t="shared" ref="AB169" si="777">AA169*AA$8</f>
        <v>0</v>
      </c>
      <c r="AC169" s="507">
        <f t="shared" si="750"/>
        <v>120</v>
      </c>
      <c r="AD169" s="507">
        <f t="shared" si="751"/>
        <v>266.82612</v>
      </c>
      <c r="AE169" s="516">
        <v>110</v>
      </c>
      <c r="AF169" s="507">
        <f t="shared" ref="AF169" si="778">AE169*AE$8</f>
        <v>0</v>
      </c>
      <c r="AG169" s="516">
        <v>120</v>
      </c>
      <c r="AH169" s="507">
        <f t="shared" ref="AH169" si="779">AG169*AG$8</f>
        <v>47.34132</v>
      </c>
      <c r="AI169" s="516">
        <v>120</v>
      </c>
      <c r="AJ169" s="507">
        <f t="shared" ref="AJ169" si="780">AI169*AI$8</f>
        <v>219.4848</v>
      </c>
      <c r="AK169" s="559" t="s">
        <v>498</v>
      </c>
      <c r="AL169" s="560">
        <f t="shared" si="677"/>
        <v>266.82612</v>
      </c>
      <c r="AM169" s="562"/>
      <c r="AO169" s="405">
        <f t="shared" si="586"/>
        <v>0</v>
      </c>
    </row>
    <row r="170" customHeight="1" outlineLevel="1" spans="1:41">
      <c r="A170" s="607">
        <v>5.3</v>
      </c>
      <c r="B170" s="506" t="s">
        <v>499</v>
      </c>
      <c r="C170" s="507">
        <f t="shared" si="736"/>
        <v>0</v>
      </c>
      <c r="D170" s="507">
        <f t="shared" si="737"/>
        <v>0</v>
      </c>
      <c r="E170" s="507">
        <f t="shared" si="755"/>
        <v>0</v>
      </c>
      <c r="F170" s="507">
        <f t="shared" si="738"/>
        <v>0</v>
      </c>
      <c r="G170" s="516"/>
      <c r="H170" s="507">
        <f t="shared" si="739"/>
        <v>0</v>
      </c>
      <c r="I170" s="516"/>
      <c r="J170" s="507">
        <f t="shared" ref="J170" si="781">I170*I$8</f>
        <v>0</v>
      </c>
      <c r="K170" s="516"/>
      <c r="L170" s="507">
        <f t="shared" ref="L170" si="782">K170*K$8</f>
        <v>0</v>
      </c>
      <c r="M170" s="516"/>
      <c r="N170" s="507">
        <f t="shared" si="742"/>
        <v>0</v>
      </c>
      <c r="O170" s="516"/>
      <c r="P170" s="507">
        <f t="shared" si="743"/>
        <v>0</v>
      </c>
      <c r="Q170" s="516"/>
      <c r="R170" s="507">
        <f t="shared" si="744"/>
        <v>0</v>
      </c>
      <c r="S170" s="516"/>
      <c r="T170" s="507">
        <f t="shared" si="745"/>
        <v>0</v>
      </c>
      <c r="U170" s="516"/>
      <c r="V170" s="507">
        <f t="shared" ref="V170" si="783">U170*U$8</f>
        <v>0</v>
      </c>
      <c r="W170" s="516"/>
      <c r="X170" s="507">
        <f t="shared" ref="X170" si="784">W170*W$8</f>
        <v>0</v>
      </c>
      <c r="Y170" s="516"/>
      <c r="Z170" s="507">
        <f t="shared" ref="Z170" si="785">Y170*Y$8</f>
        <v>0</v>
      </c>
      <c r="AA170" s="516"/>
      <c r="AB170" s="507">
        <f t="shared" ref="AB170" si="786">AA170*AA$8</f>
        <v>0</v>
      </c>
      <c r="AC170" s="507">
        <f t="shared" si="750"/>
        <v>0</v>
      </c>
      <c r="AD170" s="507">
        <f t="shared" si="751"/>
        <v>0</v>
      </c>
      <c r="AE170" s="516"/>
      <c r="AF170" s="507">
        <f t="shared" ref="AF170" si="787">AE170*AE$8</f>
        <v>0</v>
      </c>
      <c r="AG170" s="516"/>
      <c r="AH170" s="507">
        <f t="shared" ref="AH170" si="788">AG170*AG$8</f>
        <v>0</v>
      </c>
      <c r="AI170" s="516"/>
      <c r="AJ170" s="507">
        <f t="shared" ref="AJ170" si="789">AI170*AI$8</f>
        <v>0</v>
      </c>
      <c r="AK170" s="559"/>
      <c r="AL170" s="560">
        <f t="shared" si="677"/>
        <v>0</v>
      </c>
      <c r="AM170" s="557"/>
      <c r="AO170" s="405">
        <f t="shared" si="586"/>
        <v>0</v>
      </c>
    </row>
    <row r="171" s="490" customFormat="1" customHeight="1" outlineLevel="1" spans="1:41">
      <c r="A171" s="505">
        <v>5.4</v>
      </c>
      <c r="B171" s="506" t="s">
        <v>500</v>
      </c>
      <c r="C171" s="507">
        <f t="shared" si="736"/>
        <v>0</v>
      </c>
      <c r="D171" s="507">
        <f t="shared" si="737"/>
        <v>0</v>
      </c>
      <c r="E171" s="507">
        <f t="shared" si="755"/>
        <v>0</v>
      </c>
      <c r="F171" s="507">
        <f t="shared" si="738"/>
        <v>0</v>
      </c>
      <c r="G171" s="516"/>
      <c r="H171" s="507">
        <f t="shared" si="739"/>
        <v>0</v>
      </c>
      <c r="I171" s="516"/>
      <c r="J171" s="507">
        <f t="shared" ref="J171" si="790">I171*I$8</f>
        <v>0</v>
      </c>
      <c r="K171" s="516"/>
      <c r="L171" s="507">
        <f t="shared" ref="L171" si="791">K171*K$8</f>
        <v>0</v>
      </c>
      <c r="M171" s="516"/>
      <c r="N171" s="507">
        <f t="shared" si="742"/>
        <v>0</v>
      </c>
      <c r="O171" s="516"/>
      <c r="P171" s="507">
        <f t="shared" si="743"/>
        <v>0</v>
      </c>
      <c r="Q171" s="516"/>
      <c r="R171" s="507">
        <f t="shared" si="744"/>
        <v>0</v>
      </c>
      <c r="S171" s="516"/>
      <c r="T171" s="507">
        <f t="shared" si="745"/>
        <v>0</v>
      </c>
      <c r="U171" s="516"/>
      <c r="V171" s="507">
        <f t="shared" ref="V171" si="792">U171*U$8</f>
        <v>0</v>
      </c>
      <c r="W171" s="516"/>
      <c r="X171" s="507">
        <f t="shared" ref="X171" si="793">W171*W$8</f>
        <v>0</v>
      </c>
      <c r="Y171" s="516"/>
      <c r="Z171" s="507">
        <f t="shared" ref="Z171" si="794">Y171*Y$8</f>
        <v>0</v>
      </c>
      <c r="AA171" s="516"/>
      <c r="AB171" s="507">
        <f t="shared" ref="AB171" si="795">AA171*AA$8</f>
        <v>0</v>
      </c>
      <c r="AC171" s="507">
        <f t="shared" si="750"/>
        <v>0</v>
      </c>
      <c r="AD171" s="507">
        <f t="shared" si="751"/>
        <v>0</v>
      </c>
      <c r="AE171" s="516"/>
      <c r="AF171" s="507">
        <f t="shared" ref="AF171" si="796">AE171*AE$8</f>
        <v>0</v>
      </c>
      <c r="AG171" s="516"/>
      <c r="AH171" s="507">
        <f t="shared" ref="AH171" si="797">AG171*AG$8</f>
        <v>0</v>
      </c>
      <c r="AI171" s="516"/>
      <c r="AJ171" s="507">
        <f t="shared" ref="AJ171" si="798">AI171*AI$8</f>
        <v>0</v>
      </c>
      <c r="AK171" s="559"/>
      <c r="AL171" s="560">
        <f t="shared" si="677"/>
        <v>0</v>
      </c>
      <c r="AM171" s="562"/>
      <c r="AO171" s="405">
        <f t="shared" si="586"/>
        <v>0</v>
      </c>
    </row>
    <row r="172" s="490" customFormat="1" customHeight="1" outlineLevel="1" spans="1:41">
      <c r="A172" s="505">
        <v>5.5</v>
      </c>
      <c r="B172" s="506" t="s">
        <v>501</v>
      </c>
      <c r="C172" s="579">
        <f>SUM(C173:C176)</f>
        <v>7.4151611310168</v>
      </c>
      <c r="D172" s="579">
        <f t="shared" ref="D172:AJ172" si="799">SUM(D173:D176)</f>
        <v>52.9281225</v>
      </c>
      <c r="E172" s="579">
        <f t="shared" si="799"/>
        <v>7.37677427021774</v>
      </c>
      <c r="F172" s="579">
        <f t="shared" si="799"/>
        <v>36.25149</v>
      </c>
      <c r="G172" s="579">
        <f t="shared" si="799"/>
        <v>7.5</v>
      </c>
      <c r="H172" s="579">
        <f t="shared" si="799"/>
        <v>23.73213</v>
      </c>
      <c r="I172" s="579">
        <f t="shared" si="799"/>
        <v>7.5</v>
      </c>
      <c r="J172" s="579">
        <f t="shared" si="799"/>
        <v>12.51936</v>
      </c>
      <c r="K172" s="579">
        <f t="shared" si="799"/>
        <v>7.5</v>
      </c>
      <c r="L172" s="579">
        <f t="shared" si="799"/>
        <v>0</v>
      </c>
      <c r="M172" s="579">
        <f t="shared" si="799"/>
        <v>7.5</v>
      </c>
      <c r="N172" s="579">
        <f t="shared" si="799"/>
        <v>0</v>
      </c>
      <c r="O172" s="579">
        <f t="shared" si="799"/>
        <v>7.5</v>
      </c>
      <c r="P172" s="579">
        <f t="shared" si="799"/>
        <v>0</v>
      </c>
      <c r="Q172" s="579">
        <f t="shared" si="799"/>
        <v>7.5</v>
      </c>
      <c r="R172" s="579">
        <f t="shared" si="799"/>
        <v>0</v>
      </c>
      <c r="S172" s="579">
        <f t="shared" si="799"/>
        <v>7.5</v>
      </c>
      <c r="T172" s="579">
        <f t="shared" si="799"/>
        <v>0</v>
      </c>
      <c r="U172" s="579">
        <f t="shared" si="799"/>
        <v>7.5</v>
      </c>
      <c r="V172" s="579">
        <f t="shared" si="799"/>
        <v>0.24948</v>
      </c>
      <c r="W172" s="579">
        <f t="shared" si="799"/>
        <v>7.5</v>
      </c>
      <c r="X172" s="579">
        <f t="shared" si="799"/>
        <v>0.1488675</v>
      </c>
      <c r="Y172" s="579">
        <f t="shared" si="799"/>
        <v>7.5</v>
      </c>
      <c r="Z172" s="579">
        <f t="shared" si="799"/>
        <v>0.0564</v>
      </c>
      <c r="AA172" s="579">
        <f t="shared" si="799"/>
        <v>7.5</v>
      </c>
      <c r="AB172" s="579">
        <f t="shared" si="799"/>
        <v>0.1508175</v>
      </c>
      <c r="AC172" s="579">
        <f t="shared" si="799"/>
        <v>7.5</v>
      </c>
      <c r="AD172" s="579">
        <f t="shared" si="799"/>
        <v>16.6766325</v>
      </c>
      <c r="AE172" s="579">
        <f t="shared" si="799"/>
        <v>7.5</v>
      </c>
      <c r="AF172" s="579">
        <f t="shared" si="799"/>
        <v>0</v>
      </c>
      <c r="AG172" s="579">
        <f t="shared" si="799"/>
        <v>7.5</v>
      </c>
      <c r="AH172" s="579">
        <f t="shared" si="799"/>
        <v>2.9588325</v>
      </c>
      <c r="AI172" s="579">
        <f t="shared" si="799"/>
        <v>7.5</v>
      </c>
      <c r="AJ172" s="579">
        <f t="shared" si="799"/>
        <v>13.7178</v>
      </c>
      <c r="AK172" s="559"/>
      <c r="AL172" s="560">
        <f t="shared" si="677"/>
        <v>53.5336875</v>
      </c>
      <c r="AM172" s="562"/>
      <c r="AO172" s="405">
        <f t="shared" si="586"/>
        <v>0.605565000000006</v>
      </c>
    </row>
    <row r="173" s="490" customFormat="1" customHeight="1" outlineLevel="2" spans="1:41">
      <c r="A173" s="614" t="s">
        <v>502</v>
      </c>
      <c r="B173" s="525" t="s">
        <v>503</v>
      </c>
      <c r="C173" s="507">
        <f>D173/$C$8</f>
        <v>2.4717203770056</v>
      </c>
      <c r="D173" s="507">
        <f>F173+AD173</f>
        <v>17.6427075</v>
      </c>
      <c r="E173" s="507">
        <f>F173/$E$8</f>
        <v>2.45892475673925</v>
      </c>
      <c r="F173" s="507">
        <f>H173+J173+L173+N173+P173+R173+T173</f>
        <v>12.08383</v>
      </c>
      <c r="G173" s="534">
        <v>2.5</v>
      </c>
      <c r="H173" s="507">
        <f t="shared" ref="H173:H180" si="800">G173*G$8</f>
        <v>7.91071</v>
      </c>
      <c r="I173" s="534">
        <v>2.5</v>
      </c>
      <c r="J173" s="507">
        <f t="shared" ref="J173" si="801">I173*I$8</f>
        <v>4.17312</v>
      </c>
      <c r="K173" s="534">
        <v>2.5</v>
      </c>
      <c r="L173" s="507">
        <f t="shared" ref="L173" si="802">K173*K$8</f>
        <v>0</v>
      </c>
      <c r="M173" s="534">
        <v>2.5</v>
      </c>
      <c r="N173" s="507">
        <f t="shared" ref="N173:N180" si="803">M173*M$8</f>
        <v>0</v>
      </c>
      <c r="O173" s="534">
        <v>2.5</v>
      </c>
      <c r="P173" s="507">
        <f t="shared" ref="P173:P180" si="804">O173*O$8</f>
        <v>0</v>
      </c>
      <c r="Q173" s="534">
        <v>2.5</v>
      </c>
      <c r="R173" s="507">
        <f t="shared" ref="R173:R180" si="805">Q173*Q$8</f>
        <v>0</v>
      </c>
      <c r="S173" s="534">
        <v>2.5</v>
      </c>
      <c r="T173" s="507">
        <f t="shared" ref="T173:T180" si="806">S173*S$8</f>
        <v>0</v>
      </c>
      <c r="U173" s="534">
        <v>2.5</v>
      </c>
      <c r="V173" s="507">
        <f t="shared" ref="V173" si="807">U173*U$8</f>
        <v>0.08316</v>
      </c>
      <c r="W173" s="534">
        <v>2.5</v>
      </c>
      <c r="X173" s="507">
        <f t="shared" ref="X173" si="808">W173*W$8</f>
        <v>0.0496225</v>
      </c>
      <c r="Y173" s="534">
        <v>2.5</v>
      </c>
      <c r="Z173" s="507">
        <f t="shared" ref="Z173" si="809">Y173*Y$8</f>
        <v>0.0188</v>
      </c>
      <c r="AA173" s="534">
        <v>2.5</v>
      </c>
      <c r="AB173" s="507">
        <f t="shared" ref="AB173" si="810">AA173*AA$8</f>
        <v>0.0502725</v>
      </c>
      <c r="AC173" s="507">
        <f t="shared" ref="AC173:AC180" si="811">AD173/AC$8</f>
        <v>2.5</v>
      </c>
      <c r="AD173" s="507">
        <f t="shared" ref="AD173:AD180" si="812">AF173*0+AH173+AJ173</f>
        <v>5.5588775</v>
      </c>
      <c r="AE173" s="534">
        <f>AG173</f>
        <v>2.5</v>
      </c>
      <c r="AF173" s="507">
        <f t="shared" ref="AF173" si="813">AE173*AE$8</f>
        <v>0</v>
      </c>
      <c r="AG173" s="534">
        <v>2.5</v>
      </c>
      <c r="AH173" s="507">
        <f t="shared" ref="AH173" si="814">AG173*AG$8</f>
        <v>0.9862775</v>
      </c>
      <c r="AI173" s="534">
        <v>2.5</v>
      </c>
      <c r="AJ173" s="507">
        <f t="shared" ref="AJ173" si="815">AI173*AI$8</f>
        <v>4.5726</v>
      </c>
      <c r="AK173" s="559"/>
      <c r="AL173" s="560">
        <f t="shared" si="677"/>
        <v>17.8445625</v>
      </c>
      <c r="AM173" s="562"/>
      <c r="AO173" s="405">
        <f t="shared" si="586"/>
        <v>0.201854999999998</v>
      </c>
    </row>
    <row r="174" s="490" customFormat="1" customHeight="1" outlineLevel="2" spans="1:41">
      <c r="A174" s="614" t="s">
        <v>504</v>
      </c>
      <c r="B174" s="525" t="s">
        <v>505</v>
      </c>
      <c r="C174" s="507">
        <f t="shared" ref="C174:C180" si="816">D174/$C$8</f>
        <v>1.48303222620336</v>
      </c>
      <c r="D174" s="507">
        <f t="shared" ref="D174:D180" si="817">F174+AD174</f>
        <v>10.5856245</v>
      </c>
      <c r="E174" s="507">
        <f t="shared" ref="E174:E180" si="818">F174/$E$8</f>
        <v>1.47535485404355</v>
      </c>
      <c r="F174" s="507">
        <f t="shared" ref="F174:F180" si="819">H174+J174+L174+N174+P174+R174+T174</f>
        <v>7.250298</v>
      </c>
      <c r="G174" s="534">
        <v>1.5</v>
      </c>
      <c r="H174" s="507">
        <f t="shared" si="800"/>
        <v>4.746426</v>
      </c>
      <c r="I174" s="534">
        <v>1.5</v>
      </c>
      <c r="J174" s="507">
        <f t="shared" ref="J174" si="820">I174*I$8</f>
        <v>2.503872</v>
      </c>
      <c r="K174" s="534">
        <v>1.5</v>
      </c>
      <c r="L174" s="507">
        <f t="shared" ref="L174" si="821">K174*K$8</f>
        <v>0</v>
      </c>
      <c r="M174" s="534">
        <v>1.5</v>
      </c>
      <c r="N174" s="507">
        <f t="shared" si="803"/>
        <v>0</v>
      </c>
      <c r="O174" s="534">
        <v>1.5</v>
      </c>
      <c r="P174" s="507">
        <f t="shared" si="804"/>
        <v>0</v>
      </c>
      <c r="Q174" s="534">
        <v>1.5</v>
      </c>
      <c r="R174" s="507">
        <f t="shared" si="805"/>
        <v>0</v>
      </c>
      <c r="S174" s="534">
        <v>1.5</v>
      </c>
      <c r="T174" s="507">
        <f t="shared" si="806"/>
        <v>0</v>
      </c>
      <c r="U174" s="534">
        <v>1.5</v>
      </c>
      <c r="V174" s="507">
        <f t="shared" ref="V174" si="822">U174*U$8</f>
        <v>0.049896</v>
      </c>
      <c r="W174" s="534">
        <v>1.5</v>
      </c>
      <c r="X174" s="507">
        <f t="shared" ref="X174" si="823">W174*W$8</f>
        <v>0.0297735</v>
      </c>
      <c r="Y174" s="534">
        <v>1.5</v>
      </c>
      <c r="Z174" s="507">
        <f t="shared" ref="Z174" si="824">Y174*Y$8</f>
        <v>0.01128</v>
      </c>
      <c r="AA174" s="534">
        <v>1.5</v>
      </c>
      <c r="AB174" s="507">
        <f t="shared" ref="AB174" si="825">AA174*AA$8</f>
        <v>0.0301635</v>
      </c>
      <c r="AC174" s="507">
        <f t="shared" si="811"/>
        <v>1.5</v>
      </c>
      <c r="AD174" s="507">
        <f t="shared" si="812"/>
        <v>3.3353265</v>
      </c>
      <c r="AE174" s="534">
        <f>AG174</f>
        <v>1.5</v>
      </c>
      <c r="AF174" s="507">
        <f t="shared" ref="AF174" si="826">AE174*AE$8</f>
        <v>0</v>
      </c>
      <c r="AG174" s="534">
        <v>1.5</v>
      </c>
      <c r="AH174" s="507">
        <f t="shared" ref="AH174" si="827">AG174*AG$8</f>
        <v>0.5917665</v>
      </c>
      <c r="AI174" s="534">
        <v>1.5</v>
      </c>
      <c r="AJ174" s="507">
        <f t="shared" ref="AJ174" si="828">AI174*AI$8</f>
        <v>2.74356</v>
      </c>
      <c r="AK174" s="559"/>
      <c r="AL174" s="560">
        <f t="shared" si="677"/>
        <v>10.7067375</v>
      </c>
      <c r="AM174" s="562"/>
      <c r="AO174" s="405">
        <f t="shared" si="586"/>
        <v>0.121113000000001</v>
      </c>
    </row>
    <row r="175" s="490" customFormat="1" customHeight="1" outlineLevel="2" spans="1:41">
      <c r="A175" s="614" t="s">
        <v>506</v>
      </c>
      <c r="B175" s="525" t="s">
        <v>507</v>
      </c>
      <c r="C175" s="507">
        <f t="shared" si="816"/>
        <v>2.4717203770056</v>
      </c>
      <c r="D175" s="507">
        <f t="shared" si="817"/>
        <v>17.6427075</v>
      </c>
      <c r="E175" s="507">
        <f t="shared" si="818"/>
        <v>2.45892475673925</v>
      </c>
      <c r="F175" s="507">
        <f t="shared" si="819"/>
        <v>12.08383</v>
      </c>
      <c r="G175" s="534">
        <v>2.5</v>
      </c>
      <c r="H175" s="507">
        <f t="shared" si="800"/>
        <v>7.91071</v>
      </c>
      <c r="I175" s="534">
        <v>2.5</v>
      </c>
      <c r="J175" s="507">
        <f t="shared" ref="J175" si="829">I175*I$8</f>
        <v>4.17312</v>
      </c>
      <c r="K175" s="534">
        <v>2.5</v>
      </c>
      <c r="L175" s="507">
        <f t="shared" ref="L175" si="830">K175*K$8</f>
        <v>0</v>
      </c>
      <c r="M175" s="534">
        <v>2.5</v>
      </c>
      <c r="N175" s="507">
        <f t="shared" si="803"/>
        <v>0</v>
      </c>
      <c r="O175" s="534">
        <v>2.5</v>
      </c>
      <c r="P175" s="507">
        <f t="shared" si="804"/>
        <v>0</v>
      </c>
      <c r="Q175" s="534">
        <v>2.5</v>
      </c>
      <c r="R175" s="507">
        <f t="shared" si="805"/>
        <v>0</v>
      </c>
      <c r="S175" s="534">
        <v>2.5</v>
      </c>
      <c r="T175" s="507">
        <f t="shared" si="806"/>
        <v>0</v>
      </c>
      <c r="U175" s="534">
        <v>2.5</v>
      </c>
      <c r="V175" s="507">
        <f t="shared" ref="V175" si="831">U175*U$8</f>
        <v>0.08316</v>
      </c>
      <c r="W175" s="534">
        <v>2.5</v>
      </c>
      <c r="X175" s="507">
        <f t="shared" ref="X175" si="832">W175*W$8</f>
        <v>0.0496225</v>
      </c>
      <c r="Y175" s="534">
        <v>2.5</v>
      </c>
      <c r="Z175" s="507">
        <f t="shared" ref="Z175" si="833">Y175*Y$8</f>
        <v>0.0188</v>
      </c>
      <c r="AA175" s="534">
        <v>2.5</v>
      </c>
      <c r="AB175" s="507">
        <f t="shared" ref="AB175" si="834">AA175*AA$8</f>
        <v>0.0502725</v>
      </c>
      <c r="AC175" s="507">
        <f t="shared" si="811"/>
        <v>2.5</v>
      </c>
      <c r="AD175" s="507">
        <f t="shared" si="812"/>
        <v>5.5588775</v>
      </c>
      <c r="AE175" s="534">
        <f>AG175</f>
        <v>2.5</v>
      </c>
      <c r="AF175" s="507">
        <f t="shared" ref="AF175" si="835">AE175*AE$8</f>
        <v>0</v>
      </c>
      <c r="AG175" s="534">
        <v>2.5</v>
      </c>
      <c r="AH175" s="507">
        <f t="shared" ref="AH175" si="836">AG175*AG$8</f>
        <v>0.9862775</v>
      </c>
      <c r="AI175" s="534">
        <v>2.5</v>
      </c>
      <c r="AJ175" s="507">
        <f t="shared" ref="AJ175" si="837">AI175*AI$8</f>
        <v>4.5726</v>
      </c>
      <c r="AK175" s="559"/>
      <c r="AL175" s="560">
        <f t="shared" si="677"/>
        <v>17.8445625</v>
      </c>
      <c r="AM175" s="562"/>
      <c r="AO175" s="405">
        <f t="shared" si="586"/>
        <v>0.201854999999998</v>
      </c>
    </row>
    <row r="176" s="490" customFormat="1" customHeight="1" outlineLevel="2" spans="1:41">
      <c r="A176" s="614" t="s">
        <v>508</v>
      </c>
      <c r="B176" s="525" t="s">
        <v>509</v>
      </c>
      <c r="C176" s="507">
        <f t="shared" si="816"/>
        <v>0.98868815080224</v>
      </c>
      <c r="D176" s="507">
        <f t="shared" si="817"/>
        <v>7.057083</v>
      </c>
      <c r="E176" s="507">
        <f t="shared" si="818"/>
        <v>0.983569902695698</v>
      </c>
      <c r="F176" s="507">
        <f t="shared" si="819"/>
        <v>4.833532</v>
      </c>
      <c r="G176" s="534">
        <v>1</v>
      </c>
      <c r="H176" s="507">
        <f t="shared" si="800"/>
        <v>3.164284</v>
      </c>
      <c r="I176" s="534">
        <v>1</v>
      </c>
      <c r="J176" s="507">
        <f t="shared" ref="J176" si="838">I176*I$8</f>
        <v>1.669248</v>
      </c>
      <c r="K176" s="534">
        <v>1</v>
      </c>
      <c r="L176" s="507">
        <f t="shared" ref="L176" si="839">K176*K$8</f>
        <v>0</v>
      </c>
      <c r="M176" s="534">
        <v>1</v>
      </c>
      <c r="N176" s="507">
        <f t="shared" si="803"/>
        <v>0</v>
      </c>
      <c r="O176" s="534">
        <v>1</v>
      </c>
      <c r="P176" s="507">
        <f t="shared" si="804"/>
        <v>0</v>
      </c>
      <c r="Q176" s="534">
        <v>1</v>
      </c>
      <c r="R176" s="507">
        <f t="shared" si="805"/>
        <v>0</v>
      </c>
      <c r="S176" s="534">
        <v>1</v>
      </c>
      <c r="T176" s="507">
        <f t="shared" si="806"/>
        <v>0</v>
      </c>
      <c r="U176" s="534">
        <v>1</v>
      </c>
      <c r="V176" s="507">
        <f t="shared" ref="V176" si="840">U176*U$8</f>
        <v>0.033264</v>
      </c>
      <c r="W176" s="534">
        <v>1</v>
      </c>
      <c r="X176" s="507">
        <f t="shared" ref="X176" si="841">W176*W$8</f>
        <v>0.019849</v>
      </c>
      <c r="Y176" s="534">
        <v>1</v>
      </c>
      <c r="Z176" s="507">
        <f t="shared" ref="Z176" si="842">Y176*Y$8</f>
        <v>0.00752</v>
      </c>
      <c r="AA176" s="534">
        <v>1</v>
      </c>
      <c r="AB176" s="507">
        <f t="shared" ref="AB176" si="843">AA176*AA$8</f>
        <v>0.020109</v>
      </c>
      <c r="AC176" s="507">
        <f t="shared" si="811"/>
        <v>1</v>
      </c>
      <c r="AD176" s="507">
        <f t="shared" si="812"/>
        <v>2.223551</v>
      </c>
      <c r="AE176" s="534">
        <f>AG176</f>
        <v>1</v>
      </c>
      <c r="AF176" s="507">
        <f t="shared" ref="AF176" si="844">AE176*AE$8</f>
        <v>0</v>
      </c>
      <c r="AG176" s="534">
        <v>1</v>
      </c>
      <c r="AH176" s="507">
        <f t="shared" ref="AH176" si="845">AG176*AG$8</f>
        <v>0.394511</v>
      </c>
      <c r="AI176" s="534">
        <v>1</v>
      </c>
      <c r="AJ176" s="507">
        <f t="shared" ref="AJ176" si="846">AI176*AI$8</f>
        <v>1.82904</v>
      </c>
      <c r="AK176" s="559"/>
      <c r="AL176" s="560">
        <f t="shared" si="677"/>
        <v>7.137825</v>
      </c>
      <c r="AM176" s="562"/>
      <c r="AO176" s="405">
        <f t="shared" si="586"/>
        <v>0.080741999999999</v>
      </c>
    </row>
    <row r="177" s="490" customFormat="1" customHeight="1" outlineLevel="1" spans="1:41">
      <c r="A177" s="505">
        <v>5.6</v>
      </c>
      <c r="B177" s="506" t="s">
        <v>510</v>
      </c>
      <c r="C177" s="507">
        <f t="shared" si="816"/>
        <v>0</v>
      </c>
      <c r="D177" s="507">
        <f t="shared" si="817"/>
        <v>0</v>
      </c>
      <c r="E177" s="507">
        <f t="shared" si="818"/>
        <v>0</v>
      </c>
      <c r="F177" s="507">
        <f t="shared" si="819"/>
        <v>0</v>
      </c>
      <c r="G177" s="516"/>
      <c r="H177" s="507">
        <f t="shared" si="800"/>
        <v>0</v>
      </c>
      <c r="I177" s="516"/>
      <c r="J177" s="507">
        <f t="shared" ref="J177" si="847">I177*I$8</f>
        <v>0</v>
      </c>
      <c r="K177" s="516"/>
      <c r="L177" s="507">
        <f t="shared" ref="L177" si="848">K177*K$8</f>
        <v>0</v>
      </c>
      <c r="M177" s="516"/>
      <c r="N177" s="507">
        <f t="shared" si="803"/>
        <v>0</v>
      </c>
      <c r="O177" s="516"/>
      <c r="P177" s="507">
        <f t="shared" si="804"/>
        <v>0</v>
      </c>
      <c r="Q177" s="516"/>
      <c r="R177" s="507">
        <f t="shared" si="805"/>
        <v>0</v>
      </c>
      <c r="S177" s="516"/>
      <c r="T177" s="507">
        <f t="shared" si="806"/>
        <v>0</v>
      </c>
      <c r="U177" s="516"/>
      <c r="V177" s="507">
        <f t="shared" ref="V177" si="849">U177*U$8</f>
        <v>0</v>
      </c>
      <c r="W177" s="516"/>
      <c r="X177" s="507">
        <f t="shared" ref="X177" si="850">W177*W$8</f>
        <v>0</v>
      </c>
      <c r="Y177" s="516"/>
      <c r="Z177" s="507">
        <f t="shared" ref="Z177" si="851">Y177*Y$8</f>
        <v>0</v>
      </c>
      <c r="AA177" s="516"/>
      <c r="AB177" s="507">
        <f t="shared" ref="AB177" si="852">AA177*AA$8</f>
        <v>0</v>
      </c>
      <c r="AC177" s="507">
        <f t="shared" si="811"/>
        <v>0</v>
      </c>
      <c r="AD177" s="507">
        <f t="shared" si="812"/>
        <v>0</v>
      </c>
      <c r="AE177" s="516"/>
      <c r="AF177" s="507">
        <f t="shared" ref="AF177" si="853">AE177*AE$8</f>
        <v>0</v>
      </c>
      <c r="AG177" s="516"/>
      <c r="AH177" s="507">
        <f t="shared" ref="AH177" si="854">AG177*AG$8</f>
        <v>0</v>
      </c>
      <c r="AI177" s="516"/>
      <c r="AJ177" s="507">
        <f t="shared" ref="AJ177" si="855">AI177*AI$8</f>
        <v>0</v>
      </c>
      <c r="AK177" s="559"/>
      <c r="AL177" s="560">
        <f t="shared" si="677"/>
        <v>0</v>
      </c>
      <c r="AM177" s="562"/>
      <c r="AO177" s="405">
        <f t="shared" si="586"/>
        <v>0</v>
      </c>
    </row>
    <row r="178" customHeight="1" outlineLevel="1" spans="1:41">
      <c r="A178" s="505">
        <v>5.7</v>
      </c>
      <c r="B178" s="506" t="s">
        <v>511</v>
      </c>
      <c r="C178" s="507">
        <f t="shared" si="816"/>
        <v>0</v>
      </c>
      <c r="D178" s="507">
        <f t="shared" si="817"/>
        <v>0</v>
      </c>
      <c r="E178" s="507">
        <f t="shared" si="818"/>
        <v>0</v>
      </c>
      <c r="F178" s="507">
        <f t="shared" si="819"/>
        <v>0</v>
      </c>
      <c r="G178" s="516"/>
      <c r="H178" s="507">
        <f t="shared" si="800"/>
        <v>0</v>
      </c>
      <c r="I178" s="516"/>
      <c r="J178" s="507">
        <f t="shared" ref="J178" si="856">I178*I$8</f>
        <v>0</v>
      </c>
      <c r="K178" s="516"/>
      <c r="L178" s="507">
        <f t="shared" ref="L178" si="857">K178*K$8</f>
        <v>0</v>
      </c>
      <c r="M178" s="516"/>
      <c r="N178" s="507">
        <f t="shared" si="803"/>
        <v>0</v>
      </c>
      <c r="O178" s="516"/>
      <c r="P178" s="507">
        <f t="shared" si="804"/>
        <v>0</v>
      </c>
      <c r="Q178" s="516"/>
      <c r="R178" s="507">
        <f t="shared" si="805"/>
        <v>0</v>
      </c>
      <c r="S178" s="516"/>
      <c r="T178" s="507">
        <f t="shared" si="806"/>
        <v>0</v>
      </c>
      <c r="U178" s="516"/>
      <c r="V178" s="507">
        <f t="shared" ref="V178" si="858">U178*U$8</f>
        <v>0</v>
      </c>
      <c r="W178" s="516"/>
      <c r="X178" s="507">
        <f t="shared" ref="X178" si="859">W178*W$8</f>
        <v>0</v>
      </c>
      <c r="Y178" s="516"/>
      <c r="Z178" s="507">
        <f t="shared" ref="Z178" si="860">Y178*Y$8</f>
        <v>0</v>
      </c>
      <c r="AA178" s="516"/>
      <c r="AB178" s="507">
        <f t="shared" ref="AB178" si="861">AA178*AA$8</f>
        <v>0</v>
      </c>
      <c r="AC178" s="507">
        <f t="shared" si="811"/>
        <v>0</v>
      </c>
      <c r="AD178" s="507">
        <f t="shared" si="812"/>
        <v>0</v>
      </c>
      <c r="AE178" s="516"/>
      <c r="AF178" s="507">
        <f t="shared" ref="AF178" si="862">AE178*AE$8</f>
        <v>0</v>
      </c>
      <c r="AG178" s="516"/>
      <c r="AH178" s="507">
        <f t="shared" ref="AH178" si="863">AG178*AG$8</f>
        <v>0</v>
      </c>
      <c r="AI178" s="516"/>
      <c r="AJ178" s="507">
        <f t="shared" ref="AJ178" si="864">AI178*AI$8</f>
        <v>0</v>
      </c>
      <c r="AK178" s="559"/>
      <c r="AL178" s="560">
        <f t="shared" si="677"/>
        <v>0</v>
      </c>
      <c r="AM178" s="557"/>
      <c r="AO178" s="405">
        <f t="shared" si="586"/>
        <v>0</v>
      </c>
    </row>
    <row r="179" customHeight="1" outlineLevel="1" spans="1:41">
      <c r="A179" s="505">
        <v>5.8</v>
      </c>
      <c r="B179" s="506" t="s">
        <v>512</v>
      </c>
      <c r="C179" s="507">
        <f t="shared" si="816"/>
        <v>0</v>
      </c>
      <c r="D179" s="507">
        <f t="shared" si="817"/>
        <v>0</v>
      </c>
      <c r="E179" s="507">
        <f t="shared" si="818"/>
        <v>0</v>
      </c>
      <c r="F179" s="507">
        <f t="shared" si="819"/>
        <v>0</v>
      </c>
      <c r="G179" s="516"/>
      <c r="H179" s="507">
        <f t="shared" si="800"/>
        <v>0</v>
      </c>
      <c r="I179" s="516"/>
      <c r="J179" s="507">
        <f t="shared" ref="J179" si="865">I179*I$8</f>
        <v>0</v>
      </c>
      <c r="K179" s="516"/>
      <c r="L179" s="507">
        <f t="shared" ref="L179" si="866">K179*K$8</f>
        <v>0</v>
      </c>
      <c r="M179" s="516"/>
      <c r="N179" s="507">
        <f t="shared" si="803"/>
        <v>0</v>
      </c>
      <c r="O179" s="516"/>
      <c r="P179" s="507">
        <f t="shared" si="804"/>
        <v>0</v>
      </c>
      <c r="Q179" s="516"/>
      <c r="R179" s="507">
        <f t="shared" si="805"/>
        <v>0</v>
      </c>
      <c r="S179" s="516"/>
      <c r="T179" s="507">
        <f t="shared" si="806"/>
        <v>0</v>
      </c>
      <c r="U179" s="516"/>
      <c r="V179" s="507">
        <f t="shared" ref="V179" si="867">U179*U$8</f>
        <v>0</v>
      </c>
      <c r="W179" s="516"/>
      <c r="X179" s="507">
        <f t="shared" ref="X179" si="868">W179*W$8</f>
        <v>0</v>
      </c>
      <c r="Y179" s="516"/>
      <c r="Z179" s="507">
        <f t="shared" ref="Z179" si="869">Y179*Y$8</f>
        <v>0</v>
      </c>
      <c r="AA179" s="516"/>
      <c r="AB179" s="507">
        <f t="shared" ref="AB179" si="870">AA179*AA$8</f>
        <v>0</v>
      </c>
      <c r="AC179" s="507">
        <f t="shared" si="811"/>
        <v>0</v>
      </c>
      <c r="AD179" s="507">
        <f t="shared" si="812"/>
        <v>0</v>
      </c>
      <c r="AE179" s="516"/>
      <c r="AF179" s="507">
        <f t="shared" ref="AF179" si="871">AE179*AE$8</f>
        <v>0</v>
      </c>
      <c r="AG179" s="516"/>
      <c r="AH179" s="507">
        <f t="shared" ref="AH179" si="872">AG179*AG$8</f>
        <v>0</v>
      </c>
      <c r="AI179" s="516"/>
      <c r="AJ179" s="507">
        <f t="shared" ref="AJ179" si="873">AI179*AI$8</f>
        <v>0</v>
      </c>
      <c r="AK179" s="559"/>
      <c r="AL179" s="560">
        <f t="shared" si="677"/>
        <v>0</v>
      </c>
      <c r="AM179" s="557"/>
      <c r="AO179" s="405">
        <f t="shared" si="586"/>
        <v>0</v>
      </c>
    </row>
    <row r="180" customHeight="1" outlineLevel="1" spans="1:41">
      <c r="A180" s="505">
        <v>5.9</v>
      </c>
      <c r="B180" s="506" t="s">
        <v>513</v>
      </c>
      <c r="C180" s="507">
        <f t="shared" si="816"/>
        <v>0</v>
      </c>
      <c r="D180" s="507">
        <f t="shared" si="817"/>
        <v>0</v>
      </c>
      <c r="E180" s="507">
        <f t="shared" si="818"/>
        <v>0</v>
      </c>
      <c r="F180" s="507">
        <f t="shared" si="819"/>
        <v>0</v>
      </c>
      <c r="G180" s="516"/>
      <c r="H180" s="507">
        <f t="shared" si="800"/>
        <v>0</v>
      </c>
      <c r="I180" s="516"/>
      <c r="J180" s="507">
        <f t="shared" ref="J180" si="874">I180*I$8</f>
        <v>0</v>
      </c>
      <c r="K180" s="516"/>
      <c r="L180" s="507">
        <f t="shared" ref="L180" si="875">K180*K$8</f>
        <v>0</v>
      </c>
      <c r="M180" s="516"/>
      <c r="N180" s="507">
        <f t="shared" si="803"/>
        <v>0</v>
      </c>
      <c r="O180" s="516"/>
      <c r="P180" s="507">
        <f t="shared" si="804"/>
        <v>0</v>
      </c>
      <c r="Q180" s="516"/>
      <c r="R180" s="507">
        <f t="shared" si="805"/>
        <v>0</v>
      </c>
      <c r="S180" s="516"/>
      <c r="T180" s="507">
        <f t="shared" si="806"/>
        <v>0</v>
      </c>
      <c r="U180" s="516"/>
      <c r="V180" s="507">
        <f t="shared" ref="V180" si="876">U180*U$8</f>
        <v>0</v>
      </c>
      <c r="W180" s="516"/>
      <c r="X180" s="507">
        <f t="shared" ref="X180" si="877">W180*W$8</f>
        <v>0</v>
      </c>
      <c r="Y180" s="516"/>
      <c r="Z180" s="507">
        <f t="shared" ref="Z180" si="878">Y180*Y$8</f>
        <v>0</v>
      </c>
      <c r="AA180" s="516"/>
      <c r="AB180" s="507">
        <f t="shared" ref="AB180" si="879">AA180*AA$8</f>
        <v>0</v>
      </c>
      <c r="AC180" s="507">
        <f t="shared" si="811"/>
        <v>0</v>
      </c>
      <c r="AD180" s="507">
        <f t="shared" si="812"/>
        <v>0</v>
      </c>
      <c r="AE180" s="516"/>
      <c r="AF180" s="507">
        <f t="shared" ref="AF180" si="880">AE180*AE$8</f>
        <v>0</v>
      </c>
      <c r="AG180" s="516"/>
      <c r="AH180" s="507">
        <f t="shared" ref="AH180" si="881">AG180*AG$8</f>
        <v>0</v>
      </c>
      <c r="AI180" s="516"/>
      <c r="AJ180" s="507">
        <f t="shared" ref="AJ180" si="882">AI180*AI$8</f>
        <v>0</v>
      </c>
      <c r="AK180" s="559"/>
      <c r="AL180" s="560">
        <f t="shared" si="677"/>
        <v>0</v>
      </c>
      <c r="AM180" s="557"/>
      <c r="AO180" s="405">
        <f t="shared" si="586"/>
        <v>0</v>
      </c>
    </row>
    <row r="181" customHeight="1" spans="1:41">
      <c r="A181" s="612">
        <v>6</v>
      </c>
      <c r="B181" s="615" t="s">
        <v>514</v>
      </c>
      <c r="C181" s="613">
        <f>SUM(C182:C185)</f>
        <v>68.7151853658137</v>
      </c>
      <c r="D181" s="613">
        <f>SUM(D182:D185)</f>
        <v>490.476967983739</v>
      </c>
      <c r="E181" s="613">
        <f t="shared" ref="E181:AJ181" si="883">SUM(E182:E185)</f>
        <v>76.5426725252258</v>
      </c>
      <c r="F181" s="613">
        <f t="shared" si="883"/>
        <v>376.151665481231</v>
      </c>
      <c r="G181" s="613">
        <f t="shared" si="883"/>
        <v>75.710657151028</v>
      </c>
      <c r="H181" s="613">
        <f t="shared" si="883"/>
        <v>239.570021052484</v>
      </c>
      <c r="I181" s="613">
        <f t="shared" si="883"/>
        <v>81.8222603404334</v>
      </c>
      <c r="J181" s="613">
        <f t="shared" si="883"/>
        <v>136.581644428748</v>
      </c>
      <c r="K181" s="613">
        <f t="shared" si="883"/>
        <v>234.754535613597</v>
      </c>
      <c r="L181" s="613">
        <f t="shared" si="883"/>
        <v>0</v>
      </c>
      <c r="M181" s="613">
        <f t="shared" si="883"/>
        <v>138.512084205951</v>
      </c>
      <c r="N181" s="613">
        <f t="shared" si="883"/>
        <v>0</v>
      </c>
      <c r="O181" s="613">
        <f t="shared" si="883"/>
        <v>265.545055353504</v>
      </c>
      <c r="P181" s="613">
        <f t="shared" si="883"/>
        <v>0</v>
      </c>
      <c r="Q181" s="613">
        <f t="shared" si="883"/>
        <v>39.0342190396234</v>
      </c>
      <c r="R181" s="613">
        <f t="shared" si="883"/>
        <v>0</v>
      </c>
      <c r="S181" s="613">
        <f t="shared" si="883"/>
        <v>98.2929039616556</v>
      </c>
      <c r="T181" s="613">
        <f t="shared" si="883"/>
        <v>0</v>
      </c>
      <c r="U181" s="613">
        <f t="shared" si="883"/>
        <v>52.3763378813924</v>
      </c>
      <c r="V181" s="613">
        <f t="shared" si="883"/>
        <v>1.74224650328664</v>
      </c>
      <c r="W181" s="613">
        <f t="shared" si="883"/>
        <v>51.94140793477</v>
      </c>
      <c r="X181" s="613">
        <f t="shared" si="883"/>
        <v>1.03098500609725</v>
      </c>
      <c r="Y181" s="613">
        <f t="shared" si="883"/>
        <v>52.3763378813924</v>
      </c>
      <c r="Z181" s="613">
        <f t="shared" si="883"/>
        <v>0.393870060868071</v>
      </c>
      <c r="AA181" s="613">
        <f t="shared" si="883"/>
        <v>52.3763378813924</v>
      </c>
      <c r="AB181" s="613">
        <f t="shared" si="883"/>
        <v>1.05323577845692</v>
      </c>
      <c r="AC181" s="613">
        <f t="shared" si="883"/>
        <v>51.4156421429093</v>
      </c>
      <c r="AD181" s="613">
        <f t="shared" si="883"/>
        <v>114.325302502508</v>
      </c>
      <c r="AE181" s="613">
        <f t="shared" si="883"/>
        <v>49.9883378813924</v>
      </c>
      <c r="AF181" s="613">
        <f t="shared" si="883"/>
        <v>0</v>
      </c>
      <c r="AG181" s="613">
        <f t="shared" si="883"/>
        <v>56.9063378813924</v>
      </c>
      <c r="AH181" s="613">
        <f t="shared" si="883"/>
        <v>22.450176263926</v>
      </c>
      <c r="AI181" s="613">
        <f t="shared" si="883"/>
        <v>50.2313378813924</v>
      </c>
      <c r="AJ181" s="613">
        <f t="shared" si="883"/>
        <v>91.875126238582</v>
      </c>
      <c r="AK181" s="559"/>
      <c r="AL181" s="560">
        <f t="shared" si="677"/>
        <v>494.697305332448</v>
      </c>
      <c r="AM181" s="557"/>
      <c r="AO181" s="405">
        <f t="shared" si="586"/>
        <v>4.22033734870882</v>
      </c>
    </row>
    <row r="182" s="490" customFormat="1" customHeight="1" outlineLevel="1" spans="1:41">
      <c r="A182" s="505">
        <v>6.1</v>
      </c>
      <c r="B182" s="506" t="s">
        <v>515</v>
      </c>
      <c r="C182" s="507">
        <f>D182/$C$8</f>
        <v>0</v>
      </c>
      <c r="D182" s="507">
        <f>F182+AD182</f>
        <v>0</v>
      </c>
      <c r="E182" s="507">
        <f>F182/$E$8</f>
        <v>0</v>
      </c>
      <c r="F182" s="507">
        <f>H182+J182+L182+N182+P182+R182+T182+V182+X182+Z182+AB182</f>
        <v>0</v>
      </c>
      <c r="G182" s="516"/>
      <c r="H182" s="507">
        <f>G182*G$8</f>
        <v>0</v>
      </c>
      <c r="I182" s="516"/>
      <c r="J182" s="507">
        <f t="shared" ref="J182" si="884">I182*I$8</f>
        <v>0</v>
      </c>
      <c r="K182" s="516"/>
      <c r="L182" s="507">
        <f t="shared" ref="L182" si="885">K182*K$8</f>
        <v>0</v>
      </c>
      <c r="M182" s="516"/>
      <c r="N182" s="507">
        <f t="shared" ref="N182:N185" si="886">M182*M$8</f>
        <v>0</v>
      </c>
      <c r="O182" s="516"/>
      <c r="P182" s="507">
        <f t="shared" ref="P182:P185" si="887">O182*O$8</f>
        <v>0</v>
      </c>
      <c r="Q182" s="516"/>
      <c r="R182" s="507">
        <f t="shared" ref="R182:R185" si="888">Q182*Q$8</f>
        <v>0</v>
      </c>
      <c r="S182" s="516"/>
      <c r="T182" s="507">
        <f t="shared" ref="T182:T185" si="889">S182*S$8</f>
        <v>0</v>
      </c>
      <c r="U182" s="516"/>
      <c r="V182" s="507">
        <f t="shared" ref="V182" si="890">U182*U$8</f>
        <v>0</v>
      </c>
      <c r="W182" s="516"/>
      <c r="X182" s="507">
        <f t="shared" ref="X182" si="891">W182*W$8</f>
        <v>0</v>
      </c>
      <c r="Y182" s="516"/>
      <c r="Z182" s="507">
        <f t="shared" ref="Z182" si="892">Y182*Y$8</f>
        <v>0</v>
      </c>
      <c r="AA182" s="516"/>
      <c r="AB182" s="507">
        <f t="shared" ref="AB182" si="893">AA182*AA$8</f>
        <v>0</v>
      </c>
      <c r="AC182" s="507">
        <f>AD182/AC$8</f>
        <v>0</v>
      </c>
      <c r="AD182" s="507">
        <f>AF182*0+AH182+AJ182</f>
        <v>0</v>
      </c>
      <c r="AE182" s="516"/>
      <c r="AF182" s="507">
        <f t="shared" ref="AF182" si="894">AE182*AE$8</f>
        <v>0</v>
      </c>
      <c r="AG182" s="516"/>
      <c r="AH182" s="507">
        <f t="shared" ref="AH182" si="895">AG182*AG$8</f>
        <v>0</v>
      </c>
      <c r="AI182" s="516"/>
      <c r="AJ182" s="507">
        <f t="shared" ref="AJ182" si="896">AI182*AI$8</f>
        <v>0</v>
      </c>
      <c r="AK182" s="559"/>
      <c r="AL182" s="560">
        <f t="shared" si="677"/>
        <v>0</v>
      </c>
      <c r="AM182" s="562"/>
      <c r="AO182" s="405">
        <f t="shared" si="586"/>
        <v>0</v>
      </c>
    </row>
    <row r="183" s="490" customFormat="1" customHeight="1" outlineLevel="1" spans="1:41">
      <c r="A183" s="505">
        <v>6.2</v>
      </c>
      <c r="B183" s="506" t="s">
        <v>516</v>
      </c>
      <c r="C183" s="507">
        <f>D183/$C$8</f>
        <v>0</v>
      </c>
      <c r="D183" s="507">
        <f>F183+AD183</f>
        <v>0</v>
      </c>
      <c r="E183" s="507">
        <f>F183/$E$8</f>
        <v>0</v>
      </c>
      <c r="F183" s="507">
        <f>H183+J183+L183+N183+P183+R183+T183+V183+X183+Z183+AB183</f>
        <v>0</v>
      </c>
      <c r="G183" s="516"/>
      <c r="H183" s="507">
        <f>G183*G$8</f>
        <v>0</v>
      </c>
      <c r="I183" s="516"/>
      <c r="J183" s="507">
        <f t="shared" ref="J183" si="897">I183*I$8</f>
        <v>0</v>
      </c>
      <c r="K183" s="516"/>
      <c r="L183" s="507">
        <f t="shared" ref="L183" si="898">K183*K$8</f>
        <v>0</v>
      </c>
      <c r="M183" s="516"/>
      <c r="N183" s="507">
        <f t="shared" si="886"/>
        <v>0</v>
      </c>
      <c r="O183" s="516"/>
      <c r="P183" s="507">
        <f t="shared" si="887"/>
        <v>0</v>
      </c>
      <c r="Q183" s="516"/>
      <c r="R183" s="507">
        <f t="shared" si="888"/>
        <v>0</v>
      </c>
      <c r="S183" s="516"/>
      <c r="T183" s="507">
        <f t="shared" si="889"/>
        <v>0</v>
      </c>
      <c r="U183" s="516"/>
      <c r="V183" s="507">
        <f t="shared" ref="V183" si="899">U183*U$8</f>
        <v>0</v>
      </c>
      <c r="W183" s="516"/>
      <c r="X183" s="507">
        <f t="shared" ref="X183" si="900">W183*W$8</f>
        <v>0</v>
      </c>
      <c r="Y183" s="516"/>
      <c r="Z183" s="507">
        <f t="shared" ref="Z183" si="901">Y183*Y$8</f>
        <v>0</v>
      </c>
      <c r="AA183" s="516"/>
      <c r="AB183" s="507">
        <f t="shared" ref="AB183" si="902">AA183*AA$8</f>
        <v>0</v>
      </c>
      <c r="AC183" s="507">
        <f>AD183/AC$8</f>
        <v>0</v>
      </c>
      <c r="AD183" s="507">
        <f>AF183*0+AH183+AJ183</f>
        <v>0</v>
      </c>
      <c r="AE183" s="516"/>
      <c r="AF183" s="507">
        <f t="shared" ref="AF183" si="903">AE183*AE$8</f>
        <v>0</v>
      </c>
      <c r="AG183" s="516"/>
      <c r="AH183" s="507">
        <f t="shared" ref="AH183" si="904">AG183*AG$8</f>
        <v>0</v>
      </c>
      <c r="AI183" s="516"/>
      <c r="AJ183" s="507">
        <f t="shared" ref="AJ183" si="905">AI183*AI$8</f>
        <v>0</v>
      </c>
      <c r="AK183" s="559"/>
      <c r="AL183" s="560">
        <f t="shared" si="677"/>
        <v>0</v>
      </c>
      <c r="AM183" s="562"/>
      <c r="AO183" s="405">
        <f t="shared" si="586"/>
        <v>0</v>
      </c>
    </row>
    <row r="184" s="490" customFormat="1" customHeight="1" outlineLevel="1" spans="1:41">
      <c r="A184" s="505">
        <v>6.3</v>
      </c>
      <c r="B184" s="506" t="s">
        <v>517</v>
      </c>
      <c r="C184" s="507">
        <f>D184/$C$8</f>
        <v>0</v>
      </c>
      <c r="D184" s="507">
        <f>F184+AD184</f>
        <v>0</v>
      </c>
      <c r="E184" s="507">
        <f>F184/$E$8</f>
        <v>0</v>
      </c>
      <c r="F184" s="507">
        <f>H184+J184+L184+N184+P184+R184+T184+V184+X184+Z184+AB184</f>
        <v>0</v>
      </c>
      <c r="G184" s="516"/>
      <c r="H184" s="507">
        <f>G184*G$8</f>
        <v>0</v>
      </c>
      <c r="I184" s="516"/>
      <c r="J184" s="507">
        <f t="shared" ref="J184" si="906">I184*I$8</f>
        <v>0</v>
      </c>
      <c r="K184" s="516"/>
      <c r="L184" s="507">
        <f t="shared" ref="L184" si="907">K184*K$8</f>
        <v>0</v>
      </c>
      <c r="M184" s="516"/>
      <c r="N184" s="507">
        <f t="shared" si="886"/>
        <v>0</v>
      </c>
      <c r="O184" s="516"/>
      <c r="P184" s="507">
        <f t="shared" si="887"/>
        <v>0</v>
      </c>
      <c r="Q184" s="516"/>
      <c r="R184" s="507">
        <f t="shared" si="888"/>
        <v>0</v>
      </c>
      <c r="S184" s="516"/>
      <c r="T184" s="507">
        <f t="shared" si="889"/>
        <v>0</v>
      </c>
      <c r="U184" s="516"/>
      <c r="V184" s="507">
        <f t="shared" ref="V184" si="908">U184*U$8</f>
        <v>0</v>
      </c>
      <c r="W184" s="516"/>
      <c r="X184" s="507">
        <f t="shared" ref="X184" si="909">W184*W$8</f>
        <v>0</v>
      </c>
      <c r="Y184" s="516"/>
      <c r="Z184" s="507">
        <f t="shared" ref="Z184" si="910">Y184*Y$8</f>
        <v>0</v>
      </c>
      <c r="AA184" s="516"/>
      <c r="AB184" s="507">
        <f t="shared" ref="AB184" si="911">AA184*AA$8</f>
        <v>0</v>
      </c>
      <c r="AC184" s="507">
        <f>AD184/AC$8</f>
        <v>0</v>
      </c>
      <c r="AD184" s="507">
        <f>AF184*0+AH184+AJ184</f>
        <v>0</v>
      </c>
      <c r="AE184" s="516"/>
      <c r="AF184" s="507">
        <f t="shared" ref="AF184" si="912">AE184*AE$8</f>
        <v>0</v>
      </c>
      <c r="AG184" s="516"/>
      <c r="AH184" s="507">
        <f t="shared" ref="AH184" si="913">AG184*AG$8</f>
        <v>0</v>
      </c>
      <c r="AI184" s="516"/>
      <c r="AJ184" s="507">
        <f t="shared" ref="AJ184" si="914">AI184*AI$8</f>
        <v>0</v>
      </c>
      <c r="AK184" s="559"/>
      <c r="AL184" s="560">
        <f t="shared" si="677"/>
        <v>0</v>
      </c>
      <c r="AM184" s="562"/>
      <c r="AO184" s="405">
        <f t="shared" si="586"/>
        <v>0</v>
      </c>
    </row>
    <row r="185" s="490" customFormat="1" customHeight="1" outlineLevel="1" spans="1:41">
      <c r="A185" s="505">
        <v>6.4</v>
      </c>
      <c r="B185" s="506" t="s">
        <v>212</v>
      </c>
      <c r="C185" s="507">
        <f>D185/$C$8</f>
        <v>68.7151853658137</v>
      </c>
      <c r="D185" s="507">
        <f>F185+AD185</f>
        <v>490.476967983739</v>
      </c>
      <c r="E185" s="507">
        <f>F185/$E$8</f>
        <v>76.5426725252258</v>
      </c>
      <c r="F185" s="507">
        <f>H185+J185+L185+N185+P185+R185+T185</f>
        <v>376.151665481231</v>
      </c>
      <c r="G185" s="516">
        <f>(G19+G72+G111+G164)*0.015</f>
        <v>75.710657151028</v>
      </c>
      <c r="H185" s="507">
        <f>G185*G$8</f>
        <v>239.570021052484</v>
      </c>
      <c r="I185" s="516">
        <f>(I19+I72+I111+I164)*0.015</f>
        <v>81.8222603404334</v>
      </c>
      <c r="J185" s="507">
        <f t="shared" ref="J185" si="915">I185*I$8</f>
        <v>136.581644428748</v>
      </c>
      <c r="K185" s="516">
        <f>(K19+K72+K111+K164)*0.05</f>
        <v>234.754535613597</v>
      </c>
      <c r="L185" s="507">
        <f t="shared" ref="L185" si="916">K185*K$8</f>
        <v>0</v>
      </c>
      <c r="M185" s="516">
        <f>(M19+M72+M111+M164)*0.03</f>
        <v>138.512084205951</v>
      </c>
      <c r="N185" s="507">
        <f t="shared" si="886"/>
        <v>0</v>
      </c>
      <c r="O185" s="516">
        <f>(O19+O72+O111+O164)*0.05</f>
        <v>265.545055353504</v>
      </c>
      <c r="P185" s="507">
        <f t="shared" si="887"/>
        <v>0</v>
      </c>
      <c r="Q185" s="516">
        <f>(Q19+Q72+Q111+Q164)*0.03</f>
        <v>39.0342190396234</v>
      </c>
      <c r="R185" s="507">
        <f t="shared" si="888"/>
        <v>0</v>
      </c>
      <c r="S185" s="516">
        <f>(S19+S72+S111+S164)*0.015</f>
        <v>98.2929039616556</v>
      </c>
      <c r="T185" s="507">
        <f t="shared" si="889"/>
        <v>0</v>
      </c>
      <c r="U185" s="516">
        <f>(U19+U72+U111+U164)*0.015</f>
        <v>52.3763378813924</v>
      </c>
      <c r="V185" s="507">
        <f t="shared" ref="V185" si="917">U185*U$8</f>
        <v>1.74224650328664</v>
      </c>
      <c r="W185" s="516">
        <f>(W19+W72+W111+W164)*0.015</f>
        <v>51.94140793477</v>
      </c>
      <c r="X185" s="507">
        <f t="shared" ref="X185" si="918">W185*W$8</f>
        <v>1.03098500609725</v>
      </c>
      <c r="Y185" s="516">
        <f>(Y19+Y72+Y111+Y164)*0.015</f>
        <v>52.3763378813924</v>
      </c>
      <c r="Z185" s="507">
        <f t="shared" ref="Z185" si="919">Y185*Y$8</f>
        <v>0.393870060868071</v>
      </c>
      <c r="AA185" s="516">
        <f>(AA19+AA72+AA111+AA164)*0.015</f>
        <v>52.3763378813924</v>
      </c>
      <c r="AB185" s="507">
        <f t="shared" ref="AB185" si="920">AA185*AA$8</f>
        <v>1.05323577845692</v>
      </c>
      <c r="AC185" s="507">
        <f>AD185/AC$8</f>
        <v>51.4156421429093</v>
      </c>
      <c r="AD185" s="507">
        <f>AF185*0+AH185+AJ185</f>
        <v>114.325302502508</v>
      </c>
      <c r="AE185" s="516">
        <f>(AE19+AE72+AE111+AE164)*0.015</f>
        <v>49.9883378813924</v>
      </c>
      <c r="AF185" s="507">
        <f t="shared" ref="AF185" si="921">AE185*AE$8</f>
        <v>0</v>
      </c>
      <c r="AG185" s="516">
        <f>(AG19+AG72+AG111+AG164)*0.015</f>
        <v>56.9063378813924</v>
      </c>
      <c r="AH185" s="507">
        <f t="shared" ref="AH185" si="922">AG185*AG$8</f>
        <v>22.450176263926</v>
      </c>
      <c r="AI185" s="516">
        <f>(AI19+AI72+AI111+AI164)*0.015</f>
        <v>50.2313378813924</v>
      </c>
      <c r="AJ185" s="507">
        <f t="shared" ref="AJ185" si="923">AI185*AI$8</f>
        <v>91.875126238582</v>
      </c>
      <c r="AK185" s="559"/>
      <c r="AL185" s="560">
        <f t="shared" si="677"/>
        <v>494.697305332448</v>
      </c>
      <c r="AM185" s="562"/>
      <c r="AO185" s="405">
        <f t="shared" si="586"/>
        <v>4.22033734870882</v>
      </c>
    </row>
    <row r="186" customHeight="1" spans="1:42">
      <c r="A186" s="612" t="s">
        <v>518</v>
      </c>
      <c r="B186" s="616" t="s">
        <v>519</v>
      </c>
      <c r="C186" s="616">
        <f>C10+C19+C72+C111+C164+C181</f>
        <v>7820.64096000983</v>
      </c>
      <c r="D186" s="616">
        <f>D10+D19+D72+D111+D164+D181</f>
        <v>55488.6550839711</v>
      </c>
      <c r="E186" s="617">
        <f t="shared" ref="E186:AJ186" si="924">E10+E19+E72+E111+E164+E181</f>
        <v>9797.63229319525</v>
      </c>
      <c r="F186" s="616">
        <f t="shared" si="924"/>
        <v>47752.6429479681</v>
      </c>
      <c r="G186" s="618">
        <f t="shared" si="924"/>
        <v>9736.63201288833</v>
      </c>
      <c r="H186" s="616">
        <f t="shared" si="924"/>
        <v>30809.4688922703</v>
      </c>
      <c r="I186" s="618">
        <f t="shared" si="924"/>
        <v>10150.1838287048</v>
      </c>
      <c r="J186" s="616">
        <f t="shared" si="924"/>
        <v>16943.1740556978</v>
      </c>
      <c r="K186" s="616">
        <f t="shared" si="924"/>
        <v>9543.38946022098</v>
      </c>
      <c r="L186" s="616">
        <f t="shared" si="924"/>
        <v>0</v>
      </c>
      <c r="M186" s="616">
        <f t="shared" si="924"/>
        <v>9369.12577007309</v>
      </c>
      <c r="N186" s="616">
        <f t="shared" si="924"/>
        <v>0</v>
      </c>
      <c r="O186" s="616">
        <f t="shared" si="924"/>
        <v>10189.990374759</v>
      </c>
      <c r="P186" s="616">
        <f t="shared" si="924"/>
        <v>0</v>
      </c>
      <c r="Q186" s="616">
        <f t="shared" si="924"/>
        <v>5953.71906602917</v>
      </c>
      <c r="R186" s="616">
        <f t="shared" si="924"/>
        <v>0</v>
      </c>
      <c r="S186" s="616">
        <f t="shared" si="924"/>
        <v>11264.6973804075</v>
      </c>
      <c r="T186" s="616">
        <f t="shared" si="924"/>
        <v>0</v>
      </c>
      <c r="U186" s="616">
        <f t="shared" si="924"/>
        <v>3544.13219664089</v>
      </c>
      <c r="V186" s="616">
        <f t="shared" si="924"/>
        <v>117.892013389063</v>
      </c>
      <c r="W186" s="616">
        <f t="shared" si="924"/>
        <v>3514.70193691944</v>
      </c>
      <c r="X186" s="616">
        <f t="shared" si="924"/>
        <v>69.763318745914</v>
      </c>
      <c r="Y186" s="616">
        <f t="shared" si="924"/>
        <v>3544.13219664089</v>
      </c>
      <c r="Z186" s="616">
        <f t="shared" si="924"/>
        <v>26.6518741187395</v>
      </c>
      <c r="AA186" s="616">
        <f t="shared" si="924"/>
        <v>3544.13219664089</v>
      </c>
      <c r="AB186" s="616">
        <f t="shared" si="924"/>
        <v>71.2689543422516</v>
      </c>
      <c r="AC186" s="618">
        <f t="shared" si="924"/>
        <v>3459.12511833686</v>
      </c>
      <c r="AD186" s="616">
        <f t="shared" si="924"/>
        <v>7736.01213600305</v>
      </c>
      <c r="AE186" s="616">
        <f t="shared" si="924"/>
        <v>3382.54419664089</v>
      </c>
      <c r="AF186" s="616">
        <f t="shared" si="924"/>
        <v>0</v>
      </c>
      <c r="AG186" s="618">
        <f t="shared" si="924"/>
        <v>3850.66219664089</v>
      </c>
      <c r="AH186" s="616">
        <f t="shared" si="924"/>
        <v>1519.12859385899</v>
      </c>
      <c r="AI186" s="618">
        <f t="shared" si="924"/>
        <v>3398.98719664089</v>
      </c>
      <c r="AJ186" s="616">
        <f t="shared" si="924"/>
        <v>6216.88354214405</v>
      </c>
      <c r="AK186" s="620"/>
      <c r="AL186" s="621">
        <f t="shared" si="677"/>
        <v>55774.2312445671</v>
      </c>
      <c r="AM186" s="557">
        <f>F186+AD186</f>
        <v>55488.6550839712</v>
      </c>
      <c r="AN186" s="405">
        <f>H186+J186+P186+T186+V186+X186+Z186+AB186</f>
        <v>48038.2191085641</v>
      </c>
      <c r="AO186" s="405">
        <f>AJ186+AH186</f>
        <v>7736.01213600304</v>
      </c>
      <c r="AP186" s="405">
        <f>AJ186+AH186+AB186+Z186+X186+V186+T186+P186+J186+H186</f>
        <v>55774.2312445671</v>
      </c>
    </row>
    <row r="187" ht="17.25" customHeight="1" spans="1:47">
      <c r="A187" s="612">
        <v>1</v>
      </c>
      <c r="B187" s="616" t="s">
        <v>520</v>
      </c>
      <c r="C187" s="616">
        <f>D187/C8</f>
        <v>289.00382164529</v>
      </c>
      <c r="D187" s="616">
        <f>项目资金筹措!C20</f>
        <v>2062.8587032353</v>
      </c>
      <c r="E187" s="616">
        <f>F187/E8</f>
        <v>361.246234680231</v>
      </c>
      <c r="F187" s="616">
        <f>$D$187*F186/$D$186</f>
        <v>1775.26297868696</v>
      </c>
      <c r="G187" s="616">
        <f>H187/G8</f>
        <v>361.971218397544</v>
      </c>
      <c r="H187" s="616">
        <f>$D$187*H186/$D$186</f>
        <v>1145.37973483586</v>
      </c>
      <c r="I187" s="616">
        <f>J187/I8</f>
        <v>377.345513579229</v>
      </c>
      <c r="J187" s="616">
        <f>$D$187*J186/$D$186</f>
        <v>629.883243851101</v>
      </c>
      <c r="K187" s="616" t="e">
        <f>L187/K8</f>
        <v>#DIV/0!</v>
      </c>
      <c r="L187" s="616">
        <f>$D$187*L186/$D$186</f>
        <v>0</v>
      </c>
      <c r="M187" s="616" t="e">
        <f>N187/M8</f>
        <v>#DIV/0!</v>
      </c>
      <c r="N187" s="616">
        <f t="shared" ref="N187" si="925">$D$187*N186/$D$186</f>
        <v>0</v>
      </c>
      <c r="O187" s="616" t="e">
        <f>P187/O8</f>
        <v>#DIV/0!</v>
      </c>
      <c r="P187" s="616">
        <f>$D$187*P186/$D$186</f>
        <v>0</v>
      </c>
      <c r="Q187" s="616">
        <v>0</v>
      </c>
      <c r="R187" s="616">
        <f t="shared" ref="R187" si="926">$D$187*R186/$D$186</f>
        <v>0</v>
      </c>
      <c r="S187" s="616" t="e">
        <f>T187/S8</f>
        <v>#DIV/0!</v>
      </c>
      <c r="T187" s="616">
        <f>$D$187*T186/$D$186</f>
        <v>0</v>
      </c>
      <c r="U187" s="616">
        <f>V187/U8</f>
        <v>131.757454495758</v>
      </c>
      <c r="V187" s="616">
        <f>$D$187*V186/$D$186</f>
        <v>4.38277996634689</v>
      </c>
      <c r="W187" s="616">
        <f>X187/W8</f>
        <v>130.663348550804</v>
      </c>
      <c r="X187" s="616">
        <f>$D$187*X186/$D$186</f>
        <v>2.5935368053849</v>
      </c>
      <c r="Y187" s="616">
        <f>Z187/Y8</f>
        <v>131.757454495757</v>
      </c>
      <c r="Z187" s="616">
        <f>$D$187*Z186/$D$186</f>
        <v>0.990816057808096</v>
      </c>
      <c r="AA187" s="616">
        <f>AB187/AA8</f>
        <v>131.757454495757</v>
      </c>
      <c r="AB187" s="616">
        <f>$D$187*AB186/$D$186</f>
        <v>2.64951065245518</v>
      </c>
      <c r="AC187" s="616">
        <f>AD187/AC8</f>
        <v>129.340736753213</v>
      </c>
      <c r="AD187" s="616">
        <f t="shared" ref="AD187" si="927">$D$187*AD186/$D$186</f>
        <v>287.595724548343</v>
      </c>
      <c r="AE187" s="616">
        <v>0</v>
      </c>
      <c r="AF187" s="616">
        <f t="shared" ref="AF187" si="928">$D$187*AF186/$D$186</f>
        <v>0</v>
      </c>
      <c r="AG187" s="616">
        <f>AH187/AG8</f>
        <v>143.153082617322</v>
      </c>
      <c r="AH187" s="616">
        <f t="shared" ref="AH187" si="929">$D$187*AH186/$D$186</f>
        <v>56.4754657764423</v>
      </c>
      <c r="AI187" s="616">
        <f>AJ187/AI8</f>
        <v>126.361511378592</v>
      </c>
      <c r="AJ187" s="616">
        <f t="shared" ref="AJ187" si="930">$D$187*AJ186/$D$186</f>
        <v>231.120258771901</v>
      </c>
      <c r="AK187" s="620"/>
      <c r="AL187" s="622"/>
      <c r="AM187" s="557">
        <f>F187+AD187</f>
        <v>2062.8587032353</v>
      </c>
      <c r="AN187" s="405">
        <f>H187+J187+P187+T187+V187+X187+Z187+AB187</f>
        <v>1785.87962216895</v>
      </c>
      <c r="AO187" s="405">
        <f>AJ187+AH187</f>
        <v>287.595724548343</v>
      </c>
      <c r="AP187" s="405">
        <f>AJ187+AH187+AB187+Z187+X187+V187+T187+P187+J187+H187</f>
        <v>2073.47534671729</v>
      </c>
      <c r="AS187" s="405">
        <f>AD187/488*132</f>
        <v>77.7922861483224</v>
      </c>
      <c r="AT187" s="405">
        <f>AS187/I8</f>
        <v>46.6031926641951</v>
      </c>
      <c r="AU187" s="405">
        <f>AT187+I187</f>
        <v>423.948706243424</v>
      </c>
    </row>
    <row r="188" ht="17.25" customHeight="1" spans="1:47">
      <c r="A188" s="612">
        <v>2</v>
      </c>
      <c r="B188" s="616" t="s">
        <v>521</v>
      </c>
      <c r="C188" s="616">
        <f>D188/C8</f>
        <v>201.430410524214</v>
      </c>
      <c r="D188" s="616">
        <f>预计销售收入及费用情况表!H23</f>
        <v>1437.77502</v>
      </c>
      <c r="E188" s="616">
        <f>F188/E8</f>
        <v>274.208361194349</v>
      </c>
      <c r="F188" s="616">
        <f>预计销售收入及费用情况表!H18</f>
        <v>1347.53502</v>
      </c>
      <c r="G188" s="616">
        <f>H188/G8</f>
        <v>405</v>
      </c>
      <c r="H188" s="616">
        <f>预计销售收入及费用情况表!H7</f>
        <v>1281.53502</v>
      </c>
      <c r="I188" s="616">
        <f>J188/I8</f>
        <v>39.5387623648493</v>
      </c>
      <c r="J188" s="616">
        <f>预计销售收入及费用情况表!H8</f>
        <v>66</v>
      </c>
      <c r="K188" s="616" t="e">
        <f>L188/K8</f>
        <v>#DIV/0!</v>
      </c>
      <c r="L188" s="616">
        <f>预计销售收入及费用情况表!H9</f>
        <v>0</v>
      </c>
      <c r="M188" s="616" t="e">
        <f>N188/M8</f>
        <v>#DIV/0!</v>
      </c>
      <c r="N188" s="616">
        <f>预计销售收入及费用情况表!H10</f>
        <v>0</v>
      </c>
      <c r="O188" s="616" t="e">
        <f>P188/O8</f>
        <v>#DIV/0!</v>
      </c>
      <c r="P188" s="616">
        <f>预计销售收入及费用情况表!H11</f>
        <v>0</v>
      </c>
      <c r="Q188" s="616">
        <v>0</v>
      </c>
      <c r="R188" s="616">
        <f>预计销售收入及费用情况表!H12</f>
        <v>0</v>
      </c>
      <c r="S188" s="616" t="e">
        <f>T188/S8</f>
        <v>#DIV/0!</v>
      </c>
      <c r="T188" s="616">
        <f>预计销售收入及费用情况表!H13</f>
        <v>0</v>
      </c>
      <c r="U188" s="616">
        <f>V188/U8</f>
        <v>0</v>
      </c>
      <c r="V188" s="616">
        <f>预计销售收入及费用情况表!H14</f>
        <v>0</v>
      </c>
      <c r="W188" s="616">
        <v>0</v>
      </c>
      <c r="X188" s="616">
        <f>预计销售收入及费用情况表!H15</f>
        <v>0</v>
      </c>
      <c r="Y188" s="616">
        <f>Z188/Y8</f>
        <v>0</v>
      </c>
      <c r="Z188" s="616">
        <f>预计销售收入及费用情况表!H16</f>
        <v>0</v>
      </c>
      <c r="AA188" s="616">
        <f>AB188/AA8</f>
        <v>0</v>
      </c>
      <c r="AB188" s="616">
        <f>预计销售收入及费用情况表!H17</f>
        <v>0</v>
      </c>
      <c r="AC188" s="616">
        <f>AD188/AC8</f>
        <v>40.5837329568784</v>
      </c>
      <c r="AD188" s="616">
        <f>预计销售收入及费用情况表!H22</f>
        <v>90.24</v>
      </c>
      <c r="AE188" s="616">
        <v>0</v>
      </c>
      <c r="AF188" s="616">
        <f>预计销售收入及费用情况表!H19</f>
        <v>0</v>
      </c>
      <c r="AG188" s="616">
        <f>AH188/AG8</f>
        <v>0</v>
      </c>
      <c r="AH188" s="616">
        <f>预计销售收入及费用情况表!H20</f>
        <v>0</v>
      </c>
      <c r="AI188" s="616">
        <f>AJ188/AI8</f>
        <v>49.3373573021913</v>
      </c>
      <c r="AJ188" s="616">
        <f>预计销售收入及费用情况表!H21</f>
        <v>90.24</v>
      </c>
      <c r="AK188" s="620"/>
      <c r="AL188" s="622"/>
      <c r="AM188" s="557">
        <f t="shared" ref="AM188:AM190" si="931">F188+AD188</f>
        <v>1437.77502</v>
      </c>
      <c r="AN188" s="405">
        <f t="shared" ref="AN188:AN190" si="932">H188+J188+P188+T188+V188+X188+Z188+AB188</f>
        <v>1347.53502</v>
      </c>
      <c r="AO188" s="405">
        <f t="shared" ref="AO188:AO190" si="933">AJ188+AH188</f>
        <v>90.24</v>
      </c>
      <c r="AP188" s="405">
        <f t="shared" ref="AP188:AP190" si="934">AJ188+AH188+AB188+Z188+X188+V188+T188+P188+J188+H188</f>
        <v>1437.77502</v>
      </c>
      <c r="AS188" s="405">
        <f>AD188/488*132</f>
        <v>24.4091803278688</v>
      </c>
      <c r="AT188" s="405">
        <f>AS188/I8</f>
        <v>14.6228603106721</v>
      </c>
      <c r="AU188" s="405">
        <f>AT188+I188</f>
        <v>54.1616226755214</v>
      </c>
    </row>
    <row r="189" ht="17.25" customHeight="1" spans="1:47">
      <c r="A189" s="612">
        <v>3</v>
      </c>
      <c r="B189" s="616" t="s">
        <v>522</v>
      </c>
      <c r="C189" s="616">
        <f>D189/C8</f>
        <v>184.48809266128</v>
      </c>
      <c r="D189" s="616">
        <f>预计销售收入及费用情况表!I23</f>
        <v>1316.84372</v>
      </c>
      <c r="E189" s="616">
        <f>F189/E8</f>
        <v>251.976939014797</v>
      </c>
      <c r="F189" s="616">
        <f>预计销售收入及费用情况表!I18</f>
        <v>1238.28372</v>
      </c>
      <c r="G189" s="616">
        <f>H189/G8</f>
        <v>270</v>
      </c>
      <c r="H189" s="616">
        <f>预计销售收入及费用情况表!I7</f>
        <v>854.35668</v>
      </c>
      <c r="I189" s="616">
        <f>J189/I8</f>
        <v>230</v>
      </c>
      <c r="J189" s="616">
        <f>预计销售收入及费用情况表!I8</f>
        <v>383.92704</v>
      </c>
      <c r="K189" s="616" t="e">
        <f>L189/K8</f>
        <v>#DIV/0!</v>
      </c>
      <c r="L189" s="616">
        <f>预计销售收入及费用情况表!I9</f>
        <v>0</v>
      </c>
      <c r="M189" s="616" t="e">
        <f>N189/M8</f>
        <v>#DIV/0!</v>
      </c>
      <c r="N189" s="616">
        <f>预计销售收入及费用情况表!I10</f>
        <v>0</v>
      </c>
      <c r="O189" s="616" t="e">
        <f>P189/O8</f>
        <v>#DIV/0!</v>
      </c>
      <c r="P189" s="616">
        <f>预计销售收入及费用情况表!I11</f>
        <v>0</v>
      </c>
      <c r="Q189" s="616">
        <v>0</v>
      </c>
      <c r="R189" s="616">
        <f>预计销售收入及费用情况表!I12</f>
        <v>0</v>
      </c>
      <c r="S189" s="616" t="e">
        <f>T189/S8</f>
        <v>#DIV/0!</v>
      </c>
      <c r="T189" s="616">
        <f>预计销售收入及费用情况表!I13</f>
        <v>0</v>
      </c>
      <c r="U189" s="616">
        <v>0</v>
      </c>
      <c r="V189" s="616">
        <f>预计销售收入及费用情况表!I14</f>
        <v>0</v>
      </c>
      <c r="W189" s="616">
        <v>0</v>
      </c>
      <c r="X189" s="616">
        <f>预计销售收入及费用情况表!I15</f>
        <v>0</v>
      </c>
      <c r="Y189" s="616">
        <f>Z189/Y8</f>
        <v>0</v>
      </c>
      <c r="Z189" s="616">
        <f>预计销售收入及费用情况表!I16</f>
        <v>0</v>
      </c>
      <c r="AA189" s="616">
        <f>AB189/AA8</f>
        <v>0</v>
      </c>
      <c r="AB189" s="616">
        <f>预计销售收入及费用情况表!I17</f>
        <v>0</v>
      </c>
      <c r="AC189" s="616">
        <f>AD189/AC8</f>
        <v>35.3308739039491</v>
      </c>
      <c r="AD189" s="616">
        <f>预计销售收入及费用情况表!I22</f>
        <v>78.56</v>
      </c>
      <c r="AE189" s="616">
        <v>0</v>
      </c>
      <c r="AF189" s="616">
        <f>预计销售收入及费用情况表!I19</f>
        <v>0</v>
      </c>
      <c r="AG189" s="616">
        <f>AH189/AG8</f>
        <v>40.1509717092806</v>
      </c>
      <c r="AH189" s="616">
        <f>预计销售收入及费用情况表!I20</f>
        <v>15.84</v>
      </c>
      <c r="AI189" s="616">
        <f>AJ189/AI8</f>
        <v>34.2912128767003</v>
      </c>
      <c r="AJ189" s="616">
        <f>预计销售收入及费用情况表!I21</f>
        <v>62.72</v>
      </c>
      <c r="AK189" s="620"/>
      <c r="AL189" s="622"/>
      <c r="AM189" s="557">
        <f t="shared" si="931"/>
        <v>1316.84372</v>
      </c>
      <c r="AN189" s="405">
        <f t="shared" si="932"/>
        <v>1238.28372</v>
      </c>
      <c r="AO189" s="405">
        <f t="shared" si="933"/>
        <v>78.56</v>
      </c>
      <c r="AP189" s="405">
        <f t="shared" si="934"/>
        <v>1316.84372</v>
      </c>
      <c r="AS189" s="405">
        <f>AD189/488*132</f>
        <v>21.2498360655738</v>
      </c>
      <c r="AT189" s="405">
        <f>AS189/I8</f>
        <v>12.7301851286171</v>
      </c>
      <c r="AU189" s="405">
        <f>AT189+I189</f>
        <v>242.730185128617</v>
      </c>
    </row>
    <row r="190" customHeight="1" spans="1:42">
      <c r="A190" s="612" t="s">
        <v>523</v>
      </c>
      <c r="B190" s="616" t="s">
        <v>524</v>
      </c>
      <c r="C190" s="616">
        <f>C187+C188+C189</f>
        <v>674.922324830785</v>
      </c>
      <c r="D190" s="616">
        <f>D187+D188+D189</f>
        <v>4817.4774432353</v>
      </c>
      <c r="E190" s="616">
        <f t="shared" ref="D190:W190" si="935">E187+E188+E189</f>
        <v>887.431534889377</v>
      </c>
      <c r="F190" s="616">
        <f t="shared" si="935"/>
        <v>4361.08171868696</v>
      </c>
      <c r="G190" s="616">
        <f t="shared" si="935"/>
        <v>1036.97121839754</v>
      </c>
      <c r="H190" s="616">
        <f t="shared" si="935"/>
        <v>3281.27143483586</v>
      </c>
      <c r="I190" s="616">
        <f t="shared" si="935"/>
        <v>646.884275944079</v>
      </c>
      <c r="J190" s="616">
        <f t="shared" si="935"/>
        <v>1079.8102838511</v>
      </c>
      <c r="K190" s="616" t="e">
        <f t="shared" si="935"/>
        <v>#DIV/0!</v>
      </c>
      <c r="L190" s="616">
        <f t="shared" si="935"/>
        <v>0</v>
      </c>
      <c r="M190" s="616" t="e">
        <f>N190/M8</f>
        <v>#DIV/0!</v>
      </c>
      <c r="N190" s="616">
        <f t="shared" si="935"/>
        <v>0</v>
      </c>
      <c r="O190" s="616" t="e">
        <f>P190/O8</f>
        <v>#DIV/0!</v>
      </c>
      <c r="P190" s="616">
        <f t="shared" si="935"/>
        <v>0</v>
      </c>
      <c r="Q190" s="616">
        <v>0</v>
      </c>
      <c r="R190" s="616">
        <f t="shared" si="935"/>
        <v>0</v>
      </c>
      <c r="S190" s="616" t="e">
        <f t="shared" si="935"/>
        <v>#DIV/0!</v>
      </c>
      <c r="T190" s="616">
        <f t="shared" ref="T190:U190" si="936">T187+T188+T189</f>
        <v>0</v>
      </c>
      <c r="U190" s="616">
        <f t="shared" si="936"/>
        <v>131.757454495758</v>
      </c>
      <c r="V190" s="616">
        <f t="shared" si="935"/>
        <v>4.38277996634689</v>
      </c>
      <c r="W190" s="616">
        <f t="shared" si="935"/>
        <v>130.663348550804</v>
      </c>
      <c r="X190" s="616">
        <f t="shared" ref="X190:AJ190" si="937">X187+X188+X189</f>
        <v>2.5935368053849</v>
      </c>
      <c r="Y190" s="616">
        <f t="shared" si="937"/>
        <v>131.757454495757</v>
      </c>
      <c r="Z190" s="616">
        <f t="shared" si="937"/>
        <v>0.990816057808096</v>
      </c>
      <c r="AA190" s="616">
        <f t="shared" si="937"/>
        <v>131.757454495757</v>
      </c>
      <c r="AB190" s="616">
        <f t="shared" si="937"/>
        <v>2.64951065245518</v>
      </c>
      <c r="AC190" s="616">
        <f t="shared" si="937"/>
        <v>205.25534361404</v>
      </c>
      <c r="AD190" s="616">
        <f t="shared" si="937"/>
        <v>456.395724548343</v>
      </c>
      <c r="AE190" s="616">
        <v>0</v>
      </c>
      <c r="AF190" s="616">
        <f t="shared" si="937"/>
        <v>0</v>
      </c>
      <c r="AG190" s="616">
        <f t="shared" si="937"/>
        <v>183.304054326602</v>
      </c>
      <c r="AH190" s="616">
        <f t="shared" si="937"/>
        <v>72.3154657764423</v>
      </c>
      <c r="AI190" s="616">
        <f t="shared" si="937"/>
        <v>209.990081557484</v>
      </c>
      <c r="AJ190" s="616">
        <f t="shared" si="937"/>
        <v>384.080258771901</v>
      </c>
      <c r="AK190" s="620"/>
      <c r="AL190" s="622"/>
      <c r="AM190" s="557">
        <f t="shared" si="931"/>
        <v>4817.4774432353</v>
      </c>
      <c r="AN190" s="405">
        <f t="shared" si="932"/>
        <v>4371.69836216895</v>
      </c>
      <c r="AO190" s="405">
        <f t="shared" si="933"/>
        <v>456.395724548343</v>
      </c>
      <c r="AP190" s="405">
        <f t="shared" si="934"/>
        <v>4828.09408671729</v>
      </c>
    </row>
    <row r="191" customHeight="1" spans="3:40">
      <c r="C191" s="405">
        <f>C186-C10</f>
        <v>4696.48008695143</v>
      </c>
      <c r="D191" s="405">
        <f>D186-D10</f>
        <v>33188.941500233</v>
      </c>
      <c r="E191" s="405">
        <f t="shared" ref="D191:AI191" si="938">E186-E10</f>
        <v>5184.08808085982</v>
      </c>
      <c r="F191" s="405">
        <f t="shared" si="938"/>
        <v>25452.92936423</v>
      </c>
      <c r="G191" s="405">
        <f t="shared" si="938"/>
        <v>5123.0878005529</v>
      </c>
      <c r="H191" s="405">
        <f t="shared" si="938"/>
        <v>16210.9047578847</v>
      </c>
      <c r="I191" s="405">
        <f t="shared" si="938"/>
        <v>5536.63961636933</v>
      </c>
      <c r="J191" s="405">
        <f t="shared" si="938"/>
        <v>9242.02460634527</v>
      </c>
      <c r="K191" s="405">
        <f t="shared" si="938"/>
        <v>4929.84524788555</v>
      </c>
      <c r="L191" s="405">
        <f t="shared" si="938"/>
        <v>0</v>
      </c>
      <c r="M191" s="405">
        <f t="shared" si="938"/>
        <v>4755.58155773766</v>
      </c>
      <c r="N191" s="405">
        <f t="shared" si="938"/>
        <v>0</v>
      </c>
      <c r="O191" s="405">
        <f t="shared" si="938"/>
        <v>5576.44616242359</v>
      </c>
      <c r="P191" s="405">
        <f t="shared" si="938"/>
        <v>0</v>
      </c>
      <c r="Q191" s="405">
        <f t="shared" si="938"/>
        <v>1340.17485369374</v>
      </c>
      <c r="R191" s="405">
        <f t="shared" si="938"/>
        <v>0</v>
      </c>
      <c r="S191" s="405">
        <f t="shared" si="938"/>
        <v>6651.15316807203</v>
      </c>
      <c r="T191" s="405">
        <f t="shared" si="938"/>
        <v>0</v>
      </c>
      <c r="U191" s="405">
        <f t="shared" si="938"/>
        <v>3544.13219664089</v>
      </c>
      <c r="V191" s="405">
        <f t="shared" si="938"/>
        <v>117.892013389063</v>
      </c>
      <c r="W191" s="405">
        <f t="shared" si="938"/>
        <v>3514.70193691944</v>
      </c>
      <c r="X191" s="405">
        <f t="shared" si="938"/>
        <v>69.763318745914</v>
      </c>
      <c r="Y191" s="405">
        <f t="shared" si="938"/>
        <v>3544.13219664089</v>
      </c>
      <c r="Z191" s="405">
        <f t="shared" si="938"/>
        <v>26.6518741187395</v>
      </c>
      <c r="AA191" s="405">
        <f t="shared" si="938"/>
        <v>3544.13219664089</v>
      </c>
      <c r="AB191" s="405">
        <f t="shared" si="938"/>
        <v>71.2689543422516</v>
      </c>
      <c r="AC191" s="405">
        <f t="shared" si="938"/>
        <v>3459.12511833686</v>
      </c>
      <c r="AD191" s="405">
        <f t="shared" si="938"/>
        <v>7736.01213600305</v>
      </c>
      <c r="AE191" s="405">
        <f t="shared" si="938"/>
        <v>3382.54419664089</v>
      </c>
      <c r="AF191" s="405">
        <f t="shared" si="938"/>
        <v>0</v>
      </c>
      <c r="AG191" s="405">
        <f t="shared" si="938"/>
        <v>3850.66219664089</v>
      </c>
      <c r="AH191" s="405">
        <f t="shared" si="938"/>
        <v>1519.12859385899</v>
      </c>
      <c r="AI191" s="405">
        <f t="shared" si="938"/>
        <v>3398.98719664089</v>
      </c>
      <c r="AN191" s="405">
        <f>AN190+AO190</f>
        <v>4828.0940867173</v>
      </c>
    </row>
    <row r="192" customHeight="1" spans="3:35">
      <c r="C192" s="405">
        <f>C186-C10</f>
        <v>4696.48008695143</v>
      </c>
      <c r="E192" s="405">
        <f t="shared" ref="E192:Y192" si="939">E186-E10</f>
        <v>5184.08808085982</v>
      </c>
      <c r="G192" s="405">
        <f>G186-G10</f>
        <v>5123.0878005529</v>
      </c>
      <c r="I192" s="405">
        <f t="shared" si="939"/>
        <v>5536.63961636933</v>
      </c>
      <c r="K192" s="405">
        <f t="shared" si="939"/>
        <v>4929.84524788555</v>
      </c>
      <c r="L192" s="405">
        <f t="shared" si="939"/>
        <v>0</v>
      </c>
      <c r="M192" s="405">
        <f t="shared" si="939"/>
        <v>4755.58155773766</v>
      </c>
      <c r="N192" s="405">
        <f t="shared" si="939"/>
        <v>0</v>
      </c>
      <c r="O192" s="405">
        <f t="shared" si="939"/>
        <v>5576.44616242359</v>
      </c>
      <c r="Q192" s="405">
        <f t="shared" si="939"/>
        <v>1340.17485369374</v>
      </c>
      <c r="R192" s="405">
        <f t="shared" si="939"/>
        <v>0</v>
      </c>
      <c r="S192" s="405">
        <f t="shared" si="939"/>
        <v>6651.15316807203</v>
      </c>
      <c r="U192" s="405">
        <f t="shared" si="939"/>
        <v>3544.13219664089</v>
      </c>
      <c r="W192" s="405">
        <f t="shared" si="939"/>
        <v>3514.70193691944</v>
      </c>
      <c r="X192" s="405">
        <f t="shared" si="939"/>
        <v>69.763318745914</v>
      </c>
      <c r="Y192" s="405">
        <f t="shared" si="939"/>
        <v>3544.13219664089</v>
      </c>
      <c r="Z192" s="405"/>
      <c r="AA192" s="405">
        <f>AA186-AA10</f>
        <v>3544.13219664089</v>
      </c>
      <c r="AC192" s="405">
        <f>AC186-AC10</f>
        <v>3459.12511833686</v>
      </c>
      <c r="AE192" s="405">
        <f>AE186-AE10</f>
        <v>3382.54419664089</v>
      </c>
      <c r="AF192" s="405">
        <f>AF186-AF10</f>
        <v>0</v>
      </c>
      <c r="AG192" s="405">
        <f>AG186-AG10</f>
        <v>3850.66219664089</v>
      </c>
      <c r="AI192" s="405">
        <f>AI186-AI10</f>
        <v>3398.98719664089</v>
      </c>
    </row>
    <row r="193" customHeight="1" spans="3:27">
      <c r="C193" s="405">
        <v>4794.94359590286</v>
      </c>
      <c r="D193" s="405">
        <f>D186-D10</f>
        <v>33188.941500233</v>
      </c>
      <c r="G193" s="405">
        <f>G10*G8</f>
        <v>14598.5641343856</v>
      </c>
      <c r="U193" s="405">
        <f>U186*U8</f>
        <v>117.892013389063</v>
      </c>
      <c r="Y193" s="417">
        <f>Y186*Y8</f>
        <v>26.6518741187395</v>
      </c>
      <c r="AA193" s="405">
        <f>AA186*AA8</f>
        <v>71.2689543422516</v>
      </c>
    </row>
    <row r="194" customHeight="1" spans="3:32">
      <c r="C194" s="405">
        <f>C193-C192</f>
        <v>98.4635089514304</v>
      </c>
      <c r="D194" s="405">
        <f>D186-D10</f>
        <v>33188.941500233</v>
      </c>
      <c r="G194" s="405">
        <f>G19*G8</f>
        <v>994.334251951534</v>
      </c>
      <c r="U194" s="405">
        <f>V194/(G8+I8+S8)</f>
        <v>24.0299985364276</v>
      </c>
      <c r="V194" s="625">
        <f>V186-V181</f>
        <v>116.149766885776</v>
      </c>
      <c r="W194" s="405">
        <f>X194/(G8+I8+S8)</f>
        <v>14.2198983558641</v>
      </c>
      <c r="X194" s="625">
        <f>X186-X181</f>
        <v>68.7323337398167</v>
      </c>
      <c r="Y194" s="417">
        <f>Z194/(G8+I8+S8)</f>
        <v>5.43246720159738</v>
      </c>
      <c r="Z194" s="625">
        <f>Z186-Z181</f>
        <v>26.2580040578714</v>
      </c>
      <c r="AA194" s="405">
        <f>AB194/(G8+I8+S8)</f>
        <v>14.5267929463992</v>
      </c>
      <c r="AB194" s="625">
        <f>AB186-AB181</f>
        <v>70.2157185637947</v>
      </c>
      <c r="AC194" s="492"/>
      <c r="AD194" s="492"/>
      <c r="AE194" s="626">
        <f>AF194/I8</f>
        <v>0</v>
      </c>
      <c r="AF194" s="625">
        <f>AF186-AF181</f>
        <v>0</v>
      </c>
    </row>
    <row r="195" customHeight="1" spans="3:30">
      <c r="C195" s="405">
        <f>C186*C8</f>
        <v>55822.3665603822</v>
      </c>
      <c r="G195" s="405">
        <f>G72*G8</f>
        <v>12655.3831670327</v>
      </c>
      <c r="AD195" s="627"/>
    </row>
    <row r="196" customHeight="1" spans="4:7">
      <c r="D196" s="405">
        <f>[3]成本测算明细!$D$182</f>
        <v>82797.0963785523</v>
      </c>
      <c r="G196" s="405">
        <f>G111*G8</f>
        <v>2113.69488357193</v>
      </c>
    </row>
    <row r="197" customHeight="1" spans="4:7">
      <c r="D197" s="405">
        <f>D186-D196</f>
        <v>-27308.4412945812</v>
      </c>
      <c r="G197" s="405">
        <f>G164*G8</f>
        <v>207.922434276072</v>
      </c>
    </row>
    <row r="199" customHeight="1" spans="2:4">
      <c r="B199" s="623" t="s">
        <v>525</v>
      </c>
      <c r="C199" s="624"/>
      <c r="D199" s="624">
        <f>D11/经济指标!G8*10000</f>
        <v>4417.59042046272</v>
      </c>
    </row>
    <row r="200" customHeight="1" spans="7:7">
      <c r="G200" s="405" t="s">
        <v>526</v>
      </c>
    </row>
    <row r="201" customHeight="1" spans="9:9">
      <c r="I201" s="405" t="s">
        <v>527</v>
      </c>
    </row>
    <row r="202" customHeight="1" spans="7:26">
      <c r="G202" s="616" t="s">
        <v>520</v>
      </c>
      <c r="H202" s="616">
        <v>2009.22750853438</v>
      </c>
      <c r="I202" s="405">
        <f>H202-D187</f>
        <v>-53.6311947009158</v>
      </c>
      <c r="X202" s="417"/>
      <c r="Z202" s="405"/>
    </row>
    <row r="203" customHeight="1" spans="7:26">
      <c r="G203" s="616" t="s">
        <v>521</v>
      </c>
      <c r="H203" s="616">
        <v>1467.792</v>
      </c>
      <c r="I203" s="405">
        <f>H203-D188</f>
        <v>30.0169799999999</v>
      </c>
      <c r="X203" s="417"/>
      <c r="Z203" s="405"/>
    </row>
    <row r="204" customHeight="1" spans="7:26">
      <c r="G204" s="616" t="s">
        <v>522</v>
      </c>
      <c r="H204" s="616">
        <v>1324.016</v>
      </c>
      <c r="I204" s="405">
        <f>H204-D189</f>
        <v>7.17228</v>
      </c>
      <c r="X204" s="417"/>
      <c r="Z204" s="405"/>
    </row>
    <row r="205" customHeight="1" spans="7:26">
      <c r="G205" s="616" t="s">
        <v>524</v>
      </c>
      <c r="H205" s="616">
        <v>4801.03550853438</v>
      </c>
      <c r="I205" s="405">
        <f>H205-D190</f>
        <v>-16.4419347009161</v>
      </c>
      <c r="X205" s="417"/>
      <c r="Z205" s="405"/>
    </row>
    <row r="206" customHeight="1" spans="24:26">
      <c r="X206" s="417"/>
      <c r="Z206" s="405"/>
    </row>
  </sheetData>
  <autoFilter ref="A8:AX197">
    <extLst/>
  </autoFilter>
  <mergeCells count="42">
    <mergeCell ref="A4:AK4"/>
    <mergeCell ref="E5:AB5"/>
    <mergeCell ref="AC5:AJ5"/>
    <mergeCell ref="E6:F6"/>
    <mergeCell ref="G6:H6"/>
    <mergeCell ref="I6:J6"/>
    <mergeCell ref="K6:L6"/>
    <mergeCell ref="M6:N6"/>
    <mergeCell ref="O6:P6"/>
    <mergeCell ref="Q6:R6"/>
    <mergeCell ref="S6:T6"/>
    <mergeCell ref="U6:V6"/>
    <mergeCell ref="W6:X6"/>
    <mergeCell ref="Y6:Z6"/>
    <mergeCell ref="AA6:AB6"/>
    <mergeCell ref="AC6:AD6"/>
    <mergeCell ref="AE6:AF6"/>
    <mergeCell ref="AG6:AH6"/>
    <mergeCell ref="AI6:AJ6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W7:X7"/>
    <mergeCell ref="Y7:Z7"/>
    <mergeCell ref="AA7:AB7"/>
    <mergeCell ref="AC7:AD7"/>
    <mergeCell ref="AE7:AF7"/>
    <mergeCell ref="AG7:AH7"/>
    <mergeCell ref="AI7:AJ7"/>
    <mergeCell ref="A5:A9"/>
    <mergeCell ref="C1:C3"/>
    <mergeCell ref="AK5:AK9"/>
    <mergeCell ref="AK30:AK31"/>
    <mergeCell ref="AL5:AL8"/>
    <mergeCell ref="AM5:AM8"/>
    <mergeCell ref="C5:D7"/>
  </mergeCells>
  <hyperlinks>
    <hyperlink ref="C1:C3" location="目录!A1" display="返回目录"/>
  </hyperlinks>
  <pageMargins left="0.629166666666667" right="0.313888888888889" top="0.471527777777778" bottom="0.393055555555556" header="0.354166666666667" footer="0.275"/>
  <pageSetup paperSize="8" orientation="landscape"/>
  <headerFooter/>
  <ignoredErrors>
    <ignoredError sqref="H67 H60" formula="1"/>
  </ignoredError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"/>
  <sheetViews>
    <sheetView workbookViewId="0">
      <selection activeCell="B1" sqref="B1:D5"/>
    </sheetView>
  </sheetViews>
  <sheetFormatPr defaultColWidth="9" defaultRowHeight="15.6" outlineLevelRow="3" outlineLevelCol="2"/>
  <sheetData>
    <row r="1" spans="1:3">
      <c r="A1">
        <v>0</v>
      </c>
      <c r="B1">
        <v>0.3</v>
      </c>
      <c r="C1">
        <v>0</v>
      </c>
    </row>
    <row r="2" spans="1:3">
      <c r="A2">
        <v>0.5</v>
      </c>
      <c r="B2">
        <v>0.4</v>
      </c>
      <c r="C2">
        <v>0.05</v>
      </c>
    </row>
    <row r="3" spans="1:3">
      <c r="A3">
        <v>1</v>
      </c>
      <c r="B3">
        <v>0.5</v>
      </c>
      <c r="C3">
        <v>0.15</v>
      </c>
    </row>
    <row r="4" spans="1:3">
      <c r="A4">
        <v>2</v>
      </c>
      <c r="B4">
        <v>0.6</v>
      </c>
      <c r="C4">
        <v>0.35</v>
      </c>
    </row>
  </sheetData>
  <pageMargins left="0.699305555555556" right="0.699305555555556" top="0.75" bottom="0.75" header="0.3" footer="0.3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T16"/>
  <sheetViews>
    <sheetView workbookViewId="0">
      <pane xSplit="1" ySplit="2" topLeftCell="B3" activePane="bottomRight" state="frozen"/>
      <selection/>
      <selection pane="topRight"/>
      <selection pane="bottomLeft"/>
      <selection pane="bottomRight" activeCell="C11" sqref="C11"/>
    </sheetView>
  </sheetViews>
  <sheetFormatPr defaultColWidth="9" defaultRowHeight="36" customHeight="1"/>
  <cols>
    <col min="1" max="1" width="22.75" style="459" customWidth="1"/>
    <col min="2" max="2" width="13.875" style="459" customWidth="1"/>
    <col min="3" max="3" width="11.625" style="459" customWidth="1"/>
    <col min="4" max="5" width="13.875" style="459" customWidth="1"/>
    <col min="6" max="16" width="12.75" style="459" customWidth="1" outlineLevel="1"/>
    <col min="17" max="17" width="15.75" style="459" customWidth="1"/>
    <col min="18" max="18" width="13.25" style="459" customWidth="1"/>
    <col min="19" max="20" width="15.75" style="459" customWidth="1"/>
    <col min="21" max="22" width="12.75" style="459" customWidth="1" outlineLevel="1"/>
    <col min="23" max="24" width="13.875" style="459" customWidth="1" outlineLevel="1"/>
    <col min="25" max="28" width="12.75" style="459" customWidth="1" outlineLevel="1"/>
    <col min="29" max="30" width="11.625" style="459" customWidth="1" outlineLevel="1"/>
    <col min="31" max="31" width="8.5" style="459" customWidth="1" outlineLevel="1"/>
    <col min="32" max="32" width="15.75" style="459" customWidth="1"/>
    <col min="33" max="33" width="11.625" style="459" customWidth="1"/>
    <col min="34" max="35" width="15.75" style="459" customWidth="1"/>
    <col min="36" max="37" width="12.75" style="459" hidden="1" customWidth="1" outlineLevel="1"/>
    <col min="38" max="38" width="8.5" style="459" hidden="1" customWidth="1" outlineLevel="1"/>
    <col min="39" max="39" width="12.75" style="459" hidden="1" customWidth="1" outlineLevel="1"/>
    <col min="40" max="41" width="12.875" style="459" hidden="1" customWidth="1" outlineLevel="1"/>
    <col min="42" max="43" width="12.75" style="459" hidden="1" customWidth="1" outlineLevel="1"/>
    <col min="44" max="45" width="11.75" style="459" hidden="1" customWidth="1" outlineLevel="1"/>
    <col min="46" max="46" width="11.125" style="459" hidden="1" customWidth="1" outlineLevel="1"/>
    <col min="47" max="47" width="9" style="459" collapsed="1"/>
    <col min="48" max="16384" width="9" style="459"/>
  </cols>
  <sheetData>
    <row r="1" customHeight="1" spans="1:46">
      <c r="A1" s="460" t="s">
        <v>528</v>
      </c>
      <c r="B1" s="461" t="s">
        <v>127</v>
      </c>
      <c r="C1" s="462"/>
      <c r="D1" s="462"/>
      <c r="E1" s="462"/>
      <c r="F1" s="462"/>
      <c r="G1" s="462"/>
      <c r="H1" s="462"/>
      <c r="I1" s="462"/>
      <c r="J1" s="462"/>
      <c r="K1" s="462"/>
      <c r="L1" s="462"/>
      <c r="M1" s="462"/>
      <c r="N1" s="462"/>
      <c r="O1" s="462"/>
      <c r="P1" s="471"/>
      <c r="Q1" s="472" t="s">
        <v>529</v>
      </c>
      <c r="R1" s="473"/>
      <c r="S1" s="473"/>
      <c r="T1" s="473"/>
      <c r="U1" s="473"/>
      <c r="V1" s="473"/>
      <c r="W1" s="473"/>
      <c r="X1" s="473"/>
      <c r="Y1" s="473"/>
      <c r="Z1" s="473"/>
      <c r="AA1" s="473"/>
      <c r="AB1" s="473"/>
      <c r="AC1" s="473"/>
      <c r="AD1" s="473"/>
      <c r="AE1" s="482"/>
      <c r="AF1" s="483" t="s">
        <v>530</v>
      </c>
      <c r="AG1" s="485"/>
      <c r="AH1" s="485"/>
      <c r="AI1" s="485"/>
      <c r="AJ1" s="485"/>
      <c r="AK1" s="485"/>
      <c r="AL1" s="485"/>
      <c r="AM1" s="485"/>
      <c r="AN1" s="485"/>
      <c r="AO1" s="485"/>
      <c r="AP1" s="485"/>
      <c r="AQ1" s="485"/>
      <c r="AR1" s="485"/>
      <c r="AS1" s="485"/>
      <c r="AT1" s="485"/>
    </row>
    <row r="2" customHeight="1" spans="1:46">
      <c r="A2" s="463" t="s">
        <v>531</v>
      </c>
      <c r="B2" s="463" t="s">
        <v>532</v>
      </c>
      <c r="C2" s="463" t="s">
        <v>533</v>
      </c>
      <c r="D2" s="463" t="s">
        <v>534</v>
      </c>
      <c r="E2" s="463" t="s">
        <v>535</v>
      </c>
      <c r="F2" s="463" t="s">
        <v>536</v>
      </c>
      <c r="G2" s="463" t="s">
        <v>537</v>
      </c>
      <c r="H2" s="463" t="s">
        <v>538</v>
      </c>
      <c r="I2" s="463" t="s">
        <v>539</v>
      </c>
      <c r="J2" s="463" t="s">
        <v>540</v>
      </c>
      <c r="K2" s="463" t="s">
        <v>541</v>
      </c>
      <c r="L2" s="463" t="s">
        <v>542</v>
      </c>
      <c r="M2" s="463" t="s">
        <v>543</v>
      </c>
      <c r="N2" s="463" t="s">
        <v>544</v>
      </c>
      <c r="O2" s="463" t="s">
        <v>545</v>
      </c>
      <c r="P2" s="463" t="s">
        <v>546</v>
      </c>
      <c r="Q2" s="474" t="s">
        <v>532</v>
      </c>
      <c r="R2" s="474" t="s">
        <v>533</v>
      </c>
      <c r="S2" s="474" t="s">
        <v>534</v>
      </c>
      <c r="T2" s="474" t="s">
        <v>535</v>
      </c>
      <c r="U2" s="475" t="s">
        <v>536</v>
      </c>
      <c r="V2" s="475" t="s">
        <v>537</v>
      </c>
      <c r="W2" s="475" t="s">
        <v>538</v>
      </c>
      <c r="X2" s="475" t="s">
        <v>539</v>
      </c>
      <c r="Y2" s="475" t="s">
        <v>540</v>
      </c>
      <c r="Z2" s="475" t="s">
        <v>541</v>
      </c>
      <c r="AA2" s="475" t="s">
        <v>542</v>
      </c>
      <c r="AB2" s="475" t="s">
        <v>543</v>
      </c>
      <c r="AC2" s="475" t="s">
        <v>544</v>
      </c>
      <c r="AD2" s="475" t="s">
        <v>545</v>
      </c>
      <c r="AE2" s="475" t="s">
        <v>546</v>
      </c>
      <c r="AF2" s="484" t="s">
        <v>532</v>
      </c>
      <c r="AG2" s="484" t="s">
        <v>547</v>
      </c>
      <c r="AH2" s="484" t="s">
        <v>534</v>
      </c>
      <c r="AI2" s="484" t="s">
        <v>535</v>
      </c>
      <c r="AJ2" s="484" t="s">
        <v>536</v>
      </c>
      <c r="AK2" s="484" t="s">
        <v>537</v>
      </c>
      <c r="AL2" s="484" t="s">
        <v>538</v>
      </c>
      <c r="AM2" s="484" t="s">
        <v>539</v>
      </c>
      <c r="AN2" s="484" t="s">
        <v>540</v>
      </c>
      <c r="AO2" s="484" t="s">
        <v>541</v>
      </c>
      <c r="AP2" s="484" t="s">
        <v>542</v>
      </c>
      <c r="AQ2" s="484" t="s">
        <v>543</v>
      </c>
      <c r="AR2" s="484" t="s">
        <v>544</v>
      </c>
      <c r="AS2" s="484" t="s">
        <v>545</v>
      </c>
      <c r="AT2" s="484" t="s">
        <v>546</v>
      </c>
    </row>
    <row r="3" customHeight="1" spans="1:46">
      <c r="A3" s="464" t="s">
        <v>548</v>
      </c>
      <c r="B3" s="464">
        <f>Q3+AF3</f>
        <v>158.6212755</v>
      </c>
      <c r="C3" s="464" t="e">
        <f>R3+AG3</f>
        <v>#REF!</v>
      </c>
      <c r="D3" s="464" t="e">
        <f>S3+AH3</f>
        <v>#REF!</v>
      </c>
      <c r="E3" s="464" t="e">
        <f>T3+AI3</f>
        <v>#REF!</v>
      </c>
      <c r="F3" s="464">
        <f t="shared" ref="F3:P3" si="0">U3+AJ3</f>
        <v>0</v>
      </c>
      <c r="G3" s="464">
        <f t="shared" si="0"/>
        <v>0</v>
      </c>
      <c r="H3" s="464">
        <f t="shared" si="0"/>
        <v>0</v>
      </c>
      <c r="I3" s="464">
        <f t="shared" si="0"/>
        <v>0</v>
      </c>
      <c r="J3" s="464">
        <f t="shared" si="0"/>
        <v>0</v>
      </c>
      <c r="K3" s="464">
        <f t="shared" si="0"/>
        <v>0</v>
      </c>
      <c r="L3" s="464">
        <f t="shared" si="0"/>
        <v>0</v>
      </c>
      <c r="M3" s="464">
        <f t="shared" si="0"/>
        <v>0</v>
      </c>
      <c r="N3" s="464">
        <f t="shared" si="0"/>
        <v>0</v>
      </c>
      <c r="O3" s="464">
        <f t="shared" si="0"/>
        <v>0</v>
      </c>
      <c r="P3" s="464">
        <f t="shared" si="0"/>
        <v>0</v>
      </c>
      <c r="Q3" s="464">
        <f>Q4*15/10000</f>
        <v>87.3442665</v>
      </c>
      <c r="R3" s="476" t="e">
        <f>#REF!</f>
        <v>#REF!</v>
      </c>
      <c r="S3" s="464" t="e">
        <f>Q3*R3</f>
        <v>#REF!</v>
      </c>
      <c r="T3" s="464" t="e">
        <f>S3</f>
        <v>#REF!</v>
      </c>
      <c r="U3" s="476"/>
      <c r="V3" s="476"/>
      <c r="W3" s="476">
        <v>0</v>
      </c>
      <c r="X3" s="476"/>
      <c r="Y3" s="476">
        <v>0</v>
      </c>
      <c r="Z3" s="476"/>
      <c r="AA3" s="476">
        <v>0</v>
      </c>
      <c r="AB3" s="476"/>
      <c r="AC3" s="476">
        <v>0</v>
      </c>
      <c r="AD3" s="476"/>
      <c r="AE3" s="476">
        <v>0</v>
      </c>
      <c r="AF3" s="464">
        <f>AF4*15/10000</f>
        <v>71.277009</v>
      </c>
      <c r="AG3" s="476" t="e">
        <f>R3</f>
        <v>#REF!</v>
      </c>
      <c r="AH3" s="464" t="e">
        <f>AF3*AG3</f>
        <v>#REF!</v>
      </c>
      <c r="AI3" s="464" t="e">
        <f>AH3</f>
        <v>#REF!</v>
      </c>
      <c r="AJ3" s="486"/>
      <c r="AK3" s="486"/>
      <c r="AL3" s="486"/>
      <c r="AM3" s="486"/>
      <c r="AN3" s="486"/>
      <c r="AO3" s="486"/>
      <c r="AP3" s="486"/>
      <c r="AQ3" s="486"/>
      <c r="AR3" s="486"/>
      <c r="AS3" s="486"/>
      <c r="AT3" s="486"/>
    </row>
    <row r="4" customHeight="1" spans="1:46">
      <c r="A4" s="464" t="s">
        <v>549</v>
      </c>
      <c r="B4" s="464">
        <f t="shared" ref="B4:B16" si="1">Q4+AF4</f>
        <v>105747.517</v>
      </c>
      <c r="C4" s="464">
        <f t="shared" ref="C4:C16" si="2">R4+AG4</f>
        <v>0</v>
      </c>
      <c r="D4" s="464">
        <f t="shared" ref="D4:D15" si="3">S4+AH4</f>
        <v>0</v>
      </c>
      <c r="E4" s="464">
        <f t="shared" ref="E4:E15" si="4">T4+AI4</f>
        <v>0</v>
      </c>
      <c r="F4" s="464">
        <f t="shared" ref="F4:F15" si="5">U4+AJ4</f>
        <v>0</v>
      </c>
      <c r="G4" s="464">
        <f t="shared" ref="G4:G15" si="6">V4+AK4</f>
        <v>0</v>
      </c>
      <c r="H4" s="464">
        <f t="shared" ref="H4:H15" si="7">W4+AL4</f>
        <v>0</v>
      </c>
      <c r="I4" s="464">
        <f t="shared" ref="I4:I15" si="8">X4+AM4</f>
        <v>0</v>
      </c>
      <c r="J4" s="464">
        <f t="shared" ref="J4:J15" si="9">Y4+AN4</f>
        <v>0</v>
      </c>
      <c r="K4" s="464">
        <f t="shared" ref="K4:K15" si="10">Z4+AO4</f>
        <v>0</v>
      </c>
      <c r="L4" s="464">
        <f t="shared" ref="L4:L15" si="11">AA4+AP4</f>
        <v>0</v>
      </c>
      <c r="M4" s="464">
        <f t="shared" ref="M4:M15" si="12">AB4+AQ4</f>
        <v>0</v>
      </c>
      <c r="N4" s="464">
        <f t="shared" ref="N4:N15" si="13">AC4+AR4</f>
        <v>0</v>
      </c>
      <c r="O4" s="464">
        <f t="shared" ref="O4:O15" si="14">AD4+AS4</f>
        <v>0</v>
      </c>
      <c r="P4" s="464">
        <f t="shared" ref="P4:P15" si="15">AE4+AT4</f>
        <v>0</v>
      </c>
      <c r="Q4" s="464">
        <v>58229.511</v>
      </c>
      <c r="R4" s="476"/>
      <c r="S4" s="464"/>
      <c r="T4" s="464"/>
      <c r="U4" s="476"/>
      <c r="V4" s="476"/>
      <c r="W4" s="476"/>
      <c r="X4" s="476"/>
      <c r="Y4" s="476"/>
      <c r="Z4" s="476"/>
      <c r="AA4" s="476"/>
      <c r="AB4" s="476"/>
      <c r="AC4" s="476"/>
      <c r="AD4" s="476"/>
      <c r="AE4" s="476"/>
      <c r="AF4" s="464">
        <v>47518.006</v>
      </c>
      <c r="AG4" s="476"/>
      <c r="AH4" s="464">
        <f>AF4*AG4</f>
        <v>0</v>
      </c>
      <c r="AI4" s="464"/>
      <c r="AJ4" s="487"/>
      <c r="AK4" s="487"/>
      <c r="AL4" s="487"/>
      <c r="AM4" s="487"/>
      <c r="AN4" s="487"/>
      <c r="AO4" s="487"/>
      <c r="AP4" s="487"/>
      <c r="AQ4" s="487"/>
      <c r="AR4" s="487"/>
      <c r="AS4" s="487"/>
      <c r="AT4" s="487"/>
    </row>
    <row r="5" customHeight="1" spans="1:46">
      <c r="A5" s="464" t="s">
        <v>75</v>
      </c>
      <c r="B5" s="464">
        <f t="shared" si="1"/>
        <v>7</v>
      </c>
      <c r="C5" s="464">
        <f t="shared" si="2"/>
        <v>0</v>
      </c>
      <c r="D5" s="464">
        <f t="shared" si="3"/>
        <v>0</v>
      </c>
      <c r="E5" s="464">
        <f t="shared" si="4"/>
        <v>0</v>
      </c>
      <c r="F5" s="464">
        <f t="shared" si="5"/>
        <v>0</v>
      </c>
      <c r="G5" s="464">
        <f t="shared" si="6"/>
        <v>0</v>
      </c>
      <c r="H5" s="464">
        <f t="shared" si="7"/>
        <v>0</v>
      </c>
      <c r="I5" s="464">
        <f t="shared" si="8"/>
        <v>0</v>
      </c>
      <c r="J5" s="464">
        <f t="shared" si="9"/>
        <v>0</v>
      </c>
      <c r="K5" s="464">
        <f t="shared" si="10"/>
        <v>0</v>
      </c>
      <c r="L5" s="464">
        <f t="shared" si="11"/>
        <v>0</v>
      </c>
      <c r="M5" s="464">
        <f t="shared" si="12"/>
        <v>0</v>
      </c>
      <c r="N5" s="464">
        <f t="shared" si="13"/>
        <v>0</v>
      </c>
      <c r="O5" s="464">
        <f t="shared" si="14"/>
        <v>0</v>
      </c>
      <c r="P5" s="464">
        <f t="shared" si="15"/>
        <v>0</v>
      </c>
      <c r="Q5" s="464">
        <v>3.5</v>
      </c>
      <c r="R5" s="476"/>
      <c r="S5" s="464"/>
      <c r="T5" s="464"/>
      <c r="U5" s="476"/>
      <c r="V5" s="476"/>
      <c r="W5" s="476"/>
      <c r="X5" s="476"/>
      <c r="Y5" s="476"/>
      <c r="Z5" s="476"/>
      <c r="AA5" s="476"/>
      <c r="AB5" s="476"/>
      <c r="AC5" s="476"/>
      <c r="AD5" s="476"/>
      <c r="AE5" s="476"/>
      <c r="AF5" s="464">
        <v>3.5</v>
      </c>
      <c r="AG5" s="476"/>
      <c r="AH5" s="464">
        <f>AF5*AG5</f>
        <v>0</v>
      </c>
      <c r="AI5" s="464"/>
      <c r="AJ5" s="487"/>
      <c r="AK5" s="487"/>
      <c r="AL5" s="487"/>
      <c r="AM5" s="487"/>
      <c r="AN5" s="487"/>
      <c r="AO5" s="487"/>
      <c r="AP5" s="487"/>
      <c r="AQ5" s="487"/>
      <c r="AR5" s="487"/>
      <c r="AS5" s="487"/>
      <c r="AT5" s="487"/>
    </row>
    <row r="6" customHeight="1" spans="1:46">
      <c r="A6" s="464" t="s">
        <v>124</v>
      </c>
      <c r="B6" s="464">
        <f t="shared" si="1"/>
        <v>0.5</v>
      </c>
      <c r="C6" s="464">
        <f t="shared" si="2"/>
        <v>0</v>
      </c>
      <c r="D6" s="464">
        <f t="shared" si="3"/>
        <v>0</v>
      </c>
      <c r="E6" s="464">
        <f t="shared" si="4"/>
        <v>0</v>
      </c>
      <c r="F6" s="464">
        <f t="shared" si="5"/>
        <v>0</v>
      </c>
      <c r="G6" s="464">
        <f t="shared" si="6"/>
        <v>0</v>
      </c>
      <c r="H6" s="464">
        <f t="shared" si="7"/>
        <v>0</v>
      </c>
      <c r="I6" s="464">
        <f t="shared" si="8"/>
        <v>0</v>
      </c>
      <c r="J6" s="464">
        <f t="shared" si="9"/>
        <v>0</v>
      </c>
      <c r="K6" s="464">
        <f t="shared" si="10"/>
        <v>0</v>
      </c>
      <c r="L6" s="464">
        <f t="shared" si="11"/>
        <v>0</v>
      </c>
      <c r="M6" s="464">
        <f t="shared" si="12"/>
        <v>0</v>
      </c>
      <c r="N6" s="464">
        <f t="shared" si="13"/>
        <v>0</v>
      </c>
      <c r="O6" s="464">
        <f t="shared" si="14"/>
        <v>0</v>
      </c>
      <c r="P6" s="464">
        <f t="shared" si="15"/>
        <v>0</v>
      </c>
      <c r="Q6" s="464">
        <v>0.25</v>
      </c>
      <c r="R6" s="476"/>
      <c r="S6" s="464"/>
      <c r="T6" s="464"/>
      <c r="U6" s="476"/>
      <c r="V6" s="476"/>
      <c r="W6" s="476"/>
      <c r="X6" s="476"/>
      <c r="Y6" s="476"/>
      <c r="Z6" s="476"/>
      <c r="AA6" s="476"/>
      <c r="AB6" s="476"/>
      <c r="AC6" s="476"/>
      <c r="AD6" s="476"/>
      <c r="AE6" s="476"/>
      <c r="AF6" s="464">
        <v>0.25</v>
      </c>
      <c r="AG6" s="476"/>
      <c r="AH6" s="464">
        <f>AF6*AG6</f>
        <v>0</v>
      </c>
      <c r="AI6" s="464"/>
      <c r="AJ6" s="487"/>
      <c r="AK6" s="487"/>
      <c r="AL6" s="487"/>
      <c r="AM6" s="487"/>
      <c r="AN6" s="487"/>
      <c r="AO6" s="487"/>
      <c r="AP6" s="487"/>
      <c r="AQ6" s="487"/>
      <c r="AR6" s="487"/>
      <c r="AS6" s="487"/>
      <c r="AT6" s="487"/>
    </row>
    <row r="7" customHeight="1" spans="1:46">
      <c r="A7" s="465" t="s">
        <v>550</v>
      </c>
      <c r="B7" s="464" t="e">
        <f t="shared" si="1"/>
        <v>#REF!</v>
      </c>
      <c r="C7" s="464"/>
      <c r="D7" s="464" t="e">
        <f t="shared" si="3"/>
        <v>#REF!</v>
      </c>
      <c r="E7" s="464">
        <f t="shared" si="4"/>
        <v>0</v>
      </c>
      <c r="F7" s="464">
        <f t="shared" si="5"/>
        <v>0</v>
      </c>
      <c r="G7" s="464" t="e">
        <f t="shared" si="6"/>
        <v>#REF!</v>
      </c>
      <c r="H7" s="464" t="e">
        <f t="shared" si="7"/>
        <v>#REF!</v>
      </c>
      <c r="I7" s="464" t="e">
        <f t="shared" si="8"/>
        <v>#REF!</v>
      </c>
      <c r="J7" s="464" t="e">
        <f t="shared" si="9"/>
        <v>#REF!</v>
      </c>
      <c r="K7" s="464" t="e">
        <f t="shared" si="10"/>
        <v>#REF!</v>
      </c>
      <c r="L7" s="464" t="e">
        <f t="shared" si="11"/>
        <v>#REF!</v>
      </c>
      <c r="M7" s="464" t="e">
        <f t="shared" si="12"/>
        <v>#REF!</v>
      </c>
      <c r="N7" s="464" t="e">
        <f t="shared" si="13"/>
        <v>#REF!</v>
      </c>
      <c r="O7" s="464">
        <f t="shared" si="14"/>
        <v>0</v>
      </c>
      <c r="P7" s="464">
        <f t="shared" si="15"/>
        <v>0</v>
      </c>
      <c r="Q7" s="464" t="e">
        <f>经济指标!#REF!</f>
        <v>#REF!</v>
      </c>
      <c r="R7" s="476" t="e">
        <f>#REF!/10000</f>
        <v>#REF!</v>
      </c>
      <c r="S7" s="464" t="e">
        <f>Q7*R7</f>
        <v>#REF!</v>
      </c>
      <c r="T7" s="464"/>
      <c r="U7" s="476"/>
      <c r="V7" s="476" t="e">
        <f>S7*0.2</f>
        <v>#REF!</v>
      </c>
      <c r="W7" s="476" t="e">
        <f>S7*0.4</f>
        <v>#REF!</v>
      </c>
      <c r="X7" s="476" t="e">
        <f>S7*0.15</f>
        <v>#REF!</v>
      </c>
      <c r="Y7" s="476" t="e">
        <f>S7*0.15</f>
        <v>#REF!</v>
      </c>
      <c r="Z7" s="476" t="e">
        <f>S7*0.05</f>
        <v>#REF!</v>
      </c>
      <c r="AA7" s="476" t="e">
        <f>S7*0.05</f>
        <v>#REF!</v>
      </c>
      <c r="AB7" s="476"/>
      <c r="AC7" s="476"/>
      <c r="AD7" s="476"/>
      <c r="AE7" s="476"/>
      <c r="AF7" s="464" t="e">
        <f>经济指标!#REF!</f>
        <v>#REF!</v>
      </c>
      <c r="AG7" s="476" t="e">
        <f>#REF!/10000</f>
        <v>#REF!</v>
      </c>
      <c r="AH7" s="464" t="e">
        <f>AF7*AG7</f>
        <v>#REF!</v>
      </c>
      <c r="AI7" s="464"/>
      <c r="AJ7" s="487"/>
      <c r="AK7" s="487"/>
      <c r="AL7" s="487"/>
      <c r="AM7" s="486" t="e">
        <f>AH7*0.2</f>
        <v>#REF!</v>
      </c>
      <c r="AN7" s="486" t="e">
        <f>AH7*0.4</f>
        <v>#REF!</v>
      </c>
      <c r="AO7" s="486" t="e">
        <f>AH7*0.15</f>
        <v>#REF!</v>
      </c>
      <c r="AP7" s="486" t="e">
        <f>AH7*0.15</f>
        <v>#REF!</v>
      </c>
      <c r="AQ7" s="486" t="e">
        <f>AH7*0.05</f>
        <v>#REF!</v>
      </c>
      <c r="AR7" s="486" t="e">
        <f>AH7*0.05</f>
        <v>#REF!</v>
      </c>
      <c r="AS7" s="486"/>
      <c r="AT7" s="487"/>
    </row>
    <row r="8" customHeight="1" spans="1:46">
      <c r="A8" s="465" t="s">
        <v>551</v>
      </c>
      <c r="B8" s="464" t="e">
        <f t="shared" si="1"/>
        <v>#REF!</v>
      </c>
      <c r="C8" s="464">
        <f t="shared" si="2"/>
        <v>0</v>
      </c>
      <c r="D8" s="464">
        <f t="shared" si="3"/>
        <v>0</v>
      </c>
      <c r="E8" s="464">
        <f t="shared" si="4"/>
        <v>0</v>
      </c>
      <c r="F8" s="464">
        <f t="shared" si="5"/>
        <v>0</v>
      </c>
      <c r="G8" s="464">
        <f t="shared" si="6"/>
        <v>0</v>
      </c>
      <c r="H8" s="464">
        <f t="shared" si="7"/>
        <v>0</v>
      </c>
      <c r="I8" s="464">
        <f t="shared" si="8"/>
        <v>0</v>
      </c>
      <c r="J8" s="464">
        <f t="shared" si="9"/>
        <v>0</v>
      </c>
      <c r="K8" s="464">
        <f t="shared" si="10"/>
        <v>0</v>
      </c>
      <c r="L8" s="464">
        <f t="shared" si="11"/>
        <v>0</v>
      </c>
      <c r="M8" s="464">
        <f t="shared" si="12"/>
        <v>0</v>
      </c>
      <c r="N8" s="464">
        <f t="shared" si="13"/>
        <v>0</v>
      </c>
      <c r="O8" s="464">
        <f t="shared" si="14"/>
        <v>0</v>
      </c>
      <c r="P8" s="464">
        <f t="shared" si="15"/>
        <v>0</v>
      </c>
      <c r="Q8" s="464" t="e">
        <f>经济指标!#REF!</f>
        <v>#REF!</v>
      </c>
      <c r="R8" s="476"/>
      <c r="S8" s="464"/>
      <c r="T8" s="464"/>
      <c r="U8" s="476"/>
      <c r="V8" s="476"/>
      <c r="W8" s="476"/>
      <c r="X8" s="476"/>
      <c r="Y8" s="476"/>
      <c r="Z8" s="476"/>
      <c r="AA8" s="476"/>
      <c r="AB8" s="476"/>
      <c r="AC8" s="476"/>
      <c r="AD8" s="476"/>
      <c r="AE8" s="476"/>
      <c r="AF8" s="470" t="e">
        <f>经济指标!#REF!</f>
        <v>#REF!</v>
      </c>
      <c r="AG8" s="487"/>
      <c r="AH8" s="470"/>
      <c r="AI8" s="470"/>
      <c r="AJ8" s="487"/>
      <c r="AK8" s="487"/>
      <c r="AL8" s="487"/>
      <c r="AM8" s="487"/>
      <c r="AN8" s="487"/>
      <c r="AO8" s="487"/>
      <c r="AP8" s="487"/>
      <c r="AQ8" s="487"/>
      <c r="AR8" s="487"/>
      <c r="AS8" s="487"/>
      <c r="AT8" s="487"/>
    </row>
    <row r="9" customHeight="1" spans="1:46">
      <c r="A9" s="465" t="s">
        <v>95</v>
      </c>
      <c r="B9" s="464">
        <f t="shared" si="1"/>
        <v>0</v>
      </c>
      <c r="C9" s="464">
        <f t="shared" si="2"/>
        <v>0</v>
      </c>
      <c r="D9" s="464">
        <f t="shared" si="3"/>
        <v>0</v>
      </c>
      <c r="E9" s="464">
        <f t="shared" si="4"/>
        <v>0</v>
      </c>
      <c r="F9" s="464">
        <f t="shared" si="5"/>
        <v>0</v>
      </c>
      <c r="G9" s="464">
        <f t="shared" si="6"/>
        <v>0</v>
      </c>
      <c r="H9" s="464">
        <f t="shared" si="7"/>
        <v>0</v>
      </c>
      <c r="I9" s="464">
        <f t="shared" si="8"/>
        <v>0</v>
      </c>
      <c r="J9" s="464">
        <f t="shared" si="9"/>
        <v>0</v>
      </c>
      <c r="K9" s="464">
        <f t="shared" si="10"/>
        <v>0</v>
      </c>
      <c r="L9" s="464">
        <f t="shared" si="11"/>
        <v>0</v>
      </c>
      <c r="M9" s="464">
        <f t="shared" si="12"/>
        <v>0</v>
      </c>
      <c r="N9" s="464">
        <f t="shared" si="13"/>
        <v>0</v>
      </c>
      <c r="O9" s="464">
        <f t="shared" si="14"/>
        <v>0</v>
      </c>
      <c r="P9" s="464">
        <f t="shared" si="15"/>
        <v>0</v>
      </c>
      <c r="Q9" s="464"/>
      <c r="R9" s="476"/>
      <c r="S9" s="464"/>
      <c r="T9" s="464"/>
      <c r="U9" s="476"/>
      <c r="V9" s="476"/>
      <c r="W9" s="476"/>
      <c r="X9" s="476"/>
      <c r="Y9" s="476"/>
      <c r="Z9" s="476"/>
      <c r="AA9" s="476"/>
      <c r="AB9" s="476"/>
      <c r="AC9" s="476"/>
      <c r="AD9" s="476"/>
      <c r="AE9" s="476"/>
      <c r="AF9" s="470"/>
      <c r="AG9" s="487"/>
      <c r="AH9" s="470"/>
      <c r="AI9" s="470"/>
      <c r="AJ9" s="487"/>
      <c r="AK9" s="487"/>
      <c r="AL9" s="487"/>
      <c r="AM9" s="487"/>
      <c r="AN9" s="487"/>
      <c r="AO9" s="487"/>
      <c r="AP9" s="487"/>
      <c r="AQ9" s="487"/>
      <c r="AR9" s="487"/>
      <c r="AS9" s="487"/>
      <c r="AT9" s="487"/>
    </row>
    <row r="10" customHeight="1" spans="1:46">
      <c r="A10" s="465" t="s">
        <v>552</v>
      </c>
      <c r="B10" s="464">
        <f t="shared" si="1"/>
        <v>2910</v>
      </c>
      <c r="C10" s="464">
        <f t="shared" si="2"/>
        <v>0</v>
      </c>
      <c r="D10" s="464">
        <f t="shared" si="3"/>
        <v>0</v>
      </c>
      <c r="E10" s="464">
        <f t="shared" si="4"/>
        <v>0</v>
      </c>
      <c r="F10" s="464">
        <f t="shared" si="5"/>
        <v>0</v>
      </c>
      <c r="G10" s="464">
        <f t="shared" si="6"/>
        <v>0</v>
      </c>
      <c r="H10" s="464">
        <f t="shared" si="7"/>
        <v>0</v>
      </c>
      <c r="I10" s="464">
        <f t="shared" si="8"/>
        <v>0</v>
      </c>
      <c r="J10" s="464">
        <f t="shared" si="9"/>
        <v>0</v>
      </c>
      <c r="K10" s="464">
        <f t="shared" si="10"/>
        <v>0</v>
      </c>
      <c r="L10" s="464">
        <f t="shared" si="11"/>
        <v>0</v>
      </c>
      <c r="M10" s="464">
        <f t="shared" si="12"/>
        <v>0</v>
      </c>
      <c r="N10" s="464">
        <f t="shared" si="13"/>
        <v>0</v>
      </c>
      <c r="O10" s="464">
        <f t="shared" si="14"/>
        <v>0</v>
      </c>
      <c r="P10" s="464">
        <f t="shared" si="15"/>
        <v>0</v>
      </c>
      <c r="Q10" s="464">
        <v>1180</v>
      </c>
      <c r="R10" s="476">
        <v>0</v>
      </c>
      <c r="S10" s="464">
        <f>Q10*R10</f>
        <v>0</v>
      </c>
      <c r="T10" s="464"/>
      <c r="U10" s="476"/>
      <c r="V10" s="476"/>
      <c r="W10" s="476"/>
      <c r="X10" s="476"/>
      <c r="Y10" s="476"/>
      <c r="Z10" s="476"/>
      <c r="AA10" s="476"/>
      <c r="AB10" s="476"/>
      <c r="AC10" s="476"/>
      <c r="AD10" s="476"/>
      <c r="AE10" s="476"/>
      <c r="AF10" s="464">
        <v>1730</v>
      </c>
      <c r="AG10" s="476">
        <v>0</v>
      </c>
      <c r="AH10" s="464">
        <f>AF10*AG10</f>
        <v>0</v>
      </c>
      <c r="AI10" s="464"/>
      <c r="AJ10" s="487"/>
      <c r="AK10" s="487"/>
      <c r="AL10" s="487"/>
      <c r="AM10" s="487"/>
      <c r="AN10" s="487"/>
      <c r="AO10" s="487"/>
      <c r="AP10" s="487"/>
      <c r="AQ10" s="487"/>
      <c r="AR10" s="487"/>
      <c r="AS10" s="487"/>
      <c r="AT10" s="487"/>
    </row>
    <row r="11" customHeight="1" spans="1:46">
      <c r="A11" s="465" t="s">
        <v>111</v>
      </c>
      <c r="B11" s="464">
        <f t="shared" si="1"/>
        <v>6412</v>
      </c>
      <c r="C11" s="464">
        <f t="shared" si="2"/>
        <v>0</v>
      </c>
      <c r="D11" s="464">
        <f t="shared" si="3"/>
        <v>0</v>
      </c>
      <c r="E11" s="464">
        <f t="shared" si="4"/>
        <v>0</v>
      </c>
      <c r="F11" s="464">
        <f t="shared" si="5"/>
        <v>0</v>
      </c>
      <c r="G11" s="464">
        <f t="shared" si="6"/>
        <v>0</v>
      </c>
      <c r="H11" s="464">
        <f t="shared" si="7"/>
        <v>0</v>
      </c>
      <c r="I11" s="464">
        <f t="shared" si="8"/>
        <v>0</v>
      </c>
      <c r="J11" s="464">
        <f t="shared" si="9"/>
        <v>0</v>
      </c>
      <c r="K11" s="464">
        <f t="shared" si="10"/>
        <v>0</v>
      </c>
      <c r="L11" s="464">
        <f t="shared" si="11"/>
        <v>0</v>
      </c>
      <c r="M11" s="464">
        <f t="shared" si="12"/>
        <v>0</v>
      </c>
      <c r="N11" s="464">
        <f t="shared" si="13"/>
        <v>0</v>
      </c>
      <c r="O11" s="464">
        <f t="shared" si="14"/>
        <v>0</v>
      </c>
      <c r="P11" s="464">
        <f t="shared" si="15"/>
        <v>0</v>
      </c>
      <c r="Q11" s="464">
        <v>3206</v>
      </c>
      <c r="R11" s="476">
        <v>0</v>
      </c>
      <c r="S11" s="464">
        <f>Q11*R11</f>
        <v>0</v>
      </c>
      <c r="T11" s="464"/>
      <c r="U11" s="476"/>
      <c r="V11" s="476"/>
      <c r="W11" s="476"/>
      <c r="X11" s="476"/>
      <c r="Y11" s="476"/>
      <c r="Z11" s="476"/>
      <c r="AA11" s="476"/>
      <c r="AB11" s="476"/>
      <c r="AC11" s="476"/>
      <c r="AD11" s="476"/>
      <c r="AE11" s="476"/>
      <c r="AF11" s="464">
        <v>3206</v>
      </c>
      <c r="AG11" s="476">
        <v>0</v>
      </c>
      <c r="AH11" s="464">
        <f>AF11*AG11</f>
        <v>0</v>
      </c>
      <c r="AI11" s="464"/>
      <c r="AJ11" s="487"/>
      <c r="AK11" s="487"/>
      <c r="AL11" s="487"/>
      <c r="AM11" s="487"/>
      <c r="AN11" s="487"/>
      <c r="AO11" s="487"/>
      <c r="AP11" s="487"/>
      <c r="AQ11" s="487"/>
      <c r="AR11" s="487"/>
      <c r="AS11" s="487"/>
      <c r="AT11" s="487"/>
    </row>
    <row r="12" customHeight="1" spans="1:46">
      <c r="A12" s="466" t="s">
        <v>74</v>
      </c>
      <c r="B12" s="464" t="e">
        <f t="shared" si="1"/>
        <v>#REF!</v>
      </c>
      <c r="C12" s="464">
        <f t="shared" si="2"/>
        <v>0</v>
      </c>
      <c r="D12" s="464" t="e">
        <f t="shared" si="3"/>
        <v>#REF!</v>
      </c>
      <c r="E12" s="464">
        <f t="shared" si="4"/>
        <v>0</v>
      </c>
      <c r="F12" s="464">
        <f t="shared" si="5"/>
        <v>0</v>
      </c>
      <c r="G12" s="464">
        <f t="shared" si="6"/>
        <v>0</v>
      </c>
      <c r="H12" s="464">
        <f t="shared" si="7"/>
        <v>0</v>
      </c>
      <c r="I12" s="464">
        <f t="shared" si="8"/>
        <v>0</v>
      </c>
      <c r="J12" s="464">
        <f t="shared" si="9"/>
        <v>0</v>
      </c>
      <c r="K12" s="464">
        <f t="shared" si="10"/>
        <v>0</v>
      </c>
      <c r="L12" s="464">
        <f t="shared" si="11"/>
        <v>0</v>
      </c>
      <c r="M12" s="464">
        <f t="shared" si="12"/>
        <v>0</v>
      </c>
      <c r="N12" s="464">
        <f t="shared" si="13"/>
        <v>0</v>
      </c>
      <c r="O12" s="464">
        <f t="shared" si="14"/>
        <v>0</v>
      </c>
      <c r="P12" s="464">
        <f t="shared" si="15"/>
        <v>0</v>
      </c>
      <c r="Q12" s="466" t="e">
        <f>SUM(Q7:Q11)</f>
        <v>#REF!</v>
      </c>
      <c r="R12" s="477"/>
      <c r="S12" s="466" t="e">
        <f>SUM(S7:S11)</f>
        <v>#REF!</v>
      </c>
      <c r="T12" s="466"/>
      <c r="U12" s="477"/>
      <c r="V12" s="477"/>
      <c r="W12" s="477"/>
      <c r="X12" s="477"/>
      <c r="Y12" s="477"/>
      <c r="Z12" s="477"/>
      <c r="AA12" s="477"/>
      <c r="AB12" s="477"/>
      <c r="AC12" s="477"/>
      <c r="AD12" s="477"/>
      <c r="AE12" s="477"/>
      <c r="AF12" s="466" t="e">
        <f>SUM(AF7:AF11)</f>
        <v>#REF!</v>
      </c>
      <c r="AG12" s="477"/>
      <c r="AH12" s="466" t="e">
        <f>SUM(AH7:AH11)</f>
        <v>#REF!</v>
      </c>
      <c r="AI12" s="466"/>
      <c r="AJ12" s="487"/>
      <c r="AK12" s="487"/>
      <c r="AL12" s="487"/>
      <c r="AM12" s="487"/>
      <c r="AN12" s="487"/>
      <c r="AO12" s="487"/>
      <c r="AP12" s="487"/>
      <c r="AQ12" s="487"/>
      <c r="AR12" s="487"/>
      <c r="AS12" s="487"/>
      <c r="AT12" s="487"/>
    </row>
    <row r="13" customHeight="1" spans="1:46">
      <c r="A13" s="467" t="s">
        <v>553</v>
      </c>
      <c r="B13" s="464" t="e">
        <f t="shared" si="1"/>
        <v>#REF!</v>
      </c>
      <c r="C13" s="464">
        <f t="shared" si="2"/>
        <v>0</v>
      </c>
      <c r="D13" s="464" t="e">
        <f t="shared" si="3"/>
        <v>#REF!</v>
      </c>
      <c r="E13" s="464">
        <f t="shared" si="4"/>
        <v>0</v>
      </c>
      <c r="F13" s="464">
        <f t="shared" si="5"/>
        <v>0</v>
      </c>
      <c r="G13" s="464">
        <f t="shared" si="6"/>
        <v>0</v>
      </c>
      <c r="H13" s="464">
        <f t="shared" si="7"/>
        <v>0</v>
      </c>
      <c r="I13" s="464">
        <f t="shared" si="8"/>
        <v>0</v>
      </c>
      <c r="J13" s="464">
        <f t="shared" si="9"/>
        <v>0</v>
      </c>
      <c r="K13" s="464">
        <f t="shared" si="10"/>
        <v>0</v>
      </c>
      <c r="L13" s="464">
        <f t="shared" si="11"/>
        <v>0</v>
      </c>
      <c r="M13" s="464">
        <f t="shared" si="12"/>
        <v>0</v>
      </c>
      <c r="N13" s="464">
        <f t="shared" si="13"/>
        <v>0</v>
      </c>
      <c r="O13" s="464">
        <f t="shared" si="14"/>
        <v>0</v>
      </c>
      <c r="P13" s="464">
        <f t="shared" si="15"/>
        <v>0</v>
      </c>
      <c r="Q13" s="478" t="e">
        <f>经济指标!#REF!</f>
        <v>#REF!</v>
      </c>
      <c r="R13" s="476"/>
      <c r="S13" s="464" t="e">
        <f>Q13*R13</f>
        <v>#REF!</v>
      </c>
      <c r="T13" s="464"/>
      <c r="U13" s="476"/>
      <c r="V13" s="476"/>
      <c r="W13" s="476"/>
      <c r="X13" s="476"/>
      <c r="Y13" s="476"/>
      <c r="Z13" s="476"/>
      <c r="AA13" s="476"/>
      <c r="AB13" s="476"/>
      <c r="AC13" s="476"/>
      <c r="AD13" s="476"/>
      <c r="AE13" s="476"/>
      <c r="AF13" s="478" t="e">
        <f>经济指标!#REF!</f>
        <v>#REF!</v>
      </c>
      <c r="AG13" s="488"/>
      <c r="AH13" s="464" t="e">
        <f>AF13*AG13</f>
        <v>#REF!</v>
      </c>
      <c r="AI13" s="464"/>
      <c r="AJ13" s="487"/>
      <c r="AK13" s="487"/>
      <c r="AL13" s="487"/>
      <c r="AM13" s="487"/>
      <c r="AN13" s="487"/>
      <c r="AO13" s="487"/>
      <c r="AP13" s="487"/>
      <c r="AQ13" s="487"/>
      <c r="AR13" s="487"/>
      <c r="AS13" s="487"/>
      <c r="AT13" s="487"/>
    </row>
    <row r="14" customHeight="1" spans="1:46">
      <c r="A14" s="468" t="s">
        <v>554</v>
      </c>
      <c r="B14" s="464" t="e">
        <f t="shared" si="1"/>
        <v>#REF!</v>
      </c>
      <c r="C14" s="464">
        <f t="shared" si="2"/>
        <v>0</v>
      </c>
      <c r="D14" s="464" t="e">
        <f t="shared" si="3"/>
        <v>#REF!</v>
      </c>
      <c r="E14" s="464">
        <f t="shared" si="4"/>
        <v>0</v>
      </c>
      <c r="F14" s="464">
        <f t="shared" si="5"/>
        <v>0</v>
      </c>
      <c r="G14" s="464">
        <f t="shared" si="6"/>
        <v>0</v>
      </c>
      <c r="H14" s="464">
        <f t="shared" si="7"/>
        <v>0</v>
      </c>
      <c r="I14" s="464">
        <f t="shared" si="8"/>
        <v>0</v>
      </c>
      <c r="J14" s="464">
        <f t="shared" si="9"/>
        <v>0</v>
      </c>
      <c r="K14" s="464">
        <f t="shared" si="10"/>
        <v>0</v>
      </c>
      <c r="L14" s="464">
        <f t="shared" si="11"/>
        <v>0</v>
      </c>
      <c r="M14" s="464">
        <f t="shared" si="12"/>
        <v>0</v>
      </c>
      <c r="N14" s="464">
        <f t="shared" si="13"/>
        <v>0</v>
      </c>
      <c r="O14" s="464">
        <f t="shared" si="14"/>
        <v>0</v>
      </c>
      <c r="P14" s="464">
        <f t="shared" si="15"/>
        <v>0</v>
      </c>
      <c r="Q14" s="479" t="e">
        <f>Q12+Q13</f>
        <v>#REF!</v>
      </c>
      <c r="R14" s="480">
        <f>R12+R13</f>
        <v>0</v>
      </c>
      <c r="S14" s="479" t="e">
        <f>S12+S13</f>
        <v>#REF!</v>
      </c>
      <c r="T14" s="479"/>
      <c r="U14" s="480"/>
      <c r="V14" s="480"/>
      <c r="W14" s="480"/>
      <c r="X14" s="480"/>
      <c r="Y14" s="480"/>
      <c r="Z14" s="480"/>
      <c r="AA14" s="480"/>
      <c r="AB14" s="480"/>
      <c r="AC14" s="480"/>
      <c r="AD14" s="480"/>
      <c r="AE14" s="480"/>
      <c r="AF14" s="479" t="e">
        <f>AF12+AF13</f>
        <v>#REF!</v>
      </c>
      <c r="AG14" s="480">
        <f>AG12+AG13</f>
        <v>0</v>
      </c>
      <c r="AH14" s="479" t="e">
        <f>AH12+AH13</f>
        <v>#REF!</v>
      </c>
      <c r="AI14" s="479"/>
      <c r="AJ14" s="487"/>
      <c r="AK14" s="487"/>
      <c r="AL14" s="487"/>
      <c r="AM14" s="487"/>
      <c r="AN14" s="487"/>
      <c r="AO14" s="487"/>
      <c r="AP14" s="487"/>
      <c r="AQ14" s="487"/>
      <c r="AR14" s="487"/>
      <c r="AS14" s="487"/>
      <c r="AT14" s="487"/>
    </row>
    <row r="15" customHeight="1" spans="1:46">
      <c r="A15" s="469" t="s">
        <v>555</v>
      </c>
      <c r="B15" s="464" t="e">
        <f t="shared" si="1"/>
        <v>#REF!</v>
      </c>
      <c r="C15" s="464" t="e">
        <f t="shared" si="2"/>
        <v>#REF!</v>
      </c>
      <c r="D15" s="464" t="e">
        <f t="shared" si="3"/>
        <v>#REF!</v>
      </c>
      <c r="E15" s="464">
        <f t="shared" si="4"/>
        <v>0</v>
      </c>
      <c r="F15" s="464">
        <f t="shared" si="5"/>
        <v>0</v>
      </c>
      <c r="G15" s="464" t="e">
        <f t="shared" si="6"/>
        <v>#REF!</v>
      </c>
      <c r="H15" s="464" t="e">
        <f t="shared" si="7"/>
        <v>#REF!</v>
      </c>
      <c r="I15" s="464" t="e">
        <f t="shared" si="8"/>
        <v>#REF!</v>
      </c>
      <c r="J15" s="464" t="e">
        <f t="shared" si="9"/>
        <v>#REF!</v>
      </c>
      <c r="K15" s="464" t="e">
        <f t="shared" si="10"/>
        <v>#REF!</v>
      </c>
      <c r="L15" s="464" t="e">
        <f t="shared" si="11"/>
        <v>#REF!</v>
      </c>
      <c r="M15" s="464" t="e">
        <f t="shared" si="12"/>
        <v>#REF!</v>
      </c>
      <c r="N15" s="464" t="e">
        <f t="shared" si="13"/>
        <v>#REF!</v>
      </c>
      <c r="O15" s="464" t="e">
        <f t="shared" si="14"/>
        <v>#REF!</v>
      </c>
      <c r="P15" s="464" t="e">
        <f t="shared" si="15"/>
        <v>#REF!</v>
      </c>
      <c r="Q15" s="478" t="e">
        <f>ROUND(Q13/45,0)</f>
        <v>#REF!</v>
      </c>
      <c r="R15" s="481" t="e">
        <f>#REF!</f>
        <v>#REF!</v>
      </c>
      <c r="S15" s="469" t="e">
        <f>Q15*R15</f>
        <v>#REF!</v>
      </c>
      <c r="T15" s="469"/>
      <c r="U15" s="481"/>
      <c r="V15" s="481" t="e">
        <f>S15*0.1</f>
        <v>#REF!</v>
      </c>
      <c r="W15" s="481" t="e">
        <f t="shared" ref="W15:AB15" si="16">$S$15*0.15</f>
        <v>#REF!</v>
      </c>
      <c r="X15" s="481" t="e">
        <f t="shared" si="16"/>
        <v>#REF!</v>
      </c>
      <c r="Y15" s="481" t="e">
        <f t="shared" si="16"/>
        <v>#REF!</v>
      </c>
      <c r="Z15" s="481" t="e">
        <f t="shared" si="16"/>
        <v>#REF!</v>
      </c>
      <c r="AA15" s="481" t="e">
        <f t="shared" si="16"/>
        <v>#REF!</v>
      </c>
      <c r="AB15" s="481" t="e">
        <f t="shared" si="16"/>
        <v>#REF!</v>
      </c>
      <c r="AC15" s="481"/>
      <c r="AD15" s="481"/>
      <c r="AE15" s="481"/>
      <c r="AF15" s="478" t="e">
        <f>ROUND(AF13/45,0)</f>
        <v>#REF!</v>
      </c>
      <c r="AG15" s="488" t="e">
        <f>#REF!</f>
        <v>#REF!</v>
      </c>
      <c r="AH15" s="469" t="e">
        <f>AF15*AG15</f>
        <v>#REF!</v>
      </c>
      <c r="AI15" s="469"/>
      <c r="AJ15" s="487"/>
      <c r="AK15" s="487"/>
      <c r="AL15" s="487"/>
      <c r="AM15" s="486" t="e">
        <f t="shared" ref="AM15:AR15" si="17">$AH$15*0.15</f>
        <v>#REF!</v>
      </c>
      <c r="AN15" s="486" t="e">
        <f t="shared" si="17"/>
        <v>#REF!</v>
      </c>
      <c r="AO15" s="486" t="e">
        <f t="shared" si="17"/>
        <v>#REF!</v>
      </c>
      <c r="AP15" s="486" t="e">
        <f t="shared" si="17"/>
        <v>#REF!</v>
      </c>
      <c r="AQ15" s="486" t="e">
        <f t="shared" si="17"/>
        <v>#REF!</v>
      </c>
      <c r="AR15" s="486" t="e">
        <f t="shared" si="17"/>
        <v>#REF!</v>
      </c>
      <c r="AS15" s="486" t="e">
        <f>$AH$15*0.05</f>
        <v>#REF!</v>
      </c>
      <c r="AT15" s="486" t="e">
        <f>$AH$15*0.05</f>
        <v>#REF!</v>
      </c>
    </row>
    <row r="16" customHeight="1" spans="1:46">
      <c r="A16" s="470" t="s">
        <v>556</v>
      </c>
      <c r="B16" s="464" t="e">
        <f t="shared" si="1"/>
        <v>#REF!</v>
      </c>
      <c r="C16" s="464" t="e">
        <f t="shared" si="2"/>
        <v>#REF!</v>
      </c>
      <c r="D16" s="464" t="e">
        <f>SUM(D7:D9)+D15</f>
        <v>#REF!</v>
      </c>
      <c r="E16" s="464">
        <f t="shared" ref="E16:AT16" si="18">SUM(E7:E9)+E15</f>
        <v>0</v>
      </c>
      <c r="F16" s="464">
        <f t="shared" si="18"/>
        <v>0</v>
      </c>
      <c r="G16" s="464" t="e">
        <f t="shared" si="18"/>
        <v>#REF!</v>
      </c>
      <c r="H16" s="464" t="e">
        <f t="shared" si="18"/>
        <v>#REF!</v>
      </c>
      <c r="I16" s="464" t="e">
        <f t="shared" si="18"/>
        <v>#REF!</v>
      </c>
      <c r="J16" s="464" t="e">
        <f t="shared" si="18"/>
        <v>#REF!</v>
      </c>
      <c r="K16" s="464" t="e">
        <f t="shared" si="18"/>
        <v>#REF!</v>
      </c>
      <c r="L16" s="464" t="e">
        <f t="shared" si="18"/>
        <v>#REF!</v>
      </c>
      <c r="M16" s="464" t="e">
        <f t="shared" si="18"/>
        <v>#REF!</v>
      </c>
      <c r="N16" s="464" t="e">
        <f t="shared" si="18"/>
        <v>#REF!</v>
      </c>
      <c r="O16" s="464" t="e">
        <f t="shared" si="18"/>
        <v>#REF!</v>
      </c>
      <c r="P16" s="464" t="e">
        <f t="shared" si="18"/>
        <v>#REF!</v>
      </c>
      <c r="Q16" s="464" t="e">
        <f t="shared" si="18"/>
        <v>#REF!</v>
      </c>
      <c r="R16" s="464" t="e">
        <f t="shared" si="18"/>
        <v>#REF!</v>
      </c>
      <c r="S16" s="464" t="e">
        <f t="shared" si="18"/>
        <v>#REF!</v>
      </c>
      <c r="T16" s="464">
        <f t="shared" si="18"/>
        <v>0</v>
      </c>
      <c r="U16" s="464">
        <f t="shared" si="18"/>
        <v>0</v>
      </c>
      <c r="V16" s="464" t="e">
        <f t="shared" si="18"/>
        <v>#REF!</v>
      </c>
      <c r="W16" s="464" t="e">
        <f t="shared" si="18"/>
        <v>#REF!</v>
      </c>
      <c r="X16" s="464" t="e">
        <f t="shared" si="18"/>
        <v>#REF!</v>
      </c>
      <c r="Y16" s="464" t="e">
        <f t="shared" si="18"/>
        <v>#REF!</v>
      </c>
      <c r="Z16" s="464" t="e">
        <f t="shared" si="18"/>
        <v>#REF!</v>
      </c>
      <c r="AA16" s="464" t="e">
        <f t="shared" si="18"/>
        <v>#REF!</v>
      </c>
      <c r="AB16" s="464" t="e">
        <f t="shared" si="18"/>
        <v>#REF!</v>
      </c>
      <c r="AC16" s="464">
        <f t="shared" si="18"/>
        <v>0</v>
      </c>
      <c r="AD16" s="464">
        <f t="shared" si="18"/>
        <v>0</v>
      </c>
      <c r="AE16" s="464">
        <f t="shared" si="18"/>
        <v>0</v>
      </c>
      <c r="AF16" s="464" t="e">
        <f t="shared" si="18"/>
        <v>#REF!</v>
      </c>
      <c r="AG16" s="464" t="e">
        <f t="shared" si="18"/>
        <v>#REF!</v>
      </c>
      <c r="AH16" s="464" t="e">
        <f t="shared" si="18"/>
        <v>#REF!</v>
      </c>
      <c r="AI16" s="464">
        <f t="shared" si="18"/>
        <v>0</v>
      </c>
      <c r="AJ16" s="464">
        <f t="shared" si="18"/>
        <v>0</v>
      </c>
      <c r="AK16" s="464">
        <f t="shared" si="18"/>
        <v>0</v>
      </c>
      <c r="AL16" s="464">
        <f t="shared" si="18"/>
        <v>0</v>
      </c>
      <c r="AM16" s="464" t="e">
        <f t="shared" si="18"/>
        <v>#REF!</v>
      </c>
      <c r="AN16" s="464" t="e">
        <f t="shared" si="18"/>
        <v>#REF!</v>
      </c>
      <c r="AO16" s="464" t="e">
        <f t="shared" si="18"/>
        <v>#REF!</v>
      </c>
      <c r="AP16" s="464" t="e">
        <f t="shared" si="18"/>
        <v>#REF!</v>
      </c>
      <c r="AQ16" s="464" t="e">
        <f t="shared" si="18"/>
        <v>#REF!</v>
      </c>
      <c r="AR16" s="464" t="e">
        <f t="shared" si="18"/>
        <v>#REF!</v>
      </c>
      <c r="AS16" s="464" t="e">
        <f t="shared" si="18"/>
        <v>#REF!</v>
      </c>
      <c r="AT16" s="464" t="e">
        <f t="shared" si="18"/>
        <v>#REF!</v>
      </c>
    </row>
  </sheetData>
  <mergeCells count="3">
    <mergeCell ref="B1:P1"/>
    <mergeCell ref="Q1:AE1"/>
    <mergeCell ref="AF1:AT1"/>
  </mergeCells>
  <pageMargins left="0.699305555555556" right="0.699305555555556" top="0.75" bottom="0.75" header="0.3" footer="0.3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7"/>
  <sheetViews>
    <sheetView zoomScale="80" zoomScaleNormal="80" workbookViewId="0">
      <selection activeCell="I23" sqref="I23"/>
    </sheetView>
  </sheetViews>
  <sheetFormatPr defaultColWidth="9" defaultRowHeight="30" customHeight="1"/>
  <cols>
    <col min="1" max="1" width="12.25" style="334" customWidth="1"/>
    <col min="2" max="2" width="15.125" style="334" customWidth="1"/>
    <col min="3" max="3" width="14.5" style="334" customWidth="1"/>
    <col min="4" max="4" width="15.125" style="334" customWidth="1"/>
    <col min="5" max="5" width="14.875" style="334" customWidth="1"/>
    <col min="6" max="6" width="18" style="334" customWidth="1"/>
    <col min="7" max="7" width="19.25" style="334" customWidth="1"/>
    <col min="8" max="8" width="12.875" style="334" customWidth="1"/>
    <col min="9" max="9" width="12.625" style="334" customWidth="1"/>
    <col min="10" max="10" width="20.5" style="336" customWidth="1"/>
    <col min="11" max="11" width="14.0666666666667" style="336" customWidth="1"/>
    <col min="12" max="12" width="15.4416666666667" style="336" customWidth="1"/>
    <col min="13" max="13" width="12" style="334" customWidth="1"/>
    <col min="14" max="14" width="9" style="334"/>
    <col min="15" max="15" width="16.0916666666667" style="336" customWidth="1"/>
    <col min="16" max="16" width="14.8416666666667" style="336" customWidth="1"/>
    <col min="17" max="17" width="17.025" style="334" customWidth="1"/>
    <col min="18" max="16384" width="9" style="334"/>
  </cols>
  <sheetData>
    <row r="1" customFormat="1" ht="21" customHeight="1" spans="1:16">
      <c r="A1" s="178" t="s">
        <v>38</v>
      </c>
      <c r="B1" s="179" t="str">
        <f>目录!C6</f>
        <v>销售中心</v>
      </c>
      <c r="C1" s="180" t="s">
        <v>39</v>
      </c>
      <c r="D1" s="418" t="s">
        <v>557</v>
      </c>
      <c r="E1" s="419"/>
      <c r="F1" s="419"/>
      <c r="J1" s="138"/>
      <c r="K1" s="138"/>
      <c r="L1" s="138"/>
      <c r="O1" s="138"/>
      <c r="P1" s="138"/>
    </row>
    <row r="2" customFormat="1" ht="21" customHeight="1" spans="1:16">
      <c r="A2" s="178" t="s">
        <v>3</v>
      </c>
      <c r="B2" s="179" t="str">
        <f>目录!D6</f>
        <v>赵瑞波</v>
      </c>
      <c r="C2" s="180"/>
      <c r="D2" s="420" t="s">
        <v>521</v>
      </c>
      <c r="E2" s="421">
        <v>0.03</v>
      </c>
      <c r="F2" s="140">
        <v>27</v>
      </c>
      <c r="J2" s="138"/>
      <c r="K2" s="138"/>
      <c r="L2" s="138"/>
      <c r="O2" s="138"/>
      <c r="P2" s="138"/>
    </row>
    <row r="3" customFormat="1" ht="21" customHeight="1" spans="1:16">
      <c r="A3" s="178" t="s">
        <v>4</v>
      </c>
      <c r="B3" s="181" t="str">
        <f>目录!E6</f>
        <v>2022.10.31</v>
      </c>
      <c r="C3" s="180"/>
      <c r="D3" s="420" t="s">
        <v>522</v>
      </c>
      <c r="E3" s="421">
        <v>0.02</v>
      </c>
      <c r="F3" s="140">
        <v>13</v>
      </c>
      <c r="G3" s="313">
        <f>I23/E23</f>
        <v>0.02</v>
      </c>
      <c r="H3" t="s">
        <v>558</v>
      </c>
      <c r="J3" s="138"/>
      <c r="K3" s="138"/>
      <c r="L3" s="138"/>
      <c r="O3" s="138"/>
      <c r="P3" s="138"/>
    </row>
    <row r="4" s="172" customFormat="1" ht="21" customHeight="1" spans="1:16">
      <c r="A4" s="422"/>
      <c r="B4" s="423"/>
      <c r="C4" s="424"/>
      <c r="D4" s="425"/>
      <c r="E4" s="426"/>
      <c r="F4" s="427"/>
      <c r="J4" s="231">
        <f>H8</f>
        <v>66</v>
      </c>
      <c r="K4" s="231"/>
      <c r="L4" s="231"/>
      <c r="O4" s="231"/>
      <c r="P4" s="231"/>
    </row>
    <row r="5" customHeight="1" spans="1:11">
      <c r="A5" s="428" t="str">
        <f>项目概况!B6&amp;"项目预计销售收入及费用情况表"</f>
        <v>洛龙区八里堂地块（挂牌）项目预计销售收入及费用情况表</v>
      </c>
      <c r="B5" s="428"/>
      <c r="C5" s="428"/>
      <c r="D5" s="428"/>
      <c r="E5" s="428"/>
      <c r="F5" s="428"/>
      <c r="G5" s="428"/>
      <c r="H5" s="428"/>
      <c r="I5" s="428"/>
      <c r="K5" s="336">
        <f>60*48+40*24</f>
        <v>3840</v>
      </c>
    </row>
    <row r="6" customHeight="1" spans="1:16">
      <c r="A6" s="341" t="s">
        <v>559</v>
      </c>
      <c r="B6" s="341" t="s">
        <v>64</v>
      </c>
      <c r="C6" s="342" t="s">
        <v>68</v>
      </c>
      <c r="D6" s="342" t="s">
        <v>560</v>
      </c>
      <c r="E6" s="347" t="s">
        <v>561</v>
      </c>
      <c r="F6" s="343" t="s">
        <v>562</v>
      </c>
      <c r="G6" s="343" t="s">
        <v>563</v>
      </c>
      <c r="H6" s="343" t="s">
        <v>521</v>
      </c>
      <c r="I6" s="343" t="s">
        <v>564</v>
      </c>
      <c r="J6" s="451" t="s">
        <v>528</v>
      </c>
      <c r="K6" s="452" t="s">
        <v>565</v>
      </c>
      <c r="L6" s="452" t="s">
        <v>566</v>
      </c>
      <c r="M6" s="452"/>
      <c r="O6" s="336" t="s">
        <v>567</v>
      </c>
      <c r="P6" s="336" t="s">
        <v>568</v>
      </c>
    </row>
    <row r="7" ht="23.25" customHeight="1" spans="1:17">
      <c r="A7" s="345" t="str">
        <f>经济指标!B9</f>
        <v>地上部分1</v>
      </c>
      <c r="B7" s="345" t="str">
        <f>经济指标!C9</f>
        <v>洋房</v>
      </c>
      <c r="C7" s="347">
        <f>经济指标!G9</f>
        <v>31642.84</v>
      </c>
      <c r="D7" s="429">
        <v>13500</v>
      </c>
      <c r="E7" s="347">
        <f>C7*D7/10000</f>
        <v>42717.834</v>
      </c>
      <c r="F7" s="430">
        <f>E7/$E$23</f>
        <v>0.648791247605297</v>
      </c>
      <c r="G7" s="431"/>
      <c r="H7" s="347">
        <f>E7*E2</f>
        <v>1281.53502</v>
      </c>
      <c r="I7" s="347">
        <f>E7*$E$3</f>
        <v>854.35668</v>
      </c>
      <c r="J7" s="453" t="s">
        <v>532</v>
      </c>
      <c r="K7" s="452">
        <v>10976</v>
      </c>
      <c r="L7" s="452">
        <f>C8-K7</f>
        <v>5716.48</v>
      </c>
      <c r="M7" s="452"/>
      <c r="O7" s="336">
        <v>43718.4</v>
      </c>
      <c r="P7" s="336">
        <f>E7-O7</f>
        <v>-1000.566</v>
      </c>
      <c r="Q7" s="334" t="s">
        <v>569</v>
      </c>
    </row>
    <row r="8" ht="23.25" customHeight="1" spans="1:17">
      <c r="A8" s="345" t="str">
        <f>经济指标!B10</f>
        <v>地上部分2</v>
      </c>
      <c r="B8" s="345" t="str">
        <f>经济指标!C10</f>
        <v>别墅</v>
      </c>
      <c r="C8" s="347">
        <f>经济指标!G10</f>
        <v>16692.48</v>
      </c>
      <c r="D8" s="429">
        <f>E8/C8*10000</f>
        <v>11500</v>
      </c>
      <c r="E8" s="347">
        <f>K9+L9</f>
        <v>19196.352</v>
      </c>
      <c r="F8" s="430">
        <f>E8/$E$23</f>
        <v>0.291550951847194</v>
      </c>
      <c r="G8" s="431"/>
      <c r="H8" s="432">
        <v>66</v>
      </c>
      <c r="I8" s="347">
        <f>E8*$E$3</f>
        <v>383.92704</v>
      </c>
      <c r="J8" s="453" t="s">
        <v>547</v>
      </c>
      <c r="K8" s="452">
        <v>11500</v>
      </c>
      <c r="L8" s="452">
        <v>11500</v>
      </c>
      <c r="M8" s="452"/>
      <c r="O8" s="336">
        <v>18418.4</v>
      </c>
      <c r="P8" s="336">
        <f t="shared" ref="P8:P23" si="0">E8-O8</f>
        <v>777.951999999997</v>
      </c>
      <c r="Q8" s="334" t="s">
        <v>570</v>
      </c>
    </row>
    <row r="9" ht="23.25" customHeight="1" spans="1:16">
      <c r="A9" s="345" t="str">
        <f>经济指标!B11</f>
        <v>地上部分3</v>
      </c>
      <c r="B9" s="345" t="str">
        <f>经济指标!C11</f>
        <v>小高层</v>
      </c>
      <c r="C9" s="347">
        <f>经济指标!G11</f>
        <v>0</v>
      </c>
      <c r="D9" s="347"/>
      <c r="E9" s="347">
        <f t="shared" ref="E9:E17" si="1">C9*D9/10000</f>
        <v>0</v>
      </c>
      <c r="F9" s="430">
        <f>E9/$E$23</f>
        <v>0</v>
      </c>
      <c r="G9" s="431"/>
      <c r="H9" s="347"/>
      <c r="I9" s="347">
        <f t="shared" ref="I9:I21" si="2">E9*$E$3</f>
        <v>0</v>
      </c>
      <c r="J9" s="453" t="s">
        <v>571</v>
      </c>
      <c r="K9" s="454">
        <f>K7*K8/10000</f>
        <v>12622.4</v>
      </c>
      <c r="L9" s="454">
        <f t="shared" ref="L9" si="3">L7*L8/10000</f>
        <v>6573.952</v>
      </c>
      <c r="M9" s="452"/>
      <c r="O9" s="336">
        <v>0</v>
      </c>
      <c r="P9" s="336">
        <f t="shared" si="0"/>
        <v>0</v>
      </c>
    </row>
    <row r="10" ht="23.25" customHeight="1" spans="1:16">
      <c r="A10" s="345" t="str">
        <f>经济指标!B12</f>
        <v>地上部分4</v>
      </c>
      <c r="B10" s="345" t="str">
        <f>经济指标!C12</f>
        <v>公寓</v>
      </c>
      <c r="C10" s="347">
        <f>经济指标!G12</f>
        <v>0</v>
      </c>
      <c r="D10" s="347">
        <v>0</v>
      </c>
      <c r="E10" s="347">
        <f t="shared" si="1"/>
        <v>0</v>
      </c>
      <c r="F10" s="430">
        <f t="shared" ref="F10:F13" si="4">E10/$E$23</f>
        <v>0</v>
      </c>
      <c r="G10" s="431"/>
      <c r="H10" s="347"/>
      <c r="I10" s="347">
        <f t="shared" ref="I10:I13" si="5">E10*$E$3</f>
        <v>0</v>
      </c>
      <c r="J10" s="453" t="s">
        <v>572</v>
      </c>
      <c r="K10" s="452">
        <f>[4]项目利润情况表!$C$65</f>
        <v>11600</v>
      </c>
      <c r="L10" s="452">
        <f>K10</f>
        <v>11600</v>
      </c>
      <c r="M10" s="452"/>
      <c r="O10" s="336">
        <v>0</v>
      </c>
      <c r="P10" s="336">
        <f t="shared" si="0"/>
        <v>0</v>
      </c>
    </row>
    <row r="11" ht="23.25" customHeight="1" spans="1:16">
      <c r="A11" s="345" t="str">
        <f>经济指标!B13</f>
        <v>地上部分5</v>
      </c>
      <c r="B11" s="345" t="str">
        <f>经济指标!C13</f>
        <v>商业</v>
      </c>
      <c r="C11" s="347">
        <f>经济指标!G13</f>
        <v>0</v>
      </c>
      <c r="D11" s="429">
        <v>0</v>
      </c>
      <c r="E11" s="347">
        <f t="shared" si="1"/>
        <v>0</v>
      </c>
      <c r="F11" s="430">
        <f t="shared" si="4"/>
        <v>0</v>
      </c>
      <c r="G11" s="431"/>
      <c r="H11" s="347"/>
      <c r="I11" s="347">
        <f t="shared" si="5"/>
        <v>0</v>
      </c>
      <c r="J11" s="452" t="s">
        <v>573</v>
      </c>
      <c r="K11" s="452">
        <f>K8-K10</f>
        <v>-100</v>
      </c>
      <c r="L11" s="452">
        <f t="shared" ref="L11" si="6">L8-L10</f>
        <v>-100</v>
      </c>
      <c r="M11" s="452"/>
      <c r="O11" s="336">
        <v>0</v>
      </c>
      <c r="P11" s="336">
        <f t="shared" si="0"/>
        <v>0</v>
      </c>
    </row>
    <row r="12" ht="23.25" customHeight="1" spans="1:16">
      <c r="A12" s="345" t="str">
        <f>经济指标!B14</f>
        <v>地上部分6</v>
      </c>
      <c r="B12" s="345" t="str">
        <f>经济指标!C14</f>
        <v>办公</v>
      </c>
      <c r="C12" s="347">
        <f>经济指标!G14</f>
        <v>0</v>
      </c>
      <c r="D12" s="347">
        <v>0</v>
      </c>
      <c r="E12" s="347">
        <f t="shared" si="1"/>
        <v>0</v>
      </c>
      <c r="F12" s="430">
        <f t="shared" si="4"/>
        <v>0</v>
      </c>
      <c r="G12" s="431"/>
      <c r="H12" s="347"/>
      <c r="I12" s="347">
        <f t="shared" si="5"/>
        <v>0</v>
      </c>
      <c r="O12" s="336">
        <v>0</v>
      </c>
      <c r="P12" s="336">
        <f t="shared" si="0"/>
        <v>0</v>
      </c>
    </row>
    <row r="13" ht="23.25" customHeight="1" spans="1:16">
      <c r="A13" s="345" t="str">
        <f>经济指标!B15</f>
        <v>地上部分7</v>
      </c>
      <c r="B13" s="345" t="str">
        <f>经济指标!C15</f>
        <v>装配式</v>
      </c>
      <c r="C13" s="347">
        <f>经济指标!G15</f>
        <v>0</v>
      </c>
      <c r="D13" s="429"/>
      <c r="E13" s="347">
        <f t="shared" si="1"/>
        <v>0</v>
      </c>
      <c r="F13" s="430">
        <f t="shared" si="4"/>
        <v>0</v>
      </c>
      <c r="G13" s="431"/>
      <c r="H13" s="347"/>
      <c r="I13" s="347">
        <f t="shared" si="5"/>
        <v>0</v>
      </c>
      <c r="O13" s="336">
        <v>0</v>
      </c>
      <c r="P13" s="336">
        <f t="shared" si="0"/>
        <v>0</v>
      </c>
    </row>
    <row r="14" ht="23.25" customHeight="1" spans="1:16">
      <c r="A14" s="345" t="str">
        <f>经济指标!B16</f>
        <v>地上部分8</v>
      </c>
      <c r="B14" s="345" t="str">
        <f>经济指标!C16</f>
        <v>物业用房及消防控制室</v>
      </c>
      <c r="C14" s="347">
        <f>经济指标!G16</f>
        <v>0</v>
      </c>
      <c r="D14" s="347"/>
      <c r="E14" s="347">
        <f t="shared" si="1"/>
        <v>0</v>
      </c>
      <c r="F14" s="430">
        <f t="shared" ref="F14:F23" si="7">E14/$E$23</f>
        <v>0</v>
      </c>
      <c r="G14" s="431"/>
      <c r="H14" s="347"/>
      <c r="I14" s="347">
        <f t="shared" si="2"/>
        <v>0</v>
      </c>
      <c r="M14" s="336"/>
      <c r="O14" s="336">
        <v>0</v>
      </c>
      <c r="P14" s="336">
        <f t="shared" si="0"/>
        <v>0</v>
      </c>
    </row>
    <row r="15" ht="23.25" customHeight="1" spans="1:16">
      <c r="A15" s="345" t="str">
        <f>经济指标!B17</f>
        <v>地上部分9</v>
      </c>
      <c r="B15" s="345" t="str">
        <f>经济指标!C17</f>
        <v>公共厕所及开闭所</v>
      </c>
      <c r="C15" s="347">
        <f>经济指标!G17</f>
        <v>0</v>
      </c>
      <c r="D15" s="347">
        <v>0</v>
      </c>
      <c r="E15" s="347">
        <f t="shared" si="1"/>
        <v>0</v>
      </c>
      <c r="F15" s="430">
        <f t="shared" si="7"/>
        <v>0</v>
      </c>
      <c r="G15" s="431"/>
      <c r="H15" s="347"/>
      <c r="I15" s="347">
        <f t="shared" si="2"/>
        <v>0</v>
      </c>
      <c r="O15" s="336">
        <v>0</v>
      </c>
      <c r="P15" s="336">
        <f t="shared" si="0"/>
        <v>0</v>
      </c>
    </row>
    <row r="16" ht="23.25" customHeight="1" spans="1:16">
      <c r="A16" s="345" t="str">
        <f>经济指标!B18</f>
        <v>地上部分10</v>
      </c>
      <c r="B16" s="345" t="str">
        <f>经济指标!C18</f>
        <v>社区服务站</v>
      </c>
      <c r="C16" s="347">
        <f>经济指标!G18</f>
        <v>0</v>
      </c>
      <c r="D16" s="347">
        <v>0</v>
      </c>
      <c r="E16" s="347">
        <f t="shared" si="1"/>
        <v>0</v>
      </c>
      <c r="F16" s="430">
        <f t="shared" si="7"/>
        <v>0</v>
      </c>
      <c r="G16" s="431"/>
      <c r="H16" s="347"/>
      <c r="I16" s="347">
        <f t="shared" si="2"/>
        <v>0</v>
      </c>
      <c r="J16" s="455" t="s">
        <v>574</v>
      </c>
      <c r="O16" s="336">
        <v>0</v>
      </c>
      <c r="P16" s="336">
        <f t="shared" si="0"/>
        <v>0</v>
      </c>
    </row>
    <row r="17" ht="23.25" customHeight="1" spans="1:16">
      <c r="A17" s="345" t="str">
        <f>经济指标!B19</f>
        <v>地上部分11</v>
      </c>
      <c r="B17" s="345" t="str">
        <f>经济指标!C19</f>
        <v>老年日间照料</v>
      </c>
      <c r="C17" s="347">
        <f>经济指标!G19</f>
        <v>0</v>
      </c>
      <c r="D17" s="347">
        <v>0</v>
      </c>
      <c r="E17" s="347">
        <f t="shared" si="1"/>
        <v>0</v>
      </c>
      <c r="F17" s="430">
        <f t="shared" si="7"/>
        <v>0</v>
      </c>
      <c r="G17" s="431"/>
      <c r="H17" s="347"/>
      <c r="I17" s="347">
        <f t="shared" si="2"/>
        <v>0</v>
      </c>
      <c r="O17" s="336">
        <v>0</v>
      </c>
      <c r="P17" s="336">
        <f t="shared" si="0"/>
        <v>0</v>
      </c>
    </row>
    <row r="18" ht="23.25" customHeight="1" spans="1:16">
      <c r="A18" s="433" t="s">
        <v>575</v>
      </c>
      <c r="B18" s="434"/>
      <c r="C18" s="435">
        <f>SUM(C7:C17)</f>
        <v>48335.32</v>
      </c>
      <c r="D18" s="436">
        <f>E18*10000/C18</f>
        <v>12809.3050795981</v>
      </c>
      <c r="E18" s="435">
        <f>SUM(E7:E17)</f>
        <v>61914.186</v>
      </c>
      <c r="F18" s="437">
        <f t="shared" si="7"/>
        <v>0.940342199452491</v>
      </c>
      <c r="G18" s="435">
        <f t="shared" ref="G18:H18" si="8">SUM(G7:G17)</f>
        <v>0</v>
      </c>
      <c r="H18" s="435">
        <f t="shared" si="8"/>
        <v>1347.53502</v>
      </c>
      <c r="I18" s="456">
        <f>I7+I8</f>
        <v>1238.28372</v>
      </c>
      <c r="O18" s="81">
        <v>62136.8</v>
      </c>
      <c r="P18" s="81">
        <f t="shared" si="0"/>
        <v>-222.614000000001</v>
      </c>
    </row>
    <row r="19" ht="23.25" customHeight="1" spans="1:16">
      <c r="A19" s="343" t="str">
        <f>经济指标!B21</f>
        <v>地下部分1</v>
      </c>
      <c r="B19" s="343" t="str">
        <f>经济指标!C21</f>
        <v>储藏室</v>
      </c>
      <c r="C19" s="348">
        <f>经济指标!G21</f>
        <v>0</v>
      </c>
      <c r="D19" s="348"/>
      <c r="E19" s="348">
        <f>C19*D19/10000</f>
        <v>0</v>
      </c>
      <c r="F19" s="430">
        <f t="shared" si="7"/>
        <v>0</v>
      </c>
      <c r="G19" s="343"/>
      <c r="H19" s="348">
        <f>E19*$E$2</f>
        <v>0</v>
      </c>
      <c r="I19" s="348">
        <f t="shared" si="2"/>
        <v>0</v>
      </c>
      <c r="O19" s="336">
        <v>0</v>
      </c>
      <c r="P19" s="336">
        <f t="shared" si="0"/>
        <v>0</v>
      </c>
    </row>
    <row r="20" ht="23.25" customHeight="1" spans="1:17">
      <c r="A20" s="343" t="str">
        <f>经济指标!B22</f>
        <v>地下部分2</v>
      </c>
      <c r="B20" s="343" t="str">
        <f>经济指标!C22</f>
        <v>人防车位</v>
      </c>
      <c r="C20" s="438">
        <f>经济指标!I22</f>
        <v>99</v>
      </c>
      <c r="D20" s="439">
        <v>8</v>
      </c>
      <c r="E20" s="348">
        <f>C20*D20</f>
        <v>792</v>
      </c>
      <c r="F20" s="430">
        <f t="shared" si="7"/>
        <v>0.0120287622285202</v>
      </c>
      <c r="G20" s="343"/>
      <c r="H20" s="348"/>
      <c r="I20" s="348">
        <f t="shared" si="2"/>
        <v>15.84</v>
      </c>
      <c r="O20" s="336">
        <v>819.755789473684</v>
      </c>
      <c r="P20" s="336">
        <f t="shared" si="0"/>
        <v>-27.755789473684</v>
      </c>
      <c r="Q20" s="458" t="s">
        <v>576</v>
      </c>
    </row>
    <row r="21" ht="23.25" customHeight="1" spans="1:17">
      <c r="A21" s="343" t="str">
        <f>经济指标!B23</f>
        <v>地下部分3</v>
      </c>
      <c r="B21" s="343" t="str">
        <f>经济指标!C23</f>
        <v>非人防车位</v>
      </c>
      <c r="C21" s="438">
        <f>经济指标!I23</f>
        <v>392</v>
      </c>
      <c r="D21" s="439">
        <v>8</v>
      </c>
      <c r="E21" s="348">
        <f>C21*D21</f>
        <v>3136</v>
      </c>
      <c r="F21" s="430">
        <f t="shared" si="7"/>
        <v>0.047629038318989</v>
      </c>
      <c r="G21" s="343"/>
      <c r="H21" s="376">
        <f>376*D21*E2</f>
        <v>90.24</v>
      </c>
      <c r="I21" s="348">
        <f t="shared" si="2"/>
        <v>62.72</v>
      </c>
      <c r="J21" s="336" t="s">
        <v>577</v>
      </c>
      <c r="O21" s="336">
        <v>3244.24421052632</v>
      </c>
      <c r="P21" s="336">
        <f t="shared" si="0"/>
        <v>-108.24421052632</v>
      </c>
      <c r="Q21" s="458" t="s">
        <v>576</v>
      </c>
    </row>
    <row r="22" ht="23.25" customHeight="1" spans="1:17">
      <c r="A22" s="440" t="s">
        <v>578</v>
      </c>
      <c r="B22" s="441"/>
      <c r="C22" s="435">
        <f>经济指标!G20</f>
        <v>22235.51</v>
      </c>
      <c r="D22" s="442">
        <f>E22*10000/C22</f>
        <v>1766.54369519746</v>
      </c>
      <c r="E22" s="435">
        <f>SUM(E19:E21)</f>
        <v>3928</v>
      </c>
      <c r="F22" s="437">
        <f t="shared" si="7"/>
        <v>0.0596578005475092</v>
      </c>
      <c r="G22" s="443"/>
      <c r="H22" s="435">
        <f>SUM(H19:H21)</f>
        <v>90.24</v>
      </c>
      <c r="I22" s="435">
        <f>SUM(I19:I21)</f>
        <v>78.56</v>
      </c>
      <c r="O22" s="81">
        <v>4064</v>
      </c>
      <c r="P22" s="81">
        <f t="shared" si="0"/>
        <v>-136</v>
      </c>
      <c r="Q22" s="458"/>
    </row>
    <row r="23" ht="23.25" customHeight="1" spans="1:16">
      <c r="A23" s="444" t="s">
        <v>127</v>
      </c>
      <c r="B23" s="445"/>
      <c r="C23" s="446">
        <f>C18+C22</f>
        <v>70570.83</v>
      </c>
      <c r="D23" s="447">
        <f>E23*10000/C23</f>
        <v>9329.94354749689</v>
      </c>
      <c r="E23" s="446">
        <f>E18+E22</f>
        <v>65842.186</v>
      </c>
      <c r="F23" s="448">
        <f t="shared" si="7"/>
        <v>1</v>
      </c>
      <c r="G23" s="449"/>
      <c r="H23" s="446">
        <f>H18+H22</f>
        <v>1437.77502</v>
      </c>
      <c r="I23" s="457">
        <f>I22+I18</f>
        <v>1316.84372</v>
      </c>
      <c r="O23" s="81">
        <v>66200.8</v>
      </c>
      <c r="P23" s="81">
        <f t="shared" si="0"/>
        <v>-358.614000000001</v>
      </c>
    </row>
    <row r="24" ht="23.25" customHeight="1" spans="1:9">
      <c r="A24" s="450" t="s">
        <v>579</v>
      </c>
      <c r="B24" s="450"/>
      <c r="C24" s="450"/>
      <c r="D24" s="450"/>
      <c r="E24" s="450"/>
      <c r="F24" s="450"/>
      <c r="H24" s="336">
        <f>E23*E2</f>
        <v>1975.26558</v>
      </c>
      <c r="I24" s="336">
        <f>E23*E3</f>
        <v>1316.84372</v>
      </c>
    </row>
    <row r="25" customHeight="1" spans="3:5">
      <c r="C25" s="334">
        <f>C23-经济指标!G7</f>
        <v>0</v>
      </c>
      <c r="E25" s="334">
        <f>E23-[6]预计销售收入及费用情况表!$E$23</f>
        <v>-358.614000000001</v>
      </c>
    </row>
    <row r="27" customHeight="1" spans="8:8">
      <c r="H27" s="357"/>
    </row>
  </sheetData>
  <mergeCells count="7">
    <mergeCell ref="D1:F1"/>
    <mergeCell ref="A5:I5"/>
    <mergeCell ref="A18:B18"/>
    <mergeCell ref="A22:B22"/>
    <mergeCell ref="A23:B23"/>
    <mergeCell ref="A24:F24"/>
    <mergeCell ref="C1:C3"/>
  </mergeCells>
  <hyperlinks>
    <hyperlink ref="C1:C3" location="目录!A1" display="返回目录"/>
  </hyperlinks>
  <pageMargins left="0.707638888888889" right="0.707638888888889" top="0.747916666666667" bottom="0.747916666666667" header="0.313888888888889" footer="0.313888888888889"/>
  <pageSetup paperSize="9" orientation="landscape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6" name="Scroll Bar 2" r:id="rId3">
              <controlPr defaultSize="0">
                <anchor moveWithCells="1">
                  <from>
                    <xdr:col>6</xdr:col>
                    <xdr:colOff>66675</xdr:colOff>
                    <xdr:row>6</xdr:row>
                    <xdr:rowOff>28575</xdr:rowOff>
                  </from>
                  <to>
                    <xdr:col>7</xdr:col>
                    <xdr:colOff>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name="Scroll Bar 3" r:id="rId4">
              <controlPr defaultSize="0">
                <anchor moveWithCells="1">
                  <from>
                    <xdr:col>6</xdr:col>
                    <xdr:colOff>66675</xdr:colOff>
                    <xdr:row>7</xdr:row>
                    <xdr:rowOff>47625</xdr:rowOff>
                  </from>
                  <to>
                    <xdr:col>7</xdr:col>
                    <xdr:colOff>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name="Scroll Bar 4" r:id="rId5">
              <controlPr defaultSize="0">
                <anchor moveWithCells="1">
                  <from>
                    <xdr:col>6</xdr:col>
                    <xdr:colOff>76200</xdr:colOff>
                    <xdr:row>8</xdr:row>
                    <xdr:rowOff>28575</xdr:rowOff>
                  </from>
                  <to>
                    <xdr:col>7</xdr:col>
                    <xdr:colOff>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name="Scroll Bar 5" r:id="rId6">
              <controlPr defaultSize="0">
                <anchor moveWithCells="1">
                  <from>
                    <xdr:col>6</xdr:col>
                    <xdr:colOff>76200</xdr:colOff>
                    <xdr:row>13</xdr:row>
                    <xdr:rowOff>28575</xdr:rowOff>
                  </from>
                  <to>
                    <xdr:col>7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name="Scroll Bar 6" r:id="rId7">
              <controlPr defaultSize="0">
                <anchor moveWithCells="1">
                  <from>
                    <xdr:col>6</xdr:col>
                    <xdr:colOff>76200</xdr:colOff>
                    <xdr:row>14</xdr:row>
                    <xdr:rowOff>28575</xdr:rowOff>
                  </from>
                  <to>
                    <xdr:col>7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name="Scroll Bar 7" r:id="rId8">
              <controlPr defaultSize="0">
                <anchor moveWithCells="1">
                  <from>
                    <xdr:col>6</xdr:col>
                    <xdr:colOff>66675</xdr:colOff>
                    <xdr:row>15</xdr:row>
                    <xdr:rowOff>19050</xdr:rowOff>
                  </from>
                  <to>
                    <xdr:col>7</xdr:col>
                    <xdr:colOff>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name="Scroll Bar 8" r:id="rId9">
              <controlPr defaultSize="0">
                <anchor moveWithCells="1">
                  <from>
                    <xdr:col>6</xdr:col>
                    <xdr:colOff>66675</xdr:colOff>
                    <xdr:row>16</xdr:row>
                    <xdr:rowOff>28575</xdr:rowOff>
                  </from>
                  <to>
                    <xdr:col>7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name="Scroll Bar 10" r:id="rId10">
              <controlPr defaultSize="0">
                <anchor moveWithCells="1">
                  <from>
                    <xdr:col>6</xdr:col>
                    <xdr:colOff>104775</xdr:colOff>
                    <xdr:row>18</xdr:row>
                    <xdr:rowOff>19050</xdr:rowOff>
                  </from>
                  <to>
                    <xdr:col>7</xdr:col>
                    <xdr:colOff>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name="Scroll Bar 12" r:id="rId11">
              <controlPr defaultSize="0">
                <anchor moveWithCells="1">
                  <from>
                    <xdr:col>6</xdr:col>
                    <xdr:colOff>104775</xdr:colOff>
                    <xdr:row>19</xdr:row>
                    <xdr:rowOff>47625</xdr:rowOff>
                  </from>
                  <to>
                    <xdr:col>7</xdr:col>
                    <xdr:colOff>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" name="Scroll Bar 14" r:id="rId12">
              <controlPr defaultSize="0">
                <anchor moveWithCells="1">
                  <from>
                    <xdr:col>6</xdr:col>
                    <xdr:colOff>76200</xdr:colOff>
                    <xdr:row>20</xdr:row>
                    <xdr:rowOff>9525</xdr:rowOff>
                  </from>
                  <to>
                    <xdr:col>7</xdr:col>
                    <xdr:colOff>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" name="Scroll Bar 17" r:id="rId13">
              <controlPr defaultSize="0">
                <anchor moveWithCells="1">
                  <from>
                    <xdr:col>5</xdr:col>
                    <xdr:colOff>47625</xdr:colOff>
                    <xdr:row>1</xdr:row>
                    <xdr:rowOff>9525</xdr:rowOff>
                  </from>
                  <to>
                    <xdr:col>6</xdr:col>
                    <xdr:colOff>0</xdr:colOff>
                    <xdr:row>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" name="Scroll Bar 18" r:id="rId14">
              <controlPr defaultSize="0">
                <anchor moveWithCells="1">
                  <from>
                    <xdr:col>5</xdr:col>
                    <xdr:colOff>19050</xdr:colOff>
                    <xdr:row>2</xdr:row>
                    <xdr:rowOff>19050</xdr:rowOff>
                  </from>
                  <to>
                    <xdr:col>6</xdr:col>
                    <xdr:colOff>0</xdr:colOff>
                    <xdr:row>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" name="Scroll Bar 20" r:id="rId15">
              <controlPr defaultSize="0">
                <anchor moveWithCells="1">
                  <from>
                    <xdr:col>6</xdr:col>
                    <xdr:colOff>76200</xdr:colOff>
                    <xdr:row>9</xdr:row>
                    <xdr:rowOff>28575</xdr:rowOff>
                  </from>
                  <to>
                    <xdr:col>7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5" name="Scroll Bar 21" r:id="rId16">
              <controlPr defaultSize="0">
                <anchor moveWithCells="1">
                  <from>
                    <xdr:col>6</xdr:col>
                    <xdr:colOff>76200</xdr:colOff>
                    <xdr:row>10</xdr:row>
                    <xdr:rowOff>28575</xdr:rowOff>
                  </from>
                  <to>
                    <xdr:col>7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7" name="Scroll Bar 23" r:id="rId17">
              <controlPr defaultSize="0">
                <anchor moveWithCells="1">
                  <from>
                    <xdr:col>6</xdr:col>
                    <xdr:colOff>76200</xdr:colOff>
                    <xdr:row>11</xdr:row>
                    <xdr:rowOff>28575</xdr:rowOff>
                  </from>
                  <to>
                    <xdr:col>7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9" name="Scroll Bar 25" r:id="rId18">
              <controlPr defaultSize="0">
                <anchor moveWithCells="1">
                  <from>
                    <xdr:col>6</xdr:col>
                    <xdr:colOff>76200</xdr:colOff>
                    <xdr:row>12</xdr:row>
                    <xdr:rowOff>28575</xdr:rowOff>
                  </from>
                  <to>
                    <xdr:col>7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6"/>
  <sheetViews>
    <sheetView topLeftCell="A3" workbookViewId="0">
      <selection activeCell="C7" sqref="C7"/>
    </sheetView>
  </sheetViews>
  <sheetFormatPr defaultColWidth="9" defaultRowHeight="15.6"/>
  <cols>
    <col min="1" max="1" width="9.625" customWidth="1"/>
    <col min="2" max="2" width="19.125" customWidth="1"/>
    <col min="3" max="3" width="20.125" customWidth="1"/>
    <col min="4" max="4" width="16.625" style="139" customWidth="1"/>
    <col min="5" max="5" width="23.5" customWidth="1"/>
    <col min="6" max="6" width="27.75" customWidth="1"/>
  </cols>
  <sheetData>
    <row r="1" s="405" customFormat="1" ht="35.25" customHeight="1" spans="1:17">
      <c r="A1" s="178" t="s">
        <v>38</v>
      </c>
      <c r="B1" s="179" t="str">
        <f>目录!C7</f>
        <v>财务中心</v>
      </c>
      <c r="C1" s="180" t="s">
        <v>39</v>
      </c>
      <c r="D1" s="235"/>
      <c r="E1" s="235"/>
      <c r="F1" s="235"/>
      <c r="G1" s="235"/>
      <c r="P1" s="417"/>
      <c r="Q1" s="417"/>
    </row>
    <row r="2" s="405" customFormat="1" ht="35.25" customHeight="1" spans="1:17">
      <c r="A2" s="178" t="s">
        <v>3</v>
      </c>
      <c r="B2" s="179" t="str">
        <f>目录!D7</f>
        <v>王晓莉</v>
      </c>
      <c r="C2" s="180"/>
      <c r="D2" s="235"/>
      <c r="E2" s="235"/>
      <c r="F2" s="235"/>
      <c r="G2" s="235"/>
      <c r="P2" s="417"/>
      <c r="Q2" s="417"/>
    </row>
    <row r="3" s="405" customFormat="1" ht="35.25" customHeight="1" spans="1:17">
      <c r="A3" s="178" t="s">
        <v>4</v>
      </c>
      <c r="B3" s="181" t="str">
        <f>目录!E7</f>
        <v>2022.10.31</v>
      </c>
      <c r="C3" s="180"/>
      <c r="D3" s="235"/>
      <c r="E3" s="235"/>
      <c r="F3" s="235"/>
      <c r="G3" s="235"/>
      <c r="P3" s="417"/>
      <c r="Q3" s="417"/>
    </row>
    <row r="4" ht="34.5" customHeight="1" spans="1:5">
      <c r="A4" s="185" t="str">
        <f>项目概况!B6&amp;"项目资金筹措表"</f>
        <v>洛龙区八里堂地块（挂牌）项目资金筹措表</v>
      </c>
      <c r="B4" s="185"/>
      <c r="C4" s="185"/>
      <c r="D4" s="185"/>
      <c r="E4" s="185"/>
    </row>
    <row r="5" ht="25.5" customHeight="1" spans="1:5">
      <c r="A5" s="406" t="s">
        <v>0</v>
      </c>
      <c r="B5" s="406" t="s">
        <v>40</v>
      </c>
      <c r="C5" s="406" t="s">
        <v>580</v>
      </c>
      <c r="D5" s="146" t="s">
        <v>65</v>
      </c>
      <c r="E5" s="215" t="s">
        <v>581</v>
      </c>
    </row>
    <row r="6" ht="26.25" customHeight="1" spans="1:5">
      <c r="A6" s="146">
        <v>1</v>
      </c>
      <c r="B6" s="406" t="s">
        <v>582</v>
      </c>
      <c r="C6" s="194">
        <f>成本测算明细!D186</f>
        <v>55488.6550839711</v>
      </c>
      <c r="D6" s="215" t="s">
        <v>56</v>
      </c>
      <c r="E6" s="407"/>
    </row>
    <row r="7" ht="26.25" customHeight="1" spans="1:6">
      <c r="A7" s="146">
        <v>2</v>
      </c>
      <c r="B7" s="406" t="s">
        <v>583</v>
      </c>
      <c r="C7" s="194">
        <f>成本测算明细!D10</f>
        <v>22299.7135837381</v>
      </c>
      <c r="D7" s="215" t="s">
        <v>56</v>
      </c>
      <c r="E7" s="408"/>
      <c r="F7" s="172"/>
    </row>
    <row r="8" ht="26.25" customHeight="1" spans="1:6">
      <c r="A8" s="146">
        <v>3</v>
      </c>
      <c r="B8" s="406" t="s">
        <v>584</v>
      </c>
      <c r="C8" s="197">
        <v>890</v>
      </c>
      <c r="D8" s="215" t="s">
        <v>56</v>
      </c>
      <c r="E8" s="408"/>
      <c r="F8" s="172"/>
    </row>
    <row r="9" ht="26.25" customHeight="1" spans="1:5">
      <c r="A9" s="146" t="s">
        <v>585</v>
      </c>
      <c r="B9" s="406" t="s">
        <v>586</v>
      </c>
      <c r="C9" s="194">
        <f>C7+C8</f>
        <v>23189.7135837381</v>
      </c>
      <c r="D9" s="215" t="s">
        <v>56</v>
      </c>
      <c r="E9" s="408"/>
    </row>
    <row r="10" ht="26.25" customHeight="1" spans="1:5">
      <c r="A10" s="146">
        <v>4</v>
      </c>
      <c r="B10" s="406" t="s">
        <v>587</v>
      </c>
      <c r="C10" s="191"/>
      <c r="D10" s="215"/>
      <c r="E10" s="408"/>
    </row>
    <row r="11" ht="26.25" customHeight="1" spans="1:5">
      <c r="A11" s="146">
        <v>5</v>
      </c>
      <c r="B11" s="406" t="s">
        <v>588</v>
      </c>
      <c r="C11" s="194">
        <v>0</v>
      </c>
      <c r="D11" s="215" t="s">
        <v>56</v>
      </c>
      <c r="E11" s="408"/>
    </row>
    <row r="12" ht="26.25" customHeight="1" spans="1:5">
      <c r="A12" s="146">
        <v>6</v>
      </c>
      <c r="B12" s="406" t="s">
        <v>589</v>
      </c>
      <c r="C12" s="409">
        <v>0.15</v>
      </c>
      <c r="D12" s="215" t="s">
        <v>590</v>
      </c>
      <c r="E12" s="408"/>
    </row>
    <row r="13" ht="26.25" customHeight="1" spans="1:5">
      <c r="A13" s="146">
        <v>7</v>
      </c>
      <c r="B13" s="406" t="s">
        <v>591</v>
      </c>
      <c r="C13" s="191"/>
      <c r="D13" s="215" t="s">
        <v>592</v>
      </c>
      <c r="E13" s="408"/>
    </row>
    <row r="14" ht="26.25" customHeight="1" spans="1:5">
      <c r="A14" s="146">
        <v>8</v>
      </c>
      <c r="B14" s="406" t="s">
        <v>593</v>
      </c>
      <c r="C14" s="203">
        <f>C11*C12*C13/12</f>
        <v>0</v>
      </c>
      <c r="D14" s="215" t="s">
        <v>56</v>
      </c>
      <c r="E14" s="408"/>
    </row>
    <row r="15" ht="26.25" customHeight="1" spans="1:5">
      <c r="A15" s="146">
        <v>9</v>
      </c>
      <c r="B15" s="406" t="s">
        <v>594</v>
      </c>
      <c r="C15" s="192">
        <f>C7/2+C8</f>
        <v>12039.856791869</v>
      </c>
      <c r="D15" s="215"/>
      <c r="E15" s="408"/>
    </row>
    <row r="16" ht="26.25" customHeight="1" spans="1:5">
      <c r="A16" s="146"/>
      <c r="B16" s="406" t="s">
        <v>587</v>
      </c>
      <c r="C16" s="192"/>
      <c r="D16" s="215"/>
      <c r="E16" s="408"/>
    </row>
    <row r="17" ht="26.25" customHeight="1" spans="1:5">
      <c r="A17" s="146">
        <v>10</v>
      </c>
      <c r="B17" s="406" t="s">
        <v>595</v>
      </c>
      <c r="C17" s="410">
        <v>0.08</v>
      </c>
      <c r="D17" s="215"/>
      <c r="E17" s="408"/>
    </row>
    <row r="18" ht="26.25" customHeight="1" spans="1:5">
      <c r="A18" s="146">
        <v>11</v>
      </c>
      <c r="B18" s="406" t="s">
        <v>596</v>
      </c>
      <c r="C18" s="191">
        <v>12</v>
      </c>
      <c r="D18" s="215" t="s">
        <v>592</v>
      </c>
      <c r="E18" s="408"/>
    </row>
    <row r="19" ht="26.25" customHeight="1" spans="1:6">
      <c r="A19" s="146">
        <v>12</v>
      </c>
      <c r="B19" s="406" t="s">
        <v>597</v>
      </c>
      <c r="C19" s="411">
        <f>现金流!I14+现金流!L14+现金流!M25</f>
        <v>2062.8587032353</v>
      </c>
      <c r="D19" s="215" t="s">
        <v>56</v>
      </c>
      <c r="E19" s="408"/>
      <c r="F19" s="311"/>
    </row>
    <row r="20" ht="26.25" customHeight="1" spans="1:6">
      <c r="A20" s="146">
        <v>13</v>
      </c>
      <c r="B20" s="406" t="s">
        <v>598</v>
      </c>
      <c r="C20" s="194">
        <f>C19</f>
        <v>2062.8587032353</v>
      </c>
      <c r="D20" s="215"/>
      <c r="E20" s="412"/>
      <c r="F20" s="311"/>
    </row>
    <row r="21" ht="35.25" hidden="1" customHeight="1" spans="1:5">
      <c r="A21" s="413">
        <v>14</v>
      </c>
      <c r="B21" s="414" t="s">
        <v>599</v>
      </c>
      <c r="C21" s="415">
        <f>IF(C14=0,[5]项目利润情况表!B20/[5]项目资金筹措!C9,[5]项目利润情况表!B20/([5]项目资金筹措!C9-[5]项目资金筹措!C11))</f>
        <v>0.231479723330964</v>
      </c>
      <c r="D21" s="272"/>
      <c r="E21" s="140"/>
    </row>
    <row r="22" ht="23.1" hidden="1" customHeight="1" spans="1:5">
      <c r="A22" s="413">
        <v>15</v>
      </c>
      <c r="B22" s="414" t="s">
        <v>600</v>
      </c>
      <c r="C22" s="140">
        <v>8</v>
      </c>
      <c r="D22" s="223" t="s">
        <v>592</v>
      </c>
      <c r="E22" s="140"/>
    </row>
    <row r="23" ht="24" hidden="1" customHeight="1" spans="1:5">
      <c r="A23" s="413">
        <v>16</v>
      </c>
      <c r="B23" s="414" t="s">
        <v>601</v>
      </c>
      <c r="C23" s="416">
        <f>C21*12/C22</f>
        <v>0.347219584996446</v>
      </c>
      <c r="D23" s="272"/>
      <c r="E23" s="140"/>
    </row>
    <row r="24" hidden="1"/>
    <row r="25" spans="6:6">
      <c r="F25" s="311"/>
    </row>
    <row r="26" spans="3:3">
      <c r="C26" s="311"/>
    </row>
  </sheetData>
  <mergeCells count="3">
    <mergeCell ref="A4:E4"/>
    <mergeCell ref="C1:C3"/>
    <mergeCell ref="E6:E20"/>
  </mergeCells>
  <hyperlinks>
    <hyperlink ref="C1:C3" location="目录!A1" display="返回目录"/>
  </hyperlinks>
  <pageMargins left="0.699305555555556" right="0.699305555555556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5 0 " > < c o m m e n t   s : r e f = " C 5 "   r g b C l r = " A 3 C 8 0 4 " / > < c o m m e n t   s : r e f = " D 5 "   r g b C l r = " A 3 C 8 0 4 " / > < c o m m e n t   s : r e f = " E 5 "   r g b C l r = " A 3 C 8 0 4 " / > < c o m m e n t   s : r e f = " F 5 "   r g b C l r = " F 8 C 6 0 4 " / > < c o m m e n t   s : r e f = " G 5 "   r g b C l r = " F 8 C 6 0 4 " / > < c o m m e n t   s : r e f = " H 5 "   r g b C l r = " F 8 C 6 0 4 " / > < c o m m e n t   s : r e f = " I 5 "   r g b C l r = " F 8 C 6 0 4 " / > < c o m m e n t   s : r e f = " J 5 "   r g b C l r = " F 8 C 6 0 4 " / > < c o m m e n t   s : r e f = " N 5 "   r g b C l r = " F 8 C 6 0 4 " / > < / c o m m e n t L i s t > < c o m m e n t L i s t   s h e e t S t i d = " 4 2 " /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www.ftpdown.com</Company>
  <Application>Microsoft Excel</Application>
  <HeadingPairs>
    <vt:vector size="2" baseType="variant">
      <vt:variant>
        <vt:lpstr>工作表</vt:lpstr>
      </vt:variant>
      <vt:variant>
        <vt:i4>21</vt:i4>
      </vt:variant>
    </vt:vector>
  </HeadingPairs>
  <TitlesOfParts>
    <vt:vector size="21" baseType="lpstr">
      <vt:lpstr>目录</vt:lpstr>
      <vt:lpstr>项目测算对比分析</vt:lpstr>
      <vt:lpstr>项目概况</vt:lpstr>
      <vt:lpstr>经济指标</vt:lpstr>
      <vt:lpstr>成本测算明细</vt:lpstr>
      <vt:lpstr>税率</vt:lpstr>
      <vt:lpstr>收入及土地测算</vt:lpstr>
      <vt:lpstr>预计销售收入及费用情况表</vt:lpstr>
      <vt:lpstr>项目资金筹措</vt:lpstr>
      <vt:lpstr>税金计算表</vt:lpstr>
      <vt:lpstr>项目利润情况表</vt:lpstr>
      <vt:lpstr>销售计划表</vt:lpstr>
      <vt:lpstr>工程及开发计划</vt:lpstr>
      <vt:lpstr>管理费用</vt:lpstr>
      <vt:lpstr>数据源（不可删除）</vt:lpstr>
      <vt:lpstr>Sheet1</vt:lpstr>
      <vt:lpstr>成本变化对比</vt:lpstr>
      <vt:lpstr>推售计划</vt:lpstr>
      <vt:lpstr>监管资金节点</vt:lpstr>
      <vt:lpstr>现金流</vt:lpstr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huaming</dc:creator>
  <cp:lastModifiedBy>86135</cp:lastModifiedBy>
  <cp:revision>1</cp:revision>
  <dcterms:created xsi:type="dcterms:W3CDTF">2007-11-01T01:46:00Z</dcterms:created>
  <cp:lastPrinted>2018-07-30T06:15:00Z</cp:lastPrinted>
  <dcterms:modified xsi:type="dcterms:W3CDTF">2023-06-15T04:26:37Z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KSORubyTemplateID" linkTarget="0">
    <vt:lpwstr>14</vt:lpwstr>
  </property>
  <property fmtid="{D5CDD505-2E9C-101B-9397-08002B2CF9AE}" pid="4" name="ICV">
    <vt:lpwstr>30F77E1026BA45AF9239A98C018A3C74</vt:lpwstr>
  </property>
</Properties>
</file>