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966" firstSheet="3" activeTab="3"/>
  </bookViews>
  <sheets>
    <sheet name="汇总表" sheetId="50" state="hidden" r:id="rId1"/>
    <sheet name="Sheet1" sheetId="135" state="hidden" r:id="rId2"/>
    <sheet name="综合单价分析表" sheetId="98" state="hidden" r:id="rId3"/>
    <sheet name="汇总" sheetId="136" r:id="rId4"/>
    <sheet name="1#楼汇总表（表2）" sheetId="70" state="hidden" r:id="rId5"/>
    <sheet name="1#楼明细(表2.1) " sheetId="71" state="hidden" r:id="rId6"/>
    <sheet name="2#楼汇总表（表2）" sheetId="118" state="hidden" r:id="rId7"/>
    <sheet name="2#楼明细(表2.1) " sheetId="101" state="hidden" r:id="rId8"/>
    <sheet name="3#楼汇总表（表2）" sheetId="119" state="hidden" r:id="rId9"/>
    <sheet name="3#楼明细(表2.1)" sheetId="103" state="hidden" r:id="rId10"/>
    <sheet name="5#楼汇总表（表2）" sheetId="120" state="hidden" r:id="rId11"/>
    <sheet name="5#楼明细(表2.1) " sheetId="104" state="hidden" r:id="rId12"/>
    <sheet name="6#楼汇总表（表2）" sheetId="121" r:id="rId13"/>
    <sheet name="6#楼明细(表2.1)  " sheetId="100" state="hidden" r:id="rId14"/>
    <sheet name="7#楼汇总表（表2）" sheetId="122" state="hidden" r:id="rId15"/>
    <sheet name="7#楼明细(表2.1)" sheetId="107" state="hidden" r:id="rId16"/>
    <sheet name="8#楼汇总表（表2）" sheetId="123" state="hidden" r:id="rId17"/>
    <sheet name="8#楼明细(表2.1) " sheetId="109" state="hidden" r:id="rId18"/>
    <sheet name="9#楼汇总表（表2）" sheetId="124" state="hidden" r:id="rId19"/>
    <sheet name="9#楼明细(表2.1) " sheetId="105" state="hidden" r:id="rId20"/>
    <sheet name="10#楼汇总表（表2）" sheetId="125" r:id="rId21"/>
    <sheet name="10#楼明细(表2.1) " sheetId="110" state="hidden" r:id="rId22"/>
    <sheet name="11#楼汇总表（表2）" sheetId="126" state="hidden" r:id="rId23"/>
    <sheet name="11#楼明细(表2.1)  " sheetId="106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xlnm._FilterDatabase" localSheetId="0" hidden="1">汇总表!$A$2:$F$24</definedName>
    <definedName name="_xlnm._FilterDatabase" localSheetId="1" hidden="1">Sheet1!$A$1:$H$238</definedName>
    <definedName name="_xlnm._FilterDatabase" localSheetId="5" hidden="1">'1#楼明细(表2.1) '!$A$2:$I$23</definedName>
    <definedName name="_xlnm._FilterDatabase" localSheetId="7" hidden="1">'2#楼明细(表2.1) '!$A$3:$L$22</definedName>
    <definedName name="_xlnm._FilterDatabase" localSheetId="9" hidden="1">'3#楼明细(表2.1)'!$A$3:$I$22</definedName>
    <definedName name="_xlnm._FilterDatabase" localSheetId="11" hidden="1">'5#楼明细(表2.1) '!$A$3:$I$20</definedName>
    <definedName name="_xlnm._FilterDatabase" localSheetId="13" hidden="1">'6#楼明细(表2.1)  '!$A$3:$I$21</definedName>
    <definedName name="_xlnm._FilterDatabase" localSheetId="15" hidden="1">'7#楼明细(表2.1)'!$A$3:$I$23</definedName>
    <definedName name="_xlnm._FilterDatabase" localSheetId="17" hidden="1">'8#楼明细(表2.1) '!$A$3:$I$21</definedName>
    <definedName name="_xlnm._FilterDatabase" localSheetId="19" hidden="1">'9#楼明细(表2.1) '!$A$3:$I$17</definedName>
    <definedName name="_xlnm._FilterDatabase" localSheetId="21" hidden="1">'10#楼明细(表2.1) '!$A$3:$I$18</definedName>
    <definedName name="_xlnm._FilterDatabase" localSheetId="23" hidden="1">'11#楼明细(表2.1)  '!$A$3:$I$20</definedName>
    <definedName name="_xlnm.Print_Area" localSheetId="4">'1#楼汇总表（表2）'!$A$1:$H$18</definedName>
    <definedName name="_xlnm.Print_Area" localSheetId="5">'1#楼明细(表2.1) '!$A$1:$I$23</definedName>
    <definedName name="_xlnm.Print_Area" localSheetId="20">'10#楼汇总表（表2）'!$A$1:$H$13</definedName>
    <definedName name="_xlnm.Print_Area" localSheetId="21">'10#楼明细(表2.1) '!$A$1:$I$3</definedName>
    <definedName name="_xlnm.Print_Area" localSheetId="22">'11#楼汇总表（表2）'!$A$1:$F$16</definedName>
    <definedName name="_xlnm.Print_Area" localSheetId="23">'11#楼明细(表2.1)  '!$A$1:$I$3</definedName>
    <definedName name="_xlnm.Print_Area" localSheetId="6">'2#楼汇总表（表2）'!$A$1:$H$17</definedName>
    <definedName name="_xlnm.Print_Area" localSheetId="7">'2#楼明细(表2.1) '!$A$1:$I$20</definedName>
    <definedName name="_xlnm.Print_Area" localSheetId="8">'3#楼汇总表（表2）'!$A$1:$F$17</definedName>
    <definedName name="_xlnm.Print_Area" localSheetId="9">'3#楼明细(表2.1)'!$A$1:$I$19</definedName>
    <definedName name="_xlnm.Print_Area" localSheetId="10">'5#楼汇总表（表2）'!$A$1:$F$16</definedName>
    <definedName name="_xlnm.Print_Area" localSheetId="11">'5#楼明细(表2.1) '!$A$1:$I$20</definedName>
    <definedName name="_xlnm.Print_Area" localSheetId="12">'6#楼汇总表（表2）'!$A$1:$H$16</definedName>
    <definedName name="_xlnm.Print_Area" localSheetId="13">'6#楼明细(表2.1)  '!$A$1:$I$3</definedName>
    <definedName name="_xlnm.Print_Area" localSheetId="14">'7#楼汇总表（表2）'!$A$1:$H$17</definedName>
    <definedName name="_xlnm.Print_Area" localSheetId="15">'7#楼明细(表2.1)'!$A$1:$I$23</definedName>
    <definedName name="_xlnm.Print_Area" localSheetId="16">'8#楼汇总表（表2）'!$A$1:$F$14</definedName>
    <definedName name="_xlnm.Print_Area" localSheetId="17">'8#楼明细(表2.1) '!$A$1:$I$21</definedName>
    <definedName name="_xlnm.Print_Area" localSheetId="18">'9#楼汇总表（表2）'!$A$1:$F$14</definedName>
    <definedName name="_xlnm.Print_Area" localSheetId="19">'9#楼明细(表2.1) '!$A$1:$I$3</definedName>
    <definedName name="_xlnm.Print_Titles" localSheetId="5">'1#楼明细(表2.1) '!$1:$1</definedName>
    <definedName name="_xlnm.Print_Titles" localSheetId="21">'10#楼明细(表2.1) '!$1:$1</definedName>
    <definedName name="_xlnm.Print_Titles" localSheetId="23">'11#楼明细(表2.1)  '!$1:$1</definedName>
    <definedName name="_xlnm.Print_Titles" localSheetId="7">'2#楼明细(表2.1) '!$1:$1</definedName>
    <definedName name="_xlnm.Print_Titles" localSheetId="9">'3#楼明细(表2.1)'!$1:$1</definedName>
    <definedName name="_xlnm.Print_Titles" localSheetId="11">'5#楼明细(表2.1) '!$1:$1</definedName>
    <definedName name="_xlnm.Print_Titles" localSheetId="13">'6#楼明细(表2.1)  '!$1:$1</definedName>
    <definedName name="_xlnm.Print_Titles" localSheetId="15">'7#楼明细(表2.1)'!$1:$1</definedName>
    <definedName name="_xlnm.Print_Titles" localSheetId="17">'8#楼明细(表2.1) '!$1:$1</definedName>
    <definedName name="_xlnm.Print_Titles" localSheetId="19">'9#楼明细(表2.1) '!$1:$1</definedName>
  </definedNames>
  <calcPr calcId="144525"/>
</workbook>
</file>

<file path=xl/sharedStrings.xml><?xml version="1.0" encoding="utf-8"?>
<sst xmlns="http://schemas.openxmlformats.org/spreadsheetml/2006/main" count="1902" uniqueCount="271">
  <si>
    <t>栾川山水文苑项目门窗工程造价汇总表(表1)</t>
  </si>
  <si>
    <t>序号</t>
  </si>
  <si>
    <t>型号</t>
  </si>
  <si>
    <t>面积（m2）</t>
  </si>
  <si>
    <t>综合单价
(元/m2)</t>
  </si>
  <si>
    <t>合价(元)</t>
  </si>
  <si>
    <t>备注</t>
  </si>
  <si>
    <t>合计</t>
  </si>
  <si>
    <t>说明：1、此工程量统计以设计部签字下发的纸制版方案为依据进行统计，综合单价包含人工、材料、机械、运输、安装、税金、利润等所有费用；
2、详见后附各楼栋工程量计算表；3、清单未尽事宜详见图纸，均考虑在报价内。</t>
  </si>
  <si>
    <t>综合单价分析表</t>
  </si>
  <si>
    <t>工程名称： 55系列断桥铝合金内平开窗</t>
  </si>
  <si>
    <t>门窗类型：</t>
  </si>
  <si>
    <t>内平开窗</t>
  </si>
  <si>
    <t>项目名称</t>
  </si>
  <si>
    <t>单位</t>
  </si>
  <si>
    <t>平方含量</t>
  </si>
  <si>
    <t>数量</t>
  </si>
  <si>
    <t>单价</t>
  </si>
  <si>
    <t>合价</t>
  </si>
  <si>
    <t>品牌、厂家</t>
  </si>
  <si>
    <t>材料费</t>
  </si>
  <si>
    <t>断桥型材</t>
  </si>
  <si>
    <t>kg</t>
  </si>
  <si>
    <t>奋安</t>
  </si>
  <si>
    <t>普铝型材</t>
  </si>
  <si>
    <t>素材</t>
  </si>
  <si>
    <t>5+12A+5low-e钢化玻璃</t>
  </si>
  <si>
    <t>㎡</t>
  </si>
  <si>
    <t>玻璃原片为洛玻/北玻（low-e原片）</t>
  </si>
  <si>
    <t xml:space="preserve"> 五金件</t>
  </si>
  <si>
    <t>套</t>
  </si>
  <si>
    <t>坚朗</t>
  </si>
  <si>
    <t>密封胶条</t>
  </si>
  <si>
    <t>m</t>
  </si>
  <si>
    <t>新安东</t>
  </si>
  <si>
    <t>密封毛条</t>
  </si>
  <si>
    <t>发泡剂（750ml）</t>
  </si>
  <si>
    <t>支</t>
  </si>
  <si>
    <t>上海桑莱斯（F649）</t>
  </si>
  <si>
    <t>耐候胶（500ml）</t>
  </si>
  <si>
    <t>广州白云(SS650)</t>
  </si>
  <si>
    <t>其他材料</t>
  </si>
  <si>
    <t>项</t>
  </si>
  <si>
    <t>一、材料费小计</t>
  </si>
  <si>
    <t>二、人工、机械费（门窗）</t>
  </si>
  <si>
    <t>三、综合费用（一+二）* 15.15.16%</t>
  </si>
  <si>
    <t>四、税前工程费（一+二+三）</t>
  </si>
  <si>
    <r>
      <rPr>
        <sz val="11"/>
        <color rgb="FF000000"/>
        <rFont val="宋体"/>
        <charset val="134"/>
      </rPr>
      <t>五、税金（一+二+三）*</t>
    </r>
    <r>
      <rPr>
        <u/>
        <sz val="11"/>
        <color rgb="FF000000"/>
        <rFont val="宋体"/>
        <charset val="134"/>
      </rPr>
      <t xml:space="preserve"> 11.8 </t>
    </r>
    <r>
      <rPr>
        <sz val="11"/>
        <color rgb="FF000000"/>
        <rFont val="宋体"/>
        <charset val="134"/>
      </rPr>
      <t>%</t>
    </r>
  </si>
  <si>
    <t>六、综合单价(元/㎡）</t>
  </si>
  <si>
    <t>6+12A+6low-e钢化玻璃</t>
  </si>
  <si>
    <t>三、综合费用（一+二）* 15.16%</t>
  </si>
  <si>
    <t>5+12A+5low-e非钢玻璃</t>
  </si>
  <si>
    <t>5+12A+5非钢玻璃</t>
  </si>
  <si>
    <t>工程名称： 55系列普通铝合金内平开窗</t>
  </si>
  <si>
    <t xml:space="preserve">   </t>
  </si>
  <si>
    <t>6+12A+6钢化玻璃</t>
  </si>
  <si>
    <t>工程名称： 55系列断桥铝合金外平开门</t>
  </si>
  <si>
    <t>平开门</t>
  </si>
  <si>
    <t>工程名称： 55系列普通铝合金外平开门</t>
  </si>
  <si>
    <t>5+12A+5钢化玻璃</t>
  </si>
  <si>
    <t>工程名称： 55系列断桥铝合金上悬窗</t>
  </si>
  <si>
    <t>上悬窗</t>
  </si>
  <si>
    <t>工程名称： 80系列隔热铝合金推拉窗</t>
  </si>
  <si>
    <t>推拉窗</t>
  </si>
  <si>
    <t>5+12A+5low-e中空玻璃</t>
  </si>
  <si>
    <t>5+12A+5中空玻璃</t>
  </si>
  <si>
    <t>工程名称： 80系列普通铝合金推拉窗</t>
  </si>
  <si>
    <t>工程名称： 80系列普通铝合金推拉门</t>
  </si>
  <si>
    <t>推拉门</t>
  </si>
  <si>
    <t xml:space="preserve">  </t>
  </si>
  <si>
    <t>工程名称： 55系列断桥铝合金外平开窗</t>
  </si>
  <si>
    <t>外平开窗</t>
  </si>
  <si>
    <t>工程进度款费用计算明细表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</si>
  <si>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</si>
  <si>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</si>
  <si>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</si>
  <si>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</si>
  <si>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</si>
  <si>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</si>
  <si>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</si>
  <si>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</si>
  <si>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</si>
  <si>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</si>
  <si>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</si>
  <si>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</si>
  <si>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</si>
  <si>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</si>
  <si>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</si>
  <si>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</si>
  <si>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</si>
  <si>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</si>
  <si>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</si>
  <si>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</si>
  <si>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</si>
  <si>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</si>
  <si>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</si>
  <si>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</si>
  <si>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</si>
  <si>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</si>
  <si>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</si>
  <si>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</si>
  <si>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</si>
  <si>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6#楼窗框完成</t>
  </si>
  <si>
    <t>10#楼窗框完成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</si>
  <si>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</si>
  <si>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</si>
  <si>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</si>
  <si>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</si>
  <si>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</si>
  <si>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</si>
  <si>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</si>
  <si>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</si>
  <si>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栾川山水文苑项目1#楼门窗工程造价汇总表(表2)</t>
  </si>
  <si>
    <t>说明：1）此工程量统计以设计部签字下发的纸制版方案为依据进行统计，综合单价包含人工、材料、机械、运输、安装、税金、利润等所有费用。2）详见后附各楼栋工程量计算表。3、清单未尽事宜详见图纸，均考虑在报价内。</t>
  </si>
  <si>
    <t>栾川山水文苑项目1#楼门窗工程量计算表(表2.1)</t>
  </si>
  <si>
    <t>窗型</t>
  </si>
  <si>
    <t>窗号</t>
  </si>
  <si>
    <t>门窗</t>
  </si>
  <si>
    <t>部位</t>
  </si>
  <si>
    <t>宽度</t>
  </si>
  <si>
    <t>高度</t>
  </si>
  <si>
    <t>樘数</t>
  </si>
  <si>
    <t>平开门 55断桥铝合金外平开门 5+12A+5LOW-E钢化玻璃</t>
  </si>
  <si>
    <r>
      <rPr>
        <sz val="12"/>
        <rFont val="宋体"/>
        <charset val="134"/>
      </rPr>
      <t>T</t>
    </r>
    <r>
      <rPr>
        <sz val="12"/>
        <rFont val="宋体"/>
        <charset val="134"/>
      </rPr>
      <t>LM1523</t>
    </r>
  </si>
  <si>
    <t>一层至八层A户型、A"户型</t>
  </si>
  <si>
    <t>南次卧</t>
  </si>
  <si>
    <t>推拉门 80普通铝合金推拉门 5+12A+5钢化玻璃 &gt;2m2采用6mm玻璃</t>
  </si>
  <si>
    <r>
      <rPr>
        <sz val="12"/>
        <rFont val="宋体"/>
        <charset val="134"/>
      </rPr>
      <t>TLM2</t>
    </r>
    <r>
      <rPr>
        <sz val="12"/>
        <rFont val="宋体"/>
        <charset val="134"/>
      </rPr>
      <t>2</t>
    </r>
    <r>
      <rPr>
        <sz val="12"/>
        <rFont val="宋体"/>
        <charset val="134"/>
      </rPr>
      <t>23</t>
    </r>
  </si>
  <si>
    <t>客厅</t>
  </si>
  <si>
    <t>平开门 55普通铝合金外平开门 5+12A+5钢化玻璃</t>
  </si>
  <si>
    <t>MLC1323</t>
  </si>
  <si>
    <t>厨房</t>
  </si>
  <si>
    <t xml:space="preserve">上悬窗 55断桥铝合金上悬窗 5+12A+5LOW-E中空玻璃 </t>
  </si>
  <si>
    <t>C0914</t>
  </si>
  <si>
    <t>一层至六层A户型、A"户型</t>
  </si>
  <si>
    <t>客卫</t>
  </si>
  <si>
    <t>上悬窗 55断桥铝合金上悬窗 5+12A+5LOW-E中空玻璃 七层及以上钢化玻璃</t>
  </si>
  <si>
    <t>七层至八层A户型、A"户型</t>
  </si>
  <si>
    <t>内平开窗 55断桥铝合金内平开窗 5+12A+5LOW-E中空玻璃</t>
  </si>
  <si>
    <t>C1814</t>
  </si>
  <si>
    <t>北次卧</t>
  </si>
  <si>
    <t>内平开窗 55断桥铝合金内平开窗 5+12A+5LOW-E钢化玻璃 &gt;2m2采用6mm玻璃</t>
  </si>
  <si>
    <r>
      <rPr>
        <sz val="12"/>
        <rFont val="宋体"/>
        <charset val="134"/>
      </rPr>
      <t>T</t>
    </r>
    <r>
      <rPr>
        <sz val="12"/>
        <rFont val="宋体"/>
        <charset val="134"/>
      </rPr>
      <t>C2017</t>
    </r>
  </si>
  <si>
    <t>主卧</t>
  </si>
  <si>
    <t>内平开窗 55断桥铝合金内平开窗 5+12A+5中空玻璃</t>
  </si>
  <si>
    <t>C1210</t>
  </si>
  <si>
    <t>顶层楼梯梯间</t>
  </si>
  <si>
    <t>推拉窗 80断桥铝合金推拉窗 5+12A+5中空玻璃</t>
  </si>
  <si>
    <t>C1214</t>
  </si>
  <si>
    <t>一层大堂公区</t>
  </si>
  <si>
    <t>侯梯厅</t>
  </si>
  <si>
    <t>三层至七层楼梯间</t>
  </si>
  <si>
    <t>楼体间</t>
  </si>
  <si>
    <t>C0514</t>
  </si>
  <si>
    <t>主卧卫生间</t>
  </si>
  <si>
    <t>外平开窗 55断桥铝合金外平开窗 5+12A+5中空玻璃</t>
  </si>
  <si>
    <t>C09522</t>
  </si>
  <si>
    <t>一层楼体 二楼楼梯间</t>
  </si>
  <si>
    <r>
      <rPr>
        <sz val="12"/>
        <rFont val="宋体"/>
        <charset val="134"/>
      </rPr>
      <t>G</t>
    </r>
    <r>
      <rPr>
        <sz val="12"/>
        <rFont val="宋体"/>
        <charset val="134"/>
      </rPr>
      <t>C2010</t>
    </r>
  </si>
  <si>
    <t>负一层</t>
  </si>
  <si>
    <t>推拉窗 80断桥铝合金推拉窗 5+12A+5LOW-E中空玻璃</t>
  </si>
  <si>
    <t>GC2310</t>
  </si>
  <si>
    <t>GC1510</t>
  </si>
  <si>
    <t>内平开窗 55普通铝合金内平开窗 5+12A+5中空玻璃 &gt;2m2采用6mm玻璃</t>
  </si>
  <si>
    <t>C2017-1</t>
  </si>
  <si>
    <t>推拉窗 80普通铝合金推拉窗 5+12A+5中空玻璃</t>
  </si>
  <si>
    <t>C2317-1</t>
  </si>
  <si>
    <t>内平开窗 55普通铝合金内平开窗 5+12A+5中空玻璃</t>
  </si>
  <si>
    <t>C1517-1</t>
  </si>
  <si>
    <t>栾川山水文苑项目2#楼门窗工程造价汇总表(表2)</t>
  </si>
  <si>
    <t>内平开窗 55断桥铝合金内平开窗 5+12A+5LOW-E钢化玻璃</t>
  </si>
  <si>
    <t>推拉门 80普通铝合金推拉门 5+12A+5钢化玻璃</t>
  </si>
  <si>
    <t>栾川山水文苑项目2#楼门窗工程量计算表(表2.1)</t>
  </si>
  <si>
    <t>TLM22235</t>
  </si>
  <si>
    <t>一层至八层B1户型、B2户型</t>
  </si>
  <si>
    <t>TLM14235</t>
  </si>
  <si>
    <t>TLC16235</t>
  </si>
  <si>
    <t>餐厅</t>
  </si>
  <si>
    <t>C045145</t>
  </si>
  <si>
    <t>一层至六层B1户型、B2户型</t>
  </si>
  <si>
    <t>七层至八层B1户型、B2户型</t>
  </si>
  <si>
    <t>C06145</t>
  </si>
  <si>
    <t>卫生间、厨房</t>
  </si>
  <si>
    <t>C0826</t>
  </si>
  <si>
    <t>一,二层楼梯间</t>
  </si>
  <si>
    <t xml:space="preserve">1层-2层楼体间 </t>
  </si>
  <si>
    <t>八层楼梯间</t>
  </si>
  <si>
    <t>PC18175</t>
  </si>
  <si>
    <t>C15145</t>
  </si>
  <si>
    <t>GC1810</t>
  </si>
  <si>
    <t>GC2210</t>
  </si>
  <si>
    <t>GC1410</t>
  </si>
  <si>
    <t>c1817</t>
  </si>
  <si>
    <t>c2217</t>
  </si>
  <si>
    <t>c1417</t>
  </si>
  <si>
    <t>栾川山水文苑项目3#楼门窗工程造价汇总表(表2)</t>
  </si>
  <si>
    <t>栾川山水文苑项目3#楼门窗工程量计算表(表2.1)</t>
  </si>
  <si>
    <t>TLM2235</t>
  </si>
  <si>
    <t>卫生间</t>
  </si>
  <si>
    <t>厨房、卫生间</t>
  </si>
  <si>
    <t>顶层楼梯间</t>
  </si>
  <si>
    <t>栾川山水文苑项目5#楼门窗工程造价汇总表(表2)</t>
  </si>
  <si>
    <t>栾川山水文苑项目5#楼门窗工程量计算表(表2.1)</t>
  </si>
  <si>
    <t>地下一层储藏间</t>
  </si>
  <si>
    <t>推拉内平开窗 80普铝推拉内平开窗 5+12A+5中空玻璃</t>
  </si>
  <si>
    <t>栾川山水文苑项目6#楼门窗工程造价汇总表(表2)</t>
  </si>
  <si>
    <t>栾川山水文苑项目6#楼门窗工程量计算表(表2.1)</t>
  </si>
  <si>
    <t>一层至九层A户型、A"户型</t>
  </si>
  <si>
    <t>上悬窗 55断桥铝合金上悬窗 5+12A+5LOW-E中空玻璃</t>
  </si>
  <si>
    <t>三层至八层楼梯间</t>
  </si>
  <si>
    <t>栾川山水文苑项目7#楼门窗工程造价汇总表(表2)</t>
  </si>
  <si>
    <t>平开门 55断桥铝合金外平开门 5+12A+5LOW-E钢化玻璃 &gt;2m2采用6mm玻璃</t>
  </si>
  <si>
    <t>上悬窗 55断桥铝合金上悬窗 5+12A+5中空玻璃</t>
  </si>
  <si>
    <t xml:space="preserve">推拉窗 80断桥铝合金推拉窗 5+12A+5LOW-E中空玻璃 </t>
  </si>
  <si>
    <t>外平开窗 55断桥铝合金外平开窗 5+12A+5LOW-E中空玻璃</t>
  </si>
  <si>
    <t>栾川山水文苑项目7#楼门窗工程量计算表(表2.1)</t>
  </si>
  <si>
    <t>TLM2423</t>
  </si>
  <si>
    <t>一层至八层c户型、c"户型</t>
  </si>
  <si>
    <t>阳台推拉门</t>
  </si>
  <si>
    <t>MLC2123</t>
  </si>
  <si>
    <t>书房</t>
  </si>
  <si>
    <t>PC20175</t>
  </si>
  <si>
    <t>PC15175</t>
  </si>
  <si>
    <t>C18175</t>
  </si>
  <si>
    <t>C09145</t>
  </si>
  <si>
    <t>一层至六层c户型、c"户型</t>
  </si>
  <si>
    <t>七层至八层c户型、c"户型</t>
  </si>
  <si>
    <t>C07145</t>
  </si>
  <si>
    <t>C18145</t>
  </si>
  <si>
    <t>c12145</t>
  </si>
  <si>
    <t>楼梯间</t>
  </si>
  <si>
    <t>c08145</t>
  </si>
  <si>
    <t>二到八层电梯前室</t>
  </si>
  <si>
    <t>电梯前室</t>
  </si>
  <si>
    <t>DC2018</t>
  </si>
  <si>
    <t>负一层储藏室</t>
  </si>
  <si>
    <t>DC1518</t>
  </si>
  <si>
    <t>DC2418</t>
  </si>
  <si>
    <t>DC1818</t>
  </si>
  <si>
    <t>小计</t>
  </si>
  <si>
    <t>栾川山水文苑项目8#楼门窗工程造价汇总表(表2)</t>
  </si>
  <si>
    <t>栾川山水文苑项目8#楼门窗工程量计算表(表2.1)</t>
  </si>
  <si>
    <t>TLM4923</t>
  </si>
  <si>
    <t>一层至八层d户型、d"户型</t>
  </si>
  <si>
    <t>c1210</t>
  </si>
  <si>
    <t>c1115</t>
  </si>
  <si>
    <t>一楼楼梯间</t>
  </si>
  <si>
    <t>c0510</t>
  </si>
  <si>
    <t>一楼、二楼楼梯间</t>
  </si>
  <si>
    <t>三 - 七层 楼梯间</t>
  </si>
  <si>
    <t>一层至六层d户型、d"户型</t>
  </si>
  <si>
    <t>七层至八层d户型、d"户型</t>
  </si>
  <si>
    <t>C0614</t>
  </si>
  <si>
    <t>c0714</t>
  </si>
  <si>
    <t>一层至二层d户型、d"户型</t>
  </si>
  <si>
    <t>c1214</t>
  </si>
  <si>
    <t>C1514</t>
  </si>
  <si>
    <t>PC2117</t>
  </si>
  <si>
    <t>C1817</t>
  </si>
  <si>
    <t>DC2118</t>
  </si>
  <si>
    <t>DC4917</t>
  </si>
  <si>
    <t>栾川山水文苑项目9#楼门窗工程造价汇总表(表2)</t>
  </si>
  <si>
    <t>栾川山水文苑项目9#楼门窗工程量计算表(表2.1)</t>
  </si>
  <si>
    <t>TLM2323</t>
  </si>
  <si>
    <t>七层至九层A户型、A"户型</t>
  </si>
  <si>
    <t>栾川山水文苑项目10#楼门窗工程造价汇总表(表2)</t>
  </si>
  <si>
    <t>合价(元)（调整）</t>
  </si>
  <si>
    <t>栾川山水文苑项目10#楼门窗工程量计算表(表2.1)</t>
  </si>
  <si>
    <t>PC1817</t>
  </si>
  <si>
    <t>栾川山水文苑项目11#楼门窗工程造价汇总表(表2)</t>
  </si>
  <si>
    <t>栾川山水文苑项目11#楼门窗工程量计算表(表2.1)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</si>
</sst>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4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u/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26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5" borderId="27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6" fillId="19" borderId="30" applyNumberFormat="0" applyAlignment="0" applyProtection="0">
      <alignment vertical="center"/>
    </xf>
    <xf numFmtId="0" fontId="37" fillId="19" borderId="26" applyNumberFormat="0" applyAlignment="0" applyProtection="0">
      <alignment vertical="center"/>
    </xf>
    <xf numFmtId="0" fontId="38" fillId="20" borderId="3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173">
    <xf numFmtId="0" fontId="0" fillId="0" borderId="0" xfId="0">
      <alignment vertical="center"/>
    </xf>
    <xf numFmtId="177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  <xf numFmtId="177" fontId="0" fillId="0" borderId="12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vertical="center" wrapText="1"/>
    </xf>
    <xf numFmtId="177" fontId="0" fillId="0" borderId="14" xfId="0" applyNumberFormat="1" applyFont="1" applyFill="1" applyBorder="1" applyAlignment="1">
      <alignment horizontal="center" vertical="center" wrapText="1"/>
    </xf>
    <xf numFmtId="177" fontId="0" fillId="0" borderId="14" xfId="0" applyNumberFormat="1" applyFill="1" applyBorder="1" applyAlignment="1">
      <alignment horizontal="center" vertical="center" wrapText="1"/>
    </xf>
    <xf numFmtId="0" fontId="0" fillId="0" borderId="15" xfId="0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7" fontId="0" fillId="0" borderId="0" xfId="0" applyNumberFormat="1" applyFont="1" applyFill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3" borderId="1" xfId="0" applyNumberFormat="1" applyFont="1" applyFill="1" applyBorder="1" applyAlignment="1">
      <alignment vertical="center" wrapText="1"/>
    </xf>
    <xf numFmtId="177" fontId="0" fillId="0" borderId="0" xfId="0" applyNumberForma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 wrapText="1"/>
    </xf>
    <xf numFmtId="177" fontId="0" fillId="0" borderId="6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vertical="center" wrapText="1"/>
    </xf>
    <xf numFmtId="177" fontId="0" fillId="0" borderId="0" xfId="0" applyNumberForma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horizontal="center" vertical="center" wrapText="1"/>
    </xf>
    <xf numFmtId="177" fontId="0" fillId="0" borderId="17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0" fillId="4" borderId="1" xfId="0" applyNumberFormat="1" applyFont="1" applyFill="1" applyBorder="1" applyAlignment="1">
      <alignment vertical="center" wrapText="1"/>
    </xf>
    <xf numFmtId="177" fontId="0" fillId="0" borderId="17" xfId="0" applyNumberForma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0" fontId="7" fillId="0" borderId="0" xfId="0" applyNumberFormat="1" applyFont="1" applyFill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0" fontId="8" fillId="5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2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2" fontId="9" fillId="6" borderId="1" xfId="0" applyNumberFormat="1" applyFont="1" applyFill="1" applyBorder="1" applyAlignment="1">
      <alignment horizontal="center" vertical="center" wrapText="1"/>
    </xf>
    <xf numFmtId="177" fontId="9" fillId="6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10" fontId="13" fillId="7" borderId="1" xfId="11" applyNumberFormat="1" applyFont="1" applyFill="1" applyBorder="1" applyAlignment="1">
      <alignment horizontal="center" vertical="center"/>
    </xf>
    <xf numFmtId="177" fontId="13" fillId="7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0" fontId="13" fillId="0" borderId="1" xfId="1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10" fontId="14" fillId="0" borderId="0" xfId="0" applyNumberFormat="1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10" fontId="15" fillId="0" borderId="0" xfId="0" applyNumberFormat="1" applyFont="1" applyFill="1" applyAlignment="1">
      <alignment vertical="center"/>
    </xf>
    <xf numFmtId="0" fontId="15" fillId="0" borderId="0" xfId="0" applyFont="1" applyFill="1" applyBorder="1" applyAlignment="1">
      <alignment horizontal="right" vertical="center" wrapText="1"/>
    </xf>
    <xf numFmtId="177" fontId="7" fillId="0" borderId="0" xfId="11" applyNumberFormat="1" applyFont="1" applyAlignment="1">
      <alignment horizontal="center" vertical="center"/>
    </xf>
    <xf numFmtId="177" fontId="8" fillId="5" borderId="1" xfId="11" applyNumberFormat="1" applyFont="1" applyFill="1" applyBorder="1" applyAlignment="1">
      <alignment horizontal="center" vertical="center" wrapText="1"/>
    </xf>
    <xf numFmtId="9" fontId="9" fillId="6" borderId="1" xfId="0" applyNumberFormat="1" applyFont="1" applyFill="1" applyBorder="1" applyAlignment="1">
      <alignment horizontal="center" vertical="center" wrapText="1"/>
    </xf>
    <xf numFmtId="177" fontId="9" fillId="6" borderId="1" xfId="11" applyNumberFormat="1" applyFont="1" applyFill="1" applyBorder="1" applyAlignment="1">
      <alignment horizontal="center" vertical="center" wrapText="1"/>
    </xf>
    <xf numFmtId="10" fontId="9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177" fontId="9" fillId="2" borderId="1" xfId="11" applyNumberFormat="1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/>
    </xf>
    <xf numFmtId="9" fontId="14" fillId="7" borderId="1" xfId="0" applyNumberFormat="1" applyFont="1" applyFill="1" applyBorder="1" applyAlignment="1">
      <alignment horizontal="center" vertical="center" wrapText="1"/>
    </xf>
    <xf numFmtId="10" fontId="13" fillId="7" borderId="1" xfId="0" applyNumberFormat="1" applyFont="1" applyFill="1" applyBorder="1" applyAlignment="1">
      <alignment horizontal="center" vertical="center"/>
    </xf>
    <xf numFmtId="177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177" fontId="13" fillId="0" borderId="1" xfId="11" applyNumberFormat="1" applyFont="1" applyBorder="1" applyAlignment="1">
      <alignment horizontal="center" vertical="center"/>
    </xf>
    <xf numFmtId="1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7" fontId="14" fillId="0" borderId="0" xfId="11" applyNumberFormat="1" applyFont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177" fontId="15" fillId="0" borderId="0" xfId="11" applyNumberFormat="1" applyFont="1" applyFill="1" applyAlignment="1">
      <alignment horizontal="center" vertical="center"/>
    </xf>
    <xf numFmtId="10" fontId="15" fillId="0" borderId="0" xfId="0" applyNumberFormat="1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0" fillId="0" borderId="0" xfId="0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177" fontId="22" fillId="0" borderId="19" xfId="0" applyNumberFormat="1" applyFont="1" applyFill="1" applyBorder="1" applyAlignment="1">
      <alignment horizontal="center" vertical="center" wrapText="1"/>
    </xf>
    <xf numFmtId="177" fontId="18" fillId="0" borderId="19" xfId="0" applyNumberFormat="1" applyFont="1" applyFill="1" applyBorder="1" applyAlignment="1">
      <alignment horizontal="center" vertical="center" wrapText="1"/>
    </xf>
    <xf numFmtId="177" fontId="18" fillId="0" borderId="21" xfId="0" applyNumberFormat="1" applyFont="1" applyFill="1" applyBorder="1" applyAlignment="1">
      <alignment horizontal="center" vertical="center" wrapText="1"/>
    </xf>
    <xf numFmtId="177" fontId="0" fillId="0" borderId="21" xfId="0" applyNumberFormat="1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top" wrapText="1"/>
    </xf>
    <xf numFmtId="0" fontId="21" fillId="0" borderId="22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177" fontId="22" fillId="0" borderId="22" xfId="0" applyNumberFormat="1" applyFont="1" applyFill="1" applyBorder="1" applyAlignment="1">
      <alignment horizontal="center" vertical="center" wrapText="1"/>
    </xf>
    <xf numFmtId="177" fontId="18" fillId="0" borderId="22" xfId="0" applyNumberFormat="1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0" fillId="0" borderId="6" xfId="0" applyNumberFormat="1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177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0" fillId="8" borderId="0" xfId="0" applyFill="1">
      <alignment vertical="center"/>
    </xf>
    <xf numFmtId="0" fontId="0" fillId="8" borderId="1" xfId="0" applyFont="1" applyFill="1" applyBorder="1" applyAlignment="1">
      <alignment vertical="center" wrapText="1"/>
    </xf>
    <xf numFmtId="0" fontId="0" fillId="8" borderId="0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3" borderId="0" xfId="0" applyFill="1">
      <alignment vertical="center"/>
    </xf>
    <xf numFmtId="0" fontId="0" fillId="9" borderId="0" xfId="0" applyFill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9.xml"/><Relationship Id="rId32" Type="http://schemas.openxmlformats.org/officeDocument/2006/relationships/externalLink" Target="externalLinks/externalLink8.xml"/><Relationship Id="rId31" Type="http://schemas.openxmlformats.org/officeDocument/2006/relationships/externalLink" Target="externalLinks/externalLink7.xml"/><Relationship Id="rId30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5.xml"/><Relationship Id="rId28" Type="http://schemas.openxmlformats.org/officeDocument/2006/relationships/externalLink" Target="externalLinks/externalLink4.xml"/><Relationship Id="rId27" Type="http://schemas.openxmlformats.org/officeDocument/2006/relationships/externalLink" Target="externalLinks/externalLink3.xml"/><Relationship Id="rId26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10#&#27004;&#26680;&#3163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5#&#27004;&#26680;&#3163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8#&#27004;&#26680;&#3163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9#&#27004;&#26680;&#3163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11#&#27004;&#26680;&#3163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7#&#27004;&#26680;&#3163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16#&#27004;&#26680;&#3163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18#&#27004;&#26680;&#3163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13#&#27004;&#26680;&#3163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6#&#27004;&#26680;&#3163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1#&#27004;&#26680;&#3163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2#&#27004;&#26680;&#3163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3#&#27004;&#26680;&#316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5系列隔热内平开窗（5+12+5）"/>
      <sheetName val="55系列普铝内平开窗（5+12+5）"/>
      <sheetName val="55系列普铝内平开窗（5+12+5非钢）"/>
      <sheetName val="55系列隔热内平开窗（5+12+5LOW-E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 refreshError="1">
        <row r="83">
          <cell r="D83">
            <v>886.535414285462</v>
          </cell>
        </row>
      </sheetData>
      <sheetData sheetId="1" refreshError="1"/>
      <sheetData sheetId="2" refreshError="1"/>
      <sheetData sheetId="3" refreshError="1">
        <row r="83">
          <cell r="D83">
            <v>651.126667551971</v>
          </cell>
        </row>
      </sheetData>
      <sheetData sheetId="4" refreshError="1"/>
      <sheetData sheetId="5" refreshError="1">
        <row r="84">
          <cell r="D84">
            <v>961.012250097879</v>
          </cell>
        </row>
      </sheetData>
      <sheetData sheetId="6" refreshError="1">
        <row r="84">
          <cell r="D84">
            <v>934.602567236236</v>
          </cell>
        </row>
      </sheetData>
      <sheetData sheetId="7" refreshError="1">
        <row r="84">
          <cell r="D84">
            <v>493.844423564368</v>
          </cell>
        </row>
      </sheetData>
      <sheetData sheetId="8" refreshError="1">
        <row r="84">
          <cell r="D84">
            <v>476.7590613847</v>
          </cell>
        </row>
      </sheetData>
      <sheetData sheetId="9" refreshError="1">
        <row r="79">
          <cell r="D79">
            <v>361.977715429515</v>
          </cell>
        </row>
      </sheetData>
      <sheetData sheetId="10" refreshError="1">
        <row r="79">
          <cell r="D79">
            <v>675.882435857685</v>
          </cell>
        </row>
      </sheetData>
      <sheetData sheetId="11" refreshError="1">
        <row r="79">
          <cell r="D79">
            <v>608.385727104023</v>
          </cell>
        </row>
      </sheetData>
      <sheetData sheetId="12" refreshError="1"/>
      <sheetData sheetId="13" refreshError="1"/>
      <sheetData sheetId="14" refreshError="1"/>
      <sheetData sheetId="15" refreshError="1">
        <row r="4">
          <cell r="H4">
            <v>23.4690265486726</v>
          </cell>
        </row>
        <row r="5">
          <cell r="H5">
            <v>22.8495575221239</v>
          </cell>
        </row>
        <row r="6">
          <cell r="H6">
            <v>21.6991150442478</v>
          </cell>
        </row>
      </sheetData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/>
      <sheetData sheetId="1">
        <row r="84">
          <cell r="D84">
            <v>564.154530898811</v>
          </cell>
        </row>
      </sheetData>
      <sheetData sheetId="2">
        <row r="83">
          <cell r="D83">
            <v>878.391453850047</v>
          </cell>
        </row>
      </sheetData>
      <sheetData sheetId="3">
        <row r="83">
          <cell r="D83">
            <v>721.474804577051</v>
          </cell>
        </row>
      </sheetData>
      <sheetData sheetId="4">
        <row r="84">
          <cell r="D84">
            <v>829.492528570244</v>
          </cell>
        </row>
      </sheetData>
      <sheetData sheetId="5">
        <row r="84">
          <cell r="D84">
            <v>815.835119720686</v>
          </cell>
        </row>
      </sheetData>
      <sheetData sheetId="6">
        <row r="84">
          <cell r="D84">
            <v>504.536179939014</v>
          </cell>
        </row>
      </sheetData>
      <sheetData sheetId="7">
        <row r="84">
          <cell r="D84">
            <v>485.561473006677</v>
          </cell>
        </row>
      </sheetData>
      <sheetData sheetId="8">
        <row r="79">
          <cell r="D79">
            <v>400.606451598261</v>
          </cell>
        </row>
      </sheetData>
      <sheetData sheetId="9">
        <row r="79">
          <cell r="D79">
            <v>611.437119960746</v>
          </cell>
        </row>
      </sheetData>
      <sheetData sheetId="10"/>
      <sheetData sheetId="11">
        <row r="89">
          <cell r="D89">
            <v>646.263175723586</v>
          </cell>
        </row>
      </sheetData>
      <sheetData sheetId="12">
        <row r="82">
          <cell r="D82">
            <v>603.860194383975</v>
          </cell>
        </row>
      </sheetData>
      <sheetData sheetId="13">
        <row r="82">
          <cell r="D82">
            <v>630.224391055544</v>
          </cell>
        </row>
      </sheetData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55系列隔热内平开窗（5+12+5）"/>
      <sheetName val="55系列普铝内平开窗（5+12+5）"/>
      <sheetName val="55系列普铝内平开窗（5+12+5非钢）"/>
      <sheetName val="55系列隔热内平开窗（5+12+5LOW-E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>
        <row r="83">
          <cell r="D83">
            <v>886.535414285462</v>
          </cell>
        </row>
      </sheetData>
      <sheetData sheetId="1"/>
      <sheetData sheetId="2"/>
      <sheetData sheetId="3"/>
      <sheetData sheetId="4"/>
      <sheetData sheetId="5">
        <row r="84">
          <cell r="D84">
            <v>961.012250097879</v>
          </cell>
        </row>
      </sheetData>
      <sheetData sheetId="6">
        <row r="84">
          <cell r="D84">
            <v>934.602567236236</v>
          </cell>
        </row>
      </sheetData>
      <sheetData sheetId="7">
        <row r="84">
          <cell r="D84">
            <v>493.844423564368</v>
          </cell>
        </row>
      </sheetData>
      <sheetData sheetId="8">
        <row r="84">
          <cell r="D84">
            <v>476.7590613847</v>
          </cell>
        </row>
      </sheetData>
      <sheetData sheetId="9">
        <row r="79">
          <cell r="D79">
            <v>361.977715429515</v>
          </cell>
        </row>
      </sheetData>
      <sheetData sheetId="10">
        <row r="79">
          <cell r="D79">
            <v>675.882435857685</v>
          </cell>
        </row>
      </sheetData>
      <sheetData sheetId="11"/>
      <sheetData sheetId="12">
        <row r="89">
          <cell r="D89">
            <v>565.041768504833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  <sheetName val="55系列上悬窗（5+12+5 非钢"/>
      <sheetName val="80系列普铝推拉窗平开窗"/>
      <sheetName val="55系列隔热内平开窗（5+12+5LOW钢化）"/>
      <sheetName val="55系列隔热内平开窗（5+12+5LOW钢化+6MM"/>
    </sheetNames>
    <sheetDataSet>
      <sheetData sheetId="0"/>
      <sheetData sheetId="1"/>
      <sheetData sheetId="2">
        <row r="83">
          <cell r="D83">
            <v>878.391453850047</v>
          </cell>
        </row>
      </sheetData>
      <sheetData sheetId="3">
        <row r="83">
          <cell r="D83">
            <v>721.474804577051</v>
          </cell>
        </row>
      </sheetData>
      <sheetData sheetId="4">
        <row r="84">
          <cell r="D84">
            <v>839.859795383976</v>
          </cell>
        </row>
      </sheetData>
      <sheetData sheetId="5">
        <row r="84">
          <cell r="D84">
            <v>826.202386534419</v>
          </cell>
        </row>
      </sheetData>
      <sheetData sheetId="6">
        <row r="84">
          <cell r="D84">
            <v>509.623626296245</v>
          </cell>
        </row>
      </sheetData>
      <sheetData sheetId="7"/>
      <sheetData sheetId="8">
        <row r="79">
          <cell r="D79">
            <v>402.315989007125</v>
          </cell>
        </row>
      </sheetData>
      <sheetData sheetId="9">
        <row r="79">
          <cell r="D79">
            <v>617.217390940382</v>
          </cell>
        </row>
      </sheetData>
      <sheetData sheetId="10"/>
      <sheetData sheetId="11"/>
      <sheetData sheetId="12"/>
      <sheetData sheetId="13">
        <row r="82">
          <cell r="D82">
            <v>633.81696986891</v>
          </cell>
        </row>
      </sheetData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  <sheetName val="80系列普铝推拉窗平开窗"/>
      <sheetName val="55系列隔热内平开窗（5+12+5LOW-E）"/>
    </sheetNames>
    <sheetDataSet>
      <sheetData sheetId="0"/>
      <sheetData sheetId="1"/>
      <sheetData sheetId="2">
        <row r="83">
          <cell r="D83">
            <v>878.391453850047</v>
          </cell>
        </row>
      </sheetData>
      <sheetData sheetId="3"/>
      <sheetData sheetId="4">
        <row r="84">
          <cell r="D84">
            <v>839.859795383976</v>
          </cell>
        </row>
      </sheetData>
      <sheetData sheetId="5">
        <row r="84">
          <cell r="D84">
            <v>826.202386534419</v>
          </cell>
        </row>
      </sheetData>
      <sheetData sheetId="6">
        <row r="84">
          <cell r="D84">
            <v>528.458127190319</v>
          </cell>
        </row>
      </sheetData>
      <sheetData sheetId="7">
        <row r="84">
          <cell r="D84">
            <v>488.949774688286</v>
          </cell>
        </row>
      </sheetData>
      <sheetData sheetId="8">
        <row r="79">
          <cell r="D79">
            <v>402.315989007125</v>
          </cell>
        </row>
      </sheetData>
      <sheetData sheetId="9">
        <row r="79">
          <cell r="D79">
            <v>617.217390940382</v>
          </cell>
        </row>
      </sheetData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 非钢"/>
      <sheetName val="55系列上悬窗（5+12+5LOW-E 非钢"/>
      <sheetName val="55系列隔热内平开窗（5+12+5LOW-E"/>
      <sheetName val="55系列隔热内平开窗（5+12+5LOW钢化+6MM"/>
      <sheetName val="55系列隔热内平开窗（5+12+5LOW钢化）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5">
          <cell r="E25">
            <v>0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55系列隔热固定窗（5+12+5钢化"/>
      <sheetName val="55系列隔热固定窗（5+12+5中空"/>
      <sheetName val="55系列隔热内平开窗（5+12+5low-e钢化）"/>
      <sheetName val="55系列普铝内平开窗（5+12+5）"/>
      <sheetName val="55系列普铝内平开窗（5+12+5非钢）"/>
      <sheetName val="55系列隔热内平开窗（5+12+5LOW-E）"/>
      <sheetName val="55系列外平开窗（5+12+5非钢"/>
      <sheetName val="55系列上悬窗（5+12+5LOW-E 钢化"/>
      <sheetName val="55系列上悬窗（5+12+5LOW-E 非钢"/>
      <sheetName val="55系列隔热内平开窗（5+12+5LOW-E"/>
      <sheetName val="55系列隔热内平开窗（5+12+5LOW -E6） (2)"/>
      <sheetName val="55系列隔热内平开窗（5+12+5LOW -E6）"/>
      <sheetName val="80系列断桥推拉门5+12+5low-e钢化"/>
      <sheetName val="80系列普铝推拉门5+12+5钢化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">
          <cell r="E25">
            <v>0</v>
          </cell>
        </row>
      </sheetData>
      <sheetData sheetId="16" refreshError="1"/>
      <sheetData sheetId="17" refreshError="1">
        <row r="35">
          <cell r="E35">
            <v>0</v>
          </cell>
        </row>
        <row r="42">
          <cell r="E42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55系列隔热内平开窗（5+12+5中空"/>
      <sheetName val="55系列隔热内平开窗（5+12+5low-e钢化）"/>
      <sheetName val="55系列普铝内平开窗（5+12+5）"/>
      <sheetName val="55系列普铝内平开窗（5+12+5非钢）"/>
      <sheetName val="55系列隔热内平开窗（5+12+5LOW-E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断桥推拉门5+12+5low-e钢化"/>
      <sheetName val="80系列普铝推拉门5+12+5钢化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  <sheetName val="地弹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5">
          <cell r="E25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 非钢 (2)"/>
      <sheetName val="55系列上悬窗（5+12+5LOW-E 非钢"/>
      <sheetName val="55系列隔热内平开窗（5+12+5LOW-E"/>
      <sheetName val="55系列隔热内平开窗（5+12+5LOW -E6） "/>
      <sheetName val="55系列隔热内平开窗（5+12+5LOW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5">
          <cell r="E25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5">
          <cell r="E35">
            <v>0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 6+12+6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>
        <row r="83">
          <cell r="D83">
            <v>489.431161651455</v>
          </cell>
        </row>
      </sheetData>
      <sheetData sheetId="1">
        <row r="84">
          <cell r="D84">
            <v>442.802021216057</v>
          </cell>
        </row>
      </sheetData>
      <sheetData sheetId="2">
        <row r="83">
          <cell r="D83">
            <v>878.391453850047</v>
          </cell>
        </row>
      </sheetData>
      <sheetData sheetId="3">
        <row r="83">
          <cell r="D83">
            <v>725.185165924822</v>
          </cell>
        </row>
      </sheetData>
      <sheetData sheetId="4">
        <row r="84">
          <cell r="D84">
            <v>829.492528570244</v>
          </cell>
        </row>
      </sheetData>
      <sheetData sheetId="5">
        <row r="84">
          <cell r="D84">
            <v>815.835119720686</v>
          </cell>
        </row>
      </sheetData>
      <sheetData sheetId="6">
        <row r="84">
          <cell r="D84">
            <v>515.865238870687</v>
          </cell>
        </row>
      </sheetData>
      <sheetData sheetId="7">
        <row r="84">
          <cell r="D84">
            <v>485.561473006677</v>
          </cell>
        </row>
      </sheetData>
      <sheetData sheetId="8">
        <row r="79">
          <cell r="D79">
            <v>400.606451598261</v>
          </cell>
        </row>
      </sheetData>
      <sheetData sheetId="9">
        <row r="79">
          <cell r="D79">
            <v>611.437119960746</v>
          </cell>
        </row>
      </sheetData>
      <sheetData sheetId="10">
        <row r="79">
          <cell r="D79">
            <v>560.802698372337</v>
          </cell>
        </row>
      </sheetData>
      <sheetData sheetId="11">
        <row r="79">
          <cell r="D79">
            <v>404.563998137678</v>
          </cell>
        </row>
      </sheetData>
      <sheetData sheetId="12">
        <row r="82">
          <cell r="D82">
            <v>603.860194383975</v>
          </cell>
        </row>
      </sheetData>
      <sheetData sheetId="13">
        <row r="82">
          <cell r="D82">
            <v>630.224391055544</v>
          </cell>
        </row>
      </sheetData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中空"/>
      <sheetName val="55系列隔热内平开窗（5+12+5LOW钢化）"/>
      <sheetName val="80系列普铝推拉门5+12+5钢化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>
        <row r="84">
          <cell r="D84">
            <v>456.67833801851</v>
          </cell>
        </row>
      </sheetData>
      <sheetData sheetId="1">
        <row r="83">
          <cell r="D83">
            <v>878.391453850047</v>
          </cell>
        </row>
      </sheetData>
      <sheetData sheetId="2">
        <row r="83">
          <cell r="D83">
            <v>740.875625165467</v>
          </cell>
        </row>
      </sheetData>
      <sheetData sheetId="3">
        <row r="84">
          <cell r="D84">
            <v>942.768313571272</v>
          </cell>
        </row>
      </sheetData>
      <sheetData sheetId="4">
        <row r="84">
          <cell r="D84">
            <v>929.110904721715</v>
          </cell>
        </row>
      </sheetData>
      <sheetData sheetId="5">
        <row r="83">
          <cell r="D83">
            <v>557.367836090127</v>
          </cell>
        </row>
      </sheetData>
      <sheetData sheetId="6">
        <row r="83">
          <cell r="D83">
            <v>496.914052510667</v>
          </cell>
        </row>
      </sheetData>
      <sheetData sheetId="7">
        <row r="79">
          <cell r="D79">
            <v>431.669641812807</v>
          </cell>
        </row>
      </sheetData>
      <sheetData sheetId="8">
        <row r="79">
          <cell r="D79">
            <v>403.095332864856</v>
          </cell>
        </row>
      </sheetData>
      <sheetData sheetId="9">
        <row r="79">
          <cell r="D79">
            <v>675.882435857685</v>
          </cell>
        </row>
      </sheetData>
      <sheetData sheetId="10">
        <row r="79">
          <cell r="D79">
            <v>563.957718038849</v>
          </cell>
        </row>
      </sheetData>
      <sheetData sheetId="11">
        <row r="79">
          <cell r="D79">
            <v>406.883870150735</v>
          </cell>
        </row>
      </sheetData>
      <sheetData sheetId="12"/>
      <sheetData sheetId="13">
        <row r="82">
          <cell r="D82">
            <v>654.014090188512</v>
          </cell>
        </row>
      </sheetData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 6+12+6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钢化"/>
      <sheetName val="80系列普铝推拉门5+12+5钢化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>
        <row r="84">
          <cell r="D84">
            <v>452.316417630706</v>
          </cell>
        </row>
      </sheetData>
      <sheetData sheetId="1"/>
      <sheetData sheetId="2">
        <row r="83">
          <cell r="D83">
            <v>878.391453850047</v>
          </cell>
        </row>
      </sheetData>
      <sheetData sheetId="3">
        <row r="83">
          <cell r="D83">
            <v>740.875625165467</v>
          </cell>
        </row>
      </sheetData>
      <sheetData sheetId="4">
        <row r="84">
          <cell r="D84">
            <v>942.768313571272</v>
          </cell>
        </row>
      </sheetData>
      <sheetData sheetId="5">
        <row r="84">
          <cell r="D84">
            <v>929.110904721715</v>
          </cell>
        </row>
      </sheetData>
      <sheetData sheetId="6">
        <row r="84">
          <cell r="D84">
            <v>557.367836090127</v>
          </cell>
        </row>
      </sheetData>
      <sheetData sheetId="7">
        <row r="84">
          <cell r="D84">
            <v>496.914052510667</v>
          </cell>
        </row>
      </sheetData>
      <sheetData sheetId="8">
        <row r="79">
          <cell r="D79">
            <v>431.669641812807</v>
          </cell>
        </row>
      </sheetData>
      <sheetData sheetId="9">
        <row r="79">
          <cell r="D79">
            <v>403.095332864856</v>
          </cell>
        </row>
      </sheetData>
      <sheetData sheetId="10">
        <row r="79">
          <cell r="D79">
            <v>675.882435857685</v>
          </cell>
        </row>
      </sheetData>
      <sheetData sheetId="11">
        <row r="79">
          <cell r="D79">
            <v>563.957718038849</v>
          </cell>
        </row>
      </sheetData>
      <sheetData sheetId="12">
        <row r="79">
          <cell r="D79">
            <v>406.883870150735</v>
          </cell>
        </row>
      </sheetData>
      <sheetData sheetId="13"/>
      <sheetData sheetId="14">
        <row r="82">
          <cell r="D82">
            <v>654.014090188512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zoomScale="115" zoomScaleNormal="115" workbookViewId="0">
      <pane ySplit="2" topLeftCell="A9" activePane="bottomLeft" state="frozen"/>
      <selection/>
      <selection pane="bottomLeft" activeCell="D22" sqref="D22"/>
    </sheetView>
  </sheetViews>
  <sheetFormatPr defaultColWidth="8.75" defaultRowHeight="14.25"/>
  <cols>
    <col min="1" max="1" width="5.25" style="23" customWidth="1"/>
    <col min="2" max="2" width="26.125" style="24" customWidth="1"/>
    <col min="3" max="3" width="14.625" style="24" customWidth="1"/>
    <col min="4" max="4" width="12.125" style="23" customWidth="1"/>
    <col min="5" max="5" width="13.5" style="23" customWidth="1"/>
    <col min="6" max="6" width="12.375" style="21" customWidth="1"/>
    <col min="7" max="7" width="12.625" style="24" hidden="1" customWidth="1"/>
    <col min="8" max="8" width="12.625" style="24"/>
    <col min="9" max="9" width="11.625" style="24" customWidth="1"/>
    <col min="10" max="10" width="29.75" style="24" customWidth="1"/>
    <col min="11" max="16384" width="8.75" style="24"/>
  </cols>
  <sheetData>
    <row r="1" s="21" customFormat="1" ht="40.5" customHeight="1" spans="1:6">
      <c r="A1" s="25" t="s">
        <v>0</v>
      </c>
      <c r="B1" s="25"/>
      <c r="C1" s="25"/>
      <c r="D1" s="25"/>
      <c r="E1" s="25"/>
      <c r="F1" s="25"/>
    </row>
    <row r="2" s="22" customFormat="1" ht="44.25" customHeight="1" spans="1:6">
      <c r="A2" s="19" t="s">
        <v>1</v>
      </c>
      <c r="B2" s="19" t="s">
        <v>2</v>
      </c>
      <c r="C2" s="48" t="s">
        <v>3</v>
      </c>
      <c r="D2" s="19" t="s">
        <v>4</v>
      </c>
      <c r="E2" s="48" t="s">
        <v>5</v>
      </c>
      <c r="F2" s="19" t="s">
        <v>6</v>
      </c>
    </row>
    <row r="3" s="21" customFormat="1" ht="51.95" customHeight="1" spans="1:6">
      <c r="A3" s="19">
        <v>1</v>
      </c>
      <c r="B3" s="167" t="str">
        <f>Sheet1!B16</f>
        <v>内平开窗 55断桥铝合金内平开窗 5+12A+5LOW-E钢化玻璃</v>
      </c>
      <c r="C3" s="31">
        <f>Sheet1!C16+Sheet1!C31+Sheet1!C72+Sheet1!C87+Sheet1!C110+Sheet1!C145+Sheet1!C176+Sheet1!C193+Sheet1!C204+Sheet1!C214+Sheet1!C225</f>
        <v>669.3024</v>
      </c>
      <c r="D3" s="31">
        <f>综合单价分析表!D19</f>
        <v>493.889721226896</v>
      </c>
      <c r="E3" s="31">
        <f>C3*D3</f>
        <v>330561.575752492</v>
      </c>
      <c r="F3" s="51"/>
    </row>
    <row r="4" s="21" customFormat="1" ht="51.95" customHeight="1" spans="1:6">
      <c r="A4" s="19">
        <v>2</v>
      </c>
      <c r="B4" s="167" t="str">
        <f>Sheet1!B2</f>
        <v>内平开窗 55断桥铝合金内平开窗 5+12A+5LOW-E钢化玻璃 &gt;2m2采用6mm玻璃</v>
      </c>
      <c r="C4" s="31">
        <f>Sheet1!C2+Sheet1!C46+Sheet1!C59+Sheet1!C73+Sheet1!C88+Sheet1!C99+Sheet1!C111+Sheet1!C121+Sheet1!C146+Sheet1!C161+Sheet1!C177+Sheet1!C179</f>
        <v>913.8048</v>
      </c>
      <c r="D4" s="31">
        <f>综合单价分析表!D39</f>
        <v>476.490753860357</v>
      </c>
      <c r="E4" s="31">
        <f>C4*D4</f>
        <v>435419.538033212</v>
      </c>
      <c r="F4" s="51"/>
    </row>
    <row r="5" s="21" customFormat="1" ht="43.15" customHeight="1" spans="1:6">
      <c r="A5" s="19">
        <v>3</v>
      </c>
      <c r="B5" s="167" t="str">
        <f>Sheet1!B3</f>
        <v>内平开窗 55断桥铝合金内平开窗 5+12A+5LOW-E中空玻璃</v>
      </c>
      <c r="C5" s="31">
        <f>Sheet1!C3+Sheet1!C17+Sheet1!C32+Sheet1!C47+Sheet1!C60+Sheet1!C74+Sheet1!C89+Sheet1!C100+Sheet1!C112+Sheet1!C122+Sheet1!C147+Sheet1!C136+Sheet1!C162+Sheet1!C178+Sheet1!C194+Sheet1!C205+Sheet1!C215+Sheet1!C226</f>
        <v>1106.3784</v>
      </c>
      <c r="D5" s="31">
        <f>综合单价分析表!D59</f>
        <v>553.77743720524</v>
      </c>
      <c r="E5" s="31">
        <f t="shared" ref="E5:E22" si="0">C5*D5</f>
        <v>612687.394931234</v>
      </c>
      <c r="F5" s="17"/>
    </row>
    <row r="6" s="21" customFormat="1" ht="45" customHeight="1" spans="1:6">
      <c r="A6" s="19">
        <v>4</v>
      </c>
      <c r="B6" s="167" t="str">
        <f>Sheet1!B4</f>
        <v>内平开窗 55断桥铝合金内平开窗 5+12A+5中空玻璃</v>
      </c>
      <c r="C6" s="31">
        <f>Sheet1!C4+Sheet1!C18+Sheet1!C33+Sheet1!C48+Sheet1!C61+Sheet1!C75+Sheet1!C90+Sheet1!C101+Sheet1!C113+Sheet1!C123+Sheet1!C148+Sheet1!C160+Sheet1!C163</f>
        <v>35.2444</v>
      </c>
      <c r="D6" s="31">
        <f>综合单价分析表!D78</f>
        <v>870.209478484254</v>
      </c>
      <c r="E6" s="31">
        <f t="shared" si="0"/>
        <v>30670.0109434904</v>
      </c>
      <c r="F6" s="51"/>
    </row>
    <row r="7" s="21" customFormat="1" ht="45" customHeight="1" spans="1:6">
      <c r="A7" s="19">
        <v>5</v>
      </c>
      <c r="B7" s="167" t="str">
        <f>Sheet1!B5</f>
        <v>内平开窗 55普通铝合金内平开窗 5+12A+5中空玻璃</v>
      </c>
      <c r="C7" s="31">
        <f>Sheet1!C5+Sheet1!C19+Sheet1!C34+Sheet1!C49+Sheet1!C62+Sheet1!C124</f>
        <v>118.9204</v>
      </c>
      <c r="D7" s="31">
        <f>综合单价分析表!D97</f>
        <v>490.855032295435</v>
      </c>
      <c r="E7" s="31">
        <f t="shared" si="0"/>
        <v>58372.676782586</v>
      </c>
      <c r="F7" s="51"/>
    </row>
    <row r="8" s="21" customFormat="1" ht="45" customHeight="1" spans="1:6">
      <c r="A8" s="19">
        <v>6</v>
      </c>
      <c r="B8" s="167" t="str">
        <f>Sheet1!B6</f>
        <v>内平开窗 55普通铝合金内平开窗 5+12A+5中空玻璃 &gt;2m2采用6mm玻璃</v>
      </c>
      <c r="C8" s="31">
        <f>Sheet1!C6</f>
        <v>13.6324</v>
      </c>
      <c r="D8" s="31">
        <f>综合单价分析表!D117</f>
        <v>434.429728423608</v>
      </c>
      <c r="E8" s="31">
        <f t="shared" si="0"/>
        <v>5922.319829762</v>
      </c>
      <c r="F8" s="17"/>
    </row>
    <row r="9" s="21" customFormat="1" ht="45" customHeight="1" spans="1:6">
      <c r="A9" s="19">
        <v>7</v>
      </c>
      <c r="B9" s="167" t="str">
        <f>Sheet1!B7</f>
        <v>平开门 55断桥铝合金外平开门 5+12A+5LOW-E钢化玻璃</v>
      </c>
      <c r="C9" s="31">
        <f>Sheet1!C7+Sheet1!C20+Sheet1!C35+Sheet1!C50+Sheet1!C63+Sheet1!C102+Sheet1!C125+Sheet1!C180</f>
        <v>891.4644</v>
      </c>
      <c r="D9" s="31">
        <f>综合单价分析表!D136</f>
        <v>630.104474412315</v>
      </c>
      <c r="E9" s="31">
        <f t="shared" si="0"/>
        <v>561715.707219289</v>
      </c>
      <c r="F9" s="17"/>
    </row>
    <row r="10" s="21" customFormat="1" ht="45" customHeight="1" spans="1:6">
      <c r="A10" s="19">
        <v>8</v>
      </c>
      <c r="B10" s="168" t="str">
        <f>Sheet1!B76</f>
        <v>平开门 55断桥铝合金外平开门 5+12A+5LOW-E钢化玻璃 &gt;2m2采用6mm玻璃</v>
      </c>
      <c r="C10" s="31">
        <f>Sheet1!C76+Sheet1!C149</f>
        <v>155.0016</v>
      </c>
      <c r="D10" s="31">
        <f>综合单价分析表!D155</f>
        <v>542.06986370094</v>
      </c>
      <c r="E10" s="31">
        <f t="shared" si="0"/>
        <v>84021.6961854276</v>
      </c>
      <c r="F10" s="17"/>
    </row>
    <row r="11" s="21" customFormat="1" ht="45" customHeight="1" spans="1:6">
      <c r="A11" s="19">
        <v>9</v>
      </c>
      <c r="B11" s="168" t="str">
        <f>Sheet1!B8</f>
        <v>平开门 55普通铝合金外平开门 5+12A+5钢化玻璃</v>
      </c>
      <c r="C11" s="31">
        <f>Sheet1!C8+Sheet1!C51+Sheet1!C64+Sheet1!C103+Sheet1!C126</f>
        <v>504.2916</v>
      </c>
      <c r="D11" s="31">
        <f>综合单价分析表!D174</f>
        <v>596.492418394938</v>
      </c>
      <c r="E11" s="31">
        <f t="shared" si="0"/>
        <v>300806.116060253</v>
      </c>
      <c r="F11" s="17"/>
    </row>
    <row r="12" s="21" customFormat="1" ht="45" customHeight="1" spans="1:6">
      <c r="A12" s="19">
        <v>10</v>
      </c>
      <c r="B12" s="168" t="str">
        <f>Sheet1!B9</f>
        <v>上悬窗 55断桥铝合金上悬窗 5+12A+5LOW-E中空玻璃 </v>
      </c>
      <c r="C12" s="31">
        <f>Sheet1!C9+Sheet1!C21+Sheet1!C36+Sheet1!C52+Sheet1!C65+Sheet1!C77+Sheet1!C91+Sheet1!C104+Sheet1!C114+Sheet1!C127+Sheet1!C137+Sheet1!C150+Sheet1!C166+Sheet1!C181+Sheet1!C195+Sheet1!C206+Sheet1!C216+Sheet1!C227</f>
        <v>526.2208</v>
      </c>
      <c r="D12" s="31">
        <f>综合单价分析表!D194</f>
        <v>851.643427010325</v>
      </c>
      <c r="E12" s="31">
        <f t="shared" si="0"/>
        <v>448152.485476115</v>
      </c>
      <c r="F12" s="17"/>
    </row>
    <row r="13" s="21" customFormat="1" ht="45" customHeight="1" spans="1:6">
      <c r="A13" s="19">
        <v>11</v>
      </c>
      <c r="B13" s="168" t="str">
        <f>Sheet1!B10</f>
        <v>上悬窗 55断桥铝合金上悬窗 5+12A+5LOW-E中空玻璃 七层及以上钢化玻璃</v>
      </c>
      <c r="C13" s="31">
        <f>Sheet1!C10+Sheet1!C22+Sheet1!C37+Sheet1!C53+Sheet1!C66+Sheet1!C78+Sheet1!C92+Sheet1!C105+Sheet1!C115+Sheet1!C128+Sheet1!C138+Sheet1!C151+Sheet1!C167+Sheet1!C182+Sheet1!C196+Sheet1!C207+Sheet1!C217+Sheet1!C228</f>
        <v>195.0424</v>
      </c>
      <c r="D13" s="31">
        <f>综合单价分析表!D214</f>
        <v>861.646337743971</v>
      </c>
      <c r="E13" s="31">
        <f t="shared" si="0"/>
        <v>168057.569664795</v>
      </c>
      <c r="F13" s="17"/>
    </row>
    <row r="14" s="21" customFormat="1" ht="45" customHeight="1" spans="1:6">
      <c r="A14" s="19">
        <v>12</v>
      </c>
      <c r="B14" s="168" t="str">
        <f>Sheet1!B79</f>
        <v>上悬窗 55断桥铝合金上悬窗 5+12A+5中空玻璃</v>
      </c>
      <c r="C14" s="31">
        <f>Sheet1!C79+Sheet1!C152</f>
        <v>15.4154</v>
      </c>
      <c r="D14" s="31">
        <f>综合单价分析表!D234</f>
        <v>738.230298098244</v>
      </c>
      <c r="E14" s="31">
        <f t="shared" si="0"/>
        <v>11380.1153373037</v>
      </c>
      <c r="F14" s="17"/>
    </row>
    <row r="15" s="21" customFormat="1" ht="45" customHeight="1" spans="1:6">
      <c r="A15" s="19">
        <v>13</v>
      </c>
      <c r="B15" s="168" t="str">
        <f>Sheet1!B11</f>
        <v>推拉窗 80断桥铝合金推拉窗 5+12A+5LOW-E中空玻璃</v>
      </c>
      <c r="C15" s="31">
        <f>Sheet1!C11+Sheet1!C23+Sheet1!C38+Sheet1!C80+Sheet1!C93+Sheet1!C116+Sheet1!C153+Sheet1!C183</f>
        <v>181.4544</v>
      </c>
      <c r="D15" s="31">
        <f>综合单价分析表!D253</f>
        <v>590.351047702843</v>
      </c>
      <c r="E15" s="31">
        <f t="shared" si="0"/>
        <v>107121.795150291</v>
      </c>
      <c r="F15" s="17"/>
    </row>
    <row r="16" s="21" customFormat="1" ht="45" customHeight="1" spans="1:6">
      <c r="A16" s="19">
        <v>14</v>
      </c>
      <c r="B16" s="168" t="str">
        <f>Sheet1!B12</f>
        <v>推拉窗 80断桥铝合金推拉窗 5+12A+5中空玻璃</v>
      </c>
      <c r="C16" s="31">
        <f>Sheet1!C12+Sheet1!C24+Sheet1!C39+Sheet1!C54+Sheet1!C67+Sheet1!C81+Sheet1!C94+Sheet1!C106+Sheet1!C117+Sheet1!C129+Sheet1!C154+Sheet1!C169+Sheet1!C184</f>
        <v>381.7008</v>
      </c>
      <c r="D16" s="31">
        <f>综合单价分析表!D272</f>
        <v>616.322302458279</v>
      </c>
      <c r="E16" s="31">
        <f t="shared" si="0"/>
        <v>235250.715906167</v>
      </c>
      <c r="F16" s="17"/>
    </row>
    <row r="17" s="21" customFormat="1" ht="45" customHeight="1" spans="1:6">
      <c r="A17" s="19">
        <v>15</v>
      </c>
      <c r="B17" s="168" t="str">
        <f>Sheet1!B13</f>
        <v>推拉窗 80普通铝合金推拉窗 5+12A+5中空玻璃</v>
      </c>
      <c r="C17" s="31">
        <f>Sheet1!C13+Sheet1!C25+Sheet1!C40+Sheet1!C82+Sheet1!C95+Sheet1!C139+Sheet1!C155+Sheet1!C170+Sheet1!C185</f>
        <v>124.5628</v>
      </c>
      <c r="D17" s="31">
        <f>综合单价分析表!D291</f>
        <v>475.644818748736</v>
      </c>
      <c r="E17" s="31">
        <f t="shared" si="0"/>
        <v>59247.6504288351</v>
      </c>
      <c r="F17" s="17"/>
    </row>
    <row r="18" s="21" customFormat="1" ht="45" customHeight="1" spans="1:6">
      <c r="A18" s="19">
        <v>16</v>
      </c>
      <c r="B18" s="168" t="str">
        <f>Sheet1!B27</f>
        <v>推拉门 80普通铝合金推拉门 5+12A+5钢化玻璃</v>
      </c>
      <c r="C18" s="31">
        <f>Sheet1!C27+Sheet1!C41+Sheet1!C96+Sheet1!C118+Sheet1!C141+Sheet1!C171+Sheet1!C187+Sheet1!C198+Sheet1!C209+Sheet1!C219+Sheet1!C231</f>
        <v>1082.016</v>
      </c>
      <c r="D18" s="31">
        <f>综合单价分析表!D311</f>
        <v>376.746331974293</v>
      </c>
      <c r="E18" s="31">
        <f t="shared" si="0"/>
        <v>407645.559137496</v>
      </c>
      <c r="F18" s="17"/>
    </row>
    <row r="19" s="21" customFormat="1" ht="45" customHeight="1" spans="1:6">
      <c r="A19" s="19">
        <v>17</v>
      </c>
      <c r="B19" s="168" t="str">
        <f>Sheet1!B14</f>
        <v>推拉门 80普通铝合金推拉门 5+12A+5钢化玻璃 &gt;2m2采用6mm玻璃</v>
      </c>
      <c r="C19" s="31">
        <f>Sheet1!C14+Sheet1!C26+Sheet1!C42+Sheet1!C55+Sheet1!C68+Sheet1!C83+Sheet1!C107+Sheet1!C130+Sheet1!C156+Sheet1!C199+Sheet1!C232</f>
        <v>1546.452</v>
      </c>
      <c r="D19" s="31">
        <f>综合单价分析表!D330</f>
        <v>393.145527808046</v>
      </c>
      <c r="E19" s="31">
        <f t="shared" si="0"/>
        <v>607980.687769809</v>
      </c>
      <c r="F19" s="17"/>
    </row>
    <row r="20" s="21" customFormat="1" ht="45" customHeight="1" spans="1:6">
      <c r="A20" s="19">
        <v>18</v>
      </c>
      <c r="B20" s="168" t="str">
        <f>Sheet1!B56</f>
        <v>推拉内平开窗 80普铝推拉内平开窗 5+12A+5中空玻璃</v>
      </c>
      <c r="C20" s="31">
        <f>Sheet1!C56+Sheet1!C69+Sheet1!C131</f>
        <v>45.1992</v>
      </c>
      <c r="D20" s="31">
        <f>综合单价分析表!D349</f>
        <v>644.97816694243</v>
      </c>
      <c r="E20" s="31">
        <f t="shared" si="0"/>
        <v>29152.4971632643</v>
      </c>
      <c r="F20" s="17"/>
    </row>
    <row r="21" s="21" customFormat="1" ht="45" customHeight="1" spans="1:6">
      <c r="A21" s="19">
        <v>19</v>
      </c>
      <c r="B21" s="168" t="str">
        <f>Sheet1!B84</f>
        <v>外平开窗 55断桥铝合金外平开窗 5+12A+5LOW-E中空玻璃</v>
      </c>
      <c r="C21" s="31">
        <f>Sheet1!C84+Sheet1!C157</f>
        <v>4.0112</v>
      </c>
      <c r="D21" s="31">
        <f>综合单价分析表!D368</f>
        <v>711.081696030299</v>
      </c>
      <c r="E21" s="31">
        <f t="shared" si="0"/>
        <v>2852.29089911673</v>
      </c>
      <c r="F21" s="17"/>
    </row>
    <row r="22" s="21" customFormat="1" ht="45" customHeight="1" spans="1:6">
      <c r="A22" s="19">
        <v>20</v>
      </c>
      <c r="B22" s="168" t="str">
        <f>Sheet1!B15</f>
        <v>外平开窗 55断桥铝合金外平开窗 5+12A+5中空玻璃</v>
      </c>
      <c r="C22" s="31">
        <f>Sheet1!C15+Sheet1!C28+Sheet1!C43+Sheet1!C57+Sheet1!C70+Sheet1!C108+Sheet1!C132+Sheet1!C142+Sheet1!C188+Sheet1!C200+Sheet1!C210+Sheet1!C220+Sheet1!C233</f>
        <v>31.9756</v>
      </c>
      <c r="D22" s="31">
        <f>综合单价分析表!D387</f>
        <v>718.723016832819</v>
      </c>
      <c r="E22" s="31">
        <f t="shared" si="0"/>
        <v>22981.5996970395</v>
      </c>
      <c r="F22" s="17"/>
    </row>
    <row r="23" s="21" customFormat="1" ht="30.95" customHeight="1" spans="1:9">
      <c r="A23" s="19">
        <v>21</v>
      </c>
      <c r="B23" s="19" t="s">
        <v>7</v>
      </c>
      <c r="C23" s="31">
        <f>SUM(C3:C22)</f>
        <v>8542.091</v>
      </c>
      <c r="D23" s="50">
        <f>E23/C23</f>
        <v>529.144445120987</v>
      </c>
      <c r="E23" s="31">
        <f>E22+E21+E20+E19+E18+E17+E16+E15+E14+E12+E11+E10+E9+E8+E7+E6+E5+E4+E3+E13</f>
        <v>4520000.00236798</v>
      </c>
      <c r="F23" s="51"/>
      <c r="I23" s="172"/>
    </row>
    <row r="24" s="21" customFormat="1" ht="55.5" customHeight="1" spans="1:7">
      <c r="A24" s="169" t="s">
        <v>8</v>
      </c>
      <c r="B24" s="169"/>
      <c r="C24" s="169"/>
      <c r="D24" s="170"/>
      <c r="E24" s="170"/>
      <c r="G24" s="21">
        <f>4597390.49/8542.09</f>
        <v>538.204407820568</v>
      </c>
    </row>
    <row r="25" spans="1:5">
      <c r="A25" s="44"/>
      <c r="B25" s="45"/>
      <c r="C25" s="46"/>
      <c r="D25" s="171"/>
      <c r="E25" s="171"/>
    </row>
    <row r="30" spans="2:2">
      <c r="B30" s="5"/>
    </row>
    <row r="31" ht="51.95" customHeight="1" spans="2:2">
      <c r="B31" s="5"/>
    </row>
    <row r="32" spans="2:2">
      <c r="B32" s="5"/>
    </row>
  </sheetData>
  <autoFilter ref="A2:F24">
    <extLst/>
  </autoFilter>
  <mergeCells count="2">
    <mergeCell ref="A1:F1"/>
    <mergeCell ref="A24:E24"/>
  </mergeCells>
  <printOptions horizontalCentered="1"/>
  <pageMargins left="0.550694444444444" right="0.550694444444444" top="0.786805555555556" bottom="0.786805555555556" header="0.511805555555556" footer="0.51180555555555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2"/>
  <sheetViews>
    <sheetView zoomScale="85" zoomScaleNormal="85" workbookViewId="0">
      <pane ySplit="1" topLeftCell="A8" activePane="bottomLeft" state="frozen"/>
      <selection/>
      <selection pane="bottomLeft" activeCell="H12" sqref="H12"/>
    </sheetView>
  </sheetViews>
  <sheetFormatPr defaultColWidth="9" defaultRowHeight="14.25"/>
  <cols>
    <col min="1" max="1" width="6.5" style="2" customWidth="1"/>
    <col min="2" max="2" width="39.875" style="3" customWidth="1"/>
    <col min="3" max="3" width="16.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6" t="s">
        <v>196</v>
      </c>
      <c r="B1" s="66"/>
      <c r="C1" s="66"/>
      <c r="D1" s="66"/>
      <c r="E1" s="66"/>
      <c r="F1" s="66"/>
      <c r="G1" s="66"/>
      <c r="H1" s="66"/>
      <c r="I1" s="69"/>
    </row>
    <row r="2" ht="21.95" customHeight="1" spans="1:9">
      <c r="A2" s="7" t="s">
        <v>1</v>
      </c>
      <c r="B2" s="7" t="s">
        <v>115</v>
      </c>
      <c r="C2" s="7" t="s">
        <v>116</v>
      </c>
      <c r="D2" s="8" t="s">
        <v>117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118</v>
      </c>
      <c r="E3" s="11" t="s">
        <v>119</v>
      </c>
      <c r="F3" s="11" t="s">
        <v>120</v>
      </c>
      <c r="G3" s="11" t="s">
        <v>121</v>
      </c>
      <c r="H3" s="12" t="s">
        <v>3</v>
      </c>
      <c r="I3" s="19"/>
    </row>
    <row r="4" ht="36.95" customHeight="1" spans="1:9">
      <c r="A4" s="7">
        <v>1</v>
      </c>
      <c r="B4" s="54" t="s">
        <v>126</v>
      </c>
      <c r="C4" s="11" t="s">
        <v>197</v>
      </c>
      <c r="D4" s="47" t="s">
        <v>174</v>
      </c>
      <c r="E4" s="11">
        <v>2170</v>
      </c>
      <c r="F4" s="11">
        <v>2340</v>
      </c>
      <c r="G4" s="11">
        <f>1*2*3*8</f>
        <v>48</v>
      </c>
      <c r="H4" s="12">
        <f t="shared" ref="H4:H12" si="0">E4*F4*G4/1000000</f>
        <v>243.7344</v>
      </c>
      <c r="I4" s="17" t="s">
        <v>128</v>
      </c>
    </row>
    <row r="5" ht="45" customHeight="1" spans="1:9">
      <c r="A5" s="7">
        <v>2</v>
      </c>
      <c r="B5" s="54" t="s">
        <v>122</v>
      </c>
      <c r="C5" s="11" t="s">
        <v>175</v>
      </c>
      <c r="D5" s="47" t="s">
        <v>174</v>
      </c>
      <c r="E5" s="11">
        <v>1370</v>
      </c>
      <c r="F5" s="11">
        <v>2340</v>
      </c>
      <c r="G5" s="11">
        <f>1*2*3*8</f>
        <v>48</v>
      </c>
      <c r="H5" s="12">
        <f t="shared" si="0"/>
        <v>153.8784</v>
      </c>
      <c r="I5" s="17" t="s">
        <v>125</v>
      </c>
    </row>
    <row r="6" ht="54" customHeight="1" spans="1:9">
      <c r="A6" s="7">
        <v>3</v>
      </c>
      <c r="B6" s="54" t="s">
        <v>171</v>
      </c>
      <c r="C6" s="11" t="s">
        <v>176</v>
      </c>
      <c r="D6" s="47" t="s">
        <v>174</v>
      </c>
      <c r="E6" s="11">
        <v>1570</v>
      </c>
      <c r="F6" s="11">
        <v>2340</v>
      </c>
      <c r="G6" s="11">
        <f>1*2*3*8</f>
        <v>48</v>
      </c>
      <c r="H6" s="12">
        <f t="shared" si="0"/>
        <v>176.3424</v>
      </c>
      <c r="I6" s="17" t="s">
        <v>177</v>
      </c>
    </row>
    <row r="7" ht="60" customHeight="1" spans="1:9">
      <c r="A7" s="7">
        <v>4</v>
      </c>
      <c r="B7" s="54" t="s">
        <v>132</v>
      </c>
      <c r="C7" s="11" t="s">
        <v>178</v>
      </c>
      <c r="D7" s="47" t="s">
        <v>179</v>
      </c>
      <c r="E7" s="11">
        <v>420</v>
      </c>
      <c r="F7" s="11">
        <v>1430</v>
      </c>
      <c r="G7" s="11">
        <f>4*6</f>
        <v>24</v>
      </c>
      <c r="H7" s="12">
        <f t="shared" si="0"/>
        <v>14.4144</v>
      </c>
      <c r="I7" s="17" t="s">
        <v>198</v>
      </c>
    </row>
    <row r="8" ht="60" customHeight="1" spans="1:9">
      <c r="A8" s="7">
        <v>4.1</v>
      </c>
      <c r="B8" s="54" t="s">
        <v>136</v>
      </c>
      <c r="C8" s="11" t="s">
        <v>178</v>
      </c>
      <c r="D8" s="47" t="s">
        <v>180</v>
      </c>
      <c r="E8" s="11">
        <v>420</v>
      </c>
      <c r="F8" s="11">
        <v>1430</v>
      </c>
      <c r="G8" s="11">
        <f>4*2</f>
        <v>8</v>
      </c>
      <c r="H8" s="12">
        <f t="shared" si="0"/>
        <v>4.8048</v>
      </c>
      <c r="I8" s="17" t="s">
        <v>198</v>
      </c>
    </row>
    <row r="9" ht="59.1" customHeight="1" spans="1:9">
      <c r="A9" s="7">
        <v>5</v>
      </c>
      <c r="B9" s="54" t="s">
        <v>132</v>
      </c>
      <c r="C9" s="11" t="s">
        <v>181</v>
      </c>
      <c r="D9" s="47" t="s">
        <v>179</v>
      </c>
      <c r="E9" s="11">
        <v>570</v>
      </c>
      <c r="F9" s="11">
        <v>1430</v>
      </c>
      <c r="G9" s="11">
        <f>14*6</f>
        <v>84</v>
      </c>
      <c r="H9" s="12">
        <f t="shared" si="0"/>
        <v>68.4684</v>
      </c>
      <c r="I9" s="17" t="s">
        <v>199</v>
      </c>
    </row>
    <row r="10" ht="59.1" customHeight="1" spans="1:9">
      <c r="A10" s="7">
        <v>5.1</v>
      </c>
      <c r="B10" s="54" t="s">
        <v>136</v>
      </c>
      <c r="C10" s="11" t="s">
        <v>181</v>
      </c>
      <c r="D10" s="47" t="s">
        <v>180</v>
      </c>
      <c r="E10" s="11">
        <v>570</v>
      </c>
      <c r="F10" s="11">
        <v>1430</v>
      </c>
      <c r="G10" s="11">
        <f>14*2</f>
        <v>28</v>
      </c>
      <c r="H10" s="12">
        <f t="shared" si="0"/>
        <v>22.8228</v>
      </c>
      <c r="I10" s="17" t="s">
        <v>199</v>
      </c>
    </row>
    <row r="11" ht="47.1" customHeight="1" spans="1:9">
      <c r="A11" s="7">
        <v>6</v>
      </c>
      <c r="B11" s="54" t="s">
        <v>147</v>
      </c>
      <c r="C11" s="11" t="s">
        <v>145</v>
      </c>
      <c r="D11" s="11" t="s">
        <v>151</v>
      </c>
      <c r="E11" s="11">
        <v>1170</v>
      </c>
      <c r="F11" s="11">
        <v>980</v>
      </c>
      <c r="G11" s="11">
        <f>3*5</f>
        <v>15</v>
      </c>
      <c r="H11" s="12">
        <f t="shared" si="0"/>
        <v>17.199</v>
      </c>
      <c r="I11" s="17" t="s">
        <v>152</v>
      </c>
    </row>
    <row r="12" ht="35.1" customHeight="1" spans="1:9">
      <c r="A12" s="7">
        <v>7</v>
      </c>
      <c r="B12" s="54" t="s">
        <v>155</v>
      </c>
      <c r="C12" s="11" t="s">
        <v>183</v>
      </c>
      <c r="D12" s="47" t="s">
        <v>184</v>
      </c>
      <c r="E12" s="12">
        <v>770</v>
      </c>
      <c r="F12" s="12">
        <v>2580</v>
      </c>
      <c r="G12" s="67">
        <v>3</v>
      </c>
      <c r="H12" s="12">
        <f t="shared" si="0"/>
        <v>5.9598</v>
      </c>
      <c r="I12" s="17" t="s">
        <v>185</v>
      </c>
    </row>
    <row r="13" ht="45.95" customHeight="1" spans="1:9">
      <c r="A13" s="7">
        <v>8</v>
      </c>
      <c r="B13" s="54" t="s">
        <v>144</v>
      </c>
      <c r="C13" s="11" t="s">
        <v>145</v>
      </c>
      <c r="D13" s="11" t="s">
        <v>200</v>
      </c>
      <c r="E13" s="11">
        <v>1170</v>
      </c>
      <c r="F13" s="11">
        <v>980</v>
      </c>
      <c r="G13" s="11">
        <f>3</f>
        <v>3</v>
      </c>
      <c r="H13" s="12">
        <f t="shared" ref="H13:H21" si="1">E13*F13*G13/1000000</f>
        <v>3.4398</v>
      </c>
      <c r="I13" s="17" t="s">
        <v>152</v>
      </c>
    </row>
    <row r="14" ht="35.1" customHeight="1" spans="1:9">
      <c r="A14" s="7">
        <v>9</v>
      </c>
      <c r="B14" s="68" t="s">
        <v>170</v>
      </c>
      <c r="C14" s="16" t="s">
        <v>187</v>
      </c>
      <c r="D14" s="47" t="s">
        <v>174</v>
      </c>
      <c r="E14" s="11">
        <v>1770</v>
      </c>
      <c r="F14" s="11">
        <v>1730</v>
      </c>
      <c r="G14" s="11">
        <f>2*3*8</f>
        <v>48</v>
      </c>
      <c r="H14" s="12">
        <f t="shared" si="1"/>
        <v>146.9808</v>
      </c>
      <c r="I14" s="17" t="s">
        <v>143</v>
      </c>
    </row>
    <row r="15" ht="45" customHeight="1" spans="1:9">
      <c r="A15" s="7">
        <v>10</v>
      </c>
      <c r="B15" s="54" t="s">
        <v>138</v>
      </c>
      <c r="C15" s="11" t="s">
        <v>188</v>
      </c>
      <c r="D15" s="47" t="s">
        <v>174</v>
      </c>
      <c r="E15" s="11">
        <v>1470</v>
      </c>
      <c r="F15" s="11">
        <v>1430</v>
      </c>
      <c r="G15" s="11">
        <f>1*2*3*8</f>
        <v>48</v>
      </c>
      <c r="H15" s="12">
        <f t="shared" si="1"/>
        <v>100.9008</v>
      </c>
      <c r="I15" s="17" t="s">
        <v>140</v>
      </c>
    </row>
    <row r="16" ht="30.75" customHeight="1" spans="1:9">
      <c r="A16" s="7">
        <v>11</v>
      </c>
      <c r="B16" s="68" t="s">
        <v>138</v>
      </c>
      <c r="C16" s="16" t="s">
        <v>189</v>
      </c>
      <c r="D16" s="16" t="s">
        <v>159</v>
      </c>
      <c r="E16" s="11">
        <v>1770</v>
      </c>
      <c r="F16" s="11">
        <v>980</v>
      </c>
      <c r="G16" s="11">
        <v>6</v>
      </c>
      <c r="H16" s="12">
        <f t="shared" si="1"/>
        <v>10.4076</v>
      </c>
      <c r="I16" s="17"/>
    </row>
    <row r="17" ht="30.75" customHeight="1" spans="1:9">
      <c r="A17" s="7">
        <v>12</v>
      </c>
      <c r="B17" s="68" t="s">
        <v>160</v>
      </c>
      <c r="C17" s="16" t="s">
        <v>190</v>
      </c>
      <c r="D17" s="16" t="s">
        <v>159</v>
      </c>
      <c r="E17" s="11">
        <v>2170</v>
      </c>
      <c r="F17" s="11">
        <v>980</v>
      </c>
      <c r="G17" s="11">
        <v>6</v>
      </c>
      <c r="H17" s="12">
        <f t="shared" si="1"/>
        <v>12.7596</v>
      </c>
      <c r="I17" s="17"/>
    </row>
    <row r="18" ht="30.75" customHeight="1" spans="1:9">
      <c r="A18" s="7">
        <v>13</v>
      </c>
      <c r="B18" s="54" t="s">
        <v>138</v>
      </c>
      <c r="C18" s="16" t="s">
        <v>191</v>
      </c>
      <c r="D18" s="16" t="s">
        <v>159</v>
      </c>
      <c r="E18" s="11">
        <v>1370</v>
      </c>
      <c r="F18" s="11">
        <v>980</v>
      </c>
      <c r="G18" s="11">
        <v>6</v>
      </c>
      <c r="H18" s="12">
        <f t="shared" si="1"/>
        <v>8.0556</v>
      </c>
      <c r="I18" s="17"/>
    </row>
    <row r="19" ht="30.75" customHeight="1" spans="1:9">
      <c r="A19" s="7">
        <v>14</v>
      </c>
      <c r="B19" s="68" t="s">
        <v>167</v>
      </c>
      <c r="C19" s="16" t="s">
        <v>192</v>
      </c>
      <c r="D19" s="16" t="s">
        <v>159</v>
      </c>
      <c r="E19" s="11">
        <v>1770</v>
      </c>
      <c r="F19" s="11">
        <v>1730</v>
      </c>
      <c r="G19" s="11">
        <v>6</v>
      </c>
      <c r="H19" s="12">
        <f t="shared" si="1"/>
        <v>18.3726</v>
      </c>
      <c r="I19" s="17"/>
    </row>
    <row r="20" ht="28.5" spans="1:9">
      <c r="A20" s="7">
        <v>15</v>
      </c>
      <c r="B20" s="68" t="s">
        <v>165</v>
      </c>
      <c r="C20" s="11" t="s">
        <v>193</v>
      </c>
      <c r="D20" s="16" t="s">
        <v>159</v>
      </c>
      <c r="E20" s="11">
        <v>2170</v>
      </c>
      <c r="F20" s="11">
        <v>1730</v>
      </c>
      <c r="G20" s="11">
        <v>6</v>
      </c>
      <c r="H20" s="12">
        <f t="shared" si="1"/>
        <v>22.5246</v>
      </c>
      <c r="I20" s="17"/>
    </row>
    <row r="21" ht="28.5" spans="1:9">
      <c r="A21" s="7">
        <v>16</v>
      </c>
      <c r="B21" s="68" t="s">
        <v>167</v>
      </c>
      <c r="C21" s="16" t="s">
        <v>194</v>
      </c>
      <c r="D21" s="16" t="s">
        <v>159</v>
      </c>
      <c r="E21" s="11">
        <v>1370</v>
      </c>
      <c r="F21" s="11">
        <v>1730</v>
      </c>
      <c r="G21" s="11">
        <v>6</v>
      </c>
      <c r="H21" s="12">
        <f t="shared" si="1"/>
        <v>14.2206</v>
      </c>
      <c r="I21" s="17"/>
    </row>
    <row r="22" ht="32.1" customHeight="1" spans="1:9">
      <c r="A22" s="7">
        <v>17</v>
      </c>
      <c r="B22" s="11"/>
      <c r="C22" s="11"/>
      <c r="D22" s="11"/>
      <c r="E22" s="11"/>
      <c r="F22" s="11"/>
      <c r="G22" s="11"/>
      <c r="H22" s="12">
        <f>SUM(H4:H21)</f>
        <v>1045.2864</v>
      </c>
      <c r="I22" s="17"/>
    </row>
  </sheetData>
  <autoFilter ref="A3:I22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5"/>
  <sheetViews>
    <sheetView topLeftCell="A11" workbookViewId="0">
      <selection activeCell="H16" sqref="H16"/>
    </sheetView>
  </sheetViews>
  <sheetFormatPr defaultColWidth="8.75" defaultRowHeight="14.25" outlineLevelCol="7"/>
  <cols>
    <col min="1" max="1" width="5.25" style="23" customWidth="1"/>
    <col min="2" max="2" width="35.75" style="24" customWidth="1"/>
    <col min="3" max="3" width="14.75" style="24" customWidth="1"/>
    <col min="4" max="4" width="12.75" style="24" customWidth="1"/>
    <col min="5" max="5" width="14" style="24" customWidth="1"/>
    <col min="6" max="6" width="6.875" style="24" customWidth="1"/>
    <col min="7" max="7" width="8.75" style="24"/>
    <col min="8" max="8" width="12.625" style="24"/>
    <col min="9" max="16384" width="8.75" style="24"/>
  </cols>
  <sheetData>
    <row r="1" s="21" customFormat="1" ht="40.5" customHeight="1" spans="1:6">
      <c r="A1" s="25" t="s">
        <v>201</v>
      </c>
      <c r="B1" s="25"/>
      <c r="C1" s="25"/>
      <c r="D1" s="25"/>
      <c r="E1" s="25"/>
      <c r="F1" s="25"/>
    </row>
    <row r="2" s="22" customFormat="1" ht="44.25" customHeight="1" spans="1:6">
      <c r="A2" s="26" t="s">
        <v>1</v>
      </c>
      <c r="B2" s="27" t="s">
        <v>2</v>
      </c>
      <c r="C2" s="28" t="s">
        <v>3</v>
      </c>
      <c r="D2" s="27" t="s">
        <v>4</v>
      </c>
      <c r="E2" s="28" t="s">
        <v>5</v>
      </c>
      <c r="F2" s="29" t="s">
        <v>6</v>
      </c>
    </row>
    <row r="3" s="21" customFormat="1" ht="51.95" customHeight="1" spans="1:8">
      <c r="A3" s="30">
        <v>1</v>
      </c>
      <c r="B3" s="17" t="str">
        <f>'5#楼明细(表2.1) '!B10</f>
        <v>内平开窗 55断桥铝合金内平开窗 5+12A+5LOW-E钢化玻璃 &gt;2m2采用6mm玻璃</v>
      </c>
      <c r="C3" s="31">
        <f>'5#楼明细(表2.1) '!H10</f>
        <v>109.0592</v>
      </c>
      <c r="D3" s="31">
        <f>'[10]55系列隔热内平开窗（5+12+5LOW -E6）'!D$84</f>
        <v>485.561473006677</v>
      </c>
      <c r="E3" s="31">
        <f>C3*D3</f>
        <v>52954.9457969298</v>
      </c>
      <c r="F3" s="32"/>
      <c r="H3" s="22"/>
    </row>
    <row r="4" s="21" customFormat="1" ht="51.95" customHeight="1" spans="1:6">
      <c r="A4" s="30">
        <v>2</v>
      </c>
      <c r="B4" s="17" t="str">
        <f>'5#楼明细(表2.1) '!B9</f>
        <v>内平开窗 55断桥铝合金内平开窗 5+12A+5LOW-E中空玻璃</v>
      </c>
      <c r="C4" s="31">
        <f>'5#楼明细(表2.1) '!H9</f>
        <v>80.9952</v>
      </c>
      <c r="D4" s="31">
        <f>'[10]55系列隔热内平开窗（5+12+5LOW-E'!D$84</f>
        <v>504.536179939014</v>
      </c>
      <c r="E4" s="31">
        <f t="shared" ref="E4:E14" si="0">C4*D4</f>
        <v>40865.0088013964</v>
      </c>
      <c r="F4" s="33"/>
    </row>
    <row r="5" s="21" customFormat="1" ht="51.95" customHeight="1" spans="1:6">
      <c r="A5" s="30">
        <v>3</v>
      </c>
      <c r="B5" s="17" t="str">
        <f>'5#楼明细(表2.1) '!B11</f>
        <v>内平开窗 55断桥铝合金内平开窗 5+12A+5中空玻璃</v>
      </c>
      <c r="C5" s="31">
        <f>'5#楼明细(表2.1) '!H11</f>
        <v>2.2932</v>
      </c>
      <c r="D5" s="31">
        <f>'[10]55系列隔热内平开窗（5+12+5）'!D$83</f>
        <v>878.391453850047</v>
      </c>
      <c r="E5" s="31">
        <f t="shared" si="0"/>
        <v>2014.32728196893</v>
      </c>
      <c r="F5" s="33"/>
    </row>
    <row r="6" s="21" customFormat="1" ht="43.15" customHeight="1" spans="1:6">
      <c r="A6" s="30">
        <v>4</v>
      </c>
      <c r="B6" s="17" t="str">
        <f>'5#楼明细(表2.1) '!B17</f>
        <v>内平开窗 55普通铝合金内平开窗 5+12A+5中空玻璃</v>
      </c>
      <c r="C6" s="31">
        <f>'5#楼明细(表2.1) '!H17+'5#楼明细(表2.1) '!H19</f>
        <v>23.8048</v>
      </c>
      <c r="D6" s="31">
        <f>'[10]55系列普铝内平开窗（5+12+5非钢）'!D$84</f>
        <v>564.154530898811</v>
      </c>
      <c r="E6" s="31">
        <f t="shared" si="0"/>
        <v>13429.58577714</v>
      </c>
      <c r="F6" s="33"/>
    </row>
    <row r="7" s="21" customFormat="1" ht="56.1" customHeight="1" spans="1:7">
      <c r="A7" s="30">
        <v>5</v>
      </c>
      <c r="B7" s="17" t="str">
        <f>'5#楼明细(表2.1) '!B4</f>
        <v>平开门 55断桥铝合金外平开门 5+12A+5LOW-E钢化玻璃</v>
      </c>
      <c r="C7" s="31">
        <f>'5#楼明细(表2.1) '!H4</f>
        <v>110.0736</v>
      </c>
      <c r="D7" s="31">
        <f>'[10]55隔热平开门钢化'!D$82</f>
        <v>630.224391055544</v>
      </c>
      <c r="E7" s="31">
        <f t="shared" si="0"/>
        <v>69371.0675312915</v>
      </c>
      <c r="F7" s="32"/>
      <c r="G7" s="4"/>
    </row>
    <row r="8" s="21" customFormat="1" ht="51.95" customHeight="1" spans="1:6">
      <c r="A8" s="30">
        <v>6</v>
      </c>
      <c r="B8" s="17" t="str">
        <f>'5#楼明细(表2.1) '!B6</f>
        <v>平开门 55普通铝合金外平开门 5+12A+5钢化玻璃</v>
      </c>
      <c r="C8" s="31">
        <f>'5#楼明细(表2.1) '!H6</f>
        <v>95.0976</v>
      </c>
      <c r="D8" s="31">
        <f>'[10]55普铝平开门5+12a+5钢化'!D$82</f>
        <v>603.860194383975</v>
      </c>
      <c r="E8" s="31">
        <f t="shared" si="0"/>
        <v>57425.6552214495</v>
      </c>
      <c r="F8" s="32"/>
    </row>
    <row r="9" s="21" customFormat="1" ht="65.1" customHeight="1" spans="1:6">
      <c r="A9" s="30">
        <v>7</v>
      </c>
      <c r="B9" s="17" t="str">
        <f>'5#楼明细(表2.1) '!B7</f>
        <v>上悬窗 55断桥铝合金上悬窗 5+12A+5LOW-E中空玻璃 </v>
      </c>
      <c r="C9" s="31">
        <f>'5#楼明细(表2.1) '!H7+'5#楼明细(表2.1) '!H14</f>
        <v>45.9888</v>
      </c>
      <c r="D9" s="31">
        <f>'[10]55系列上悬窗（5+12+5LOW-E 非钢'!D$84</f>
        <v>815.835119720686</v>
      </c>
      <c r="E9" s="31">
        <f t="shared" si="0"/>
        <v>37519.2781538107</v>
      </c>
      <c r="F9" s="34"/>
    </row>
    <row r="10" s="21" customFormat="1" ht="51.95" customHeight="1" spans="1:6">
      <c r="A10" s="30">
        <v>8</v>
      </c>
      <c r="B10" s="17" t="str">
        <f>'5#楼明细(表2.1) '!B8</f>
        <v>上悬窗 55断桥铝合金上悬窗 5+12A+5LOW-E中空玻璃 七层及以上钢化玻璃</v>
      </c>
      <c r="C10" s="31">
        <f>'5#楼明细(表2.1) '!H8+'5#楼明细(表2.1) '!H15</f>
        <v>15.3296</v>
      </c>
      <c r="D10" s="31">
        <f>'[10]55系列上悬窗（5+12+5LOW-E钢化'!D$84</f>
        <v>829.492528570244</v>
      </c>
      <c r="E10" s="31">
        <f t="shared" si="0"/>
        <v>12715.7886659704</v>
      </c>
      <c r="F10" s="35"/>
    </row>
    <row r="11" s="21" customFormat="1" ht="51.95" customHeight="1" spans="1:6">
      <c r="A11" s="30">
        <v>9</v>
      </c>
      <c r="B11" s="17" t="str">
        <f>'5#楼明细(表2.1) '!B12</f>
        <v>推拉窗 80断桥铝合金推拉窗 5+12A+5中空玻璃</v>
      </c>
      <c r="C11" s="31">
        <f>'5#楼明细(表2.1) '!H12+'5#楼明细(表2.1) '!H13</f>
        <v>58.3128</v>
      </c>
      <c r="D11" s="31">
        <f>'[10]80系列隔热推拉窗5+12+5'!D$79</f>
        <v>611.437119960746</v>
      </c>
      <c r="E11" s="31">
        <f t="shared" si="0"/>
        <v>35654.610488847</v>
      </c>
      <c r="F11" s="35"/>
    </row>
    <row r="12" s="21" customFormat="1" ht="51.95" customHeight="1" spans="1:6">
      <c r="A12" s="30">
        <v>10</v>
      </c>
      <c r="B12" s="17" t="str">
        <f>'5#楼明细(表2.1) '!B5</f>
        <v>推拉门 80普通铝合金推拉门 5+12A+5钢化玻璃 &gt;2m2采用6mm玻璃</v>
      </c>
      <c r="C12" s="31">
        <f>'5#楼明细(表2.1) '!H5</f>
        <v>166.2336</v>
      </c>
      <c r="D12" s="31">
        <f>'[10]80系列普铝推拉门6+12+6钢化'!D$79</f>
        <v>400.606451598261</v>
      </c>
      <c r="E12" s="31">
        <f t="shared" si="0"/>
        <v>66594.2526324047</v>
      </c>
      <c r="F12" s="35"/>
    </row>
    <row r="13" s="21" customFormat="1" ht="51.95" customHeight="1" spans="1:6">
      <c r="A13" s="30">
        <v>11</v>
      </c>
      <c r="B13" s="17" t="str">
        <f>'5#楼明细(表2.1) '!B18</f>
        <v>推拉内平开窗 80普铝推拉内平开窗 5+12A+5中空玻璃</v>
      </c>
      <c r="C13" s="31">
        <f>'5#楼明细(表2.1) '!H18</f>
        <v>15.3624</v>
      </c>
      <c r="D13" s="31">
        <f>'[10]80系列普铝推拉窗'!D$89</f>
        <v>646.263175723586</v>
      </c>
      <c r="E13" s="31">
        <f t="shared" si="0"/>
        <v>9928.15341073602</v>
      </c>
      <c r="F13" s="35"/>
    </row>
    <row r="14" s="21" customFormat="1" ht="51.95" customHeight="1" spans="1:6">
      <c r="A14" s="30">
        <v>12</v>
      </c>
      <c r="B14" s="37" t="str">
        <f>'5#楼明细(表2.1) '!B16</f>
        <v>外平开窗 55断桥铝合金外平开窗 5+12A+5中空玻璃</v>
      </c>
      <c r="C14" s="36">
        <f>'5#楼明细(表2.1) '!H16</f>
        <v>4.0112</v>
      </c>
      <c r="D14" s="36">
        <f>'[10]55系列外平开窗（5+12+5非钢'!D$83</f>
        <v>721.474804577051</v>
      </c>
      <c r="E14" s="31">
        <f t="shared" si="0"/>
        <v>2893.97973611947</v>
      </c>
      <c r="F14" s="35"/>
    </row>
    <row r="15" s="21" customFormat="1" ht="42" customHeight="1" spans="1:8">
      <c r="A15" s="38" t="s">
        <v>7</v>
      </c>
      <c r="B15" s="39"/>
      <c r="C15" s="40">
        <f>SUM(C3:C14)</f>
        <v>726.562</v>
      </c>
      <c r="D15" s="41">
        <f>E15/C15</f>
        <v>552.419000027616</v>
      </c>
      <c r="E15" s="40">
        <f>SUM(E3:E14)</f>
        <v>401366.653498064</v>
      </c>
      <c r="F15" s="42"/>
      <c r="H15" s="21">
        <f>'11#楼汇总表（表2）'!J14</f>
        <v>0.983163249713124</v>
      </c>
    </row>
    <row r="16" s="21" customFormat="1" ht="55.5" customHeight="1" spans="1:5">
      <c r="A16" s="43" t="s">
        <v>113</v>
      </c>
      <c r="B16" s="43"/>
      <c r="C16" s="43"/>
      <c r="D16" s="43"/>
      <c r="E16" s="43"/>
    </row>
    <row r="17" spans="1:5">
      <c r="A17" s="44"/>
      <c r="B17" s="45"/>
      <c r="C17" s="46"/>
      <c r="D17" s="46"/>
      <c r="E17" s="46"/>
    </row>
    <row r="23" spans="2:2">
      <c r="B23" s="5"/>
    </row>
    <row r="24" spans="2:2">
      <c r="B24" s="5"/>
    </row>
    <row r="25" spans="2:2">
      <c r="B25" s="5"/>
    </row>
  </sheetData>
  <mergeCells count="3">
    <mergeCell ref="A1:F1"/>
    <mergeCell ref="A16:E16"/>
    <mergeCell ref="F9:F13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0"/>
  <sheetViews>
    <sheetView zoomScale="85" zoomScaleNormal="85" workbookViewId="0">
      <pane ySplit="1" topLeftCell="A11" activePane="bottomLeft" state="frozen"/>
      <selection/>
      <selection pane="bottomLeft" activeCell="D17" sqref="D17"/>
    </sheetView>
  </sheetViews>
  <sheetFormatPr defaultColWidth="9" defaultRowHeight="14.25"/>
  <cols>
    <col min="1" max="1" width="6.5" style="2" customWidth="1"/>
    <col min="2" max="2" width="43.625" style="3" customWidth="1"/>
    <col min="3" max="3" width="14.2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202</v>
      </c>
      <c r="B1" s="6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7" t="s">
        <v>115</v>
      </c>
      <c r="C2" s="7" t="s">
        <v>116</v>
      </c>
      <c r="D2" s="8" t="s">
        <v>117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118</v>
      </c>
      <c r="E3" s="11" t="s">
        <v>119</v>
      </c>
      <c r="F3" s="11" t="s">
        <v>120</v>
      </c>
      <c r="G3" s="11" t="s">
        <v>121</v>
      </c>
      <c r="H3" s="12" t="s">
        <v>3</v>
      </c>
      <c r="I3" s="19"/>
    </row>
    <row r="4" s="1" customFormat="1" ht="44.1" customHeight="1" spans="1:9">
      <c r="A4" s="7">
        <v>1</v>
      </c>
      <c r="B4" s="13" t="s">
        <v>122</v>
      </c>
      <c r="C4" s="11" t="s">
        <v>123</v>
      </c>
      <c r="D4" s="14" t="s">
        <v>124</v>
      </c>
      <c r="E4" s="11">
        <v>1470</v>
      </c>
      <c r="F4" s="11">
        <v>2340</v>
      </c>
      <c r="G4" s="11">
        <f t="shared" ref="G4:G6" si="0">1*2*2*8</f>
        <v>32</v>
      </c>
      <c r="H4" s="12">
        <f t="shared" ref="H4:H8" si="1">E4*F4*G4/1000000</f>
        <v>110.0736</v>
      </c>
      <c r="I4" s="17" t="s">
        <v>125</v>
      </c>
    </row>
    <row r="5" ht="44.1" customHeight="1" spans="1:9">
      <c r="A5" s="7">
        <v>2</v>
      </c>
      <c r="B5" s="13" t="s">
        <v>126</v>
      </c>
      <c r="C5" s="11" t="s">
        <v>127</v>
      </c>
      <c r="D5" s="14" t="s">
        <v>124</v>
      </c>
      <c r="E5" s="11">
        <v>2220</v>
      </c>
      <c r="F5" s="11">
        <v>2340</v>
      </c>
      <c r="G5" s="11">
        <f t="shared" si="0"/>
        <v>32</v>
      </c>
      <c r="H5" s="12">
        <f t="shared" si="1"/>
        <v>166.2336</v>
      </c>
      <c r="I5" s="17" t="s">
        <v>128</v>
      </c>
    </row>
    <row r="6" ht="44.1" customHeight="1" spans="1:9">
      <c r="A6" s="7">
        <v>3</v>
      </c>
      <c r="B6" s="13" t="s">
        <v>129</v>
      </c>
      <c r="C6" s="11" t="s">
        <v>130</v>
      </c>
      <c r="D6" s="14" t="s">
        <v>124</v>
      </c>
      <c r="E6" s="11">
        <v>1270</v>
      </c>
      <c r="F6" s="11">
        <v>2340</v>
      </c>
      <c r="G6" s="11">
        <f t="shared" si="0"/>
        <v>32</v>
      </c>
      <c r="H6" s="12">
        <f t="shared" si="1"/>
        <v>95.0976</v>
      </c>
      <c r="I6" s="17" t="s">
        <v>131</v>
      </c>
    </row>
    <row r="7" ht="44.1" customHeight="1" spans="1:9">
      <c r="A7" s="7">
        <v>4</v>
      </c>
      <c r="B7" s="13" t="s">
        <v>132</v>
      </c>
      <c r="C7" s="11" t="s">
        <v>133</v>
      </c>
      <c r="D7" s="14" t="s">
        <v>134</v>
      </c>
      <c r="E7" s="11">
        <v>870</v>
      </c>
      <c r="F7" s="11">
        <v>1430</v>
      </c>
      <c r="G7" s="11">
        <f>1*2*2*6</f>
        <v>24</v>
      </c>
      <c r="H7" s="12">
        <f t="shared" si="1"/>
        <v>29.8584</v>
      </c>
      <c r="I7" s="17" t="s">
        <v>135</v>
      </c>
    </row>
    <row r="8" ht="44.1" customHeight="1" spans="1:9">
      <c r="A8" s="7">
        <v>4.1</v>
      </c>
      <c r="B8" s="13" t="s">
        <v>136</v>
      </c>
      <c r="C8" s="11" t="s">
        <v>133</v>
      </c>
      <c r="D8" s="14" t="s">
        <v>137</v>
      </c>
      <c r="E8" s="11">
        <v>870</v>
      </c>
      <c r="F8" s="11">
        <v>1430</v>
      </c>
      <c r="G8" s="11">
        <f>1*2*2*2</f>
        <v>8</v>
      </c>
      <c r="H8" s="12">
        <f t="shared" si="1"/>
        <v>9.9528</v>
      </c>
      <c r="I8" s="17" t="s">
        <v>135</v>
      </c>
    </row>
    <row r="9" ht="44.1" customHeight="1" spans="1:9">
      <c r="A9" s="7">
        <v>5</v>
      </c>
      <c r="B9" s="13" t="s">
        <v>138</v>
      </c>
      <c r="C9" s="11" t="s">
        <v>139</v>
      </c>
      <c r="D9" s="14" t="s">
        <v>124</v>
      </c>
      <c r="E9" s="11">
        <v>1770</v>
      </c>
      <c r="F9" s="11">
        <v>1430</v>
      </c>
      <c r="G9" s="11">
        <f>1*2*2*8</f>
        <v>32</v>
      </c>
      <c r="H9" s="12">
        <f t="shared" ref="H9:H19" si="2">E9*F9*G9/1000000</f>
        <v>80.9952</v>
      </c>
      <c r="I9" s="17" t="s">
        <v>140</v>
      </c>
    </row>
    <row r="10" ht="44.1" customHeight="1" spans="1:9">
      <c r="A10" s="7">
        <v>6</v>
      </c>
      <c r="B10" s="13" t="s">
        <v>141</v>
      </c>
      <c r="C10" s="11" t="s">
        <v>142</v>
      </c>
      <c r="D10" s="14" t="s">
        <v>124</v>
      </c>
      <c r="E10" s="11">
        <v>1970</v>
      </c>
      <c r="F10" s="11">
        <v>1730</v>
      </c>
      <c r="G10" s="11">
        <f>1*2*2*8</f>
        <v>32</v>
      </c>
      <c r="H10" s="12">
        <f t="shared" si="2"/>
        <v>109.0592</v>
      </c>
      <c r="I10" s="17" t="s">
        <v>143</v>
      </c>
    </row>
    <row r="11" ht="44.1" customHeight="1" spans="1:9">
      <c r="A11" s="7">
        <v>7</v>
      </c>
      <c r="B11" s="53" t="s">
        <v>144</v>
      </c>
      <c r="C11" s="11" t="s">
        <v>145</v>
      </c>
      <c r="D11" s="11" t="s">
        <v>146</v>
      </c>
      <c r="E11" s="11">
        <v>1170</v>
      </c>
      <c r="F11" s="15">
        <v>980</v>
      </c>
      <c r="G11" s="11">
        <v>2</v>
      </c>
      <c r="H11" s="12">
        <f t="shared" si="2"/>
        <v>2.2932</v>
      </c>
      <c r="I11" s="11" t="s">
        <v>146</v>
      </c>
    </row>
    <row r="12" ht="44.1" customHeight="1" spans="1:9">
      <c r="A12" s="7">
        <v>8</v>
      </c>
      <c r="B12" s="13" t="s">
        <v>147</v>
      </c>
      <c r="C12" s="11" t="s">
        <v>148</v>
      </c>
      <c r="D12" s="11" t="s">
        <v>149</v>
      </c>
      <c r="E12" s="11">
        <v>1170</v>
      </c>
      <c r="F12" s="11">
        <v>1430</v>
      </c>
      <c r="G12" s="11">
        <v>28</v>
      </c>
      <c r="H12" s="12">
        <f t="shared" si="2"/>
        <v>46.8468</v>
      </c>
      <c r="I12" s="17" t="s">
        <v>150</v>
      </c>
    </row>
    <row r="13" ht="44.1" customHeight="1" spans="1:9">
      <c r="A13" s="7">
        <v>9</v>
      </c>
      <c r="B13" s="13" t="s">
        <v>147</v>
      </c>
      <c r="C13" s="11" t="s">
        <v>145</v>
      </c>
      <c r="D13" s="11" t="s">
        <v>151</v>
      </c>
      <c r="E13" s="11">
        <v>1170</v>
      </c>
      <c r="F13" s="11">
        <v>980</v>
      </c>
      <c r="G13" s="11">
        <f>1*2*5</f>
        <v>10</v>
      </c>
      <c r="H13" s="12">
        <f t="shared" si="2"/>
        <v>11.466</v>
      </c>
      <c r="I13" s="17" t="s">
        <v>152</v>
      </c>
    </row>
    <row r="14" ht="44.1" customHeight="1" spans="1:9">
      <c r="A14" s="7">
        <v>10</v>
      </c>
      <c r="B14" s="13" t="s">
        <v>132</v>
      </c>
      <c r="C14" s="11" t="s">
        <v>153</v>
      </c>
      <c r="D14" s="14" t="s">
        <v>134</v>
      </c>
      <c r="E14" s="11">
        <v>470</v>
      </c>
      <c r="F14" s="11">
        <v>1430</v>
      </c>
      <c r="G14" s="11">
        <f>1*2*2*6</f>
        <v>24</v>
      </c>
      <c r="H14" s="12">
        <f t="shared" si="2"/>
        <v>16.1304</v>
      </c>
      <c r="I14" s="17" t="s">
        <v>154</v>
      </c>
    </row>
    <row r="15" ht="44.1" customHeight="1" spans="1:9">
      <c r="A15" s="7">
        <v>10.1</v>
      </c>
      <c r="B15" s="13" t="s">
        <v>136</v>
      </c>
      <c r="C15" s="11" t="s">
        <v>153</v>
      </c>
      <c r="D15" s="14" t="s">
        <v>137</v>
      </c>
      <c r="E15" s="11">
        <v>470</v>
      </c>
      <c r="F15" s="11">
        <v>1430</v>
      </c>
      <c r="G15" s="11">
        <f>1*2*2*2</f>
        <v>8</v>
      </c>
      <c r="H15" s="12">
        <f t="shared" si="2"/>
        <v>5.3768</v>
      </c>
      <c r="I15" s="17" t="s">
        <v>154</v>
      </c>
    </row>
    <row r="16" ht="44.1" customHeight="1" spans="1:9">
      <c r="A16" s="7">
        <v>11</v>
      </c>
      <c r="B16" s="13" t="s">
        <v>155</v>
      </c>
      <c r="C16" s="11" t="s">
        <v>156</v>
      </c>
      <c r="D16" s="14" t="s">
        <v>157</v>
      </c>
      <c r="E16" s="11">
        <v>920</v>
      </c>
      <c r="F16" s="11">
        <v>2180</v>
      </c>
      <c r="G16" s="11">
        <v>2</v>
      </c>
      <c r="H16" s="12">
        <f t="shared" si="2"/>
        <v>4.0112</v>
      </c>
      <c r="I16" s="17" t="s">
        <v>152</v>
      </c>
    </row>
    <row r="17" ht="44.1" customHeight="1" spans="1:9">
      <c r="A17" s="7">
        <v>12</v>
      </c>
      <c r="B17" s="13" t="s">
        <v>167</v>
      </c>
      <c r="C17" s="11" t="s">
        <v>164</v>
      </c>
      <c r="D17" s="16" t="s">
        <v>203</v>
      </c>
      <c r="E17" s="11">
        <v>1970</v>
      </c>
      <c r="F17" s="11">
        <v>1730</v>
      </c>
      <c r="G17" s="11">
        <v>4</v>
      </c>
      <c r="H17" s="12">
        <f t="shared" si="2"/>
        <v>13.6324</v>
      </c>
      <c r="I17" s="17"/>
    </row>
    <row r="18" ht="45" customHeight="1" spans="1:9">
      <c r="A18" s="7">
        <v>13</v>
      </c>
      <c r="B18" s="13" t="s">
        <v>204</v>
      </c>
      <c r="C18" s="11" t="s">
        <v>166</v>
      </c>
      <c r="D18" s="16" t="s">
        <v>203</v>
      </c>
      <c r="E18" s="11">
        <v>2220</v>
      </c>
      <c r="F18" s="11">
        <v>1730</v>
      </c>
      <c r="G18" s="11">
        <v>4</v>
      </c>
      <c r="H18" s="12">
        <f t="shared" si="2"/>
        <v>15.3624</v>
      </c>
      <c r="I18" s="20"/>
    </row>
    <row r="19" ht="30.95" customHeight="1" spans="1:9">
      <c r="A19" s="7">
        <v>14</v>
      </c>
      <c r="B19" s="16" t="s">
        <v>167</v>
      </c>
      <c r="C19" s="11" t="s">
        <v>168</v>
      </c>
      <c r="D19" s="16" t="s">
        <v>203</v>
      </c>
      <c r="E19" s="11">
        <v>1470</v>
      </c>
      <c r="F19" s="11">
        <v>1730</v>
      </c>
      <c r="G19" s="11">
        <v>4</v>
      </c>
      <c r="H19" s="12">
        <f t="shared" si="2"/>
        <v>10.1724</v>
      </c>
      <c r="I19" s="17"/>
    </row>
    <row r="20" ht="30.95" customHeight="1" spans="1:9">
      <c r="A20" s="7">
        <v>15</v>
      </c>
      <c r="B20" s="17" t="s">
        <v>7</v>
      </c>
      <c r="C20" s="11"/>
      <c r="D20" s="11"/>
      <c r="E20" s="11"/>
      <c r="F20" s="11"/>
      <c r="G20" s="11"/>
      <c r="H20" s="12">
        <f>SUM(H4:H19)</f>
        <v>726.562</v>
      </c>
      <c r="I20" s="17"/>
    </row>
  </sheetData>
  <autoFilter ref="A3:I20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8" workbookViewId="0">
      <selection activeCell="H22" sqref="H22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7.375" style="24" customWidth="1"/>
    <col min="4" max="4" width="12.75" style="24" customWidth="1"/>
    <col min="5" max="7" width="12.875" style="24" customWidth="1"/>
    <col min="8" max="8" width="6.875" style="24" customWidth="1"/>
    <col min="9" max="9" width="8.75" style="24"/>
    <col min="10" max="10" width="11.5" style="24"/>
    <col min="11" max="16384" width="8.75" style="24"/>
  </cols>
  <sheetData>
    <row r="1" s="21" customFormat="1" ht="40.5" customHeight="1" spans="1:8">
      <c r="A1" s="25" t="s">
        <v>205</v>
      </c>
      <c r="B1" s="25"/>
      <c r="C1" s="25"/>
      <c r="D1" s="25"/>
      <c r="E1" s="25"/>
      <c r="F1" s="25"/>
      <c r="G1" s="25"/>
      <c r="H1" s="25"/>
    </row>
    <row r="2" s="22" customFormat="1" ht="44.25" customHeight="1" spans="1:8">
      <c r="A2" s="19" t="s">
        <v>1</v>
      </c>
      <c r="B2" s="19" t="s">
        <v>2</v>
      </c>
      <c r="C2" s="48" t="s">
        <v>3</v>
      </c>
      <c r="D2" s="19" t="s">
        <v>4</v>
      </c>
      <c r="E2" s="48" t="s">
        <v>5</v>
      </c>
      <c r="F2" s="19" t="s">
        <v>4</v>
      </c>
      <c r="G2" s="48" t="s">
        <v>5</v>
      </c>
      <c r="H2" s="19" t="s">
        <v>6</v>
      </c>
    </row>
    <row r="3" s="21" customFormat="1" ht="51.95" customHeight="1" spans="1:8">
      <c r="A3" s="19">
        <v>1</v>
      </c>
      <c r="B3" s="64" t="str">
        <f>'6#楼明细(表2.1)  '!B10</f>
        <v>内平开窗 55断桥铝合金内平开窗 5+12A+5LOW-E钢化玻璃 &gt;2m2采用6mm玻璃</v>
      </c>
      <c r="C3" s="31">
        <f>'6#楼明细(表2.1)  '!H10</f>
        <v>119.1456</v>
      </c>
      <c r="D3" s="31">
        <f>'[11]55系列隔热内平开窗（5+12+5LOW -E6）'!D$84</f>
        <v>490.909044690703</v>
      </c>
      <c r="E3" s="31">
        <f>C3*D3</f>
        <v>58489.6526751006</v>
      </c>
      <c r="F3" s="31">
        <f>D3*$J$16</f>
        <v>482.643731691677</v>
      </c>
      <c r="G3" s="31">
        <f>F3*C3</f>
        <v>57504.8769986438</v>
      </c>
      <c r="H3" s="49"/>
    </row>
    <row r="4" s="21" customFormat="1" ht="51.95" customHeight="1" spans="1:8">
      <c r="A4" s="19">
        <v>2</v>
      </c>
      <c r="B4" s="17" t="str">
        <f>'6#楼明细(表2.1)  '!B9</f>
        <v>内平开窗 55断桥铝合金内平开窗 5+12A+5LOW-E中空玻璃</v>
      </c>
      <c r="C4" s="31">
        <f>'6#楼明细(表2.1)  '!H9+'6#楼明细(表2.1)  '!H17</f>
        <v>101.172</v>
      </c>
      <c r="D4" s="31">
        <f>'[11]55系列隔热内平开窗（5+12+5LOW-E'!D$84</f>
        <v>523.998627346192</v>
      </c>
      <c r="E4" s="31">
        <f t="shared" ref="E4:E14" si="0">C4*D4</f>
        <v>53013.9891258689</v>
      </c>
      <c r="F4" s="31">
        <f t="shared" ref="F4:F14" si="1">D4*$J$16</f>
        <v>515.176193306898</v>
      </c>
      <c r="G4" s="31">
        <f t="shared" ref="G4:G14" si="2">F4*C4</f>
        <v>52121.4058292455</v>
      </c>
      <c r="H4" s="17"/>
    </row>
    <row r="5" s="21" customFormat="1" ht="51.95" customHeight="1" spans="1:8">
      <c r="A5" s="19">
        <v>3</v>
      </c>
      <c r="B5" s="17" t="str">
        <f>'6#楼明细(表2.1)  '!B11</f>
        <v>内平开窗 55断桥铝合金内平开窗 5+12A+5中空玻璃</v>
      </c>
      <c r="C5" s="31">
        <f>'6#楼明细(表2.1)  '!H11</f>
        <v>2.2932</v>
      </c>
      <c r="D5" s="31">
        <f>'[11]55系列隔热内平开窗（5+12+5）'!D$83</f>
        <v>878.391453850047</v>
      </c>
      <c r="E5" s="31">
        <f t="shared" si="0"/>
        <v>2014.32728196893</v>
      </c>
      <c r="F5" s="31">
        <f t="shared" si="1"/>
        <v>863.602196287448</v>
      </c>
      <c r="G5" s="31">
        <f t="shared" si="2"/>
        <v>1980.41255652637</v>
      </c>
      <c r="H5" s="17"/>
    </row>
    <row r="6" s="21" customFormat="1" ht="54.95" customHeight="1" spans="1:8">
      <c r="A6" s="19">
        <v>4</v>
      </c>
      <c r="B6" s="17" t="str">
        <f>'6#楼明细(表2.1)  '!B19</f>
        <v>内平开窗 55普通铝合金内平开窗 5+12A+5中空玻璃</v>
      </c>
      <c r="C6" s="31">
        <f>'6#楼明细(表2.1)  '!H19</f>
        <v>9.8784</v>
      </c>
      <c r="D6" s="31">
        <f>'[11]55系列普铝内平开窗（5+12+5非钢）'!D$84</f>
        <v>571.459440522836</v>
      </c>
      <c r="E6" s="31">
        <f t="shared" si="0"/>
        <v>5645.10493726078</v>
      </c>
      <c r="F6" s="31">
        <f t="shared" si="1"/>
        <v>561.837920623675</v>
      </c>
      <c r="G6" s="31">
        <f t="shared" si="2"/>
        <v>5550.05971508891</v>
      </c>
      <c r="H6" s="17"/>
    </row>
    <row r="7" s="21" customFormat="1" ht="56.1" customHeight="1" spans="1:9">
      <c r="A7" s="19">
        <v>5</v>
      </c>
      <c r="B7" s="17" t="str">
        <f>'6#楼明细(表2.1)  '!B4</f>
        <v>平开门 55断桥铝合金外平开门 5+12A+5LOW-E钢化玻璃</v>
      </c>
      <c r="C7" s="31">
        <f>'6#楼明细(表2.1)  '!H4</f>
        <v>121.1868</v>
      </c>
      <c r="D7" s="31">
        <f>'[11]55隔热平开门钢化'!D$82</f>
        <v>633.81696986891</v>
      </c>
      <c r="E7" s="31">
        <f t="shared" si="0"/>
        <v>76810.2503641096</v>
      </c>
      <c r="F7" s="31">
        <f t="shared" si="1"/>
        <v>623.145551819642</v>
      </c>
      <c r="G7" s="31">
        <f t="shared" si="2"/>
        <v>75517.0153592566</v>
      </c>
      <c r="H7" s="49"/>
      <c r="I7" s="4"/>
    </row>
    <row r="8" s="21" customFormat="1" ht="51.95" customHeight="1" spans="1:8">
      <c r="A8" s="19">
        <v>6</v>
      </c>
      <c r="B8" s="17" t="str">
        <f>'6#楼明细(表2.1)  '!B6</f>
        <v>平开门 55普通铝合金外平开门 5+12A+5钢化玻璃</v>
      </c>
      <c r="C8" s="31">
        <f>'6#楼明细(表2.1)  '!H6</f>
        <v>104.6988</v>
      </c>
      <c r="D8" s="31">
        <f>'[11]55普铝平开门5+12a+5钢化'!D$82</f>
        <v>607.37053108547</v>
      </c>
      <c r="E8" s="31">
        <f t="shared" si="0"/>
        <v>63590.9657600114</v>
      </c>
      <c r="F8" s="31">
        <f t="shared" si="1"/>
        <v>597.144385121977</v>
      </c>
      <c r="G8" s="31">
        <f t="shared" si="2"/>
        <v>62520.3005490088</v>
      </c>
      <c r="H8" s="49"/>
    </row>
    <row r="9" s="21" customFormat="1" ht="65.1" customHeight="1" spans="1:8">
      <c r="A9" s="19">
        <v>7</v>
      </c>
      <c r="B9" s="17" t="str">
        <f>'6#楼明细(表2.1)  '!B7</f>
        <v>上悬窗 55断桥铝合金上悬窗 5+12A+5LOW-E中空玻璃</v>
      </c>
      <c r="C9" s="31">
        <f>'6#楼明细(表2.1)  '!H7+'6#楼明细(表2.1)  '!H14</f>
        <v>44.3808</v>
      </c>
      <c r="D9" s="31">
        <f>'[11]55系列上悬窗（5+12+5LOW-E 非钢'!D$84</f>
        <v>826.202386534419</v>
      </c>
      <c r="E9" s="31">
        <f t="shared" si="0"/>
        <v>36667.5228763067</v>
      </c>
      <c r="F9" s="31">
        <f t="shared" si="1"/>
        <v>812.291823265918</v>
      </c>
      <c r="G9" s="31">
        <f t="shared" si="2"/>
        <v>36050.16095</v>
      </c>
      <c r="H9" s="17"/>
    </row>
    <row r="10" s="21" customFormat="1" ht="51.95" customHeight="1" spans="1:8">
      <c r="A10" s="19">
        <v>8</v>
      </c>
      <c r="B10" s="17" t="str">
        <f>'6#楼明细(表2.1)  '!B8</f>
        <v>上悬窗 55断桥铝合金上悬窗 5+12A+5LOW-E中空玻璃 七层及以上钢化玻璃</v>
      </c>
      <c r="C10" s="31">
        <f>'6#楼明细(表2.1)  '!H8+'6#楼明细(表2.1)  '!H15</f>
        <v>22.1904</v>
      </c>
      <c r="D10" s="31">
        <f>'[11]55系列上悬窗（5+12+5LOW-E钢化'!D$84</f>
        <v>839.859795383976</v>
      </c>
      <c r="E10" s="31">
        <f t="shared" si="0"/>
        <v>18636.8248034886</v>
      </c>
      <c r="F10" s="31">
        <f t="shared" si="1"/>
        <v>825.719285733109</v>
      </c>
      <c r="G10" s="31">
        <f t="shared" si="2"/>
        <v>18323.041238132</v>
      </c>
      <c r="H10" s="17"/>
    </row>
    <row r="11" s="21" customFormat="1" ht="51.95" customHeight="1" spans="1:8">
      <c r="A11" s="19">
        <v>9</v>
      </c>
      <c r="B11" s="17" t="str">
        <f>'6#楼明细(表2.1)  '!B12</f>
        <v>推拉窗 80断桥铝合金推拉窗 5+12A+5中空玻璃</v>
      </c>
      <c r="C11" s="31">
        <f>'6#楼明细(表2.1)  '!H12+'6#楼明细(表2.1)  '!H13</f>
        <v>65.4264</v>
      </c>
      <c r="D11" s="31">
        <f>'[11]80系列隔热推拉窗5+12+5'!D$79</f>
        <v>617.217390940382</v>
      </c>
      <c r="E11" s="31">
        <f t="shared" si="0"/>
        <v>40382.3119066218</v>
      </c>
      <c r="F11" s="31">
        <f t="shared" si="1"/>
        <v>606.825455856402</v>
      </c>
      <c r="G11" s="31">
        <f t="shared" si="2"/>
        <v>39702.4050050433</v>
      </c>
      <c r="H11" s="17"/>
    </row>
    <row r="12" s="21" customFormat="1" ht="51.95" customHeight="1" spans="1:8">
      <c r="A12" s="19">
        <v>10</v>
      </c>
      <c r="B12" s="17" t="str">
        <f>'6#楼明细(表2.1)  '!B5</f>
        <v>推拉门 80普通铝合金推拉门 5+12A+5钢化玻璃 &gt;2m2采用6mm玻璃</v>
      </c>
      <c r="C12" s="31">
        <f>'6#楼明细(表2.1)  '!H5</f>
        <v>183.0168</v>
      </c>
      <c r="D12" s="31">
        <f>'[11]80系列普铝推拉门6+12+6钢化'!D$79</f>
        <v>402.315989007125</v>
      </c>
      <c r="E12" s="31">
        <f t="shared" si="0"/>
        <v>73630.5848969192</v>
      </c>
      <c r="F12" s="31">
        <f t="shared" si="1"/>
        <v>395.542295163794</v>
      </c>
      <c r="G12" s="31">
        <f t="shared" si="2"/>
        <v>72390.8851255331</v>
      </c>
      <c r="H12" s="17"/>
    </row>
    <row r="13" s="21" customFormat="1" ht="51.95" customHeight="1" spans="1:8">
      <c r="A13" s="19">
        <v>11</v>
      </c>
      <c r="B13" s="17" t="str">
        <f>'6#楼明细(表2.1)  '!B18</f>
        <v>推拉内平开窗 80普铝推拉内平开窗 5+12A+5中空玻璃</v>
      </c>
      <c r="C13" s="31">
        <f>'6#楼明细(表2.1)  '!H18</f>
        <v>14.9184</v>
      </c>
      <c r="D13" s="31">
        <f>'[11]80系列普铝推拉窗平开窗'!D$89</f>
        <v>652.747758638382</v>
      </c>
      <c r="E13" s="31">
        <f t="shared" si="0"/>
        <v>9737.95216247084</v>
      </c>
      <c r="F13" s="31">
        <f t="shared" si="1"/>
        <v>641.757607625869</v>
      </c>
      <c r="G13" s="31">
        <f t="shared" si="2"/>
        <v>9573.99669360577</v>
      </c>
      <c r="H13" s="17"/>
    </row>
    <row r="14" s="21" customFormat="1" ht="51.95" customHeight="1" spans="1:8">
      <c r="A14" s="19">
        <v>12</v>
      </c>
      <c r="B14" s="17" t="str">
        <f>'6#楼明细(表2.1)  '!B16</f>
        <v>外平开窗 55断桥铝合金外平开窗 5+12A+5中空玻璃</v>
      </c>
      <c r="C14" s="31">
        <f>'6#楼明细(表2.1)  '!H16</f>
        <v>4.0112</v>
      </c>
      <c r="D14" s="31">
        <f>'[11]55系列外平开窗（5+12+5非钢'!D$83</f>
        <v>721.474804577051</v>
      </c>
      <c r="E14" s="31">
        <f t="shared" si="0"/>
        <v>2893.97973611947</v>
      </c>
      <c r="F14" s="31">
        <f t="shared" si="1"/>
        <v>709.327513454114</v>
      </c>
      <c r="G14" s="31">
        <f t="shared" si="2"/>
        <v>2845.25452196714</v>
      </c>
      <c r="H14" s="49"/>
    </row>
    <row r="15" s="21" customFormat="1" ht="42" customHeight="1" spans="1:8">
      <c r="A15" s="19" t="s">
        <v>7</v>
      </c>
      <c r="B15" s="17"/>
      <c r="C15" s="31">
        <f t="shared" ref="C15:G15" si="3">SUM(C3:C14)</f>
        <v>792.3188</v>
      </c>
      <c r="D15" s="50">
        <f>E15/C15</f>
        <v>557.242194084309</v>
      </c>
      <c r="E15" s="31">
        <f t="shared" si="3"/>
        <v>441513.466526247</v>
      </c>
      <c r="F15" s="31"/>
      <c r="G15" s="31">
        <f t="shared" si="3"/>
        <v>434079.814542051</v>
      </c>
      <c r="H15" s="51"/>
    </row>
    <row r="16" s="21" customFormat="1" ht="55.5" customHeight="1" spans="1:10">
      <c r="A16" s="43" t="s">
        <v>113</v>
      </c>
      <c r="B16" s="43"/>
      <c r="C16" s="43"/>
      <c r="D16" s="43"/>
      <c r="E16" s="43"/>
      <c r="F16" s="65"/>
      <c r="G16" s="65"/>
      <c r="J16" s="21">
        <f>'11#楼汇总表（表2）'!J14</f>
        <v>0.983163249713124</v>
      </c>
    </row>
    <row r="17" spans="1:7">
      <c r="A17" s="44"/>
      <c r="B17" s="45"/>
      <c r="C17" s="46"/>
      <c r="D17" s="46"/>
      <c r="E17" s="46"/>
      <c r="F17" s="52"/>
      <c r="G17" s="52"/>
    </row>
    <row r="23" spans="2:2">
      <c r="B23" s="5"/>
    </row>
    <row r="24" spans="2:2">
      <c r="B24" s="5"/>
    </row>
    <row r="25" spans="2:2">
      <c r="B25" s="5"/>
    </row>
  </sheetData>
  <mergeCells count="2">
    <mergeCell ref="A1:H1"/>
    <mergeCell ref="A16:E16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2"/>
  <sheetViews>
    <sheetView zoomScale="85" zoomScaleNormal="85" workbookViewId="0">
      <pane ySplit="1" topLeftCell="A12" activePane="bottomLeft" state="frozen"/>
      <selection/>
      <selection pane="bottomLeft" activeCell="C19" sqref="C19"/>
    </sheetView>
  </sheetViews>
  <sheetFormatPr defaultColWidth="9" defaultRowHeight="14.25"/>
  <cols>
    <col min="1" max="1" width="6.5" style="2" customWidth="1"/>
    <col min="2" max="2" width="53.75" style="3" customWidth="1"/>
    <col min="3" max="3" width="9" style="3" customWidth="1"/>
    <col min="4" max="4" width="20.25" style="3" customWidth="1"/>
    <col min="5" max="5" width="11.375" style="3" customWidth="1"/>
    <col min="6" max="6" width="13.375" style="3" customWidth="1"/>
    <col min="7" max="7" width="7.75" style="3" customWidth="1"/>
    <col min="8" max="8" width="13.375" style="1" customWidth="1"/>
    <col min="9" max="9" width="15.75" style="4" customWidth="1"/>
    <col min="10" max="10" width="9" style="5"/>
    <col min="11" max="11" width="9.375" style="5"/>
    <col min="12" max="16384" width="9" style="5"/>
  </cols>
  <sheetData>
    <row r="1" ht="42.95" customHeight="1" spans="1:9">
      <c r="A1" s="6" t="s">
        <v>206</v>
      </c>
      <c r="B1" s="6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7" t="s">
        <v>115</v>
      </c>
      <c r="C2" s="7" t="s">
        <v>116</v>
      </c>
      <c r="D2" s="8" t="s">
        <v>117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118</v>
      </c>
      <c r="E3" s="11" t="s">
        <v>119</v>
      </c>
      <c r="F3" s="11" t="s">
        <v>120</v>
      </c>
      <c r="G3" s="11" t="s">
        <v>121</v>
      </c>
      <c r="H3" s="12" t="s">
        <v>3</v>
      </c>
      <c r="I3" s="19"/>
    </row>
    <row r="4" s="1" customFormat="1" ht="42.95" customHeight="1" spans="1:9">
      <c r="A4" s="7">
        <v>1</v>
      </c>
      <c r="B4" s="13" t="s">
        <v>122</v>
      </c>
      <c r="C4" s="11" t="s">
        <v>123</v>
      </c>
      <c r="D4" s="14" t="s">
        <v>207</v>
      </c>
      <c r="E4" s="11">
        <v>1470</v>
      </c>
      <c r="F4" s="11">
        <v>2290</v>
      </c>
      <c r="G4" s="11">
        <f t="shared" ref="G4:G6" si="0">1*2*2*9</f>
        <v>36</v>
      </c>
      <c r="H4" s="12">
        <f t="shared" ref="H4:H9" si="1">E4*F4*G4/1000000</f>
        <v>121.1868</v>
      </c>
      <c r="I4" s="17" t="s">
        <v>125</v>
      </c>
    </row>
    <row r="5" ht="47.1" customHeight="1" spans="1:9">
      <c r="A5" s="7">
        <v>2</v>
      </c>
      <c r="B5" s="13" t="s">
        <v>126</v>
      </c>
      <c r="C5" s="11" t="s">
        <v>127</v>
      </c>
      <c r="D5" s="14" t="s">
        <v>207</v>
      </c>
      <c r="E5" s="11">
        <v>2220</v>
      </c>
      <c r="F5" s="11">
        <v>2290</v>
      </c>
      <c r="G5" s="11">
        <f t="shared" si="0"/>
        <v>36</v>
      </c>
      <c r="H5" s="12">
        <f t="shared" si="1"/>
        <v>183.0168</v>
      </c>
      <c r="I5" s="17" t="s">
        <v>128</v>
      </c>
    </row>
    <row r="6" ht="30" customHeight="1" spans="1:9">
      <c r="A6" s="7">
        <v>3</v>
      </c>
      <c r="B6" s="13" t="s">
        <v>129</v>
      </c>
      <c r="C6" s="11" t="s">
        <v>130</v>
      </c>
      <c r="D6" s="14" t="s">
        <v>207</v>
      </c>
      <c r="E6" s="11">
        <v>1270</v>
      </c>
      <c r="F6" s="11">
        <v>2290</v>
      </c>
      <c r="G6" s="11">
        <f t="shared" si="0"/>
        <v>36</v>
      </c>
      <c r="H6" s="12">
        <f t="shared" si="1"/>
        <v>104.6988</v>
      </c>
      <c r="I6" s="17" t="s">
        <v>131</v>
      </c>
    </row>
    <row r="7" s="1" customFormat="1" ht="39" customHeight="1" spans="1:9">
      <c r="A7" s="7">
        <v>4</v>
      </c>
      <c r="B7" s="13" t="s">
        <v>208</v>
      </c>
      <c r="C7" s="11" t="s">
        <v>133</v>
      </c>
      <c r="D7" s="14" t="s">
        <v>207</v>
      </c>
      <c r="E7" s="11">
        <v>870</v>
      </c>
      <c r="F7" s="11">
        <v>1380</v>
      </c>
      <c r="G7" s="11">
        <f>1*2*2*6</f>
        <v>24</v>
      </c>
      <c r="H7" s="12">
        <f t="shared" si="1"/>
        <v>28.8144</v>
      </c>
      <c r="I7" s="17" t="s">
        <v>135</v>
      </c>
    </row>
    <row r="8" s="1" customFormat="1" ht="39" customHeight="1" spans="1:9">
      <c r="A8" s="7">
        <v>4.1</v>
      </c>
      <c r="B8" s="13" t="s">
        <v>136</v>
      </c>
      <c r="C8" s="11" t="s">
        <v>133</v>
      </c>
      <c r="D8" s="14" t="s">
        <v>207</v>
      </c>
      <c r="E8" s="11">
        <v>870</v>
      </c>
      <c r="F8" s="11">
        <v>1380</v>
      </c>
      <c r="G8" s="11">
        <f>1*2*2*3</f>
        <v>12</v>
      </c>
      <c r="H8" s="12">
        <f t="shared" si="1"/>
        <v>14.4072</v>
      </c>
      <c r="I8" s="17" t="s">
        <v>135</v>
      </c>
    </row>
    <row r="9" ht="35.1" customHeight="1" spans="1:9">
      <c r="A9" s="7">
        <v>5</v>
      </c>
      <c r="B9" s="13" t="s">
        <v>138</v>
      </c>
      <c r="C9" s="11" t="s">
        <v>139</v>
      </c>
      <c r="D9" s="14" t="s">
        <v>207</v>
      </c>
      <c r="E9" s="11">
        <v>1770</v>
      </c>
      <c r="F9" s="11">
        <v>1380</v>
      </c>
      <c r="G9" s="11">
        <f>1*2*2*9</f>
        <v>36</v>
      </c>
      <c r="H9" s="12">
        <f t="shared" si="1"/>
        <v>87.9336</v>
      </c>
      <c r="I9" s="17" t="s">
        <v>140</v>
      </c>
    </row>
    <row r="10" ht="60" customHeight="1" spans="1:9">
      <c r="A10" s="7">
        <v>6</v>
      </c>
      <c r="B10" s="13" t="s">
        <v>141</v>
      </c>
      <c r="C10" s="11" t="s">
        <v>142</v>
      </c>
      <c r="D10" s="14" t="s">
        <v>207</v>
      </c>
      <c r="E10" s="11">
        <v>1970</v>
      </c>
      <c r="F10" s="11">
        <v>1680</v>
      </c>
      <c r="G10" s="11">
        <f>1*2*2*9</f>
        <v>36</v>
      </c>
      <c r="H10" s="12">
        <f t="shared" ref="H10:H19" si="2">E10*F10*G10/1000000</f>
        <v>119.1456</v>
      </c>
      <c r="I10" s="17" t="s">
        <v>143</v>
      </c>
    </row>
    <row r="11" ht="41.1" customHeight="1" spans="1:9">
      <c r="A11" s="7">
        <v>7</v>
      </c>
      <c r="B11" s="53" t="s">
        <v>144</v>
      </c>
      <c r="C11" s="11" t="s">
        <v>145</v>
      </c>
      <c r="D11" s="11" t="s">
        <v>146</v>
      </c>
      <c r="E11" s="11">
        <v>1170</v>
      </c>
      <c r="F11" s="15">
        <v>980</v>
      </c>
      <c r="G11" s="11">
        <v>2</v>
      </c>
      <c r="H11" s="12">
        <f t="shared" si="2"/>
        <v>2.2932</v>
      </c>
      <c r="I11" s="11" t="s">
        <v>146</v>
      </c>
    </row>
    <row r="12" ht="44.1" customHeight="1" spans="1:9">
      <c r="A12" s="7">
        <v>8</v>
      </c>
      <c r="B12" s="13" t="s">
        <v>147</v>
      </c>
      <c r="C12" s="11" t="s">
        <v>148</v>
      </c>
      <c r="D12" s="11" t="s">
        <v>149</v>
      </c>
      <c r="E12" s="11">
        <v>1170</v>
      </c>
      <c r="F12" s="11">
        <v>1380</v>
      </c>
      <c r="G12" s="11">
        <v>32</v>
      </c>
      <c r="H12" s="12">
        <f t="shared" si="2"/>
        <v>51.6672</v>
      </c>
      <c r="I12" s="17" t="s">
        <v>150</v>
      </c>
    </row>
    <row r="13" ht="27.75" customHeight="1" spans="1:9">
      <c r="A13" s="7">
        <v>9</v>
      </c>
      <c r="B13" s="13" t="s">
        <v>147</v>
      </c>
      <c r="C13" s="11" t="s">
        <v>145</v>
      </c>
      <c r="D13" s="11" t="s">
        <v>209</v>
      </c>
      <c r="E13" s="11">
        <v>1170</v>
      </c>
      <c r="F13" s="11">
        <v>980</v>
      </c>
      <c r="G13" s="11">
        <f>1*2*6</f>
        <v>12</v>
      </c>
      <c r="H13" s="12">
        <f t="shared" si="2"/>
        <v>13.7592</v>
      </c>
      <c r="I13" s="17" t="s">
        <v>152</v>
      </c>
    </row>
    <row r="14" ht="35.1" customHeight="1" spans="1:9">
      <c r="A14" s="7">
        <v>10</v>
      </c>
      <c r="B14" s="13" t="s">
        <v>132</v>
      </c>
      <c r="C14" s="11" t="s">
        <v>153</v>
      </c>
      <c r="D14" s="14" t="s">
        <v>207</v>
      </c>
      <c r="E14" s="11">
        <v>470</v>
      </c>
      <c r="F14" s="11">
        <v>1380</v>
      </c>
      <c r="G14" s="11">
        <f>1*2*2*6</f>
        <v>24</v>
      </c>
      <c r="H14" s="12">
        <f t="shared" si="2"/>
        <v>15.5664</v>
      </c>
      <c r="I14" s="17" t="s">
        <v>154</v>
      </c>
    </row>
    <row r="15" ht="35.1" customHeight="1" spans="1:9">
      <c r="A15" s="7">
        <v>10.1</v>
      </c>
      <c r="B15" s="13" t="s">
        <v>136</v>
      </c>
      <c r="C15" s="11" t="s">
        <v>153</v>
      </c>
      <c r="D15" s="14" t="s">
        <v>207</v>
      </c>
      <c r="E15" s="11">
        <v>470</v>
      </c>
      <c r="F15" s="11">
        <v>1380</v>
      </c>
      <c r="G15" s="11">
        <f>1*2*2*3</f>
        <v>12</v>
      </c>
      <c r="H15" s="12">
        <f t="shared" si="2"/>
        <v>7.7832</v>
      </c>
      <c r="I15" s="17" t="s">
        <v>154</v>
      </c>
    </row>
    <row r="16" ht="27.75" customHeight="1" spans="1:9">
      <c r="A16" s="7">
        <v>11</v>
      </c>
      <c r="B16" s="13" t="s">
        <v>155</v>
      </c>
      <c r="C16" s="11" t="s">
        <v>156</v>
      </c>
      <c r="D16" s="14" t="s">
        <v>157</v>
      </c>
      <c r="E16" s="11">
        <v>920</v>
      </c>
      <c r="F16" s="11">
        <v>2180</v>
      </c>
      <c r="G16" s="11">
        <v>2</v>
      </c>
      <c r="H16" s="12">
        <f t="shared" si="2"/>
        <v>4.0112</v>
      </c>
      <c r="I16" s="17" t="s">
        <v>152</v>
      </c>
    </row>
    <row r="17" ht="27.75" customHeight="1" spans="1:9">
      <c r="A17" s="7">
        <v>12</v>
      </c>
      <c r="B17" s="13" t="s">
        <v>138</v>
      </c>
      <c r="C17" s="11" t="s">
        <v>164</v>
      </c>
      <c r="D17" s="16" t="s">
        <v>159</v>
      </c>
      <c r="E17" s="11">
        <v>1970</v>
      </c>
      <c r="F17" s="11">
        <v>1680</v>
      </c>
      <c r="G17" s="11">
        <v>4</v>
      </c>
      <c r="H17" s="12">
        <f t="shared" si="2"/>
        <v>13.2384</v>
      </c>
      <c r="I17" s="17"/>
    </row>
    <row r="18" ht="27.75" customHeight="1" spans="1:9">
      <c r="A18" s="7">
        <v>13</v>
      </c>
      <c r="B18" s="13" t="s">
        <v>204</v>
      </c>
      <c r="C18" s="11" t="s">
        <v>166</v>
      </c>
      <c r="D18" s="16" t="s">
        <v>159</v>
      </c>
      <c r="E18" s="11">
        <v>2220</v>
      </c>
      <c r="F18" s="11">
        <v>1680</v>
      </c>
      <c r="G18" s="11">
        <v>4</v>
      </c>
      <c r="H18" s="12">
        <f t="shared" si="2"/>
        <v>14.9184</v>
      </c>
      <c r="I18" s="20"/>
    </row>
    <row r="19" ht="27.75" customHeight="1" spans="1:9">
      <c r="A19" s="7">
        <v>14</v>
      </c>
      <c r="B19" s="16" t="s">
        <v>167</v>
      </c>
      <c r="C19" s="11" t="s">
        <v>168</v>
      </c>
      <c r="D19" s="16" t="s">
        <v>159</v>
      </c>
      <c r="E19" s="11">
        <v>1470</v>
      </c>
      <c r="F19" s="11">
        <v>1680</v>
      </c>
      <c r="G19" s="11">
        <v>4</v>
      </c>
      <c r="H19" s="12">
        <f t="shared" si="2"/>
        <v>9.8784</v>
      </c>
      <c r="I19" s="17"/>
    </row>
    <row r="20" ht="27.75" customHeight="1" spans="1:9">
      <c r="A20" s="7">
        <v>15</v>
      </c>
      <c r="B20" s="17" t="s">
        <v>7</v>
      </c>
      <c r="C20" s="11"/>
      <c r="D20" s="11"/>
      <c r="E20" s="11"/>
      <c r="F20" s="11"/>
      <c r="G20" s="11"/>
      <c r="H20" s="12">
        <f>SUM(H4:H19)</f>
        <v>792.3188</v>
      </c>
      <c r="I20" s="17"/>
    </row>
    <row r="21" ht="27.75" customHeight="1" spans="1:9">
      <c r="A21" s="7">
        <v>21</v>
      </c>
      <c r="B21" s="11"/>
      <c r="C21" s="11"/>
      <c r="D21" s="11"/>
      <c r="E21" s="11"/>
      <c r="F21" s="11"/>
      <c r="G21" s="11"/>
      <c r="H21" s="12"/>
      <c r="I21" s="17"/>
    </row>
    <row r="22" ht="27.75" customHeight="1"/>
  </sheetData>
  <autoFilter ref="A3:I21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8" workbookViewId="0">
      <selection activeCell="K15" sqref="K15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4.875" style="24" customWidth="1"/>
    <col min="4" max="4" width="12.75" style="24" hidden="1" customWidth="1"/>
    <col min="5" max="5" width="12.75" style="24" customWidth="1"/>
    <col min="6" max="6" width="12.875" style="24" hidden="1" customWidth="1"/>
    <col min="7" max="7" width="10.5" style="57" customWidth="1"/>
    <col min="8" max="8" width="6.875" style="24" customWidth="1"/>
    <col min="9" max="10" width="8.75" style="24"/>
    <col min="11" max="11" width="11.5" style="24"/>
    <col min="12" max="16384" width="8.75" style="24"/>
  </cols>
  <sheetData>
    <row r="1" s="21" customFormat="1" ht="35" customHeight="1" spans="1:8">
      <c r="A1" s="25" t="s">
        <v>210</v>
      </c>
      <c r="B1" s="25"/>
      <c r="C1" s="25"/>
      <c r="D1" s="25"/>
      <c r="E1" s="25"/>
      <c r="F1" s="25"/>
      <c r="G1" s="58"/>
      <c r="H1" s="25"/>
    </row>
    <row r="2" s="22" customFormat="1" ht="36" customHeight="1" spans="1:8">
      <c r="A2" s="26" t="s">
        <v>1</v>
      </c>
      <c r="B2" s="27" t="s">
        <v>2</v>
      </c>
      <c r="C2" s="28" t="s">
        <v>3</v>
      </c>
      <c r="D2" s="27" t="s">
        <v>4</v>
      </c>
      <c r="E2" s="27" t="s">
        <v>4</v>
      </c>
      <c r="F2" s="28" t="s">
        <v>5</v>
      </c>
      <c r="G2" s="59" t="s">
        <v>5</v>
      </c>
      <c r="H2" s="29" t="s">
        <v>6</v>
      </c>
    </row>
    <row r="3" s="21" customFormat="1" ht="45" customHeight="1" spans="1:8">
      <c r="A3" s="30">
        <v>1</v>
      </c>
      <c r="B3" s="60" t="s">
        <v>170</v>
      </c>
      <c r="C3" s="61">
        <f>'7#楼明细(表2.1)'!H8+'7#楼明细(表2.1)'!H9</f>
        <v>179.3664</v>
      </c>
      <c r="D3" s="31">
        <f>'[12]55系列隔热内平开窗（5+12+5LOW钢化）'!D$83</f>
        <v>521.804727303291</v>
      </c>
      <c r="E3" s="31">
        <f>D3*$K$15</f>
        <v>513.019231411174</v>
      </c>
      <c r="F3" s="31">
        <f>C3*D3</f>
        <v>93594.235439373</v>
      </c>
      <c r="G3" s="31">
        <f>C3*E3</f>
        <v>92018.4126689892</v>
      </c>
      <c r="H3" s="32"/>
    </row>
    <row r="4" s="21" customFormat="1" ht="45" customHeight="1" spans="1:8">
      <c r="A4" s="30">
        <v>2</v>
      </c>
      <c r="B4" s="60" t="s">
        <v>141</v>
      </c>
      <c r="C4" s="61">
        <f>'7#楼明细(表2.1)'!H7</f>
        <v>109.0592</v>
      </c>
      <c r="D4" s="31">
        <f>'[12]55系列隔热内平开窗（5+12+5LOW钢化+6MM'!D$84</f>
        <v>485.49907875305</v>
      </c>
      <c r="E4" s="31">
        <f t="shared" ref="E4:E15" si="0">D4*$K$15</f>
        <v>477.324851999576</v>
      </c>
      <c r="F4" s="31">
        <f t="shared" ref="F4:F15" si="1">C4*D4</f>
        <v>52948.1411295446</v>
      </c>
      <c r="G4" s="31">
        <f t="shared" ref="G4:G15" si="2">C4*E4</f>
        <v>52056.6664991922</v>
      </c>
      <c r="H4" s="33"/>
    </row>
    <row r="5" s="21" customFormat="1" ht="45" customHeight="1" spans="1:8">
      <c r="A5" s="30">
        <v>3</v>
      </c>
      <c r="B5" s="60" t="s">
        <v>138</v>
      </c>
      <c r="C5" s="61">
        <f>'7#楼明细(表2.1)'!H14+'7#楼明细(表2.1)'!H18+'7#楼明细(表2.1)'!H19</f>
        <v>105.488</v>
      </c>
      <c r="D5" s="31">
        <f>'[12]55系列隔热内平开窗（5+12+5LOW-E'!D$84</f>
        <v>531.276450095122</v>
      </c>
      <c r="E5" s="31">
        <f t="shared" si="0"/>
        <v>522.331481171572</v>
      </c>
      <c r="F5" s="31">
        <f t="shared" si="1"/>
        <v>56043.2901676342</v>
      </c>
      <c r="G5" s="31">
        <f t="shared" si="2"/>
        <v>55099.7032858268</v>
      </c>
      <c r="H5" s="33"/>
    </row>
    <row r="6" s="21" customFormat="1" ht="45" customHeight="1" spans="1:8">
      <c r="A6" s="30">
        <v>4</v>
      </c>
      <c r="B6" s="62" t="s">
        <v>144</v>
      </c>
      <c r="C6" s="61">
        <f>'7#楼明细(表2.1)'!H22</f>
        <v>2.2932</v>
      </c>
      <c r="D6" s="31">
        <f>'[12]55系列隔热内平开窗（5+12+5）'!D$83</f>
        <v>878.391453850047</v>
      </c>
      <c r="E6" s="31">
        <f t="shared" si="0"/>
        <v>863.602196287448</v>
      </c>
      <c r="F6" s="31">
        <f t="shared" si="1"/>
        <v>2014.32728196893</v>
      </c>
      <c r="G6" s="31">
        <f t="shared" si="2"/>
        <v>1980.41255652637</v>
      </c>
      <c r="H6" s="33"/>
    </row>
    <row r="7" s="21" customFormat="1" ht="45" customHeight="1" spans="1:9">
      <c r="A7" s="30">
        <v>5</v>
      </c>
      <c r="B7" s="60" t="s">
        <v>211</v>
      </c>
      <c r="C7" s="61">
        <f>'7#楼明细(表2.1)'!H5</f>
        <v>155.0016</v>
      </c>
      <c r="D7" s="31">
        <f>'[12]55隔热平开门钢化'!D$82</f>
        <v>551.223781084547</v>
      </c>
      <c r="E7" s="31">
        <f t="shared" si="0"/>
        <v>541.942963930239</v>
      </c>
      <c r="F7" s="31">
        <f t="shared" si="1"/>
        <v>85440.5680261545</v>
      </c>
      <c r="G7" s="31">
        <f t="shared" si="2"/>
        <v>84002.0265179293</v>
      </c>
      <c r="H7" s="32"/>
      <c r="I7" s="4"/>
    </row>
    <row r="8" s="21" customFormat="1" ht="45" customHeight="1" spans="1:8">
      <c r="A8" s="30">
        <v>6</v>
      </c>
      <c r="B8" s="60" t="s">
        <v>132</v>
      </c>
      <c r="C8" s="61">
        <f>'7#楼明细(表2.1)'!H10+'7#楼明细(表2.1)'!H12</f>
        <v>56.2848</v>
      </c>
      <c r="D8" s="31">
        <f>'[12]55系列上悬窗（5+12+5LOW-E 非钢'!D$84</f>
        <v>732.432369483651</v>
      </c>
      <c r="E8" s="31">
        <f t="shared" si="0"/>
        <v>720.10058857663</v>
      </c>
      <c r="F8" s="31">
        <f t="shared" si="1"/>
        <v>41224.8094299134</v>
      </c>
      <c r="G8" s="31">
        <f t="shared" si="2"/>
        <v>40530.7176079179</v>
      </c>
      <c r="H8" s="32"/>
    </row>
    <row r="9" s="21" customFormat="1" ht="45" customHeight="1" spans="1:8">
      <c r="A9" s="30">
        <v>7</v>
      </c>
      <c r="B9" s="60" t="s">
        <v>136</v>
      </c>
      <c r="C9" s="61">
        <f>'7#楼明细(表2.1)'!H11+'7#楼明细(表2.1)'!H13</f>
        <v>18.7616</v>
      </c>
      <c r="D9" s="31">
        <f>'[12]55系列上悬窗（5+12+5LOW-E钢化'!D$84</f>
        <v>746.08977833321</v>
      </c>
      <c r="E9" s="31">
        <f t="shared" si="0"/>
        <v>733.528051043823</v>
      </c>
      <c r="F9" s="31">
        <f t="shared" si="1"/>
        <v>13997.8379851764</v>
      </c>
      <c r="G9" s="31">
        <f t="shared" si="2"/>
        <v>13762.1598824638</v>
      </c>
      <c r="H9" s="32"/>
    </row>
    <row r="10" s="21" customFormat="1" ht="45" customHeight="1" spans="1:8">
      <c r="A10" s="30">
        <v>8</v>
      </c>
      <c r="B10" s="60" t="s">
        <v>212</v>
      </c>
      <c r="C10" s="61">
        <f>'7#楼明细(表2.1)'!H17</f>
        <v>15.4154</v>
      </c>
      <c r="D10" s="31">
        <f>'[12]55系列上悬窗（5+12+5 非钢'!D$83</f>
        <v>748.81854393274</v>
      </c>
      <c r="E10" s="31">
        <f t="shared" si="0"/>
        <v>736.210873098362</v>
      </c>
      <c r="F10" s="31">
        <f t="shared" si="1"/>
        <v>11543.3373821408</v>
      </c>
      <c r="G10" s="31">
        <f t="shared" si="2"/>
        <v>11348.9850931605</v>
      </c>
      <c r="H10" s="32"/>
    </row>
    <row r="11" s="21" customFormat="1" ht="45" customHeight="1" spans="1:8">
      <c r="A11" s="30">
        <v>9</v>
      </c>
      <c r="B11" s="60" t="s">
        <v>213</v>
      </c>
      <c r="C11" s="61">
        <f>'7#楼明细(表2.1)'!H15</f>
        <v>53.5392</v>
      </c>
      <c r="D11" s="31">
        <f>'[12]80系列隔热推拉窗5+12+5low-e'!D$79</f>
        <v>608.385727104023</v>
      </c>
      <c r="E11" s="31">
        <f t="shared" si="0"/>
        <v>598.142488538673</v>
      </c>
      <c r="F11" s="31">
        <f t="shared" si="1"/>
        <v>32572.4851205677</v>
      </c>
      <c r="G11" s="31">
        <f t="shared" si="2"/>
        <v>32024.0703223697</v>
      </c>
      <c r="H11" s="32"/>
    </row>
    <row r="12" s="21" customFormat="1" ht="45" customHeight="1" spans="1:8">
      <c r="A12" s="30">
        <v>10</v>
      </c>
      <c r="B12" s="62" t="s">
        <v>147</v>
      </c>
      <c r="C12" s="61">
        <f>'7#楼明细(表2.1)'!H16</f>
        <v>11.466</v>
      </c>
      <c r="D12" s="31">
        <f>'[12]80系列隔热推拉窗5+12+5'!D$79</f>
        <v>675.882435857685</v>
      </c>
      <c r="E12" s="31">
        <f t="shared" si="0"/>
        <v>664.502772061863</v>
      </c>
      <c r="F12" s="31">
        <f t="shared" si="1"/>
        <v>7749.66800954422</v>
      </c>
      <c r="G12" s="31">
        <f t="shared" si="2"/>
        <v>7619.18878446133</v>
      </c>
      <c r="H12" s="32"/>
    </row>
    <row r="13" s="21" customFormat="1" ht="45" customHeight="1" spans="1:8">
      <c r="A13" s="30">
        <v>11</v>
      </c>
      <c r="B13" s="60" t="s">
        <v>165</v>
      </c>
      <c r="C13" s="61">
        <f>'7#楼明细(表2.1)'!H20+'7#楼明细(表2.1)'!H21</f>
        <v>29.4768</v>
      </c>
      <c r="D13" s="31">
        <f>'[12]80系列普铝推拉窗平开窗'!D$89</f>
        <v>549.224998409235</v>
      </c>
      <c r="E13" s="31">
        <f t="shared" si="0"/>
        <v>539.977834259709</v>
      </c>
      <c r="F13" s="31">
        <f t="shared" si="1"/>
        <v>16189.3954331093</v>
      </c>
      <c r="G13" s="31">
        <f t="shared" si="2"/>
        <v>15916.8186249066</v>
      </c>
      <c r="H13" s="32"/>
    </row>
    <row r="14" s="21" customFormat="1" ht="45" customHeight="1" spans="1:8">
      <c r="A14" s="30">
        <v>12</v>
      </c>
      <c r="B14" s="60" t="s">
        <v>126</v>
      </c>
      <c r="C14" s="61">
        <f>'7#楼明细(表2.1)'!H4</f>
        <v>177.4656</v>
      </c>
      <c r="D14" s="31">
        <f>'[12]80系列普铝推拉门6+12+6钢化'!D$79</f>
        <v>393.769904321665</v>
      </c>
      <c r="E14" s="31">
        <f t="shared" si="0"/>
        <v>387.140098772114</v>
      </c>
      <c r="F14" s="31">
        <f t="shared" si="1"/>
        <v>69880.6123323869</v>
      </c>
      <c r="G14" s="31">
        <f t="shared" si="2"/>
        <v>68704.0499126525</v>
      </c>
      <c r="H14" s="32"/>
    </row>
    <row r="15" s="21" customFormat="1" ht="45" customHeight="1" spans="1:11">
      <c r="A15" s="30">
        <v>13</v>
      </c>
      <c r="B15" s="60" t="s">
        <v>214</v>
      </c>
      <c r="C15" s="61">
        <f>'7#楼明细(表2.1)'!H6</f>
        <v>4.0112</v>
      </c>
      <c r="D15" s="31">
        <f>'[12]55系列外平开窗（5+12+5非钢'!D$83</f>
        <v>721.474804577051</v>
      </c>
      <c r="E15" s="31">
        <f t="shared" si="0"/>
        <v>709.327513454114</v>
      </c>
      <c r="F15" s="31">
        <f t="shared" si="1"/>
        <v>2893.97973611947</v>
      </c>
      <c r="G15" s="31">
        <f t="shared" si="2"/>
        <v>2845.25452196714</v>
      </c>
      <c r="H15" s="32"/>
      <c r="K15" s="21">
        <f>'11#楼汇总表（表2）'!J14</f>
        <v>0.983163249713124</v>
      </c>
    </row>
    <row r="16" s="21" customFormat="1" ht="45" customHeight="1" spans="1:8">
      <c r="A16" s="38" t="s">
        <v>7</v>
      </c>
      <c r="B16" s="39"/>
      <c r="C16" s="40">
        <f>SUM(C3:C15)</f>
        <v>917.629</v>
      </c>
      <c r="D16" s="41">
        <f>F16/C16</f>
        <v>529.726814947689</v>
      </c>
      <c r="E16" s="41">
        <f>G16/C16</f>
        <v>520.807936844153</v>
      </c>
      <c r="F16" s="40">
        <f>SUM(F3:F15)</f>
        <v>486092.687473633</v>
      </c>
      <c r="G16" s="41">
        <f>SUM(G3:G15)</f>
        <v>477908.466278363</v>
      </c>
      <c r="H16" s="42"/>
    </row>
    <row r="17" s="21" customFormat="1" ht="45" customHeight="1" spans="1:7">
      <c r="A17" s="43" t="s">
        <v>113</v>
      </c>
      <c r="B17" s="43"/>
      <c r="C17" s="43"/>
      <c r="D17" s="43"/>
      <c r="E17" s="43"/>
      <c r="F17" s="43"/>
      <c r="G17" s="63"/>
    </row>
    <row r="18" spans="1:6">
      <c r="A18" s="44"/>
      <c r="B18" s="45"/>
      <c r="C18" s="46"/>
      <c r="D18" s="46"/>
      <c r="E18" s="46"/>
      <c r="F18" s="46"/>
    </row>
    <row r="24" spans="2:2">
      <c r="B24" s="5"/>
    </row>
    <row r="25" spans="2:2">
      <c r="B25" s="5"/>
    </row>
    <row r="26" spans="2:2">
      <c r="B26" s="5"/>
    </row>
  </sheetData>
  <mergeCells count="3">
    <mergeCell ref="A1:H1"/>
    <mergeCell ref="A17:F17"/>
    <mergeCell ref="H9:H13"/>
  </mergeCells>
  <printOptions horizontalCentered="1"/>
  <pageMargins left="0.314583333333333" right="0.314583333333333" top="0.393055555555556" bottom="0.393055555555556" header="0.298611111111111" footer="0.298611111111111"/>
  <pageSetup paperSize="9" scale="89" orientation="portrait" horizont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3"/>
  <sheetViews>
    <sheetView zoomScale="85" zoomScaleNormal="85" workbookViewId="0">
      <pane ySplit="1" topLeftCell="A17" activePane="bottomLeft" state="frozen"/>
      <selection/>
      <selection pane="bottomLeft" activeCell="C22" sqref="C22"/>
    </sheetView>
  </sheetViews>
  <sheetFormatPr defaultColWidth="9" defaultRowHeight="14.25"/>
  <cols>
    <col min="1" max="1" width="6.5" style="2" customWidth="1"/>
    <col min="2" max="2" width="40.875" style="4" customWidth="1"/>
    <col min="3" max="3" width="16.8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215</v>
      </c>
      <c r="B1" s="18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19" t="s">
        <v>115</v>
      </c>
      <c r="C2" s="7" t="s">
        <v>116</v>
      </c>
      <c r="D2" s="8" t="s">
        <v>117</v>
      </c>
      <c r="E2" s="9"/>
      <c r="F2" s="9"/>
      <c r="G2" s="9"/>
      <c r="H2" s="10"/>
      <c r="I2" s="19" t="s">
        <v>6</v>
      </c>
    </row>
    <row r="3" ht="21" customHeight="1" spans="1:9">
      <c r="A3" s="7"/>
      <c r="B3" s="19"/>
      <c r="C3" s="7"/>
      <c r="D3" s="7" t="s">
        <v>118</v>
      </c>
      <c r="E3" s="11" t="s">
        <v>119</v>
      </c>
      <c r="F3" s="11" t="s">
        <v>120</v>
      </c>
      <c r="G3" s="11" t="s">
        <v>121</v>
      </c>
      <c r="H3" s="12" t="s">
        <v>3</v>
      </c>
      <c r="I3" s="19"/>
    </row>
    <row r="4" ht="48" customHeight="1" spans="1:9">
      <c r="A4" s="7">
        <v>1</v>
      </c>
      <c r="B4" s="54" t="s">
        <v>126</v>
      </c>
      <c r="C4" s="11" t="s">
        <v>216</v>
      </c>
      <c r="D4" s="14" t="s">
        <v>217</v>
      </c>
      <c r="E4" s="11">
        <v>2370</v>
      </c>
      <c r="F4" s="11">
        <v>2340</v>
      </c>
      <c r="G4" s="11">
        <f>1*2*2*8</f>
        <v>32</v>
      </c>
      <c r="H4" s="12">
        <f>E4*F4*G4/1000000</f>
        <v>177.4656</v>
      </c>
      <c r="I4" s="17" t="s">
        <v>218</v>
      </c>
    </row>
    <row r="5" ht="48" customHeight="1" spans="1:9">
      <c r="A5" s="7">
        <v>2</v>
      </c>
      <c r="B5" s="54" t="s">
        <v>211</v>
      </c>
      <c r="C5" s="11" t="s">
        <v>219</v>
      </c>
      <c r="D5" s="14" t="s">
        <v>217</v>
      </c>
      <c r="E5" s="11">
        <v>2070</v>
      </c>
      <c r="F5" s="11">
        <v>2340</v>
      </c>
      <c r="G5" s="11">
        <f t="shared" ref="G5:G9" si="0">1*2*2*8</f>
        <v>32</v>
      </c>
      <c r="H5" s="12">
        <f t="shared" ref="H5:H16" si="1">E5*F5*G5/1000000</f>
        <v>155.0016</v>
      </c>
      <c r="I5" s="17" t="s">
        <v>220</v>
      </c>
    </row>
    <row r="6" ht="41.1" customHeight="1" spans="1:9">
      <c r="A6" s="7">
        <v>3</v>
      </c>
      <c r="B6" s="54" t="s">
        <v>214</v>
      </c>
      <c r="C6" s="11" t="s">
        <v>156</v>
      </c>
      <c r="D6" s="11"/>
      <c r="E6" s="11">
        <v>920</v>
      </c>
      <c r="F6" s="11">
        <v>2180</v>
      </c>
      <c r="G6" s="11">
        <v>2</v>
      </c>
      <c r="H6" s="12">
        <f t="shared" si="1"/>
        <v>4.0112</v>
      </c>
      <c r="I6" s="17" t="s">
        <v>184</v>
      </c>
    </row>
    <row r="7" ht="47.1" customHeight="1" spans="1:9">
      <c r="A7" s="7">
        <v>4</v>
      </c>
      <c r="B7" s="54" t="s">
        <v>141</v>
      </c>
      <c r="C7" s="11" t="s">
        <v>221</v>
      </c>
      <c r="D7" s="14" t="s">
        <v>217</v>
      </c>
      <c r="E7" s="11">
        <v>1970</v>
      </c>
      <c r="F7" s="11">
        <v>1730</v>
      </c>
      <c r="G7" s="11">
        <f t="shared" si="0"/>
        <v>32</v>
      </c>
      <c r="H7" s="12">
        <f t="shared" si="1"/>
        <v>109.0592</v>
      </c>
      <c r="I7" s="17" t="s">
        <v>143</v>
      </c>
    </row>
    <row r="8" customFormat="1" ht="41.1" customHeight="1" spans="1:9">
      <c r="A8" s="7">
        <v>5</v>
      </c>
      <c r="B8" s="54" t="s">
        <v>170</v>
      </c>
      <c r="C8" s="11" t="s">
        <v>222</v>
      </c>
      <c r="D8" s="47" t="s">
        <v>217</v>
      </c>
      <c r="E8" s="11">
        <v>1470</v>
      </c>
      <c r="F8" s="11">
        <v>1730</v>
      </c>
      <c r="G8" s="11">
        <f t="shared" si="0"/>
        <v>32</v>
      </c>
      <c r="H8" s="12">
        <f t="shared" si="1"/>
        <v>81.3792</v>
      </c>
      <c r="I8" s="17" t="s">
        <v>125</v>
      </c>
    </row>
    <row r="9" customFormat="1" ht="45" customHeight="1" spans="1:9">
      <c r="A9" s="7">
        <v>6</v>
      </c>
      <c r="B9" s="54" t="s">
        <v>170</v>
      </c>
      <c r="C9" s="11" t="s">
        <v>223</v>
      </c>
      <c r="D9" s="47" t="s">
        <v>217</v>
      </c>
      <c r="E9" s="11">
        <v>1770</v>
      </c>
      <c r="F9" s="11">
        <v>1730</v>
      </c>
      <c r="G9" s="11">
        <f t="shared" si="0"/>
        <v>32</v>
      </c>
      <c r="H9" s="12">
        <f t="shared" si="1"/>
        <v>97.9872</v>
      </c>
      <c r="I9" s="17" t="s">
        <v>177</v>
      </c>
    </row>
    <row r="10" customFormat="1" ht="66.95" customHeight="1" spans="1:9">
      <c r="A10" s="7">
        <v>7</v>
      </c>
      <c r="B10" s="54" t="s">
        <v>132</v>
      </c>
      <c r="C10" s="11" t="s">
        <v>224</v>
      </c>
      <c r="D10" s="47" t="s">
        <v>225</v>
      </c>
      <c r="E10" s="11">
        <v>870</v>
      </c>
      <c r="F10" s="11">
        <v>1430</v>
      </c>
      <c r="G10" s="11">
        <f>6*6</f>
        <v>36</v>
      </c>
      <c r="H10" s="12">
        <f t="shared" si="1"/>
        <v>44.7876</v>
      </c>
      <c r="I10" s="17" t="s">
        <v>198</v>
      </c>
    </row>
    <row r="11" customFormat="1" ht="66.95" customHeight="1" spans="1:9">
      <c r="A11" s="7">
        <v>7.1</v>
      </c>
      <c r="B11" s="54" t="s">
        <v>136</v>
      </c>
      <c r="C11" s="11" t="s">
        <v>224</v>
      </c>
      <c r="D11" s="47" t="s">
        <v>226</v>
      </c>
      <c r="E11" s="11">
        <v>870</v>
      </c>
      <c r="F11" s="11">
        <v>1430</v>
      </c>
      <c r="G11" s="11">
        <f>6*2</f>
        <v>12</v>
      </c>
      <c r="H11" s="12">
        <f t="shared" si="1"/>
        <v>14.9292</v>
      </c>
      <c r="I11" s="17" t="s">
        <v>198</v>
      </c>
    </row>
    <row r="12" customFormat="1" ht="60.95" customHeight="1" spans="1:9">
      <c r="A12" s="7">
        <v>8</v>
      </c>
      <c r="B12" s="54" t="s">
        <v>132</v>
      </c>
      <c r="C12" s="11" t="s">
        <v>227</v>
      </c>
      <c r="D12" s="47" t="s">
        <v>225</v>
      </c>
      <c r="E12" s="11">
        <v>670</v>
      </c>
      <c r="F12" s="11">
        <v>1430</v>
      </c>
      <c r="G12" s="11">
        <f>1*1*2*6</f>
        <v>12</v>
      </c>
      <c r="H12" s="12">
        <f t="shared" si="1"/>
        <v>11.4972</v>
      </c>
      <c r="I12" s="17" t="s">
        <v>198</v>
      </c>
    </row>
    <row r="13" customFormat="1" ht="60.95" customHeight="1" spans="1:9">
      <c r="A13" s="7">
        <v>8.1</v>
      </c>
      <c r="B13" s="54" t="s">
        <v>136</v>
      </c>
      <c r="C13" s="11" t="s">
        <v>227</v>
      </c>
      <c r="D13" s="47" t="s">
        <v>226</v>
      </c>
      <c r="E13" s="11">
        <v>670</v>
      </c>
      <c r="F13" s="11">
        <v>1430</v>
      </c>
      <c r="G13" s="11">
        <f>1*1*2*2</f>
        <v>4</v>
      </c>
      <c r="H13" s="12">
        <f t="shared" si="1"/>
        <v>3.8324</v>
      </c>
      <c r="I13" s="17" t="s">
        <v>198</v>
      </c>
    </row>
    <row r="14" customFormat="1" ht="50.1" customHeight="1" spans="1:9">
      <c r="A14" s="7">
        <v>9</v>
      </c>
      <c r="B14" s="54" t="s">
        <v>138</v>
      </c>
      <c r="C14" s="11" t="s">
        <v>228</v>
      </c>
      <c r="D14" s="47" t="s">
        <v>217</v>
      </c>
      <c r="E14" s="11">
        <v>1770</v>
      </c>
      <c r="F14" s="11">
        <v>1430</v>
      </c>
      <c r="G14" s="11">
        <f>1*2*2*8</f>
        <v>32</v>
      </c>
      <c r="H14" s="12">
        <f t="shared" si="1"/>
        <v>80.9952</v>
      </c>
      <c r="I14" s="17" t="s">
        <v>140</v>
      </c>
    </row>
    <row r="15" s="1" customFormat="1" ht="74.1" customHeight="1" spans="1:9">
      <c r="A15" s="7">
        <v>10</v>
      </c>
      <c r="B15" s="54" t="s">
        <v>213</v>
      </c>
      <c r="C15" s="11" t="s">
        <v>229</v>
      </c>
      <c r="D15" s="47" t="s">
        <v>217</v>
      </c>
      <c r="E15" s="11">
        <v>1170</v>
      </c>
      <c r="F15" s="11">
        <v>1430</v>
      </c>
      <c r="G15" s="11">
        <f>1*2*2*8</f>
        <v>32</v>
      </c>
      <c r="H15" s="12">
        <f t="shared" si="1"/>
        <v>53.5392</v>
      </c>
      <c r="I15" s="17" t="s">
        <v>131</v>
      </c>
    </row>
    <row r="16" s="1" customFormat="1" ht="51" customHeight="1" spans="1:9">
      <c r="A16" s="7">
        <v>11</v>
      </c>
      <c r="B16" s="56" t="s">
        <v>147</v>
      </c>
      <c r="C16" s="12" t="s">
        <v>145</v>
      </c>
      <c r="D16" s="12" t="s">
        <v>230</v>
      </c>
      <c r="E16" s="12">
        <v>1170</v>
      </c>
      <c r="F16" s="12">
        <v>980</v>
      </c>
      <c r="G16" s="12">
        <v>10</v>
      </c>
      <c r="H16" s="12">
        <f t="shared" si="1"/>
        <v>11.466</v>
      </c>
      <c r="I16" s="12"/>
    </row>
    <row r="17" s="1" customFormat="1" ht="51" customHeight="1" spans="1:9">
      <c r="A17" s="7">
        <v>12</v>
      </c>
      <c r="B17" s="54" t="s">
        <v>212</v>
      </c>
      <c r="C17" s="11" t="s">
        <v>231</v>
      </c>
      <c r="D17" s="47" t="s">
        <v>232</v>
      </c>
      <c r="E17" s="11">
        <v>770</v>
      </c>
      <c r="F17" s="11">
        <v>1430</v>
      </c>
      <c r="G17" s="11">
        <f>7*1*2</f>
        <v>14</v>
      </c>
      <c r="H17" s="12">
        <f t="shared" ref="H17:H22" si="2">E17*F17*G17/1000000</f>
        <v>15.4154</v>
      </c>
      <c r="I17" s="17" t="s">
        <v>233</v>
      </c>
    </row>
    <row r="18" s="1" customFormat="1" ht="51" customHeight="1" spans="1:9">
      <c r="A18" s="7">
        <v>13</v>
      </c>
      <c r="B18" s="56" t="s">
        <v>138</v>
      </c>
      <c r="C18" s="12" t="s">
        <v>234</v>
      </c>
      <c r="D18" s="12" t="s">
        <v>235</v>
      </c>
      <c r="E18" s="12">
        <v>1970</v>
      </c>
      <c r="F18" s="12">
        <v>1780</v>
      </c>
      <c r="G18" s="12">
        <v>4</v>
      </c>
      <c r="H18" s="12">
        <f t="shared" si="2"/>
        <v>14.0264</v>
      </c>
      <c r="I18" s="12"/>
    </row>
    <row r="19" s="1" customFormat="1" ht="51" customHeight="1" spans="1:9">
      <c r="A19" s="7">
        <v>14</v>
      </c>
      <c r="B19" s="56" t="s">
        <v>138</v>
      </c>
      <c r="C19" s="12" t="s">
        <v>236</v>
      </c>
      <c r="D19" s="12" t="s">
        <v>235</v>
      </c>
      <c r="E19" s="12">
        <v>1470</v>
      </c>
      <c r="F19" s="12">
        <v>1780</v>
      </c>
      <c r="G19" s="12">
        <v>4</v>
      </c>
      <c r="H19" s="12">
        <f t="shared" si="2"/>
        <v>10.4664</v>
      </c>
      <c r="I19" s="12"/>
    </row>
    <row r="20" ht="45" customHeight="1" spans="1:9">
      <c r="A20" s="7">
        <v>15</v>
      </c>
      <c r="B20" s="54" t="s">
        <v>165</v>
      </c>
      <c r="C20" s="11" t="s">
        <v>237</v>
      </c>
      <c r="D20" s="12" t="s">
        <v>235</v>
      </c>
      <c r="E20" s="11">
        <v>2370</v>
      </c>
      <c r="F20" s="11">
        <v>1780</v>
      </c>
      <c r="G20" s="11">
        <v>4</v>
      </c>
      <c r="H20" s="12">
        <f t="shared" si="2"/>
        <v>16.8744</v>
      </c>
      <c r="I20" s="17"/>
    </row>
    <row r="21" ht="42" customHeight="1" spans="1:9">
      <c r="A21" s="7">
        <v>16</v>
      </c>
      <c r="B21" s="54" t="s">
        <v>165</v>
      </c>
      <c r="C21" s="11" t="s">
        <v>238</v>
      </c>
      <c r="D21" s="12" t="s">
        <v>235</v>
      </c>
      <c r="E21" s="11">
        <v>1770</v>
      </c>
      <c r="F21" s="11">
        <v>1780</v>
      </c>
      <c r="G21" s="11">
        <v>4</v>
      </c>
      <c r="H21" s="12">
        <f t="shared" si="2"/>
        <v>12.6024</v>
      </c>
      <c r="I21" s="17"/>
    </row>
    <row r="22" ht="39" customHeight="1" spans="1:9">
      <c r="A22" s="7">
        <v>17</v>
      </c>
      <c r="B22" s="56" t="s">
        <v>144</v>
      </c>
      <c r="C22" s="12" t="s">
        <v>145</v>
      </c>
      <c r="D22" s="12" t="s">
        <v>200</v>
      </c>
      <c r="E22" s="12">
        <v>1170</v>
      </c>
      <c r="F22" s="12">
        <v>980</v>
      </c>
      <c r="G22" s="12">
        <v>2</v>
      </c>
      <c r="H22" s="12">
        <f t="shared" si="2"/>
        <v>2.2932</v>
      </c>
      <c r="I22" s="17"/>
    </row>
    <row r="23" ht="30.95" customHeight="1" spans="1:9">
      <c r="A23" s="7">
        <v>18</v>
      </c>
      <c r="B23" s="17" t="s">
        <v>239</v>
      </c>
      <c r="C23" s="11"/>
      <c r="D23" s="11"/>
      <c r="E23" s="11"/>
      <c r="F23" s="11"/>
      <c r="G23" s="11"/>
      <c r="H23" s="12">
        <f>SUM(H4:H22)</f>
        <v>917.629</v>
      </c>
      <c r="I23" s="17"/>
    </row>
  </sheetData>
  <autoFilter ref="A3:I23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12" workbookViewId="0">
      <selection activeCell="I14" sqref="I14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4.625" style="24" customWidth="1"/>
    <col min="4" max="4" width="12.75" style="24" customWidth="1"/>
    <col min="5" max="5" width="14.625" style="24" customWidth="1"/>
    <col min="6" max="6" width="6.875" style="24" customWidth="1"/>
    <col min="7" max="8" width="8.75" style="24"/>
    <col min="9" max="9" width="11.5" style="24"/>
    <col min="10" max="16384" width="8.75" style="24"/>
  </cols>
  <sheetData>
    <row r="1" s="21" customFormat="1" ht="40.5" customHeight="1" spans="1:6">
      <c r="A1" s="25" t="s">
        <v>240</v>
      </c>
      <c r="B1" s="25"/>
      <c r="C1" s="25"/>
      <c r="D1" s="25"/>
      <c r="E1" s="25"/>
      <c r="F1" s="25"/>
    </row>
    <row r="2" s="22" customFormat="1" ht="44.25" customHeight="1" spans="1:6">
      <c r="A2" s="26" t="s">
        <v>1</v>
      </c>
      <c r="B2" s="27" t="s">
        <v>2</v>
      </c>
      <c r="C2" s="28" t="s">
        <v>3</v>
      </c>
      <c r="D2" s="27" t="s">
        <v>4</v>
      </c>
      <c r="E2" s="28" t="s">
        <v>5</v>
      </c>
      <c r="F2" s="29" t="s">
        <v>6</v>
      </c>
    </row>
    <row r="3" s="21" customFormat="1" ht="51.95" customHeight="1" spans="1:6">
      <c r="A3" s="30">
        <v>1</v>
      </c>
      <c r="B3" s="17" t="s">
        <v>170</v>
      </c>
      <c r="C3" s="31">
        <f>'8#楼明细(表2.1) '!H17</f>
        <v>97.9872</v>
      </c>
      <c r="D3" s="55">
        <f>'[13]55系列隔热内平开窗（5+12+5LOW-E'!D$84</f>
        <v>493.844423564368</v>
      </c>
      <c r="E3" s="31">
        <f>C3*D3</f>
        <v>48390.4323006864</v>
      </c>
      <c r="F3" s="32"/>
    </row>
    <row r="4" s="21" customFormat="1" ht="51.95" customHeight="1" spans="1:6">
      <c r="A4" s="30">
        <v>2</v>
      </c>
      <c r="B4" s="17" t="s">
        <v>141</v>
      </c>
      <c r="C4" s="31">
        <f>'8#楼明细(表2.1) '!H16</f>
        <v>114.5952</v>
      </c>
      <c r="D4" s="55">
        <f>'[13]55系列隔热内平开窗（5+12+5LOW -E6）'!D$84</f>
        <v>476.7590613847</v>
      </c>
      <c r="E4" s="31">
        <f t="shared" ref="E4:E12" si="0">C4*D4</f>
        <v>54634.299991192</v>
      </c>
      <c r="F4" s="33"/>
    </row>
    <row r="5" s="21" customFormat="1" ht="51.95" customHeight="1" spans="1:6">
      <c r="A5" s="30">
        <v>3</v>
      </c>
      <c r="B5" s="17" t="s">
        <v>138</v>
      </c>
      <c r="C5" s="31">
        <f>'8#楼明细(表2.1) '!H15+'8#楼明细(表2.1) '!H18+'8#楼明细(表2.1) '!H19</f>
        <v>161.8752</v>
      </c>
      <c r="D5" s="55">
        <f>'[13]55系列隔热内平开窗（5+12+5LOW-E）'!D$83</f>
        <v>650.592790355533</v>
      </c>
      <c r="E5" s="31">
        <f t="shared" si="0"/>
        <v>105314.83805736</v>
      </c>
      <c r="F5" s="33"/>
    </row>
    <row r="6" s="21" customFormat="1" ht="54.95" customHeight="1" spans="1:6">
      <c r="A6" s="30">
        <v>4</v>
      </c>
      <c r="B6" s="17" t="s">
        <v>144</v>
      </c>
      <c r="C6" s="31">
        <f>'8#楼明细(表2.1) '!H5+'8#楼明细(表2.1) '!H6+'8#楼明细(表2.1) '!H7</f>
        <v>7.3028</v>
      </c>
      <c r="D6" s="55">
        <f>'[13]55系列隔热内平开窗（5+12+5）'!D$83</f>
        <v>886.535414285462</v>
      </c>
      <c r="E6" s="31">
        <f t="shared" si="0"/>
        <v>6474.19082344387</v>
      </c>
      <c r="F6" s="33"/>
    </row>
    <row r="7" s="21" customFormat="1" ht="56.1" customHeight="1" spans="1:7">
      <c r="A7" s="30">
        <v>5</v>
      </c>
      <c r="B7" s="17" t="s">
        <v>132</v>
      </c>
      <c r="C7" s="31">
        <f>'8#楼明细(表2.1) '!H9+'8#楼明细(表2.1) '!H11+'8#楼明细(表2.1) '!H13</f>
        <v>39.5252</v>
      </c>
      <c r="D7" s="55">
        <f>'[13]55系列上悬窗（5+12+5LOW-E 非钢'!D$84</f>
        <v>934.602567236236</v>
      </c>
      <c r="E7" s="31">
        <f t="shared" si="0"/>
        <v>36940.3533905257</v>
      </c>
      <c r="F7" s="32"/>
      <c r="G7" s="4"/>
    </row>
    <row r="8" s="21" customFormat="1" ht="51.95" customHeight="1" spans="1:6">
      <c r="A8" s="30">
        <v>6</v>
      </c>
      <c r="B8" s="17" t="s">
        <v>136</v>
      </c>
      <c r="C8" s="31">
        <f>'8#楼明细(表2.1) '!H10+'8#楼明细(表2.1) '!H12</f>
        <v>11.8976</v>
      </c>
      <c r="D8" s="55">
        <f>'[13]55系列上悬窗（5+12+5LOW-E钢化'!D$84</f>
        <v>961.012250097879</v>
      </c>
      <c r="E8" s="31">
        <f t="shared" si="0"/>
        <v>11433.7393467645</v>
      </c>
      <c r="F8" s="32"/>
    </row>
    <row r="9" s="21" customFormat="1" ht="65.1" customHeight="1" spans="1:6">
      <c r="A9" s="30">
        <v>7</v>
      </c>
      <c r="B9" s="17" t="s">
        <v>160</v>
      </c>
      <c r="C9" s="31">
        <f>'8#楼明细(表2.1) '!H14</f>
        <v>46.8468</v>
      </c>
      <c r="D9" s="55">
        <f>'[13]80系列隔热推拉窗5+12+5low-e'!D$79</f>
        <v>608.385727104023</v>
      </c>
      <c r="E9" s="31">
        <f t="shared" si="0"/>
        <v>28500.9244804967</v>
      </c>
      <c r="F9" s="34"/>
    </row>
    <row r="10" s="21" customFormat="1" ht="51.95" customHeight="1" spans="1:6">
      <c r="A10" s="30">
        <v>8</v>
      </c>
      <c r="B10" s="17" t="s">
        <v>147</v>
      </c>
      <c r="C10" s="31">
        <f>'8#楼明细(表2.1) '!H8</f>
        <v>11.466</v>
      </c>
      <c r="D10" s="55">
        <f>'[13]80系列隔热推拉窗5+12+5'!D$79</f>
        <v>675.882435857685</v>
      </c>
      <c r="E10" s="31">
        <f t="shared" si="0"/>
        <v>7749.66800954422</v>
      </c>
      <c r="F10" s="35"/>
    </row>
    <row r="11" s="21" customFormat="1" ht="51.95" customHeight="1" spans="1:6">
      <c r="A11" s="30">
        <v>9</v>
      </c>
      <c r="B11" s="17" t="s">
        <v>165</v>
      </c>
      <c r="C11" s="31">
        <f>'8#楼明细(表2.1) '!H20</f>
        <v>34.6744</v>
      </c>
      <c r="D11" s="55">
        <f>'[13]80系列普铝推拉窗平开窗'!D$89</f>
        <v>565.041768504833</v>
      </c>
      <c r="E11" s="31">
        <f t="shared" si="0"/>
        <v>19592.484297844</v>
      </c>
      <c r="F11" s="35"/>
    </row>
    <row r="12" s="21" customFormat="1" ht="51.95" customHeight="1" spans="1:6">
      <c r="A12" s="30">
        <v>10</v>
      </c>
      <c r="B12" s="17" t="s">
        <v>171</v>
      </c>
      <c r="C12" s="31">
        <f>'8#楼明细(表2.1) '!H4</f>
        <v>364.6656</v>
      </c>
      <c r="D12" s="31">
        <f>'[13]80系列普铝推拉门6+12+6钢化'!D$79</f>
        <v>361.977715429515</v>
      </c>
      <c r="E12" s="31">
        <f t="shared" si="0"/>
        <v>132000.820783733</v>
      </c>
      <c r="F12" s="35"/>
    </row>
    <row r="13" s="21" customFormat="1" ht="42" customHeight="1" spans="1:9">
      <c r="A13" s="38" t="s">
        <v>7</v>
      </c>
      <c r="B13" s="39"/>
      <c r="C13" s="40">
        <f>SUM(C3:C12)</f>
        <v>890.836</v>
      </c>
      <c r="D13" s="41">
        <f>E13/C13</f>
        <v>506.301666616067</v>
      </c>
      <c r="E13" s="40">
        <f>SUM(E3:E12)</f>
        <v>451031.751481591</v>
      </c>
      <c r="F13" s="42"/>
      <c r="I13" s="21">
        <f>'11#楼汇总表（表2）'!J14</f>
        <v>0.983163249713124</v>
      </c>
    </row>
    <row r="14" s="21" customFormat="1" ht="55.5" customHeight="1" spans="1:5">
      <c r="A14" s="43" t="s">
        <v>113</v>
      </c>
      <c r="B14" s="43"/>
      <c r="C14" s="43"/>
      <c r="D14" s="43"/>
      <c r="E14" s="43"/>
    </row>
    <row r="15" spans="1:5">
      <c r="A15" s="44"/>
      <c r="B15" s="45"/>
      <c r="C15" s="46"/>
      <c r="D15" s="46"/>
      <c r="E15" s="46"/>
    </row>
    <row r="21" spans="2:2">
      <c r="B21" s="5"/>
    </row>
    <row r="22" spans="2:2">
      <c r="B22" s="5"/>
    </row>
    <row r="23" spans="2:2">
      <c r="B23" s="5"/>
    </row>
  </sheetData>
  <mergeCells count="3">
    <mergeCell ref="A1:F1"/>
    <mergeCell ref="A14:E14"/>
    <mergeCell ref="F9:F12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1"/>
  <sheetViews>
    <sheetView zoomScale="85" zoomScaleNormal="85" workbookViewId="0">
      <pane ySplit="1" topLeftCell="A8" activePane="bottomLeft" state="frozen"/>
      <selection/>
      <selection pane="bottomLeft" activeCell="B18" sqref="B18"/>
    </sheetView>
  </sheetViews>
  <sheetFormatPr defaultColWidth="9" defaultRowHeight="14.25"/>
  <cols>
    <col min="1" max="1" width="7.625" style="2" customWidth="1"/>
    <col min="2" max="2" width="41.875" style="3" customWidth="1"/>
    <col min="3" max="3" width="16.875" style="3" customWidth="1"/>
    <col min="4" max="4" width="20.25" style="3" customWidth="1"/>
    <col min="5" max="5" width="11.375" style="3" customWidth="1"/>
    <col min="6" max="6" width="10.25" style="3" customWidth="1"/>
    <col min="7" max="7" width="9.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241</v>
      </c>
      <c r="B1" s="6"/>
      <c r="C1" s="6"/>
      <c r="D1" s="6"/>
      <c r="E1" s="6"/>
      <c r="F1" s="6"/>
      <c r="G1" s="6"/>
      <c r="H1" s="6"/>
      <c r="I1" s="18"/>
    </row>
    <row r="2" ht="30.95" customHeight="1" spans="1:9">
      <c r="A2" s="7" t="s">
        <v>1</v>
      </c>
      <c r="B2" s="19" t="s">
        <v>115</v>
      </c>
      <c r="C2" s="7" t="s">
        <v>116</v>
      </c>
      <c r="D2" s="7" t="s">
        <v>117</v>
      </c>
      <c r="E2" s="7"/>
      <c r="F2" s="7"/>
      <c r="G2" s="7"/>
      <c r="H2" s="7"/>
      <c r="I2" s="19" t="s">
        <v>6</v>
      </c>
    </row>
    <row r="3" ht="35.1" customHeight="1" spans="1:9">
      <c r="A3" s="7"/>
      <c r="B3" s="19"/>
      <c r="C3" s="7"/>
      <c r="D3" s="7" t="s">
        <v>118</v>
      </c>
      <c r="E3" s="11" t="s">
        <v>119</v>
      </c>
      <c r="F3" s="11" t="s">
        <v>120</v>
      </c>
      <c r="G3" s="11" t="s">
        <v>121</v>
      </c>
      <c r="H3" s="12" t="s">
        <v>3</v>
      </c>
      <c r="I3" s="19"/>
    </row>
    <row r="4" ht="39" customHeight="1" spans="1:9">
      <c r="A4" s="7">
        <v>1</v>
      </c>
      <c r="B4" s="54" t="s">
        <v>171</v>
      </c>
      <c r="C4" s="11" t="s">
        <v>242</v>
      </c>
      <c r="D4" s="47" t="s">
        <v>243</v>
      </c>
      <c r="E4" s="11">
        <v>4870</v>
      </c>
      <c r="F4" s="11">
        <v>2340</v>
      </c>
      <c r="G4" s="11">
        <f>1*2*2*8</f>
        <v>32</v>
      </c>
      <c r="H4" s="12">
        <f t="shared" ref="H4:H12" si="0">E4*F4*G4/1000000</f>
        <v>364.6656</v>
      </c>
      <c r="I4" s="17" t="s">
        <v>128</v>
      </c>
    </row>
    <row r="5" ht="47.1" customHeight="1" spans="1:9">
      <c r="A5" s="7">
        <v>2</v>
      </c>
      <c r="B5" s="54" t="s">
        <v>144</v>
      </c>
      <c r="C5" s="11" t="s">
        <v>244</v>
      </c>
      <c r="D5" s="47" t="s">
        <v>200</v>
      </c>
      <c r="E5" s="11">
        <v>1170</v>
      </c>
      <c r="F5" s="11">
        <v>980</v>
      </c>
      <c r="G5" s="11">
        <v>2</v>
      </c>
      <c r="H5" s="12">
        <f t="shared" si="0"/>
        <v>2.2932</v>
      </c>
      <c r="I5" s="17" t="s">
        <v>200</v>
      </c>
    </row>
    <row r="6" ht="47.1" customHeight="1" spans="1:9">
      <c r="A6" s="7">
        <v>3</v>
      </c>
      <c r="B6" s="54" t="s">
        <v>144</v>
      </c>
      <c r="C6" s="11" t="s">
        <v>245</v>
      </c>
      <c r="D6" s="47" t="s">
        <v>246</v>
      </c>
      <c r="E6" s="11">
        <v>1070</v>
      </c>
      <c r="F6" s="11">
        <v>1480</v>
      </c>
      <c r="G6" s="11">
        <v>2</v>
      </c>
      <c r="H6" s="12">
        <f t="shared" si="0"/>
        <v>3.1672</v>
      </c>
      <c r="I6" s="47" t="s">
        <v>246</v>
      </c>
    </row>
    <row r="7" ht="47.1" customHeight="1" spans="1:9">
      <c r="A7" s="7">
        <v>4</v>
      </c>
      <c r="B7" s="54" t="s">
        <v>144</v>
      </c>
      <c r="C7" s="11" t="s">
        <v>247</v>
      </c>
      <c r="D7" s="47" t="s">
        <v>248</v>
      </c>
      <c r="E7" s="11">
        <v>470</v>
      </c>
      <c r="F7" s="11">
        <v>980</v>
      </c>
      <c r="G7" s="11">
        <f>2*2</f>
        <v>4</v>
      </c>
      <c r="H7" s="12">
        <f t="shared" si="0"/>
        <v>1.8424</v>
      </c>
      <c r="I7" s="47" t="s">
        <v>248</v>
      </c>
    </row>
    <row r="8" ht="47.1" customHeight="1" spans="1:9">
      <c r="A8" s="7">
        <v>5</v>
      </c>
      <c r="B8" s="54" t="s">
        <v>147</v>
      </c>
      <c r="C8" s="11" t="s">
        <v>145</v>
      </c>
      <c r="D8" s="47" t="s">
        <v>249</v>
      </c>
      <c r="E8" s="11">
        <v>1170</v>
      </c>
      <c r="F8" s="11">
        <v>980</v>
      </c>
      <c r="G8" s="11">
        <v>10</v>
      </c>
      <c r="H8" s="12">
        <f t="shared" si="0"/>
        <v>11.466</v>
      </c>
      <c r="I8" s="47"/>
    </row>
    <row r="9" ht="47.1" customHeight="1" spans="1:9">
      <c r="A9" s="7">
        <v>6</v>
      </c>
      <c r="B9" s="54" t="s">
        <v>132</v>
      </c>
      <c r="C9" s="11" t="s">
        <v>153</v>
      </c>
      <c r="D9" s="47" t="s">
        <v>250</v>
      </c>
      <c r="E9" s="11">
        <v>470</v>
      </c>
      <c r="F9" s="11">
        <v>1430</v>
      </c>
      <c r="G9" s="11">
        <f>1*2*2*6</f>
        <v>24</v>
      </c>
      <c r="H9" s="12">
        <f t="shared" si="0"/>
        <v>16.1304</v>
      </c>
      <c r="I9" s="17" t="s">
        <v>198</v>
      </c>
    </row>
    <row r="10" ht="47.1" customHeight="1" spans="1:9">
      <c r="A10" s="7">
        <v>6.1</v>
      </c>
      <c r="B10" s="54" t="s">
        <v>136</v>
      </c>
      <c r="C10" s="11" t="s">
        <v>153</v>
      </c>
      <c r="D10" s="47" t="s">
        <v>251</v>
      </c>
      <c r="E10" s="11">
        <v>470</v>
      </c>
      <c r="F10" s="11">
        <v>1430</v>
      </c>
      <c r="G10" s="11">
        <f>1*2*2*2</f>
        <v>8</v>
      </c>
      <c r="H10" s="12">
        <f t="shared" si="0"/>
        <v>5.3768</v>
      </c>
      <c r="I10" s="17" t="s">
        <v>198</v>
      </c>
    </row>
    <row r="11" ht="54" customHeight="1" spans="1:9">
      <c r="A11" s="7">
        <v>7</v>
      </c>
      <c r="B11" s="54" t="s">
        <v>132</v>
      </c>
      <c r="C11" s="11" t="s">
        <v>252</v>
      </c>
      <c r="D11" s="47" t="s">
        <v>250</v>
      </c>
      <c r="E11" s="11">
        <v>570</v>
      </c>
      <c r="F11" s="11">
        <v>1430</v>
      </c>
      <c r="G11" s="11">
        <f>1*2*2*6</f>
        <v>24</v>
      </c>
      <c r="H11" s="12">
        <f t="shared" si="0"/>
        <v>19.5624</v>
      </c>
      <c r="I11" s="17" t="s">
        <v>135</v>
      </c>
    </row>
    <row r="12" customFormat="1" ht="54" customHeight="1" spans="1:9">
      <c r="A12" s="7">
        <v>7.1</v>
      </c>
      <c r="B12" s="54" t="s">
        <v>136</v>
      </c>
      <c r="C12" s="11" t="s">
        <v>252</v>
      </c>
      <c r="D12" s="47" t="s">
        <v>251</v>
      </c>
      <c r="E12" s="11">
        <v>570</v>
      </c>
      <c r="F12" s="11">
        <v>1430</v>
      </c>
      <c r="G12" s="11">
        <f>1*2*2*2</f>
        <v>8</v>
      </c>
      <c r="H12" s="12">
        <f t="shared" si="0"/>
        <v>6.5208</v>
      </c>
      <c r="I12" s="17" t="s">
        <v>135</v>
      </c>
    </row>
    <row r="13" customFormat="1" ht="36.95" customHeight="1" spans="1:9">
      <c r="A13" s="7">
        <v>8</v>
      </c>
      <c r="B13" s="54" t="s">
        <v>132</v>
      </c>
      <c r="C13" s="11" t="s">
        <v>253</v>
      </c>
      <c r="D13" s="47" t="s">
        <v>254</v>
      </c>
      <c r="E13" s="11">
        <v>670</v>
      </c>
      <c r="F13" s="11">
        <v>1430</v>
      </c>
      <c r="G13" s="11">
        <f>2*2</f>
        <v>4</v>
      </c>
      <c r="H13" s="12">
        <f t="shared" ref="H13:H20" si="1">E13*F13*G13/1000000</f>
        <v>3.8324</v>
      </c>
      <c r="I13" s="17" t="s">
        <v>131</v>
      </c>
    </row>
    <row r="14" customFormat="1" ht="41.1" customHeight="1" spans="1:9">
      <c r="A14" s="7">
        <v>9</v>
      </c>
      <c r="B14" s="54" t="s">
        <v>160</v>
      </c>
      <c r="C14" s="11" t="s">
        <v>255</v>
      </c>
      <c r="D14" s="47" t="s">
        <v>243</v>
      </c>
      <c r="E14" s="11">
        <v>1170</v>
      </c>
      <c r="F14" s="11">
        <v>1430</v>
      </c>
      <c r="G14" s="11">
        <f>1*2*2*8-G13</f>
        <v>28</v>
      </c>
      <c r="H14" s="12">
        <f t="shared" si="1"/>
        <v>46.8468</v>
      </c>
      <c r="I14" s="17" t="s">
        <v>131</v>
      </c>
    </row>
    <row r="15" customFormat="1" ht="39" customHeight="1" spans="1:9">
      <c r="A15" s="7">
        <v>10</v>
      </c>
      <c r="B15" s="54" t="s">
        <v>138</v>
      </c>
      <c r="C15" s="11" t="s">
        <v>256</v>
      </c>
      <c r="D15" s="47" t="s">
        <v>243</v>
      </c>
      <c r="E15" s="11">
        <v>1470</v>
      </c>
      <c r="F15" s="11">
        <v>1430</v>
      </c>
      <c r="G15" s="11">
        <f>2*2*2*8</f>
        <v>64</v>
      </c>
      <c r="H15" s="12">
        <f t="shared" si="1"/>
        <v>134.5344</v>
      </c>
      <c r="I15" s="17" t="s">
        <v>140</v>
      </c>
    </row>
    <row r="16" customFormat="1" ht="45" customHeight="1" spans="1:9">
      <c r="A16" s="7">
        <v>11</v>
      </c>
      <c r="B16" s="54" t="s">
        <v>141</v>
      </c>
      <c r="C16" s="11" t="s">
        <v>257</v>
      </c>
      <c r="D16" s="47" t="s">
        <v>243</v>
      </c>
      <c r="E16" s="11">
        <v>2070</v>
      </c>
      <c r="F16" s="11">
        <v>1730</v>
      </c>
      <c r="G16" s="11">
        <f>1*2*2*8</f>
        <v>32</v>
      </c>
      <c r="H16" s="12">
        <f t="shared" si="1"/>
        <v>114.5952</v>
      </c>
      <c r="I16" s="17" t="s">
        <v>143</v>
      </c>
    </row>
    <row r="17" customFormat="1" ht="36.95" customHeight="1" spans="1:9">
      <c r="A17" s="7">
        <v>12</v>
      </c>
      <c r="B17" s="54" t="s">
        <v>170</v>
      </c>
      <c r="C17" s="11" t="s">
        <v>258</v>
      </c>
      <c r="D17" s="47" t="s">
        <v>243</v>
      </c>
      <c r="E17" s="11">
        <v>1770</v>
      </c>
      <c r="F17" s="11">
        <v>1730</v>
      </c>
      <c r="G17" s="11">
        <f>1*2*2*8</f>
        <v>32</v>
      </c>
      <c r="H17" s="12">
        <f t="shared" si="1"/>
        <v>97.9872</v>
      </c>
      <c r="I17" s="17" t="s">
        <v>125</v>
      </c>
    </row>
    <row r="18" customFormat="1" ht="42" customHeight="1" spans="1:9">
      <c r="A18" s="7">
        <v>13</v>
      </c>
      <c r="B18" s="54" t="s">
        <v>138</v>
      </c>
      <c r="C18" s="11" t="s">
        <v>259</v>
      </c>
      <c r="D18" s="16" t="s">
        <v>159</v>
      </c>
      <c r="E18" s="11">
        <v>2070</v>
      </c>
      <c r="F18" s="11">
        <v>1780</v>
      </c>
      <c r="G18" s="11">
        <v>4</v>
      </c>
      <c r="H18" s="12">
        <f t="shared" si="1"/>
        <v>14.7384</v>
      </c>
      <c r="I18" s="17"/>
    </row>
    <row r="19" customFormat="1" ht="42.95" customHeight="1" spans="1:9">
      <c r="A19" s="7">
        <v>14</v>
      </c>
      <c r="B19" s="54" t="s">
        <v>138</v>
      </c>
      <c r="C19" s="11" t="s">
        <v>238</v>
      </c>
      <c r="D19" s="16" t="s">
        <v>159</v>
      </c>
      <c r="E19" s="11">
        <v>1770</v>
      </c>
      <c r="F19" s="11">
        <v>1780</v>
      </c>
      <c r="G19" s="11">
        <v>4</v>
      </c>
      <c r="H19" s="12">
        <f t="shared" si="1"/>
        <v>12.6024</v>
      </c>
      <c r="I19" s="20"/>
    </row>
    <row r="20" customFormat="1" ht="39.95" customHeight="1" spans="1:9">
      <c r="A20" s="7">
        <v>15</v>
      </c>
      <c r="B20" s="54" t="s">
        <v>165</v>
      </c>
      <c r="C20" s="11" t="s">
        <v>260</v>
      </c>
      <c r="D20" s="16" t="s">
        <v>159</v>
      </c>
      <c r="E20" s="11">
        <v>4870</v>
      </c>
      <c r="F20" s="11">
        <v>1780</v>
      </c>
      <c r="G20" s="11">
        <v>4</v>
      </c>
      <c r="H20" s="12">
        <f t="shared" si="1"/>
        <v>34.6744</v>
      </c>
      <c r="I20" s="17"/>
    </row>
    <row r="21" ht="27.75" customHeight="1" spans="1:9">
      <c r="A21" s="7">
        <v>16</v>
      </c>
      <c r="B21" s="17"/>
      <c r="C21" s="11"/>
      <c r="D21" s="11"/>
      <c r="E21" s="11"/>
      <c r="F21" s="11"/>
      <c r="G21" s="11"/>
      <c r="H21" s="12">
        <f>SUM(H4:H20)</f>
        <v>890.836</v>
      </c>
      <c r="I21" s="17"/>
    </row>
  </sheetData>
  <autoFilter ref="A3:I21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3"/>
  <sheetViews>
    <sheetView topLeftCell="A10" workbookViewId="0">
      <selection activeCell="H14" sqref="H14"/>
    </sheetView>
  </sheetViews>
  <sheetFormatPr defaultColWidth="8.75" defaultRowHeight="14.25" outlineLevelCol="7"/>
  <cols>
    <col min="1" max="1" width="5.25" style="23" customWidth="1"/>
    <col min="2" max="2" width="35.75" style="24" customWidth="1"/>
    <col min="3" max="3" width="13.625" style="24" customWidth="1"/>
    <col min="4" max="4" width="12.75" style="24" customWidth="1"/>
    <col min="5" max="5" width="13.875" style="24" customWidth="1"/>
    <col min="6" max="6" width="6.875" style="24" customWidth="1"/>
    <col min="7" max="7" width="8.75" style="24"/>
    <col min="8" max="8" width="11.5" style="24"/>
    <col min="9" max="16384" width="8.75" style="24"/>
  </cols>
  <sheetData>
    <row r="1" s="21" customFormat="1" ht="40.5" customHeight="1" spans="1:6">
      <c r="A1" s="25" t="s">
        <v>261</v>
      </c>
      <c r="B1" s="25"/>
      <c r="C1" s="25"/>
      <c r="D1" s="25"/>
      <c r="E1" s="25"/>
      <c r="F1" s="25"/>
    </row>
    <row r="2" s="22" customFormat="1" ht="44.25" customHeight="1" spans="1:6">
      <c r="A2" s="26" t="s">
        <v>1</v>
      </c>
      <c r="B2" s="27" t="s">
        <v>2</v>
      </c>
      <c r="C2" s="28" t="s">
        <v>3</v>
      </c>
      <c r="D2" s="27" t="s">
        <v>4</v>
      </c>
      <c r="E2" s="28" t="s">
        <v>5</v>
      </c>
      <c r="F2" s="29" t="s">
        <v>6</v>
      </c>
    </row>
    <row r="3" s="21" customFormat="1" ht="51.95" customHeight="1" spans="1:6">
      <c r="A3" s="30">
        <v>1</v>
      </c>
      <c r="B3" s="17" t="str">
        <f>'9#楼明细(表2.1) '!B10</f>
        <v>内平开窗 55断桥铝合金内平开窗 5+12A+5LOW-E钢化玻璃 &gt;2m2采用6mm玻璃</v>
      </c>
      <c r="C3" s="31">
        <f>'9#楼明细(表2.1) '!H10</f>
        <v>119.1456</v>
      </c>
      <c r="D3" s="31">
        <v>490.846650437076</v>
      </c>
      <c r="E3" s="31">
        <f>C3*D3</f>
        <v>58482.2186743157</v>
      </c>
      <c r="F3" s="32"/>
    </row>
    <row r="4" s="21" customFormat="1" ht="51.95" customHeight="1" spans="1:6">
      <c r="A4" s="30">
        <v>2</v>
      </c>
      <c r="B4" s="17" t="str">
        <f>'9#楼明细(表2.1) '!B9</f>
        <v>内平开窗 55断桥铝合金内平开窗 5+12A+5LOW-E中空玻璃</v>
      </c>
      <c r="C4" s="31">
        <f>'9#楼明细(表2.1) '!H9</f>
        <v>87.9336</v>
      </c>
      <c r="D4" s="31">
        <v>509.623626296245</v>
      </c>
      <c r="E4" s="31">
        <f t="shared" ref="E4:E12" si="0">C4*D4</f>
        <v>44813.0401052835</v>
      </c>
      <c r="F4" s="33"/>
    </row>
    <row r="5" s="21" customFormat="1" ht="51.95" customHeight="1" spans="1:6">
      <c r="A5" s="30">
        <v>3</v>
      </c>
      <c r="B5" s="17" t="str">
        <f>'9#楼明细(表2.1) '!B11</f>
        <v>内平开窗 55断桥铝合金内平开窗 5+12A+5中空玻璃</v>
      </c>
      <c r="C5" s="31">
        <f>'9#楼明细(表2.1) '!H11</f>
        <v>2.2932</v>
      </c>
      <c r="D5" s="31">
        <v>878.391453850047</v>
      </c>
      <c r="E5" s="31">
        <f t="shared" si="0"/>
        <v>2014.32728196893</v>
      </c>
      <c r="F5" s="33"/>
    </row>
    <row r="6" s="21" customFormat="1" ht="54.95" customHeight="1" spans="1:6">
      <c r="A6" s="30">
        <v>4</v>
      </c>
      <c r="B6" s="17" t="str">
        <f>'9#楼明细(表2.1) '!B4</f>
        <v>平开门 55断桥铝合金外平开门 5+12A+5LOW-E钢化玻璃</v>
      </c>
      <c r="C6" s="31">
        <f>'9#楼明细(表2.1) '!H4</f>
        <v>121.1868</v>
      </c>
      <c r="D6" s="31">
        <v>633.81696986891</v>
      </c>
      <c r="E6" s="31">
        <f t="shared" si="0"/>
        <v>76810.2503641096</v>
      </c>
      <c r="F6" s="33"/>
    </row>
    <row r="7" s="21" customFormat="1" ht="56.1" customHeight="1" spans="1:7">
      <c r="A7" s="30">
        <v>5</v>
      </c>
      <c r="B7" s="17" t="str">
        <f>'9#楼明细(表2.1) '!B6</f>
        <v>平开门 55普通铝合金外平开门 5+12A+5钢化玻璃</v>
      </c>
      <c r="C7" s="31">
        <f>'9#楼明细(表2.1) '!H6</f>
        <v>104.6988</v>
      </c>
      <c r="D7" s="31">
        <v>607.37053108547</v>
      </c>
      <c r="E7" s="31">
        <f t="shared" si="0"/>
        <v>63590.9657600114</v>
      </c>
      <c r="F7" s="32"/>
      <c r="G7" s="4"/>
    </row>
    <row r="8" s="21" customFormat="1" ht="51.95" customHeight="1" spans="1:6">
      <c r="A8" s="30">
        <v>6</v>
      </c>
      <c r="B8" s="17" t="str">
        <f>'9#楼明细(表2.1) '!B7</f>
        <v>上悬窗 55断桥铝合金上悬窗 5+12A+5LOW-E中空玻璃 </v>
      </c>
      <c r="C8" s="31">
        <f>'9#楼明细(表2.1) '!H7+'9#楼明细(表2.1) '!H14</f>
        <v>44.3808</v>
      </c>
      <c r="D8" s="31">
        <v>826.202386534419</v>
      </c>
      <c r="E8" s="31">
        <f t="shared" si="0"/>
        <v>36667.5228763067</v>
      </c>
      <c r="F8" s="32"/>
    </row>
    <row r="9" s="21" customFormat="1" ht="65.1" customHeight="1" spans="1:6">
      <c r="A9" s="30">
        <v>7</v>
      </c>
      <c r="B9" s="17" t="str">
        <f>'9#楼明细(表2.1) '!B8</f>
        <v>上悬窗 55断桥铝合金上悬窗 5+12A+5LOW-E中空玻璃 七层及以上钢化玻璃</v>
      </c>
      <c r="C9" s="31">
        <f>'9#楼明细(表2.1) '!H8+'9#楼明细(表2.1) '!H15</f>
        <v>22.1904</v>
      </c>
      <c r="D9" s="31">
        <v>839.859795383976</v>
      </c>
      <c r="E9" s="31">
        <f t="shared" si="0"/>
        <v>18636.8248034886</v>
      </c>
      <c r="F9" s="34"/>
    </row>
    <row r="10" s="21" customFormat="1" ht="51.95" customHeight="1" spans="1:6">
      <c r="A10" s="30">
        <v>8</v>
      </c>
      <c r="B10" s="17" t="str">
        <f>'9#楼明细(表2.1) '!B12</f>
        <v>推拉窗 80断桥铝合金推拉窗 5+12A+5中空玻璃</v>
      </c>
      <c r="C10" s="31">
        <f>'9#楼明细(表2.1) '!H12+'9#楼明细(表2.1) '!H13</f>
        <v>65.4264</v>
      </c>
      <c r="D10" s="31">
        <v>617.217390940382</v>
      </c>
      <c r="E10" s="31">
        <f t="shared" si="0"/>
        <v>40382.3119066218</v>
      </c>
      <c r="F10" s="35"/>
    </row>
    <row r="11" s="21" customFormat="1" ht="51.95" customHeight="1" spans="1:6">
      <c r="A11" s="30">
        <v>9</v>
      </c>
      <c r="B11" s="17" t="str">
        <f>'9#楼明细(表2.1) '!B5</f>
        <v>推拉门 80普通铝合金推拉门 5+12A+5钢化玻璃 &gt;2m2采用6mm玻璃</v>
      </c>
      <c r="C11" s="31">
        <f>'9#楼明细(表2.1) '!H5</f>
        <v>183.0168</v>
      </c>
      <c r="D11" s="31">
        <v>402.315989007125</v>
      </c>
      <c r="E11" s="31">
        <f t="shared" si="0"/>
        <v>73630.5848969192</v>
      </c>
      <c r="F11" s="35"/>
    </row>
    <row r="12" s="21" customFormat="1" ht="51.95" customHeight="1" spans="1:6">
      <c r="A12" s="30">
        <v>10</v>
      </c>
      <c r="B12" s="37" t="str">
        <f>'9#楼明细(表2.1) '!B16</f>
        <v>外平开窗 55断桥铝合金外平开窗 5+12A+5中空玻璃</v>
      </c>
      <c r="C12" s="36">
        <f>'9#楼明细(表2.1) '!H16</f>
        <v>4.0112</v>
      </c>
      <c r="D12" s="36">
        <v>721.474804577051</v>
      </c>
      <c r="E12" s="31">
        <f t="shared" si="0"/>
        <v>2893.97973611947</v>
      </c>
      <c r="F12" s="35"/>
    </row>
    <row r="13" s="21" customFormat="1" ht="42" customHeight="1" spans="1:8">
      <c r="A13" s="38" t="s">
        <v>7</v>
      </c>
      <c r="B13" s="39"/>
      <c r="C13" s="40">
        <f>SUM(C3:C12)</f>
        <v>754.2836</v>
      </c>
      <c r="D13" s="41">
        <f>E13/C13</f>
        <v>554.064845643131</v>
      </c>
      <c r="E13" s="40">
        <f>SUM(E3:E12)</f>
        <v>417922.026405145</v>
      </c>
      <c r="F13" s="42"/>
      <c r="H13" s="21">
        <f>'11#楼汇总表（表2）'!J14</f>
        <v>0.983163249713124</v>
      </c>
    </row>
    <row r="14" s="21" customFormat="1" ht="55.5" customHeight="1" spans="1:5">
      <c r="A14" s="43" t="s">
        <v>113</v>
      </c>
      <c r="B14" s="43"/>
      <c r="C14" s="43"/>
      <c r="D14" s="43"/>
      <c r="E14" s="43"/>
    </row>
    <row r="15" spans="1:5">
      <c r="A15" s="44"/>
      <c r="B15" s="45"/>
      <c r="C15" s="46"/>
      <c r="D15" s="46"/>
      <c r="E15" s="46"/>
    </row>
    <row r="21" spans="2:2">
      <c r="B21" s="5"/>
    </row>
    <row r="22" spans="2:2">
      <c r="B22" s="5"/>
    </row>
    <row r="23" spans="2:2">
      <c r="B23" s="5"/>
    </row>
  </sheetData>
  <mergeCells count="3">
    <mergeCell ref="A1:F1"/>
    <mergeCell ref="A14:E14"/>
    <mergeCell ref="F9:F11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8"/>
  <sheetViews>
    <sheetView topLeftCell="A115" workbookViewId="0">
      <selection activeCell="F133" sqref="F133"/>
    </sheetView>
  </sheetViews>
  <sheetFormatPr defaultColWidth="9" defaultRowHeight="14.25" outlineLevelCol="7"/>
  <cols>
    <col min="2" max="2" width="68.375" customWidth="1"/>
    <col min="3" max="3" width="13" customWidth="1"/>
    <col min="4" max="4" width="11.75" style="152" customWidth="1"/>
    <col min="5" max="5" width="12.625"/>
    <col min="7" max="7" width="12.625"/>
    <col min="8" max="8" width="67.125" customWidth="1"/>
    <col min="9" max="10" width="19.625" customWidth="1"/>
  </cols>
  <sheetData>
    <row r="1" ht="35.1" customHeight="1" spans="1:6">
      <c r="A1" s="26" t="s">
        <v>1</v>
      </c>
      <c r="B1" s="27" t="s">
        <v>2</v>
      </c>
      <c r="C1" s="28" t="s">
        <v>3</v>
      </c>
      <c r="D1" s="153" t="s">
        <v>4</v>
      </c>
      <c r="E1" s="28" t="s">
        <v>5</v>
      </c>
      <c r="F1" s="29" t="s">
        <v>6</v>
      </c>
    </row>
    <row r="2" ht="24" customHeight="1" spans="1:6">
      <c r="A2" s="154">
        <v>1</v>
      </c>
      <c r="B2" s="13" t="str">
        <f>'1#楼汇总表（表2）'!B3</f>
        <v>内平开窗 55断桥铝合金内平开窗 5+12A+5LOW-E钢化玻璃 &gt;2m2采用6mm玻璃</v>
      </c>
      <c r="C2" s="13">
        <f>'1#楼汇总表（表2）'!C3</f>
        <v>109.0592</v>
      </c>
      <c r="D2" s="31">
        <f>'1#楼汇总表（表2）'!$D$3</f>
        <v>485.561473006677</v>
      </c>
      <c r="E2" s="31">
        <f>C2*D2</f>
        <v>52954.9457969298</v>
      </c>
      <c r="F2" s="32"/>
    </row>
    <row r="3" spans="1:8">
      <c r="A3" s="155">
        <v>1</v>
      </c>
      <c r="B3" s="13" t="str">
        <f>'1#楼汇总表（表2）'!B4</f>
        <v>内平开窗 55断桥铝合金内平开窗 5+12A+5LOW-E中空玻璃</v>
      </c>
      <c r="C3" s="13">
        <f>'1#楼汇总表（表2）'!C4</f>
        <v>94.48</v>
      </c>
      <c r="D3" s="31">
        <f>'1#楼汇总表（表2）'!$D$4</f>
        <v>515.865238870687</v>
      </c>
      <c r="E3" s="31">
        <f t="shared" ref="E3:E66" si="0">C3*D3</f>
        <v>48738.9477685025</v>
      </c>
      <c r="F3" s="33"/>
      <c r="H3" t="e">
        <f>'1#楼汇总表（表2）'!C17+'2#楼汇总表（表2）'!C16+'3#楼汇总表（表2）'!C16+'5#楼汇总表（表2）'!C15+'6#楼汇总表（表2）'!C15+'7#楼汇总表（表2）'!C16+'8#楼汇总表（表2）'!C13+'9#楼汇总表（表2）'!C13+'10#楼汇总表（表2）'!C12+'11#楼汇总表（表2）'!C15+#REF!+#REF!+#REF!+#REF!+#REF!+#REF!+#REF!+#REF!</f>
        <v>#REF!</v>
      </c>
    </row>
    <row r="4" spans="1:6">
      <c r="A4" s="155">
        <v>1</v>
      </c>
      <c r="B4" s="13" t="str">
        <f>'1#楼汇总表（表2）'!B5</f>
        <v>内平开窗 55断桥铝合金内平开窗 5+12A+5中空玻璃</v>
      </c>
      <c r="C4" s="13">
        <f>'1#楼汇总表（表2）'!C5</f>
        <v>2.2932</v>
      </c>
      <c r="D4" s="31">
        <f>'1#楼汇总表（表2）'!$D$5</f>
        <v>878.391453850047</v>
      </c>
      <c r="E4" s="31">
        <f t="shared" si="0"/>
        <v>2014.32728196893</v>
      </c>
      <c r="F4" s="33"/>
    </row>
    <row r="5" spans="1:6">
      <c r="A5" s="155">
        <v>1</v>
      </c>
      <c r="B5" s="13" t="str">
        <f>'1#楼汇总表（表2）'!B6</f>
        <v>内平开窗 55普通铝合金内平开窗 5+12A+5中空玻璃</v>
      </c>
      <c r="C5" s="13">
        <f>'1#楼汇总表（表2）'!C6</f>
        <v>10.1724</v>
      </c>
      <c r="D5" s="31">
        <f>'1#楼汇总表（表2）'!$D$6</f>
        <v>489.431161651455</v>
      </c>
      <c r="E5" s="31">
        <f t="shared" si="0"/>
        <v>4978.68954878326</v>
      </c>
      <c r="F5" s="33"/>
    </row>
    <row r="6" spans="1:6">
      <c r="A6" s="155">
        <v>1</v>
      </c>
      <c r="B6" s="76" t="str">
        <f>'1#楼汇总表（表2）'!B7</f>
        <v>内平开窗 55普通铝合金内平开窗 5+12A+5中空玻璃 &gt;2m2采用6mm玻璃</v>
      </c>
      <c r="C6" s="76">
        <f>'1#楼汇总表（表2）'!C7</f>
        <v>13.6324</v>
      </c>
      <c r="D6" s="31">
        <f>'1#楼汇总表（表2）'!$D$7</f>
        <v>442.802021216057</v>
      </c>
      <c r="E6" s="31">
        <f t="shared" si="0"/>
        <v>6036.45427402578</v>
      </c>
      <c r="F6" s="32"/>
    </row>
    <row r="7" spans="1:6">
      <c r="A7" s="155">
        <v>1</v>
      </c>
      <c r="B7" s="13" t="str">
        <f>'1#楼汇总表（表2）'!B8</f>
        <v>平开门 55断桥铝合金外平开门 5+12A+5LOW-E钢化玻璃</v>
      </c>
      <c r="C7" s="13">
        <f>'1#楼汇总表（表2）'!C8</f>
        <v>110.0736</v>
      </c>
      <c r="D7" s="31">
        <f>'1#楼汇总表（表2）'!$D$8</f>
        <v>630.224391055544</v>
      </c>
      <c r="E7" s="31">
        <f t="shared" si="0"/>
        <v>69371.0675312915</v>
      </c>
      <c r="F7" s="32"/>
    </row>
    <row r="8" spans="1:6">
      <c r="A8" s="155">
        <v>1</v>
      </c>
      <c r="B8" s="13" t="str">
        <f>'1#楼汇总表（表2）'!B9</f>
        <v>平开门 55普通铝合金外平开门 5+12A+5钢化玻璃</v>
      </c>
      <c r="C8" s="13">
        <f>'1#楼汇总表（表2）'!C9</f>
        <v>95.0976</v>
      </c>
      <c r="D8" s="31">
        <f>'1#楼汇总表（表2）'!$D$9</f>
        <v>603.860194383975</v>
      </c>
      <c r="E8" s="31">
        <f t="shared" si="0"/>
        <v>57425.6552214495</v>
      </c>
      <c r="F8" s="17"/>
    </row>
    <row r="9" spans="1:6">
      <c r="A9" s="155">
        <v>1</v>
      </c>
      <c r="B9" s="13" t="str">
        <f>'1#楼汇总表（表2）'!B10</f>
        <v>上悬窗 55断桥铝合金上悬窗 5+12A+5LOW-E中空玻璃 </v>
      </c>
      <c r="C9" s="13">
        <f>'1#楼汇总表（表2）'!C10</f>
        <v>45.9888</v>
      </c>
      <c r="D9" s="31">
        <f>'1#楼汇总表（表2）'!$D$10</f>
        <v>815.835119720686</v>
      </c>
      <c r="E9" s="31">
        <f t="shared" si="0"/>
        <v>37519.2781538107</v>
      </c>
      <c r="F9" s="17"/>
    </row>
    <row r="10" spans="1:6">
      <c r="A10" s="155">
        <v>1</v>
      </c>
      <c r="B10" s="13" t="str">
        <f>'1#楼汇总表（表2）'!B11</f>
        <v>上悬窗 55断桥铝合金上悬窗 5+12A+5LOW-E中空玻璃 七层及以上钢化玻璃</v>
      </c>
      <c r="C10" s="13">
        <f>'1#楼汇总表（表2）'!C11</f>
        <v>15.3296</v>
      </c>
      <c r="D10" s="31">
        <f>'1#楼汇总表（表2）'!$D$11</f>
        <v>829.492528570244</v>
      </c>
      <c r="E10" s="31">
        <f t="shared" si="0"/>
        <v>12715.7886659704</v>
      </c>
      <c r="F10" s="17"/>
    </row>
    <row r="11" spans="1:6">
      <c r="A11" s="155">
        <v>1</v>
      </c>
      <c r="B11" s="13" t="str">
        <f>'1#楼汇总表（表2）'!B12</f>
        <v>推拉窗 80断桥铝合金推拉窗 5+12A+5LOW-E中空玻璃</v>
      </c>
      <c r="C11" s="13">
        <f>'1#楼汇总表（表2）'!C12</f>
        <v>8.7024</v>
      </c>
      <c r="D11" s="31">
        <f>'1#楼汇总表（表2）'!$D$12</f>
        <v>560.802698372337</v>
      </c>
      <c r="E11" s="31">
        <f t="shared" si="0"/>
        <v>4880.32940231543</v>
      </c>
      <c r="F11" s="17"/>
    </row>
    <row r="12" spans="1:6">
      <c r="A12" s="155">
        <v>1</v>
      </c>
      <c r="B12" s="13" t="str">
        <f>'1#楼汇总表（表2）'!B13</f>
        <v>推拉窗 80断桥铝合金推拉窗 5+12A+5中空玻璃</v>
      </c>
      <c r="C12" s="13">
        <f>'1#楼汇总表（表2）'!C13</f>
        <v>58.3128</v>
      </c>
      <c r="D12" s="31">
        <f>'1#楼汇总表（表2）'!$D$13</f>
        <v>611.437119960746</v>
      </c>
      <c r="E12" s="31">
        <f t="shared" si="0"/>
        <v>35654.610488847</v>
      </c>
      <c r="F12" s="17"/>
    </row>
    <row r="13" spans="1:6">
      <c r="A13" s="155">
        <v>1</v>
      </c>
      <c r="B13" s="13" t="str">
        <f>'1#楼汇总表（表2）'!B14</f>
        <v>推拉窗 80普通铝合金推拉窗 5+12A+5中空玻璃</v>
      </c>
      <c r="C13" s="13">
        <f>'1#楼汇总表（表2）'!C14</f>
        <v>15.3624</v>
      </c>
      <c r="D13" s="31">
        <f>'1#楼汇总表（表2）'!$D$14</f>
        <v>404.563998137678</v>
      </c>
      <c r="E13" s="31">
        <f t="shared" si="0"/>
        <v>6215.07396499026</v>
      </c>
      <c r="F13" s="17"/>
    </row>
    <row r="14" spans="1:6">
      <c r="A14" s="156">
        <v>1</v>
      </c>
      <c r="B14" s="13" t="str">
        <f>'1#楼汇总表（表2）'!B15</f>
        <v>推拉门 80普通铝合金推拉门 5+12A+5钢化玻璃 &gt;2m2采用6mm玻璃</v>
      </c>
      <c r="C14" s="13">
        <f>'1#楼汇总表（表2）'!C15</f>
        <v>166.2336</v>
      </c>
      <c r="D14" s="31">
        <f>'1#楼汇总表（表2）'!$D$15</f>
        <v>400.606451598261</v>
      </c>
      <c r="E14" s="31">
        <f t="shared" si="0"/>
        <v>66594.2526324047</v>
      </c>
      <c r="F14" s="49"/>
    </row>
    <row r="15" spans="1:6">
      <c r="A15" s="157">
        <v>1</v>
      </c>
      <c r="B15" s="13" t="str">
        <f>'1#楼汇总表（表2）'!B16</f>
        <v>外平开窗 55断桥铝合金外平开窗 5+12A+5中空玻璃</v>
      </c>
      <c r="C15" s="13">
        <f>'1#楼汇总表（表2）'!C16</f>
        <v>4.0112</v>
      </c>
      <c r="D15" s="158">
        <f>'1#楼汇总表（表2）'!$D$16</f>
        <v>725.185165924822</v>
      </c>
      <c r="E15" s="31">
        <f t="shared" si="0"/>
        <v>2908.86273755765</v>
      </c>
      <c r="F15" s="43"/>
    </row>
    <row r="16" spans="1:5">
      <c r="A16" s="159">
        <v>2</v>
      </c>
      <c r="B16" s="160" t="str">
        <f>'2#楼汇总表（表2）'!B3</f>
        <v>内平开窗 55断桥铝合金内平开窗 5+12A+5LOW-E钢化玻璃</v>
      </c>
      <c r="C16" s="160">
        <f>'2#楼汇总表（表2）'!C3</f>
        <v>146.9808</v>
      </c>
      <c r="D16" s="152">
        <f>'2#楼汇总表（表2）'!$D$3</f>
        <v>496.914052510667</v>
      </c>
      <c r="E16" s="31">
        <f t="shared" si="0"/>
        <v>73036.8249692598</v>
      </c>
    </row>
    <row r="17" spans="1:5">
      <c r="A17" s="159">
        <v>2</v>
      </c>
      <c r="B17" s="160" t="str">
        <f>'2#楼汇总表（表2）'!B4</f>
        <v>内平开窗 55断桥铝合金内平开窗 5+12A+5LOW-E中空玻璃</v>
      </c>
      <c r="C17" s="160">
        <f>'2#楼汇总表（表2）'!C4</f>
        <v>119.364</v>
      </c>
      <c r="D17" s="152">
        <f>'2#楼汇总表（表2）'!$D$4</f>
        <v>557.367836090127</v>
      </c>
      <c r="E17" s="31">
        <f t="shared" si="0"/>
        <v>66529.6543870619</v>
      </c>
    </row>
    <row r="18" spans="1:7">
      <c r="A18" s="159">
        <v>2</v>
      </c>
      <c r="B18" s="160" t="str">
        <f>'2#楼汇总表（表2）'!B5</f>
        <v>内平开窗 55断桥铝合金内平开窗 5+12A+5中空玻璃</v>
      </c>
      <c r="C18" s="160">
        <f>'2#楼汇总表（表2）'!C5</f>
        <v>3.4398</v>
      </c>
      <c r="D18" s="152">
        <f>'2#楼汇总表（表2）'!$D$5</f>
        <v>878.391453850047</v>
      </c>
      <c r="E18" s="31">
        <f t="shared" si="0"/>
        <v>3021.49092295339</v>
      </c>
      <c r="G18">
        <f>C4+C18+C33+C48+C61+C75+C90+C101+C113+C123+C148+C163+C160</f>
        <v>35.2444</v>
      </c>
    </row>
    <row r="19" spans="1:7">
      <c r="A19" s="159">
        <v>2</v>
      </c>
      <c r="B19" s="160" t="str">
        <f>'2#楼汇总表（表2）'!B6</f>
        <v>内平开窗 55普通铝合金内平开窗 5+12A+5中空玻璃</v>
      </c>
      <c r="C19" s="160">
        <f>'2#楼汇总表（表2）'!C6</f>
        <v>32.5932</v>
      </c>
      <c r="D19" s="152">
        <f>'2#楼汇总表（表2）'!$D$6</f>
        <v>456.67833801851</v>
      </c>
      <c r="E19" s="31">
        <f t="shared" si="0"/>
        <v>14884.6084067049</v>
      </c>
      <c r="G19">
        <f>C5+C19+C34+C49+C62+C124</f>
        <v>118.9204</v>
      </c>
    </row>
    <row r="20" spans="1:5">
      <c r="A20" s="159">
        <v>2</v>
      </c>
      <c r="B20" s="160" t="str">
        <f>'2#楼汇总表（表2）'!B7</f>
        <v>平开门 55断桥铝合金外平开门 5+12A+5LOW-E钢化玻璃</v>
      </c>
      <c r="C20" s="160">
        <f>'2#楼汇总表（表2）'!C7</f>
        <v>153.8784</v>
      </c>
      <c r="D20" s="152">
        <f>'2#楼汇总表（表2）'!$D$7</f>
        <v>654.014090188512</v>
      </c>
      <c r="E20" s="31">
        <f t="shared" si="0"/>
        <v>100638.641775664</v>
      </c>
    </row>
    <row r="21" spans="1:7">
      <c r="A21" s="159">
        <v>2</v>
      </c>
      <c r="B21" s="160" t="str">
        <f>'2#楼汇总表（表2）'!B8</f>
        <v>上悬窗 55断桥铝合金上悬窗 5+12A+5LOW-E中空玻璃 </v>
      </c>
      <c r="C21" s="160">
        <f>'2#楼汇总表（表2）'!C8</f>
        <v>82.8828</v>
      </c>
      <c r="D21" s="152">
        <f>'2#楼汇总表（表2）'!$D$8</f>
        <v>929.110904721715</v>
      </c>
      <c r="E21" s="31">
        <f t="shared" si="0"/>
        <v>77007.313293869</v>
      </c>
      <c r="G21">
        <f>C9+C21+C36+C52+C65+C77+C91+C104+C114+C127+C137+C150+C166+C181+C195+C206+C216+C227</f>
        <v>526.2208</v>
      </c>
    </row>
    <row r="22" spans="1:7">
      <c r="A22" s="159">
        <v>2</v>
      </c>
      <c r="B22" s="160" t="str">
        <f>'2#楼汇总表（表2）'!B9</f>
        <v>上悬窗 55断桥铝合金上悬窗 5+12A+5LOW-E中空玻璃 七层及以上钢化玻璃</v>
      </c>
      <c r="C22" s="160">
        <f>'2#楼汇总表（表2）'!C9</f>
        <v>27.6276</v>
      </c>
      <c r="D22" s="152">
        <f>'2#楼汇总表（表2）'!$D$9</f>
        <v>942.768313571272</v>
      </c>
      <c r="E22" s="31">
        <f t="shared" si="0"/>
        <v>26046.4258600217</v>
      </c>
      <c r="G22">
        <f>C10+C22+C37+C53+C66+C78+C92+C105+C115+C128+C138+C151+C167+C182+C196+C217+C207+C228</f>
        <v>195.0424</v>
      </c>
    </row>
    <row r="23" spans="1:7">
      <c r="A23" s="159">
        <v>2</v>
      </c>
      <c r="B23" s="160" t="str">
        <f>'2#楼汇总表（表2）'!B10</f>
        <v>推拉窗 80断桥铝合金推拉窗 5+12A+5LOW-E中空玻璃</v>
      </c>
      <c r="C23" s="160">
        <f>'2#楼汇总表（表2）'!C10</f>
        <v>12.7596</v>
      </c>
      <c r="D23" s="152">
        <f>'2#楼汇总表（表2）'!$D$10</f>
        <v>563.957718038849</v>
      </c>
      <c r="E23" s="31">
        <f t="shared" si="0"/>
        <v>7195.8748990885</v>
      </c>
      <c r="G23">
        <f>C11+C23+C38+C80+C93+C116+C153</f>
        <v>181.4544</v>
      </c>
    </row>
    <row r="24" spans="1:7">
      <c r="A24" s="159">
        <v>2</v>
      </c>
      <c r="B24" s="160" t="str">
        <f>'2#楼汇总表（表2）'!B11</f>
        <v>推拉窗 80断桥铝合金推拉窗 5+12A+5中空玻璃</v>
      </c>
      <c r="C24" s="160">
        <f>'2#楼汇总表（表2）'!C11</f>
        <v>17.199</v>
      </c>
      <c r="D24" s="152">
        <f>'2#楼汇总表（表2）'!$D$11</f>
        <v>675.882435857685</v>
      </c>
      <c r="E24" s="31">
        <f t="shared" si="0"/>
        <v>11624.5020143163</v>
      </c>
      <c r="G24">
        <f>C12+C24+C39+C54+C67+C81+C94+C106+C117+C129+C154+C169+C184</f>
        <v>381.7008</v>
      </c>
    </row>
    <row r="25" spans="1:7">
      <c r="A25" s="159">
        <v>2</v>
      </c>
      <c r="B25" s="160" t="str">
        <f>'2#楼汇总表（表2）'!B12</f>
        <v>推拉窗 80普通铝合金推拉窗 5+12A+5中空玻璃</v>
      </c>
      <c r="C25" s="160">
        <f>'2#楼汇总表（表2）'!C12</f>
        <v>22.5246</v>
      </c>
      <c r="D25" s="152">
        <f>'2#楼汇总表（表2）'!$D$12</f>
        <v>406.883870150735</v>
      </c>
      <c r="E25" s="31">
        <f t="shared" si="0"/>
        <v>9164.89642159724</v>
      </c>
      <c r="G25">
        <f>C13+C25+C40+C82+C95+C139+C170+C155+C185</f>
        <v>124.5628</v>
      </c>
    </row>
    <row r="26" spans="1:7">
      <c r="A26" s="159">
        <v>2</v>
      </c>
      <c r="B26" s="160" t="str">
        <f>'2#楼汇总表（表2）'!B13</f>
        <v>推拉门 80普通铝合金推拉门 5+12A+5钢化玻璃 &gt;2m2采用6mm玻璃</v>
      </c>
      <c r="C26" s="160">
        <f>'2#楼汇总表（表2）'!C13</f>
        <v>243.7344</v>
      </c>
      <c r="D26" s="152">
        <f>'2#楼汇总表（表2）'!$D$13</f>
        <v>403.095332864856</v>
      </c>
      <c r="E26" s="31">
        <f t="shared" si="0"/>
        <v>98248.199098616</v>
      </c>
      <c r="G26">
        <f>C14+C42+C55+C26+C68+C83+C107+C130+C156+C199+C232</f>
        <v>1546.452</v>
      </c>
    </row>
    <row r="27" spans="1:7">
      <c r="A27" s="159">
        <v>2</v>
      </c>
      <c r="B27" s="160" t="str">
        <f>'2#楼汇总表（表2）'!B14</f>
        <v>推拉门 80普通铝合金推拉门 5+12A+5钢化玻璃</v>
      </c>
      <c r="C27" s="160">
        <f>'2#楼汇总表（表2）'!C14</f>
        <v>176.3424</v>
      </c>
      <c r="D27" s="152">
        <f>'2#楼汇总表（表2）'!$D$14</f>
        <v>431.669641812807</v>
      </c>
      <c r="E27" s="31">
        <f t="shared" si="0"/>
        <v>76121.6606444107</v>
      </c>
      <c r="G27">
        <f>C27+C41+C96+C118+C141+C171+C187+C198+C209+C219+C231</f>
        <v>1082.016</v>
      </c>
    </row>
    <row r="28" spans="1:7">
      <c r="A28" s="159">
        <v>2</v>
      </c>
      <c r="B28" s="160" t="str">
        <f>'2#楼汇总表（表2）'!B15</f>
        <v>外平开窗 55断桥铝合金外平开窗 5+12A+5中空玻璃</v>
      </c>
      <c r="C28" s="160">
        <f>'2#楼汇总表（表2）'!C15</f>
        <v>5.9598</v>
      </c>
      <c r="D28" s="152">
        <f>'2#楼汇总表（表2）'!$D$15</f>
        <v>740.875625165467</v>
      </c>
      <c r="E28" s="31">
        <f t="shared" si="0"/>
        <v>4415.47055086115</v>
      </c>
      <c r="G28">
        <f>C15+C28+C43+C57+C70+C108+C132+C142+C188+C200+C210+C220+C233</f>
        <v>31.9756</v>
      </c>
    </row>
    <row r="29" spans="1:5">
      <c r="A29" s="159"/>
      <c r="B29" s="161"/>
      <c r="C29" s="161"/>
      <c r="E29" s="31">
        <f t="shared" si="0"/>
        <v>0</v>
      </c>
    </row>
    <row r="30" spans="1:5">
      <c r="A30" s="159"/>
      <c r="B30" s="161"/>
      <c r="C30" s="161"/>
      <c r="E30" s="31">
        <f t="shared" si="0"/>
        <v>0</v>
      </c>
    </row>
    <row r="31" spans="1:5">
      <c r="A31">
        <v>3</v>
      </c>
      <c r="B31" s="160" t="str">
        <f>'3#楼汇总表（表2）'!B3</f>
        <v>内平开窗 55断桥铝合金内平开窗 5+12A+5LOW-E钢化玻璃</v>
      </c>
      <c r="C31" s="160">
        <f>'3#楼汇总表（表2）'!C3</f>
        <v>146.9808</v>
      </c>
      <c r="D31" s="152">
        <f>'3#楼汇总表（表2）'!$D$3</f>
        <v>496.914052510667</v>
      </c>
      <c r="E31" s="31">
        <f t="shared" si="0"/>
        <v>73036.8249692598</v>
      </c>
    </row>
    <row r="32" spans="1:7">
      <c r="A32">
        <v>3</v>
      </c>
      <c r="B32" s="160" t="str">
        <f>'3#楼汇总表（表2）'!B4</f>
        <v>内平开窗 55断桥铝合金内平开窗 5+12A+5LOW-E中空玻璃</v>
      </c>
      <c r="C32" s="160">
        <f>'3#楼汇总表（表2）'!C4</f>
        <v>119.364</v>
      </c>
      <c r="D32" s="152">
        <f>'3#楼汇总表（表2）'!$D$4</f>
        <v>557.367836090127</v>
      </c>
      <c r="E32" s="31">
        <f t="shared" si="0"/>
        <v>66529.6543870619</v>
      </c>
      <c r="G32">
        <f>C3+C17+C32+C47+C60+C74+C89+C100+C112+C122+C136+C147+C162+C178+C194+C205+C215+C226</f>
        <v>1106.3784</v>
      </c>
    </row>
    <row r="33" spans="1:7">
      <c r="A33">
        <v>3</v>
      </c>
      <c r="B33" s="160" t="str">
        <f>'3#楼汇总表（表2）'!B5</f>
        <v>内平开窗 55断桥铝合金内平开窗 5+12A+5中空玻璃</v>
      </c>
      <c r="C33" s="160">
        <f>'3#楼汇总表（表2）'!C5</f>
        <v>3.4398</v>
      </c>
      <c r="D33" s="152">
        <f>'3#楼汇总表（表2）'!$D$5</f>
        <v>878.391453850047</v>
      </c>
      <c r="E33" s="31">
        <f t="shared" si="0"/>
        <v>3021.49092295339</v>
      </c>
      <c r="G33">
        <f>E4+E18+E33+E48+E61+E75+E90+E101+E113+E123+E148+E160+E163</f>
        <v>31077.3271846081</v>
      </c>
    </row>
    <row r="34" spans="1:7">
      <c r="A34">
        <v>3</v>
      </c>
      <c r="B34" s="160" t="str">
        <f>'3#楼汇总表（表2）'!B6</f>
        <v>内平开窗 55普通铝合金内平开窗 5+12A+5中空玻璃</v>
      </c>
      <c r="C34" s="160">
        <f>'3#楼汇总表（表2）'!C6</f>
        <v>32.5932</v>
      </c>
      <c r="D34" s="152">
        <f>'3#楼汇总表（表2）'!$D$6</f>
        <v>452.316417630706</v>
      </c>
      <c r="E34" s="31">
        <f t="shared" si="0"/>
        <v>14742.4394631211</v>
      </c>
      <c r="G34">
        <f>E5+E19+E34+E49+E62+E124</f>
        <v>59415.852669657</v>
      </c>
    </row>
    <row r="35" spans="1:7">
      <c r="A35">
        <v>3</v>
      </c>
      <c r="B35" s="160" t="str">
        <f>'3#楼汇总表（表2）'!B7</f>
        <v>平开门 55断桥铝合金外平开门 5+12A+5LOW-E钢化玻璃</v>
      </c>
      <c r="C35" s="160">
        <f>'3#楼汇总表（表2）'!C7</f>
        <v>153.8784</v>
      </c>
      <c r="D35" s="152">
        <f>'3#楼汇总表（表2）'!$D$7</f>
        <v>654.014090188512</v>
      </c>
      <c r="E35" s="31">
        <f t="shared" si="0"/>
        <v>100638.641775664</v>
      </c>
      <c r="G35">
        <f>C7+C20+C35+C50+C63+C102+C125+C180</f>
        <v>891.4644</v>
      </c>
    </row>
    <row r="36" spans="1:7">
      <c r="A36">
        <v>3</v>
      </c>
      <c r="B36" s="160" t="str">
        <f>'3#楼汇总表（表2）'!B8</f>
        <v>上悬窗 55断桥铝合金上悬窗 5+12A+5LOW-E中空玻璃 </v>
      </c>
      <c r="C36" s="160">
        <f>'3#楼汇总表（表2）'!C8</f>
        <v>82.8828</v>
      </c>
      <c r="D36" s="152">
        <f>'3#楼汇总表（表2）'!$D$8</f>
        <v>929.110904721715</v>
      </c>
      <c r="E36" s="31">
        <f t="shared" si="0"/>
        <v>77007.313293869</v>
      </c>
      <c r="G36">
        <f>E9+E21+E36+E52+E65+E77+E91+E104+E114+E127+E137+E150+E166+E195+E181+E206+E216+E227</f>
        <v>454161.267735244</v>
      </c>
    </row>
    <row r="37" spans="1:7">
      <c r="A37">
        <v>3</v>
      </c>
      <c r="B37" s="160" t="str">
        <f>'3#楼汇总表（表2）'!B9</f>
        <v>上悬窗 55断桥铝合金上悬窗 5+12A+5LOW-E中空玻璃 七层及以上钢化玻璃</v>
      </c>
      <c r="C37" s="160">
        <f>'3#楼汇总表（表2）'!C9</f>
        <v>27.6276</v>
      </c>
      <c r="D37" s="152">
        <f>'3#楼汇总表（表2）'!$D$9</f>
        <v>942.768313571272</v>
      </c>
      <c r="E37" s="31">
        <f t="shared" si="0"/>
        <v>26046.4258600217</v>
      </c>
      <c r="G37">
        <f>E10+E22+E53+E37+E66+E78+E92+E105+E115+E128+E138+E151+E167+E182+E196+E207+E217+E228</f>
        <v>170300.220141155</v>
      </c>
    </row>
    <row r="38" spans="1:7">
      <c r="A38">
        <v>3</v>
      </c>
      <c r="B38" s="160" t="str">
        <f>'3#楼汇总表（表2）'!B10</f>
        <v>推拉窗 80断桥铝合金推拉窗 5+12A+5LOW-E中空玻璃</v>
      </c>
      <c r="C38" s="160">
        <f>'3#楼汇总表（表2）'!C10</f>
        <v>12.7596</v>
      </c>
      <c r="D38" s="152">
        <f>'3#楼汇总表（表2）'!$D$10</f>
        <v>563.957718038849</v>
      </c>
      <c r="E38" s="31">
        <f t="shared" si="0"/>
        <v>7195.8748990885</v>
      </c>
      <c r="G38">
        <f>E11+E23+E38+E80+E93+E116+E153</f>
        <v>108846.413282054</v>
      </c>
    </row>
    <row r="39" spans="1:7">
      <c r="A39">
        <v>3</v>
      </c>
      <c r="B39" s="160" t="str">
        <f>'3#楼汇总表（表2）'!B11</f>
        <v>推拉窗 80断桥铝合金推拉窗 5+12A+5中空玻璃</v>
      </c>
      <c r="C39" s="160">
        <f>'3#楼汇总表（表2）'!C11</f>
        <v>17.199</v>
      </c>
      <c r="D39" s="152">
        <f>'3#楼汇总表（表2）'!$D$11</f>
        <v>675.882435857685</v>
      </c>
      <c r="E39" s="31">
        <f t="shared" si="0"/>
        <v>11624.5020143163</v>
      </c>
      <c r="G39">
        <f>E12+E24+E39+E54+E67+E81+E94+E106+E117+E129+E154+E169+E184</f>
        <v>238954.164754825</v>
      </c>
    </row>
    <row r="40" spans="1:7">
      <c r="A40">
        <v>3</v>
      </c>
      <c r="B40" s="160" t="str">
        <f>'3#楼汇总表（表2）'!B12</f>
        <v>推拉窗 80普通铝合金推拉窗 5+12A+5中空玻璃</v>
      </c>
      <c r="C40" s="160">
        <f>'3#楼汇总表（表2）'!C12</f>
        <v>22.5246</v>
      </c>
      <c r="D40" s="152">
        <f>'3#楼汇总表（表2）'!$D$12</f>
        <v>406.883870150735</v>
      </c>
      <c r="E40" s="31">
        <f t="shared" si="0"/>
        <v>9164.89642159724</v>
      </c>
      <c r="G40">
        <f>E13+E25+E40+E82+E95+E139+E170+E155+E185</f>
        <v>60326.7465391381</v>
      </c>
    </row>
    <row r="41" spans="1:7">
      <c r="A41">
        <v>3</v>
      </c>
      <c r="B41" s="160" t="str">
        <f>'3#楼汇总表（表2）'!B13</f>
        <v>推拉门 80普通铝合金推拉门 5+12A+5钢化玻璃</v>
      </c>
      <c r="C41" s="160">
        <f>'3#楼汇总表（表2）'!C13</f>
        <v>176.3424</v>
      </c>
      <c r="D41" s="152">
        <f>'3#楼汇总表（表2）'!$D$13</f>
        <v>431.669641812807</v>
      </c>
      <c r="E41" s="31">
        <f t="shared" si="0"/>
        <v>76121.6606444107</v>
      </c>
      <c r="G41">
        <f>E27+E41+E96+E118+E141+E171+E187+E198+E209+E219+E231</f>
        <v>416244.962856288</v>
      </c>
    </row>
    <row r="42" spans="1:7">
      <c r="A42">
        <v>3</v>
      </c>
      <c r="B42" s="160" t="str">
        <f>'3#楼汇总表（表2）'!B14</f>
        <v>推拉门 80普通铝合金推拉门 5+12A+5钢化玻璃 &gt;2m2采用6mm玻璃</v>
      </c>
      <c r="C42" s="160">
        <f>'3#楼汇总表（表2）'!C14</f>
        <v>243.7344</v>
      </c>
      <c r="D42" s="152">
        <f>'3#楼汇总表（表2）'!$D$14</f>
        <v>403.095332864856</v>
      </c>
      <c r="E42" s="31">
        <f t="shared" si="0"/>
        <v>98248.199098616</v>
      </c>
      <c r="G42">
        <f>E14+E26+E42+E55+E68+E83+E107+E130+E156+E199+E232</f>
        <v>620457.270485186</v>
      </c>
    </row>
    <row r="43" spans="1:7">
      <c r="A43">
        <v>3</v>
      </c>
      <c r="B43" s="160" t="str">
        <f>'3#楼汇总表（表2）'!B15</f>
        <v>外平开窗 55断桥铝合金外平开窗 5+12A+5中空玻璃</v>
      </c>
      <c r="C43" s="160">
        <f>'3#楼汇总表（表2）'!C15</f>
        <v>5.9598</v>
      </c>
      <c r="D43" s="152">
        <f>'3#楼汇总表（表2）'!$D$15</f>
        <v>740.875625165467</v>
      </c>
      <c r="E43" s="31">
        <f t="shared" si="0"/>
        <v>4415.47055086115</v>
      </c>
      <c r="G43">
        <f>E15+E28+E43+E57+E70+E108+E132+E142+E188+E200+E210+E220+E233</f>
        <v>23315.7227837578</v>
      </c>
    </row>
    <row r="44" spans="2:5">
      <c r="B44" s="161"/>
      <c r="C44" s="161"/>
      <c r="E44" s="31">
        <f t="shared" si="0"/>
        <v>0</v>
      </c>
    </row>
    <row r="45" spans="2:5">
      <c r="B45" s="161"/>
      <c r="C45" s="161"/>
      <c r="E45" s="31">
        <f t="shared" si="0"/>
        <v>0</v>
      </c>
    </row>
    <row r="46" spans="1:5">
      <c r="A46">
        <v>5</v>
      </c>
      <c r="B46" s="160" t="str">
        <f>'5#楼汇总表（表2）'!B3</f>
        <v>内平开窗 55断桥铝合金内平开窗 5+12A+5LOW-E钢化玻璃 &gt;2m2采用6mm玻璃</v>
      </c>
      <c r="C46" s="160">
        <f>'5#楼汇总表（表2）'!C3</f>
        <v>109.0592</v>
      </c>
      <c r="D46" s="152">
        <f>'5#楼汇总表（表2）'!$D$3</f>
        <v>485.561473006677</v>
      </c>
      <c r="E46" s="31">
        <f t="shared" si="0"/>
        <v>52954.9457969298</v>
      </c>
    </row>
    <row r="47" spans="1:7">
      <c r="A47">
        <v>5</v>
      </c>
      <c r="B47" s="160" t="str">
        <f>'5#楼汇总表（表2）'!B4</f>
        <v>内平开窗 55断桥铝合金内平开窗 5+12A+5LOW-E中空玻璃</v>
      </c>
      <c r="C47" s="160">
        <f>'5#楼汇总表（表2）'!C4</f>
        <v>80.9952</v>
      </c>
      <c r="D47" s="152">
        <f>'5#楼汇总表（表2）'!$D$4</f>
        <v>504.536179939014</v>
      </c>
      <c r="E47" s="31">
        <f t="shared" si="0"/>
        <v>40865.0088013964</v>
      </c>
      <c r="G47">
        <f>E3+E17+E32+E47+E60+E74+E89+E100+E112+E136+E122+E147+E162+E178+E194+E205+E215+E226</f>
        <v>622912.523987372</v>
      </c>
    </row>
    <row r="48" spans="1:7">
      <c r="A48">
        <v>5</v>
      </c>
      <c r="B48" s="160" t="str">
        <f>'5#楼汇总表（表2）'!B5</f>
        <v>内平开窗 55断桥铝合金内平开窗 5+12A+5中空玻璃</v>
      </c>
      <c r="C48" s="160">
        <f>'5#楼汇总表（表2）'!C5</f>
        <v>2.2932</v>
      </c>
      <c r="D48" s="152">
        <f>'5#楼汇总表（表2）'!$D$5</f>
        <v>878.391453850047</v>
      </c>
      <c r="E48" s="31">
        <f t="shared" si="0"/>
        <v>2014.32728196893</v>
      </c>
      <c r="G48">
        <f>G33/G18</f>
        <v>881.766385145104</v>
      </c>
    </row>
    <row r="49" spans="1:7">
      <c r="A49">
        <v>5</v>
      </c>
      <c r="B49" s="160" t="str">
        <f>'5#楼汇总表（表2）'!B6</f>
        <v>内平开窗 55普通铝合金内平开窗 5+12A+5中空玻璃</v>
      </c>
      <c r="C49" s="160">
        <f>'5#楼汇总表（表2）'!C6</f>
        <v>23.8048</v>
      </c>
      <c r="D49" s="152">
        <f>'5#楼汇总表（表2）'!$D$6</f>
        <v>564.154530898811</v>
      </c>
      <c r="E49" s="31">
        <f t="shared" si="0"/>
        <v>13429.58577714</v>
      </c>
      <c r="G49">
        <f>G34/G19</f>
        <v>499.627083912071</v>
      </c>
    </row>
    <row r="50" spans="1:7">
      <c r="A50">
        <v>5</v>
      </c>
      <c r="B50" s="160" t="str">
        <f>'5#楼汇总表（表2）'!B7</f>
        <v>平开门 55断桥铝合金外平开门 5+12A+5LOW-E钢化玻璃</v>
      </c>
      <c r="C50" s="160">
        <f>'5#楼汇总表（表2）'!C7</f>
        <v>110.0736</v>
      </c>
      <c r="D50" s="152">
        <f>'5#楼汇总表（表2）'!$D$7</f>
        <v>630.224391055544</v>
      </c>
      <c r="E50" s="31">
        <f t="shared" si="0"/>
        <v>69371.0675312915</v>
      </c>
      <c r="G50">
        <f>E7+E20+E35+E50+E63+E102+E125+E180</f>
        <v>570450.16970624</v>
      </c>
    </row>
    <row r="51" spans="1:7">
      <c r="A51">
        <v>5</v>
      </c>
      <c r="B51" s="160" t="str">
        <f>'5#楼汇总表（表2）'!B8</f>
        <v>平开门 55普通铝合金外平开门 5+12A+5钢化玻璃</v>
      </c>
      <c r="C51" s="160">
        <f>'5#楼汇总表（表2）'!C8</f>
        <v>95.0976</v>
      </c>
      <c r="D51" s="152">
        <f>'5#楼汇总表（表2）'!$D$8</f>
        <v>603.860194383975</v>
      </c>
      <c r="E51" s="31">
        <f t="shared" si="0"/>
        <v>57425.6552214495</v>
      </c>
      <c r="G51">
        <f>C8+C51+C64+C103+C126</f>
        <v>504.2916</v>
      </c>
    </row>
    <row r="52" spans="1:7">
      <c r="A52">
        <v>5</v>
      </c>
      <c r="B52" s="160" t="str">
        <f>'5#楼汇总表（表2）'!B9</f>
        <v>上悬窗 55断桥铝合金上悬窗 5+12A+5LOW-E中空玻璃 </v>
      </c>
      <c r="C52" s="160">
        <f>'5#楼汇总表（表2）'!C9</f>
        <v>45.9888</v>
      </c>
      <c r="D52" s="152">
        <f>'5#楼汇总表（表2）'!$D$9</f>
        <v>815.835119720686</v>
      </c>
      <c r="E52" s="31">
        <f t="shared" si="0"/>
        <v>37519.2781538107</v>
      </c>
      <c r="G52">
        <f>G36/G21</f>
        <v>863.062174158156</v>
      </c>
    </row>
    <row r="53" spans="1:7">
      <c r="A53">
        <v>5</v>
      </c>
      <c r="B53" s="160" t="str">
        <f>'5#楼汇总表（表2）'!B10</f>
        <v>上悬窗 55断桥铝合金上悬窗 5+12A+5LOW-E中空玻璃 七层及以上钢化玻璃</v>
      </c>
      <c r="C53" s="160">
        <f>'5#楼汇总表（表2）'!C10</f>
        <v>15.3296</v>
      </c>
      <c r="D53" s="152">
        <f>'5#楼汇总表（表2）'!$D$10</f>
        <v>829.492528570244</v>
      </c>
      <c r="E53" s="31">
        <f t="shared" si="0"/>
        <v>12715.7886659704</v>
      </c>
      <c r="G53">
        <f>G37/G22</f>
        <v>873.144609280625</v>
      </c>
    </row>
    <row r="54" spans="1:7">
      <c r="A54">
        <v>5</v>
      </c>
      <c r="B54" s="160" t="str">
        <f>'5#楼汇总表（表2）'!B11</f>
        <v>推拉窗 80断桥铝合金推拉窗 5+12A+5中空玻璃</v>
      </c>
      <c r="C54" s="160">
        <f>'5#楼汇总表（表2）'!C11</f>
        <v>58.3128</v>
      </c>
      <c r="D54" s="152">
        <f>'5#楼汇总表（表2）'!$D$11</f>
        <v>611.437119960746</v>
      </c>
      <c r="E54" s="31">
        <f t="shared" si="0"/>
        <v>35654.610488847</v>
      </c>
      <c r="G54">
        <f>G39/G24</f>
        <v>626.024794170787</v>
      </c>
    </row>
    <row r="55" spans="1:7">
      <c r="A55">
        <v>5</v>
      </c>
      <c r="B55" s="160" t="str">
        <f>'5#楼汇总表（表2）'!B12</f>
        <v>推拉门 80普通铝合金推拉门 5+12A+5钢化玻璃 &gt;2m2采用6mm玻璃</v>
      </c>
      <c r="C55" s="160">
        <f>'5#楼汇总表（表2）'!C12</f>
        <v>166.2336</v>
      </c>
      <c r="D55" s="152">
        <f>'5#楼汇总表（表2）'!$D$12</f>
        <v>400.606451598261</v>
      </c>
      <c r="E55" s="31">
        <f t="shared" si="0"/>
        <v>66594.2526324047</v>
      </c>
      <c r="G55">
        <f>G42/G26</f>
        <v>401.213403639548</v>
      </c>
    </row>
    <row r="56" spans="1:7">
      <c r="A56">
        <v>5</v>
      </c>
      <c r="B56" s="160" t="str">
        <f>'5#楼汇总表（表2）'!B13</f>
        <v>推拉内平开窗 80普铝推拉内平开窗 5+12A+5中空玻璃</v>
      </c>
      <c r="C56" s="160">
        <f>'5#楼汇总表（表2）'!C13</f>
        <v>15.3624</v>
      </c>
      <c r="D56" s="152">
        <f>'5#楼汇总表（表2）'!$D$13</f>
        <v>646.263175723586</v>
      </c>
      <c r="E56" s="31">
        <f t="shared" si="0"/>
        <v>9928.15341073602</v>
      </c>
      <c r="G56">
        <f>C56+C69+C131</f>
        <v>45.1992</v>
      </c>
    </row>
    <row r="57" spans="2:7">
      <c r="B57" s="160" t="str">
        <f>'5#楼汇总表（表2）'!B14</f>
        <v>外平开窗 55断桥铝合金外平开窗 5+12A+5中空玻璃</v>
      </c>
      <c r="C57" s="160">
        <f>'5#楼汇总表（表2）'!C14</f>
        <v>4.0112</v>
      </c>
      <c r="D57" s="152">
        <f>'5#楼汇总表（表2）'!$D$14</f>
        <v>721.474804577051</v>
      </c>
      <c r="E57" s="31">
        <f t="shared" si="0"/>
        <v>2893.97973611947</v>
      </c>
      <c r="G57">
        <f>G43/G28</f>
        <v>729.172330894739</v>
      </c>
    </row>
    <row r="58" spans="2:5">
      <c r="B58" s="161"/>
      <c r="C58" s="161"/>
      <c r="E58" s="31">
        <f t="shared" si="0"/>
        <v>0</v>
      </c>
    </row>
    <row r="59" spans="1:7">
      <c r="A59">
        <v>6</v>
      </c>
      <c r="B59" s="160" t="str">
        <f>'6#楼汇总表（表2）'!B3</f>
        <v>内平开窗 55断桥铝合金内平开窗 5+12A+5LOW-E钢化玻璃 &gt;2m2采用6mm玻璃</v>
      </c>
      <c r="C59" s="160">
        <f>'6#楼汇总表（表2）'!C3</f>
        <v>119.1456</v>
      </c>
      <c r="D59" s="152">
        <f>'6#楼汇总表（表2）'!$D$3</f>
        <v>490.909044690703</v>
      </c>
      <c r="E59" s="31">
        <f t="shared" si="0"/>
        <v>58489.6526751006</v>
      </c>
      <c r="G59">
        <f>C2+C46+C59+C73+C88+C99+C111+C121+C146+C161+C177+C179</f>
        <v>913.8048</v>
      </c>
    </row>
    <row r="60" spans="1:7">
      <c r="A60">
        <v>6</v>
      </c>
      <c r="B60" s="160" t="str">
        <f>'6#楼汇总表（表2）'!B4</f>
        <v>内平开窗 55断桥铝合金内平开窗 5+12A+5LOW-E中空玻璃</v>
      </c>
      <c r="C60" s="160">
        <f>'6#楼汇总表（表2）'!C4</f>
        <v>101.172</v>
      </c>
      <c r="D60" s="152">
        <f>'6#楼汇总表（表2）'!$D$4</f>
        <v>523.998627346192</v>
      </c>
      <c r="E60" s="31">
        <f t="shared" si="0"/>
        <v>53013.9891258689</v>
      </c>
      <c r="G60">
        <f>G47/G32</f>
        <v>563.019419022798</v>
      </c>
    </row>
    <row r="61" spans="1:5">
      <c r="A61">
        <v>6</v>
      </c>
      <c r="B61" s="160" t="str">
        <f>'6#楼汇总表（表2）'!B5</f>
        <v>内平开窗 55断桥铝合金内平开窗 5+12A+5中空玻璃</v>
      </c>
      <c r="C61" s="160">
        <f>'6#楼汇总表（表2）'!C5</f>
        <v>2.2932</v>
      </c>
      <c r="D61" s="152">
        <f>'6#楼汇总表（表2）'!$D$5</f>
        <v>878.391453850047</v>
      </c>
      <c r="E61" s="31">
        <f t="shared" si="0"/>
        <v>2014.32728196893</v>
      </c>
    </row>
    <row r="62" spans="1:5">
      <c r="A62">
        <v>6</v>
      </c>
      <c r="B62" s="160" t="str">
        <f>'6#楼汇总表（表2）'!B6</f>
        <v>内平开窗 55普通铝合金内平开窗 5+12A+5中空玻璃</v>
      </c>
      <c r="C62" s="160">
        <f>'6#楼汇总表（表2）'!C6</f>
        <v>9.8784</v>
      </c>
      <c r="D62" s="152">
        <f>'6#楼汇总表（表2）'!$D$6</f>
        <v>571.459440522836</v>
      </c>
      <c r="E62" s="31">
        <f t="shared" si="0"/>
        <v>5645.10493726078</v>
      </c>
    </row>
    <row r="63" spans="1:7">
      <c r="A63">
        <v>6</v>
      </c>
      <c r="B63" s="160" t="str">
        <f>'6#楼汇总表（表2）'!B7</f>
        <v>平开门 55断桥铝合金外平开门 5+12A+5LOW-E钢化玻璃</v>
      </c>
      <c r="C63" s="160">
        <f>'6#楼汇总表（表2）'!C7</f>
        <v>121.1868</v>
      </c>
      <c r="D63" s="152">
        <f>'6#楼汇总表（表2）'!$D$7</f>
        <v>633.81696986891</v>
      </c>
      <c r="E63" s="31">
        <f t="shared" si="0"/>
        <v>76810.2503641096</v>
      </c>
      <c r="G63">
        <f>G50/G35</f>
        <v>639.902355838595</v>
      </c>
    </row>
    <row r="64" spans="1:7">
      <c r="A64">
        <v>6</v>
      </c>
      <c r="B64" s="160" t="str">
        <f>'6#楼汇总表（表2）'!B8</f>
        <v>平开门 55普通铝合金外平开门 5+12A+5钢化玻璃</v>
      </c>
      <c r="C64" s="160">
        <f>'6#楼汇总表（表2）'!C8</f>
        <v>104.6988</v>
      </c>
      <c r="D64" s="152">
        <f>'6#楼汇总表（表2）'!$D$8</f>
        <v>607.37053108547</v>
      </c>
      <c r="E64" s="31">
        <f t="shared" si="0"/>
        <v>63590.9657600114</v>
      </c>
      <c r="G64">
        <f>E8+E51+E64+E103+E126</f>
        <v>305624.207722933</v>
      </c>
    </row>
    <row r="65" spans="1:5">
      <c r="A65">
        <v>6</v>
      </c>
      <c r="B65" s="160" t="str">
        <f>'6#楼汇总表（表2）'!B9</f>
        <v>上悬窗 55断桥铝合金上悬窗 5+12A+5LOW-E中空玻璃</v>
      </c>
      <c r="C65" s="160">
        <f>'6#楼汇总表（表2）'!C9</f>
        <v>44.3808</v>
      </c>
      <c r="D65" s="152">
        <f>'6#楼汇总表（表2）'!$D$9</f>
        <v>826.202386534419</v>
      </c>
      <c r="E65" s="31">
        <f t="shared" si="0"/>
        <v>36667.5228763067</v>
      </c>
    </row>
    <row r="66" spans="1:5">
      <c r="A66">
        <v>6</v>
      </c>
      <c r="B66" s="160" t="str">
        <f>'6#楼汇总表（表2）'!B10</f>
        <v>上悬窗 55断桥铝合金上悬窗 5+12A+5LOW-E中空玻璃 七层及以上钢化玻璃</v>
      </c>
      <c r="C66" s="160">
        <f>'6#楼汇总表（表2）'!C10</f>
        <v>22.1904</v>
      </c>
      <c r="D66" s="152">
        <f>'6#楼汇总表（表2）'!$D$10</f>
        <v>839.859795383976</v>
      </c>
      <c r="E66" s="31">
        <f t="shared" si="0"/>
        <v>18636.8248034886</v>
      </c>
    </row>
    <row r="67" spans="1:5">
      <c r="A67">
        <v>6</v>
      </c>
      <c r="B67" s="160" t="str">
        <f>'6#楼汇总表（表2）'!B11</f>
        <v>推拉窗 80断桥铝合金推拉窗 5+12A+5中空玻璃</v>
      </c>
      <c r="C67" s="160">
        <f>'6#楼汇总表（表2）'!C11</f>
        <v>65.4264</v>
      </c>
      <c r="D67" s="152">
        <f>'6#楼汇总表（表2）'!$D$11</f>
        <v>617.217390940382</v>
      </c>
      <c r="E67" s="31">
        <f t="shared" ref="E67:E130" si="1">C67*D67</f>
        <v>40382.3119066218</v>
      </c>
    </row>
    <row r="68" spans="1:5">
      <c r="A68">
        <v>6</v>
      </c>
      <c r="B68" s="160" t="str">
        <f>'6#楼汇总表（表2）'!B12</f>
        <v>推拉门 80普通铝合金推拉门 5+12A+5钢化玻璃 &gt;2m2采用6mm玻璃</v>
      </c>
      <c r="C68" s="160">
        <f>'6#楼汇总表（表2）'!C12</f>
        <v>183.0168</v>
      </c>
      <c r="D68" s="152">
        <f>'6#楼汇总表（表2）'!$D$12</f>
        <v>402.315989007125</v>
      </c>
      <c r="E68" s="31">
        <f t="shared" si="1"/>
        <v>73630.5848969192</v>
      </c>
    </row>
    <row r="69" spans="1:7">
      <c r="A69">
        <v>6</v>
      </c>
      <c r="B69" s="160" t="str">
        <f>'6#楼汇总表（表2）'!B13</f>
        <v>推拉内平开窗 80普铝推拉内平开窗 5+12A+5中空玻璃</v>
      </c>
      <c r="C69" s="160">
        <f>'6#楼汇总表（表2）'!C13</f>
        <v>14.9184</v>
      </c>
      <c r="D69" s="152">
        <f>'6#楼汇总表（表2）'!$D$13</f>
        <v>652.747758638382</v>
      </c>
      <c r="E69" s="31">
        <f t="shared" si="1"/>
        <v>9737.95216247084</v>
      </c>
      <c r="G69">
        <f>E56+E69+E131</f>
        <v>29600.7109489183</v>
      </c>
    </row>
    <row r="70" spans="2:5">
      <c r="B70" s="160" t="str">
        <f>'6#楼汇总表（表2）'!B14</f>
        <v>外平开窗 55断桥铝合金外平开窗 5+12A+5中空玻璃</v>
      </c>
      <c r="C70" s="160">
        <f>'6#楼汇总表（表2）'!C14</f>
        <v>4.0112</v>
      </c>
      <c r="D70" s="152">
        <f>'6#楼汇总表（表2）'!$D$14</f>
        <v>721.474804577051</v>
      </c>
      <c r="E70" s="31">
        <f t="shared" si="1"/>
        <v>2893.97973611947</v>
      </c>
    </row>
    <row r="71" spans="2:5">
      <c r="B71" s="161"/>
      <c r="C71" s="161"/>
      <c r="E71" s="31">
        <f t="shared" si="1"/>
        <v>0</v>
      </c>
    </row>
    <row r="72" spans="1:5">
      <c r="A72">
        <v>7</v>
      </c>
      <c r="B72" s="160" t="str">
        <f>'7#楼汇总表（表2）'!B3</f>
        <v>内平开窗 55断桥铝合金内平开窗 5+12A+5LOW-E钢化玻璃</v>
      </c>
      <c r="C72" s="160">
        <f>'7#楼汇总表（表2）'!C3</f>
        <v>179.3664</v>
      </c>
      <c r="D72" s="152">
        <f>'7#楼汇总表（表2）'!$D$3</f>
        <v>521.804727303291</v>
      </c>
      <c r="E72" s="31">
        <f t="shared" si="1"/>
        <v>93594.235439373</v>
      </c>
    </row>
    <row r="73" spans="1:7">
      <c r="A73">
        <v>7</v>
      </c>
      <c r="B73" s="160" t="str">
        <f>'7#楼汇总表（表2）'!B4</f>
        <v>内平开窗 55断桥铝合金内平开窗 5+12A+5LOW-E钢化玻璃 &gt;2m2采用6mm玻璃</v>
      </c>
      <c r="C73" s="160">
        <f>'7#楼汇总表（表2）'!C4</f>
        <v>109.0592</v>
      </c>
      <c r="D73" s="152">
        <f>'7#楼汇总表（表2）'!$D$4</f>
        <v>485.49907875305</v>
      </c>
      <c r="E73" s="31">
        <f t="shared" si="1"/>
        <v>52948.1411295446</v>
      </c>
      <c r="G73">
        <f>E2+E46+E59+E73+E88+E99+E111+E121+E146+E161+E177+E179</f>
        <v>443354.718330305</v>
      </c>
    </row>
    <row r="74" spans="1:5">
      <c r="A74">
        <v>7</v>
      </c>
      <c r="B74" s="160" t="str">
        <f>'7#楼汇总表（表2）'!B5</f>
        <v>内平开窗 55断桥铝合金内平开窗 5+12A+5LOW-E中空玻璃</v>
      </c>
      <c r="C74" s="160">
        <f>'7#楼汇总表（表2）'!C5</f>
        <v>105.488</v>
      </c>
      <c r="D74" s="152">
        <f>'7#楼汇总表（表2）'!$D$5</f>
        <v>531.276450095122</v>
      </c>
      <c r="E74" s="31">
        <f t="shared" si="1"/>
        <v>56043.2901676342</v>
      </c>
    </row>
    <row r="75" spans="1:5">
      <c r="A75">
        <v>7</v>
      </c>
      <c r="B75" s="160" t="str">
        <f>'7#楼汇总表（表2）'!B6</f>
        <v>内平开窗 55断桥铝合金内平开窗 5+12A+5中空玻璃</v>
      </c>
      <c r="C75" s="160">
        <f>'7#楼汇总表（表2）'!C6</f>
        <v>2.2932</v>
      </c>
      <c r="D75" s="152">
        <f>'7#楼汇总表（表2）'!$D$6</f>
        <v>878.391453850047</v>
      </c>
      <c r="E75" s="31">
        <f t="shared" si="1"/>
        <v>2014.32728196893</v>
      </c>
    </row>
    <row r="76" spans="1:7">
      <c r="A76">
        <v>7</v>
      </c>
      <c r="B76" s="160" t="str">
        <f>'7#楼汇总表（表2）'!B7</f>
        <v>平开门 55断桥铝合金外平开门 5+12A+5LOW-E钢化玻璃 &gt;2m2采用6mm玻璃</v>
      </c>
      <c r="C76" s="160">
        <f>'7#楼汇总表（表2）'!C7</f>
        <v>155.0016</v>
      </c>
      <c r="D76" s="152">
        <f>'7#楼汇总表（表2）'!$D$7</f>
        <v>551.223781084547</v>
      </c>
      <c r="E76" s="31">
        <f t="shared" si="1"/>
        <v>85440.5680261545</v>
      </c>
      <c r="G76">
        <f>C149+C76</f>
        <v>155.0016</v>
      </c>
    </row>
    <row r="77" spans="1:5">
      <c r="A77">
        <v>7</v>
      </c>
      <c r="B77" s="160" t="str">
        <f>'7#楼汇总表（表2）'!B8</f>
        <v>上悬窗 55断桥铝合金上悬窗 5+12A+5LOW-E中空玻璃 </v>
      </c>
      <c r="C77" s="160">
        <f>'7#楼汇总表（表2）'!C8</f>
        <v>56.2848</v>
      </c>
      <c r="D77" s="152">
        <f>'7#楼汇总表（表2）'!$D$8</f>
        <v>732.432369483651</v>
      </c>
      <c r="E77" s="31">
        <f t="shared" si="1"/>
        <v>41224.8094299134</v>
      </c>
    </row>
    <row r="78" spans="1:5">
      <c r="A78">
        <v>7</v>
      </c>
      <c r="B78" s="160" t="str">
        <f>'7#楼汇总表（表2）'!B9</f>
        <v>上悬窗 55断桥铝合金上悬窗 5+12A+5LOW-E中空玻璃 七层及以上钢化玻璃</v>
      </c>
      <c r="C78" s="160">
        <f>'7#楼汇总表（表2）'!C9</f>
        <v>18.7616</v>
      </c>
      <c r="D78" s="152">
        <f>'7#楼汇总表（表2）'!$D$9</f>
        <v>746.08977833321</v>
      </c>
      <c r="E78" s="31">
        <f t="shared" si="1"/>
        <v>13997.8379851764</v>
      </c>
    </row>
    <row r="79" spans="1:7">
      <c r="A79">
        <v>7</v>
      </c>
      <c r="B79" s="160" t="str">
        <f>'7#楼汇总表（表2）'!B10</f>
        <v>上悬窗 55断桥铝合金上悬窗 5+12A+5中空玻璃</v>
      </c>
      <c r="C79" s="160">
        <f>'7#楼汇总表（表2）'!C10</f>
        <v>15.4154</v>
      </c>
      <c r="D79" s="152">
        <f>'7#楼汇总表（表2）'!$D$10</f>
        <v>748.81854393274</v>
      </c>
      <c r="E79" s="31">
        <f t="shared" si="1"/>
        <v>11543.3373821408</v>
      </c>
      <c r="G79">
        <f>C79+C152</f>
        <v>15.4154</v>
      </c>
    </row>
    <row r="80" spans="1:7">
      <c r="A80">
        <v>7</v>
      </c>
      <c r="B80" s="160" t="str">
        <f>'7#楼汇总表（表2）'!B11</f>
        <v>推拉窗 80断桥铝合金推拉窗 5+12A+5LOW-E中空玻璃 </v>
      </c>
      <c r="C80" s="160">
        <f>'7#楼汇总表（表2）'!C11</f>
        <v>53.5392</v>
      </c>
      <c r="D80" s="152">
        <f>'7#楼汇总表（表2）'!$D$11</f>
        <v>608.385727104023</v>
      </c>
      <c r="E80" s="31">
        <f t="shared" si="1"/>
        <v>32572.4851205677</v>
      </c>
      <c r="G80">
        <f>G38/G23</f>
        <v>599.855463863393</v>
      </c>
    </row>
    <row r="81" spans="1:5">
      <c r="A81">
        <v>7</v>
      </c>
      <c r="B81" s="160" t="str">
        <f>'7#楼汇总表（表2）'!B12</f>
        <v>推拉窗 80断桥铝合金推拉窗 5+12A+5中空玻璃</v>
      </c>
      <c r="C81" s="160">
        <f>'7#楼汇总表（表2）'!C12</f>
        <v>11.466</v>
      </c>
      <c r="D81" s="152">
        <f>'7#楼汇总表（表2）'!$D$12</f>
        <v>675.882435857685</v>
      </c>
      <c r="E81" s="31">
        <f t="shared" si="1"/>
        <v>7749.66800954422</v>
      </c>
    </row>
    <row r="82" spans="1:7">
      <c r="A82">
        <v>7</v>
      </c>
      <c r="B82" s="160" t="str">
        <f>'7#楼汇总表（表2）'!B13</f>
        <v>推拉窗 80普通铝合金推拉窗 5+12A+5中空玻璃</v>
      </c>
      <c r="C82" s="160">
        <f>'7#楼汇总表（表2）'!C13</f>
        <v>29.4768</v>
      </c>
      <c r="D82" s="152">
        <f>'7#楼汇总表（表2）'!$D$13</f>
        <v>549.224998409235</v>
      </c>
      <c r="E82" s="31">
        <f t="shared" si="1"/>
        <v>16189.3954331093</v>
      </c>
      <c r="G82">
        <f>G40/G25</f>
        <v>484.307887580707</v>
      </c>
    </row>
    <row r="83" spans="1:5">
      <c r="A83">
        <v>7</v>
      </c>
      <c r="B83" s="160" t="str">
        <f>'7#楼汇总表（表2）'!B14</f>
        <v>推拉门 80普通铝合金推拉门 5+12A+5钢化玻璃 &gt;2m2采用6mm玻璃</v>
      </c>
      <c r="C83" s="160">
        <f>'7#楼汇总表（表2）'!C14</f>
        <v>177.4656</v>
      </c>
      <c r="D83" s="152">
        <f>'7#楼汇总表（表2）'!$D$14</f>
        <v>393.769904321665</v>
      </c>
      <c r="E83" s="31">
        <f t="shared" si="1"/>
        <v>69880.6123323869</v>
      </c>
    </row>
    <row r="84" spans="1:7">
      <c r="A84">
        <v>7</v>
      </c>
      <c r="B84" s="160" t="str">
        <f>'7#楼汇总表（表2）'!B15</f>
        <v>外平开窗 55断桥铝合金外平开窗 5+12A+5LOW-E中空玻璃</v>
      </c>
      <c r="C84" s="160">
        <f>'7#楼汇总表（表2）'!C15</f>
        <v>4.0112</v>
      </c>
      <c r="D84" s="152">
        <f>'7#楼汇总表（表2）'!$D$15</f>
        <v>721.474804577051</v>
      </c>
      <c r="E84" s="31">
        <f t="shared" si="1"/>
        <v>2893.97973611947</v>
      </c>
      <c r="G84">
        <f>C84+C157</f>
        <v>4.0112</v>
      </c>
    </row>
    <row r="85" spans="2:5">
      <c r="B85" s="161"/>
      <c r="C85" s="161"/>
      <c r="E85" s="31">
        <f t="shared" si="1"/>
        <v>0</v>
      </c>
    </row>
    <row r="86" spans="2:5">
      <c r="B86" s="161"/>
      <c r="C86" s="161"/>
      <c r="E86" s="31">
        <f t="shared" si="1"/>
        <v>0</v>
      </c>
    </row>
    <row r="87" ht="24.75" customHeight="1" spans="1:7">
      <c r="A87">
        <v>8</v>
      </c>
      <c r="B87" s="13" t="str">
        <f>'8#楼汇总表（表2）'!B3</f>
        <v>内平开窗 55断桥铝合金内平开窗 5+12A+5LOW-E钢化玻璃</v>
      </c>
      <c r="C87" s="13">
        <f>'8#楼汇总表（表2）'!C3</f>
        <v>97.9872</v>
      </c>
      <c r="D87" s="152">
        <f>'8#楼汇总表（表2）'!$D$3</f>
        <v>493.844423564368</v>
      </c>
      <c r="E87" s="31">
        <f t="shared" si="1"/>
        <v>48390.4323006864</v>
      </c>
      <c r="G87">
        <f>C16+C31+C72+C87+C110+C145+C176+C193+C204+C214+C225</f>
        <v>669.3024</v>
      </c>
    </row>
    <row r="88" spans="1:7">
      <c r="A88">
        <v>8</v>
      </c>
      <c r="B88" s="13" t="str">
        <f>'8#楼汇总表（表2）'!B4</f>
        <v>内平开窗 55断桥铝合金内平开窗 5+12A+5LOW-E钢化玻璃 &gt;2m2采用6mm玻璃</v>
      </c>
      <c r="C88" s="13">
        <f>'8#楼汇总表（表2）'!C4</f>
        <v>114.5952</v>
      </c>
      <c r="D88" s="152">
        <f>'8#楼汇总表（表2）'!$D$4</f>
        <v>476.7590613847</v>
      </c>
      <c r="E88" s="31">
        <f t="shared" si="1"/>
        <v>54634.299991192</v>
      </c>
      <c r="G88">
        <f>G73/G59</f>
        <v>485.17442492128</v>
      </c>
    </row>
    <row r="89" spans="1:5">
      <c r="A89">
        <v>8</v>
      </c>
      <c r="B89" s="13" t="str">
        <f>'8#楼汇总表（表2）'!B5</f>
        <v>内平开窗 55断桥铝合金内平开窗 5+12A+5LOW-E中空玻璃</v>
      </c>
      <c r="C89" s="13">
        <f>'8#楼汇总表（表2）'!C5</f>
        <v>161.8752</v>
      </c>
      <c r="D89" s="152">
        <f>'8#楼汇总表（表2）'!$D$5</f>
        <v>650.592790355533</v>
      </c>
      <c r="E89" s="31">
        <f t="shared" si="1"/>
        <v>105314.83805736</v>
      </c>
    </row>
    <row r="90" spans="1:5">
      <c r="A90">
        <v>8</v>
      </c>
      <c r="B90" s="13" t="str">
        <f>'8#楼汇总表（表2）'!B6</f>
        <v>内平开窗 55断桥铝合金内平开窗 5+12A+5中空玻璃</v>
      </c>
      <c r="C90" s="13">
        <f>'8#楼汇总表（表2）'!C6</f>
        <v>7.3028</v>
      </c>
      <c r="D90" s="152">
        <f>'8#楼汇总表（表2）'!$D$6</f>
        <v>886.535414285462</v>
      </c>
      <c r="E90" s="31">
        <f t="shared" si="1"/>
        <v>6474.19082344387</v>
      </c>
    </row>
    <row r="91" spans="1:5">
      <c r="A91">
        <v>8</v>
      </c>
      <c r="B91" s="13" t="str">
        <f>'8#楼汇总表（表2）'!B7</f>
        <v>上悬窗 55断桥铝合金上悬窗 5+12A+5LOW-E中空玻璃 </v>
      </c>
      <c r="C91" s="13">
        <f>'8#楼汇总表（表2）'!C7</f>
        <v>39.5252</v>
      </c>
      <c r="D91" s="152">
        <f>'8#楼汇总表（表2）'!$D$7</f>
        <v>934.602567236236</v>
      </c>
      <c r="E91" s="31">
        <f t="shared" si="1"/>
        <v>36940.3533905257</v>
      </c>
    </row>
    <row r="92" spans="1:5">
      <c r="A92">
        <v>8</v>
      </c>
      <c r="B92" s="13" t="str">
        <f>'8#楼汇总表（表2）'!B8</f>
        <v>上悬窗 55断桥铝合金上悬窗 5+12A+5LOW-E中空玻璃 七层及以上钢化玻璃</v>
      </c>
      <c r="C92" s="13">
        <f>'8#楼汇总表（表2）'!C8</f>
        <v>11.8976</v>
      </c>
      <c r="D92" s="152">
        <f>'8#楼汇总表（表2）'!$D$8</f>
        <v>961.012250097879</v>
      </c>
      <c r="E92" s="31">
        <f t="shared" si="1"/>
        <v>11433.7393467645</v>
      </c>
    </row>
    <row r="93" spans="1:5">
      <c r="A93">
        <v>8</v>
      </c>
      <c r="B93" s="13" t="str">
        <f>'8#楼汇总表（表2）'!B9</f>
        <v>推拉窗 80断桥铝合金推拉窗 5+12A+5LOW-E中空玻璃</v>
      </c>
      <c r="C93" s="13">
        <f>'8#楼汇总表（表2）'!C9</f>
        <v>46.8468</v>
      </c>
      <c r="D93" s="152">
        <f>'8#楼汇总表（表2）'!$D$9</f>
        <v>608.385727104023</v>
      </c>
      <c r="E93" s="31">
        <f t="shared" si="1"/>
        <v>28500.9244804967</v>
      </c>
    </row>
    <row r="94" spans="1:5">
      <c r="A94">
        <v>8</v>
      </c>
      <c r="B94" s="13" t="str">
        <f>'8#楼汇总表（表2）'!B10</f>
        <v>推拉窗 80断桥铝合金推拉窗 5+12A+5中空玻璃</v>
      </c>
      <c r="C94" s="13">
        <f>'8#楼汇总表（表2）'!C10</f>
        <v>11.466</v>
      </c>
      <c r="D94" s="152">
        <f>'8#楼汇总表（表2）'!$D$10</f>
        <v>675.882435857685</v>
      </c>
      <c r="E94" s="31">
        <f t="shared" si="1"/>
        <v>7749.66800954422</v>
      </c>
    </row>
    <row r="95" spans="1:5">
      <c r="A95">
        <v>8</v>
      </c>
      <c r="B95" s="13" t="str">
        <f>'8#楼汇总表（表2）'!B11</f>
        <v>推拉窗 80普通铝合金推拉窗 5+12A+5中空玻璃</v>
      </c>
      <c r="C95" s="13">
        <f>'8#楼汇总表（表2）'!C11</f>
        <v>34.6744</v>
      </c>
      <c r="D95" s="152">
        <f>'8#楼汇总表（表2）'!$D$11</f>
        <v>565.041768504833</v>
      </c>
      <c r="E95" s="31">
        <f t="shared" si="1"/>
        <v>19592.484297844</v>
      </c>
    </row>
    <row r="96" spans="1:7">
      <c r="A96">
        <v>8</v>
      </c>
      <c r="B96" s="13" t="str">
        <f>'8#楼汇总表（表2）'!B12</f>
        <v>推拉门 80普通铝合金推拉门 5+12A+5钢化玻璃</v>
      </c>
      <c r="C96" s="13">
        <f>'8#楼汇总表（表2）'!C12</f>
        <v>364.6656</v>
      </c>
      <c r="D96" s="152">
        <f>'8#楼汇总表（表2）'!$D$12</f>
        <v>361.977715429515</v>
      </c>
      <c r="E96" s="31">
        <f t="shared" si="1"/>
        <v>132000.820783733</v>
      </c>
      <c r="G96">
        <f>G41/G27</f>
        <v>384.693907350989</v>
      </c>
    </row>
    <row r="97" spans="2:5">
      <c r="B97" s="162"/>
      <c r="C97" s="162"/>
      <c r="E97" s="31">
        <f t="shared" si="1"/>
        <v>0</v>
      </c>
    </row>
    <row r="98" spans="2:5">
      <c r="B98" s="163"/>
      <c r="C98" s="163"/>
      <c r="E98" s="31">
        <f t="shared" si="1"/>
        <v>0</v>
      </c>
    </row>
    <row r="99" spans="1:5">
      <c r="A99">
        <v>9</v>
      </c>
      <c r="B99" s="160" t="str">
        <f>'9#楼汇总表（表2）'!B3</f>
        <v>内平开窗 55断桥铝合金内平开窗 5+12A+5LOW-E钢化玻璃 &gt;2m2采用6mm玻璃</v>
      </c>
      <c r="C99" s="160">
        <f>'9#楼汇总表（表2）'!C3</f>
        <v>119.1456</v>
      </c>
      <c r="D99" s="152">
        <f>'9#楼汇总表（表2）'!$D$3</f>
        <v>490.846650437076</v>
      </c>
      <c r="E99" s="31">
        <f t="shared" si="1"/>
        <v>58482.2186743157</v>
      </c>
    </row>
    <row r="100" spans="1:5">
      <c r="A100">
        <v>9</v>
      </c>
      <c r="B100" s="160" t="str">
        <f>'9#楼汇总表（表2）'!B4</f>
        <v>内平开窗 55断桥铝合金内平开窗 5+12A+5LOW-E中空玻璃</v>
      </c>
      <c r="C100" s="160">
        <f>'9#楼汇总表（表2）'!C4</f>
        <v>87.9336</v>
      </c>
      <c r="D100" s="152">
        <f>'9#楼汇总表（表2）'!$D$4</f>
        <v>509.623626296245</v>
      </c>
      <c r="E100" s="31">
        <f t="shared" si="1"/>
        <v>44813.0401052835</v>
      </c>
    </row>
    <row r="101" spans="1:5">
      <c r="A101">
        <v>9</v>
      </c>
      <c r="B101" s="160" t="str">
        <f>'9#楼汇总表（表2）'!B5</f>
        <v>内平开窗 55断桥铝合金内平开窗 5+12A+5中空玻璃</v>
      </c>
      <c r="C101" s="160">
        <f>'9#楼汇总表（表2）'!C5</f>
        <v>2.2932</v>
      </c>
      <c r="D101" s="152">
        <f>'9#楼汇总表（表2）'!$D$5</f>
        <v>878.391453850047</v>
      </c>
      <c r="E101" s="31">
        <f t="shared" si="1"/>
        <v>2014.32728196893</v>
      </c>
    </row>
    <row r="102" spans="1:5">
      <c r="A102">
        <v>9</v>
      </c>
      <c r="B102" s="160" t="str">
        <f>'9#楼汇总表（表2）'!B6</f>
        <v>平开门 55断桥铝合金外平开门 5+12A+5LOW-E钢化玻璃</v>
      </c>
      <c r="C102" s="160">
        <f>'9#楼汇总表（表2）'!C6</f>
        <v>121.1868</v>
      </c>
      <c r="D102" s="152">
        <f>'9#楼汇总表（表2）'!$D$6</f>
        <v>633.81696986891</v>
      </c>
      <c r="E102" s="31">
        <f t="shared" si="1"/>
        <v>76810.2503641096</v>
      </c>
    </row>
    <row r="103" spans="1:7">
      <c r="A103">
        <v>9</v>
      </c>
      <c r="B103" s="160" t="str">
        <f>'9#楼汇总表（表2）'!B7</f>
        <v>平开门 55普通铝合金外平开门 5+12A+5钢化玻璃</v>
      </c>
      <c r="C103" s="160">
        <f>'9#楼汇总表（表2）'!C7</f>
        <v>104.6988</v>
      </c>
      <c r="D103" s="152">
        <f>'9#楼汇总表（表2）'!$D$7</f>
        <v>607.37053108547</v>
      </c>
      <c r="E103" s="31">
        <f t="shared" si="1"/>
        <v>63590.9657600114</v>
      </c>
      <c r="G103">
        <f>G64/G51</f>
        <v>606.0465963005</v>
      </c>
    </row>
    <row r="104" spans="1:5">
      <c r="A104">
        <v>9</v>
      </c>
      <c r="B104" s="160" t="str">
        <f>'9#楼汇总表（表2）'!B8</f>
        <v>上悬窗 55断桥铝合金上悬窗 5+12A+5LOW-E中空玻璃 </v>
      </c>
      <c r="C104" s="160">
        <f>'9#楼汇总表（表2）'!C8</f>
        <v>44.3808</v>
      </c>
      <c r="D104" s="152">
        <f>'9#楼汇总表（表2）'!$D$8</f>
        <v>826.202386534419</v>
      </c>
      <c r="E104" s="31">
        <f t="shared" si="1"/>
        <v>36667.5228763067</v>
      </c>
    </row>
    <row r="105" spans="1:5">
      <c r="A105">
        <v>9</v>
      </c>
      <c r="B105" s="160" t="str">
        <f>'9#楼汇总表（表2）'!B9</f>
        <v>上悬窗 55断桥铝合金上悬窗 5+12A+5LOW-E中空玻璃 七层及以上钢化玻璃</v>
      </c>
      <c r="C105" s="160">
        <f>'9#楼汇总表（表2）'!C9</f>
        <v>22.1904</v>
      </c>
      <c r="D105" s="152">
        <f>'9#楼汇总表（表2）'!$D$9</f>
        <v>839.859795383976</v>
      </c>
      <c r="E105" s="31">
        <f t="shared" si="1"/>
        <v>18636.8248034886</v>
      </c>
    </row>
    <row r="106" spans="1:5">
      <c r="A106">
        <v>9</v>
      </c>
      <c r="B106" s="160" t="str">
        <f>'9#楼汇总表（表2）'!B10</f>
        <v>推拉窗 80断桥铝合金推拉窗 5+12A+5中空玻璃</v>
      </c>
      <c r="C106" s="160">
        <f>'9#楼汇总表（表2）'!C10</f>
        <v>65.4264</v>
      </c>
      <c r="D106" s="152">
        <f>'9#楼汇总表（表2）'!$D$10</f>
        <v>617.217390940382</v>
      </c>
      <c r="E106" s="31">
        <f t="shared" si="1"/>
        <v>40382.3119066218</v>
      </c>
    </row>
    <row r="107" spans="1:5">
      <c r="A107">
        <v>9</v>
      </c>
      <c r="B107" s="160" t="str">
        <f>'9#楼汇总表（表2）'!B11</f>
        <v>推拉门 80普通铝合金推拉门 5+12A+5钢化玻璃 &gt;2m2采用6mm玻璃</v>
      </c>
      <c r="C107" s="160">
        <f>'9#楼汇总表（表2）'!C11</f>
        <v>183.0168</v>
      </c>
      <c r="D107" s="152">
        <f>'9#楼汇总表（表2）'!$D$11</f>
        <v>402.315989007125</v>
      </c>
      <c r="E107" s="31">
        <f t="shared" si="1"/>
        <v>73630.5848969192</v>
      </c>
    </row>
    <row r="108" spans="2:5">
      <c r="B108" s="160" t="str">
        <f>'9#楼汇总表（表2）'!B12</f>
        <v>外平开窗 55断桥铝合金外平开窗 5+12A+5中空玻璃</v>
      </c>
      <c r="C108" s="160">
        <f>'9#楼汇总表（表2）'!C12</f>
        <v>4.0112</v>
      </c>
      <c r="D108" s="152">
        <f>'9#楼汇总表（表2）'!$D$12</f>
        <v>721.474804577051</v>
      </c>
      <c r="E108" s="31">
        <f t="shared" si="1"/>
        <v>2893.97973611947</v>
      </c>
    </row>
    <row r="109" spans="2:5">
      <c r="B109" s="161"/>
      <c r="C109" s="161"/>
      <c r="E109" s="31">
        <f t="shared" si="1"/>
        <v>0</v>
      </c>
    </row>
    <row r="110" spans="1:7">
      <c r="A110">
        <v>10</v>
      </c>
      <c r="B110" s="160" t="str">
        <f>'10#楼汇总表（表2）'!B3</f>
        <v>内平开窗 55断桥铝合金内平开窗 5+12A+5LOW-E钢化玻璃</v>
      </c>
      <c r="C110" s="160">
        <f>'10#楼汇总表（表2）'!C3</f>
        <v>97.9872</v>
      </c>
      <c r="D110" s="152">
        <f>'10#楼汇总表（表2）'!$D$3</f>
        <v>493.844423564368</v>
      </c>
      <c r="E110" s="31">
        <f t="shared" si="1"/>
        <v>48390.4323006864</v>
      </c>
      <c r="G110">
        <f>E16+E31+E72+E87+E110+E145+E176+E193+E204+E214+E225</f>
        <v>336448.749979265</v>
      </c>
    </row>
    <row r="111" spans="1:5">
      <c r="A111">
        <v>10</v>
      </c>
      <c r="B111" s="160" t="str">
        <f>'10#楼汇总表（表2）'!B4</f>
        <v>内平开窗 55断桥铝合金内平开窗 5+12A+5LOW-E钢化玻璃 &gt;2m2采用6mm玻璃</v>
      </c>
      <c r="C111" s="160">
        <f>'10#楼汇总表（表2）'!C4</f>
        <v>114.5952</v>
      </c>
      <c r="D111" s="152">
        <f>'10#楼汇总表（表2）'!$D$4</f>
        <v>476.7590613847</v>
      </c>
      <c r="E111" s="31">
        <f t="shared" si="1"/>
        <v>54634.299991192</v>
      </c>
    </row>
    <row r="112" spans="1:5">
      <c r="A112">
        <v>10</v>
      </c>
      <c r="B112" s="160" t="str">
        <f>'10#楼汇总表（表2）'!B5</f>
        <v>内平开窗 55断桥铝合金内平开窗 5+12A+5LOW-E中空玻璃</v>
      </c>
      <c r="C112" s="160">
        <f>'10#楼汇总表（表2）'!C5</f>
        <v>134.5344</v>
      </c>
      <c r="D112" s="152">
        <f>'10#楼汇总表（表2）'!$D$5</f>
        <v>651.126667551971</v>
      </c>
      <c r="E112" s="31">
        <f t="shared" si="1"/>
        <v>87598.9355431039</v>
      </c>
    </row>
    <row r="113" spans="1:5">
      <c r="A113">
        <v>10</v>
      </c>
      <c r="B113" s="160" t="str">
        <f>'10#楼汇总表（表2）'!B6</f>
        <v>内平开窗 55断桥铝合金内平开窗 5+12A+5中空玻璃</v>
      </c>
      <c r="C113" s="160">
        <f>'10#楼汇总表（表2）'!C6</f>
        <v>7.3028</v>
      </c>
      <c r="D113" s="152">
        <f>'10#楼汇总表（表2）'!$D$6</f>
        <v>886.535414285462</v>
      </c>
      <c r="E113" s="31">
        <f t="shared" si="1"/>
        <v>6474.19082344387</v>
      </c>
    </row>
    <row r="114" spans="1:5">
      <c r="A114">
        <v>10</v>
      </c>
      <c r="B114" s="160" t="str">
        <f>'10#楼汇总表（表2）'!B7</f>
        <v>上悬窗 55断桥铝合金上悬窗 5+12A+5LOW-E中空玻璃 </v>
      </c>
      <c r="C114" s="160">
        <f>'10#楼汇总表（表2）'!C7</f>
        <v>39.5252</v>
      </c>
      <c r="D114" s="152">
        <f>'10#楼汇总表（表2）'!$D$7</f>
        <v>934.602567236236</v>
      </c>
      <c r="E114" s="31">
        <f t="shared" si="1"/>
        <v>36940.3533905257</v>
      </c>
    </row>
    <row r="115" spans="1:5">
      <c r="A115">
        <v>10</v>
      </c>
      <c r="B115" s="160" t="str">
        <f>'10#楼汇总表（表2）'!B8</f>
        <v>上悬窗 55断桥铝合金上悬窗 5+12A+5LOW-E中空玻璃 七层及以上钢化玻璃</v>
      </c>
      <c r="C115" s="160">
        <f>'10#楼汇总表（表2）'!C8</f>
        <v>11.8976</v>
      </c>
      <c r="D115" s="152">
        <f>'10#楼汇总表（表2）'!$D$8</f>
        <v>961.012250097879</v>
      </c>
      <c r="E115" s="31">
        <f t="shared" si="1"/>
        <v>11433.7393467645</v>
      </c>
    </row>
    <row r="116" spans="1:5">
      <c r="A116">
        <v>10</v>
      </c>
      <c r="B116" s="160" t="str">
        <f>'10#楼汇总表（表2）'!B9</f>
        <v>推拉窗 80断桥铝合金推拉窗 5+12A+5LOW-E中空玻璃</v>
      </c>
      <c r="C116" s="160">
        <f>'10#楼汇总表（表2）'!C9</f>
        <v>46.8468</v>
      </c>
      <c r="D116" s="152">
        <f>'10#楼汇总表（表2）'!$D$9</f>
        <v>608.385727104023</v>
      </c>
      <c r="E116" s="31">
        <f t="shared" si="1"/>
        <v>28500.9244804967</v>
      </c>
    </row>
    <row r="117" spans="1:5">
      <c r="A117">
        <v>10</v>
      </c>
      <c r="B117" s="160" t="str">
        <f>'10#楼汇总表（表2）'!B10</f>
        <v>推拉窗 80断桥铝合金推拉窗 5+12A+5中空玻璃</v>
      </c>
      <c r="C117" s="160">
        <f>'10#楼汇总表（表2）'!C10</f>
        <v>11.466</v>
      </c>
      <c r="D117" s="152">
        <f>'10#楼汇总表（表2）'!$D$10</f>
        <v>675.882435857685</v>
      </c>
      <c r="E117" s="31">
        <f t="shared" si="1"/>
        <v>7749.66800954422</v>
      </c>
    </row>
    <row r="118" spans="1:5">
      <c r="A118">
        <v>10</v>
      </c>
      <c r="B118" s="160" t="str">
        <f>'10#楼汇总表（表2）'!B11</f>
        <v>推拉门 80普通铝合金推拉门 5+12A+5钢化玻璃</v>
      </c>
      <c r="C118" s="160">
        <f>'10#楼汇总表（表2）'!C11</f>
        <v>364.6656</v>
      </c>
      <c r="D118" s="152">
        <f>'10#楼汇总表（表2）'!$D$11</f>
        <v>361.977715429515</v>
      </c>
      <c r="E118" s="31">
        <f t="shared" si="1"/>
        <v>132000.820783733</v>
      </c>
    </row>
    <row r="119" spans="2:5">
      <c r="B119" s="161"/>
      <c r="C119" s="161"/>
      <c r="E119" s="31">
        <f t="shared" si="1"/>
        <v>0</v>
      </c>
    </row>
    <row r="120" spans="2:5">
      <c r="B120" s="161"/>
      <c r="C120" s="161"/>
      <c r="E120" s="31">
        <f t="shared" si="1"/>
        <v>0</v>
      </c>
    </row>
    <row r="121" spans="1:5">
      <c r="A121">
        <v>11</v>
      </c>
      <c r="B121" s="160" t="str">
        <f>'11#楼汇总表（表2）'!B3</f>
        <v>内平开窗 55断桥铝合金内平开窗 5+12A+5LOW-E钢化玻璃 &gt;2m2采用6mm玻璃</v>
      </c>
      <c r="C121" s="160">
        <f>'11#楼汇总表（表2）'!C3</f>
        <v>119.1456</v>
      </c>
      <c r="D121" s="152">
        <f>'11#楼汇总表（表2）'!$D$3</f>
        <v>488.949774688286</v>
      </c>
      <c r="E121" s="31">
        <f t="shared" si="1"/>
        <v>58256.2142751007</v>
      </c>
    </row>
    <row r="122" spans="1:5">
      <c r="A122">
        <v>11</v>
      </c>
      <c r="B122" s="160" t="str">
        <f>'11#楼汇总表（表2）'!B4</f>
        <v>内平开窗 55断桥铝合金内平开窗 5+12A+5LOW-E中空玻璃</v>
      </c>
      <c r="C122" s="160">
        <f>'11#楼汇总表（表2）'!C4</f>
        <v>101.172</v>
      </c>
      <c r="D122" s="152">
        <f>'11#楼汇总表（表2）'!$D$4</f>
        <v>528.458127190319</v>
      </c>
      <c r="E122" s="31">
        <f t="shared" si="1"/>
        <v>53465.165644099</v>
      </c>
    </row>
    <row r="123" spans="1:5">
      <c r="A123">
        <v>11</v>
      </c>
      <c r="B123" s="160" t="str">
        <f>'11#楼汇总表（表2）'!B5</f>
        <v>内平开窗 55断桥铝合金内平开窗 5+12A+5中空玻璃</v>
      </c>
      <c r="C123" s="160">
        <f>'11#楼汇总表（表2）'!C5</f>
        <v>2.2932</v>
      </c>
      <c r="D123" s="152">
        <f>'11#楼汇总表（表2）'!$D$5</f>
        <v>878.391453850047</v>
      </c>
      <c r="E123" s="31">
        <f t="shared" si="1"/>
        <v>2014.32728196893</v>
      </c>
    </row>
    <row r="124" spans="1:5">
      <c r="A124">
        <v>11</v>
      </c>
      <c r="B124" s="160" t="str">
        <f>'11#楼汇总表（表2）'!B6</f>
        <v>内平开窗 55普通铝合金内平开窗 5+12A+5中空玻璃</v>
      </c>
      <c r="C124" s="160">
        <f>'11#楼汇总表（表2）'!C6</f>
        <v>9.8784</v>
      </c>
      <c r="D124" s="152">
        <f>'11#楼汇总表（表2）'!$D$6</f>
        <v>580.602581050266</v>
      </c>
      <c r="E124" s="31">
        <f t="shared" si="1"/>
        <v>5735.42453664695</v>
      </c>
    </row>
    <row r="125" spans="1:5">
      <c r="A125">
        <v>11</v>
      </c>
      <c r="B125" s="160" t="str">
        <f>'11#楼汇总表（表2）'!B7</f>
        <v>平开门 55断桥铝合金外平开门 5+12A+5LOW-E钢化玻璃</v>
      </c>
      <c r="C125" s="160">
        <f>'11#楼汇总表（表2）'!C7</f>
        <v>121.1868</v>
      </c>
      <c r="D125" s="152">
        <f>'11#楼汇总表（表2）'!$D$7</f>
        <v>633.81696986891</v>
      </c>
      <c r="E125" s="31">
        <f t="shared" si="1"/>
        <v>76810.2503641096</v>
      </c>
    </row>
    <row r="126" spans="1:5">
      <c r="A126">
        <v>11</v>
      </c>
      <c r="B126" s="160" t="str">
        <f>'11#楼汇总表（表2）'!B8</f>
        <v>平开门 55普通铝合金外平开门 5+12A+5钢化玻璃</v>
      </c>
      <c r="C126" s="160">
        <f>'11#楼汇总表（表2）'!C8</f>
        <v>104.6988</v>
      </c>
      <c r="D126" s="152">
        <f>'11#楼汇总表（表2）'!$D$8</f>
        <v>607.37053108547</v>
      </c>
      <c r="E126" s="31">
        <f t="shared" si="1"/>
        <v>63590.9657600114</v>
      </c>
    </row>
    <row r="127" spans="1:5">
      <c r="A127">
        <v>11</v>
      </c>
      <c r="B127" s="160" t="str">
        <f>'11#楼汇总表（表2）'!B9</f>
        <v>上悬窗 55断桥铝合金上悬窗 5+12A+5LOW-E中空玻璃 </v>
      </c>
      <c r="C127" s="160">
        <f>'11#楼汇总表（表2）'!C9</f>
        <v>44.3808</v>
      </c>
      <c r="D127" s="152">
        <f>'11#楼汇总表（表2）'!$D$9</f>
        <v>826.202386534419</v>
      </c>
      <c r="E127" s="31">
        <f t="shared" si="1"/>
        <v>36667.5228763067</v>
      </c>
    </row>
    <row r="128" spans="1:5">
      <c r="A128">
        <v>11</v>
      </c>
      <c r="B128" s="160" t="str">
        <f>'11#楼汇总表（表2）'!B10</f>
        <v>上悬窗 55断桥铝合金上悬窗 5+12A+5LOW-E中空玻璃 七层及以上钢化玻璃</v>
      </c>
      <c r="C128" s="160">
        <f>'11#楼汇总表（表2）'!C10</f>
        <v>22.1904</v>
      </c>
      <c r="D128" s="152">
        <f>'11#楼汇总表（表2）'!$D$10</f>
        <v>839.859795383976</v>
      </c>
      <c r="E128" s="31">
        <f t="shared" si="1"/>
        <v>18636.8248034886</v>
      </c>
    </row>
    <row r="129" spans="1:5">
      <c r="A129">
        <v>11</v>
      </c>
      <c r="B129" s="160" t="str">
        <f>'11#楼汇总表（表2）'!B11</f>
        <v>推拉窗 80断桥铝合金推拉窗 5+12A+5中空玻璃</v>
      </c>
      <c r="C129" s="160">
        <f>'11#楼汇总表（表2）'!C11</f>
        <v>65.4264</v>
      </c>
      <c r="D129" s="152">
        <f>'11#楼汇总表（表2）'!$D$11</f>
        <v>617.217390940382</v>
      </c>
      <c r="E129" s="31">
        <f t="shared" si="1"/>
        <v>40382.3119066218</v>
      </c>
    </row>
    <row r="130" spans="1:5">
      <c r="A130">
        <v>11</v>
      </c>
      <c r="B130" s="160" t="str">
        <f>'11#楼汇总表（表2）'!B12</f>
        <v>推拉门 80普通铝合金推拉门 5+12A+5钢化玻璃 &gt;2m2采用6mm玻璃</v>
      </c>
      <c r="C130" s="160">
        <f>'11#楼汇总表（表2）'!C12</f>
        <v>183.0168</v>
      </c>
      <c r="D130" s="152">
        <f>'11#楼汇总表（表2）'!$D$12</f>
        <v>402.315989007125</v>
      </c>
      <c r="E130" s="31">
        <f t="shared" si="1"/>
        <v>73630.5848969192</v>
      </c>
    </row>
    <row r="131" spans="1:7">
      <c r="A131">
        <v>11</v>
      </c>
      <c r="B131" s="160" t="str">
        <f>'11#楼汇总表（表2）'!B13</f>
        <v>推拉内平开窗 80普铝推拉内平开窗 5+12A+5中空玻璃</v>
      </c>
      <c r="C131" s="160">
        <f>'11#楼汇总表（表2）'!C13</f>
        <v>14.9184</v>
      </c>
      <c r="D131" s="152">
        <f>'11#楼汇总表（表2）'!$D$13</f>
        <v>665.929682520342</v>
      </c>
      <c r="E131" s="31">
        <f t="shared" ref="E131:E132" si="2">C131*D131</f>
        <v>9934.60537571147</v>
      </c>
      <c r="G131">
        <f>G69/G56</f>
        <v>654.894576649992</v>
      </c>
    </row>
    <row r="132" spans="2:5">
      <c r="B132" s="160" t="str">
        <f>'11#楼汇总表（表2）'!B14</f>
        <v>外平开窗 55断桥铝合金外平开窗 5+12A+5中空玻璃</v>
      </c>
      <c r="C132" s="160">
        <f>'11#楼汇总表（表2）'!C14</f>
        <v>4.0112</v>
      </c>
      <c r="D132" s="152">
        <f>'11#楼汇总表（表2）'!$D$14</f>
        <v>721.474804577051</v>
      </c>
      <c r="E132" s="31">
        <f t="shared" si="2"/>
        <v>2893.97973611947</v>
      </c>
    </row>
    <row r="133" spans="2:5">
      <c r="B133" s="161"/>
      <c r="C133" s="161"/>
      <c r="E133" s="31"/>
    </row>
    <row r="134" spans="2:5">
      <c r="B134" s="160"/>
      <c r="C134" s="161"/>
      <c r="E134" s="31"/>
    </row>
    <row r="135" spans="2:5">
      <c r="B135" s="160"/>
      <c r="C135" s="160"/>
      <c r="E135" s="31"/>
    </row>
    <row r="136" spans="2:5">
      <c r="B136" s="160"/>
      <c r="C136" s="160"/>
      <c r="E136" s="31"/>
    </row>
    <row r="137" spans="2:5">
      <c r="B137" s="160"/>
      <c r="C137" s="160"/>
      <c r="E137" s="31"/>
    </row>
    <row r="138" spans="2:5">
      <c r="B138" s="160"/>
      <c r="C138" s="160"/>
      <c r="E138" s="31"/>
    </row>
    <row r="139" spans="2:5">
      <c r="B139" s="160"/>
      <c r="C139" s="160"/>
      <c r="E139" s="31"/>
    </row>
    <row r="140" spans="2:5">
      <c r="B140" s="160"/>
      <c r="C140" s="160"/>
      <c r="E140" s="31"/>
    </row>
    <row r="141" spans="2:5">
      <c r="B141" s="160"/>
      <c r="C141" s="160"/>
      <c r="E141" s="31"/>
    </row>
    <row r="142" spans="2:5">
      <c r="B142" s="160"/>
      <c r="C142" s="160"/>
      <c r="E142" s="31"/>
    </row>
    <row r="143" spans="2:5">
      <c r="B143" s="161"/>
      <c r="C143" s="161"/>
      <c r="E143" s="31"/>
    </row>
    <row r="144" spans="2:5">
      <c r="B144" s="161"/>
      <c r="C144" s="161"/>
      <c r="E144" s="31"/>
    </row>
    <row r="145" spans="2:5">
      <c r="B145" s="160"/>
      <c r="C145" s="160"/>
      <c r="E145" s="31"/>
    </row>
    <row r="146" spans="2:5">
      <c r="B146" s="160"/>
      <c r="C146" s="160"/>
      <c r="E146" s="31"/>
    </row>
    <row r="147" spans="2:5">
      <c r="B147" s="160"/>
      <c r="C147" s="160"/>
      <c r="E147" s="31"/>
    </row>
    <row r="148" spans="2:5">
      <c r="B148" s="160"/>
      <c r="C148" s="160"/>
      <c r="E148" s="31"/>
    </row>
    <row r="149" spans="2:5">
      <c r="B149" s="160"/>
      <c r="C149" s="160"/>
      <c r="E149" s="31"/>
    </row>
    <row r="150" spans="2:5">
      <c r="B150" s="160"/>
      <c r="C150" s="160"/>
      <c r="E150" s="31"/>
    </row>
    <row r="151" spans="2:5">
      <c r="B151" s="160"/>
      <c r="C151" s="160"/>
      <c r="E151" s="31"/>
    </row>
    <row r="152" spans="2:5">
      <c r="B152" s="160"/>
      <c r="C152" s="160"/>
      <c r="E152" s="31"/>
    </row>
    <row r="153" spans="2:5">
      <c r="B153" s="160"/>
      <c r="C153" s="160"/>
      <c r="E153" s="31"/>
    </row>
    <row r="154" spans="2:5">
      <c r="B154" s="160"/>
      <c r="C154" s="160"/>
      <c r="E154" s="31"/>
    </row>
    <row r="155" spans="2:5">
      <c r="B155" s="160"/>
      <c r="C155" s="160"/>
      <c r="E155" s="31"/>
    </row>
    <row r="156" spans="2:5">
      <c r="B156" s="160"/>
      <c r="C156" s="160"/>
      <c r="E156" s="31"/>
    </row>
    <row r="157" spans="2:5">
      <c r="B157" s="160"/>
      <c r="C157" s="160"/>
      <c r="E157" s="31"/>
    </row>
    <row r="158" spans="2:5">
      <c r="B158" s="161"/>
      <c r="C158" s="161"/>
      <c r="E158" s="31"/>
    </row>
    <row r="159" spans="2:5">
      <c r="B159" s="161"/>
      <c r="C159" s="161"/>
      <c r="E159" s="31"/>
    </row>
    <row r="160" spans="2:5">
      <c r="B160" s="160"/>
      <c r="C160" s="160"/>
      <c r="E160" s="31"/>
    </row>
    <row r="161" spans="2:5">
      <c r="B161" s="160"/>
      <c r="C161" s="160"/>
      <c r="E161" s="31"/>
    </row>
    <row r="162" spans="2:5">
      <c r="B162" s="160"/>
      <c r="C162" s="160"/>
      <c r="E162" s="31"/>
    </row>
    <row r="163" spans="2:5">
      <c r="B163" s="160"/>
      <c r="C163" s="160"/>
      <c r="E163" s="31"/>
    </row>
    <row r="164" spans="2:5">
      <c r="B164" s="164"/>
      <c r="C164" s="164"/>
      <c r="E164" s="31"/>
    </row>
    <row r="165" spans="2:5">
      <c r="B165" s="165"/>
      <c r="C165" s="160"/>
      <c r="E165" s="31"/>
    </row>
    <row r="166" spans="2:5">
      <c r="B166" s="160"/>
      <c r="C166" s="160"/>
      <c r="E166" s="31"/>
    </row>
    <row r="167" spans="2:5">
      <c r="B167" s="160"/>
      <c r="C167" s="160"/>
      <c r="E167" s="31"/>
    </row>
    <row r="168" spans="2:5">
      <c r="B168" s="160"/>
      <c r="C168" s="160"/>
      <c r="E168" s="31"/>
    </row>
    <row r="169" spans="2:5">
      <c r="B169" s="160"/>
      <c r="C169" s="160"/>
      <c r="E169" s="31"/>
    </row>
    <row r="170" spans="2:5">
      <c r="B170" s="160"/>
      <c r="C170" s="160"/>
      <c r="E170" s="31"/>
    </row>
    <row r="171" spans="2:5">
      <c r="B171" s="160"/>
      <c r="C171" s="160"/>
      <c r="E171" s="31"/>
    </row>
    <row r="172" spans="2:5">
      <c r="B172" s="161"/>
      <c r="C172" s="161"/>
      <c r="E172" s="31"/>
    </row>
    <row r="173" spans="2:5">
      <c r="B173" s="161"/>
      <c r="E173" s="31"/>
    </row>
    <row r="174" spans="2:5">
      <c r="B174" s="160"/>
      <c r="C174" s="161"/>
      <c r="E174" s="31"/>
    </row>
    <row r="175" spans="2:5">
      <c r="B175" s="160"/>
      <c r="C175" s="160"/>
      <c r="E175" s="31"/>
    </row>
    <row r="176" spans="2:5">
      <c r="B176" s="160"/>
      <c r="C176" s="160"/>
      <c r="E176" s="31"/>
    </row>
    <row r="177" spans="2:5">
      <c r="B177" s="160"/>
      <c r="C177" s="160"/>
      <c r="E177" s="31"/>
    </row>
    <row r="178" spans="2:5">
      <c r="B178" s="160"/>
      <c r="C178" s="160"/>
      <c r="E178" s="31"/>
    </row>
    <row r="179" spans="2:5">
      <c r="B179" s="160"/>
      <c r="C179" s="160"/>
      <c r="E179" s="31"/>
    </row>
    <row r="180" spans="2:5">
      <c r="B180" s="160"/>
      <c r="C180" s="160"/>
      <c r="E180" s="31"/>
    </row>
    <row r="181" spans="2:5">
      <c r="B181" s="160"/>
      <c r="C181" s="160"/>
      <c r="E181" s="31"/>
    </row>
    <row r="182" spans="2:5">
      <c r="B182" s="160"/>
      <c r="C182" s="160"/>
      <c r="E182" s="31"/>
    </row>
    <row r="183" spans="2:5">
      <c r="B183" s="160"/>
      <c r="C183" s="160"/>
      <c r="E183" s="31"/>
    </row>
    <row r="184" spans="2:5">
      <c r="B184" s="165"/>
      <c r="C184" s="165"/>
      <c r="E184" s="31"/>
    </row>
    <row r="185" spans="2:5">
      <c r="B185" s="160"/>
      <c r="C185" s="160"/>
      <c r="E185" s="31"/>
    </row>
    <row r="186" spans="2:5">
      <c r="B186" s="160"/>
      <c r="C186" s="160"/>
      <c r="E186" s="31"/>
    </row>
    <row r="187" spans="2:5">
      <c r="B187" s="160"/>
      <c r="C187" s="160"/>
      <c r="E187" s="31"/>
    </row>
    <row r="188" spans="2:5">
      <c r="B188" s="160"/>
      <c r="C188" s="160"/>
      <c r="E188" s="31"/>
    </row>
    <row r="189" spans="2:5">
      <c r="B189" s="161"/>
      <c r="C189" s="161"/>
      <c r="E189" s="31"/>
    </row>
    <row r="190" spans="2:5">
      <c r="B190" s="161"/>
      <c r="C190" s="161"/>
      <c r="E190" s="31"/>
    </row>
    <row r="191" ht="23.25" customHeight="1" spans="2:5">
      <c r="B191" s="160"/>
      <c r="C191" s="161"/>
      <c r="E191" s="31"/>
    </row>
    <row r="192" spans="2:5">
      <c r="B192" s="160"/>
      <c r="C192" s="160"/>
      <c r="E192" s="31"/>
    </row>
    <row r="193" spans="2:5">
      <c r="B193" s="160"/>
      <c r="C193" s="160"/>
      <c r="E193" s="31"/>
    </row>
    <row r="194" spans="2:5">
      <c r="B194" s="160"/>
      <c r="C194" s="160"/>
      <c r="E194" s="31"/>
    </row>
    <row r="195" spans="2:5">
      <c r="B195" s="160"/>
      <c r="C195" s="160"/>
      <c r="E195" s="31"/>
    </row>
    <row r="196" spans="2:5">
      <c r="B196" s="160"/>
      <c r="C196" s="160"/>
      <c r="E196" s="31"/>
    </row>
    <row r="197" spans="2:5">
      <c r="B197" s="160"/>
      <c r="C197" s="160"/>
      <c r="E197" s="31"/>
    </row>
    <row r="198" spans="2:5">
      <c r="B198" s="160"/>
      <c r="C198" s="160"/>
      <c r="E198" s="31"/>
    </row>
    <row r="199" spans="2:5">
      <c r="B199" s="160"/>
      <c r="C199" s="160"/>
      <c r="E199" s="31"/>
    </row>
    <row r="200" spans="2:5">
      <c r="B200" s="160"/>
      <c r="C200" s="160"/>
      <c r="E200" s="31"/>
    </row>
    <row r="201" spans="2:5">
      <c r="B201" s="161"/>
      <c r="C201" s="161"/>
      <c r="E201" s="31"/>
    </row>
    <row r="202" spans="2:5">
      <c r="B202" s="161"/>
      <c r="C202" s="161"/>
      <c r="E202" s="31"/>
    </row>
    <row r="203" spans="2:5">
      <c r="B203" s="160"/>
      <c r="C203" s="160"/>
      <c r="E203" s="31"/>
    </row>
    <row r="204" spans="2:5">
      <c r="B204" s="160"/>
      <c r="C204" s="160"/>
      <c r="E204" s="31"/>
    </row>
    <row r="205" spans="2:5">
      <c r="B205" s="160"/>
      <c r="C205" s="160"/>
      <c r="E205" s="31"/>
    </row>
    <row r="206" spans="2:5">
      <c r="B206" s="160"/>
      <c r="C206" s="160"/>
      <c r="E206" s="31"/>
    </row>
    <row r="207" spans="2:5">
      <c r="B207" s="160"/>
      <c r="C207" s="160"/>
      <c r="E207" s="31"/>
    </row>
    <row r="208" spans="2:5">
      <c r="B208" s="160"/>
      <c r="C208" s="160"/>
      <c r="E208" s="31"/>
    </row>
    <row r="209" spans="2:5">
      <c r="B209" s="160"/>
      <c r="C209" s="160"/>
      <c r="E209" s="31"/>
    </row>
    <row r="210" spans="2:5">
      <c r="B210" s="160"/>
      <c r="C210" s="160"/>
      <c r="E210" s="31"/>
    </row>
    <row r="211" spans="2:5">
      <c r="B211" s="161"/>
      <c r="C211" s="161"/>
      <c r="E211" s="31"/>
    </row>
    <row r="212" spans="2:5">
      <c r="B212" s="161"/>
      <c r="C212" s="161"/>
      <c r="E212" s="31"/>
    </row>
    <row r="213" spans="2:5">
      <c r="B213" s="160"/>
      <c r="C213" s="160"/>
      <c r="E213" s="31"/>
    </row>
    <row r="214" spans="2:5">
      <c r="B214" s="160"/>
      <c r="C214" s="160"/>
      <c r="E214" s="31"/>
    </row>
    <row r="215" spans="2:5">
      <c r="B215" s="160"/>
      <c r="C215" s="160"/>
      <c r="E215" s="31"/>
    </row>
    <row r="216" spans="2:5">
      <c r="B216" s="160"/>
      <c r="C216" s="160"/>
      <c r="E216" s="31"/>
    </row>
    <row r="217" spans="2:5">
      <c r="B217" s="160"/>
      <c r="C217" s="160"/>
      <c r="E217" s="31"/>
    </row>
    <row r="218" spans="2:5">
      <c r="B218" s="160"/>
      <c r="C218" s="160"/>
      <c r="E218" s="31"/>
    </row>
    <row r="219" spans="2:5">
      <c r="B219" s="160"/>
      <c r="C219" s="160"/>
      <c r="E219" s="31"/>
    </row>
    <row r="220" spans="2:5">
      <c r="B220" s="160"/>
      <c r="C220" s="160"/>
      <c r="E220" s="31"/>
    </row>
    <row r="221" spans="2:5">
      <c r="B221" s="161"/>
      <c r="C221" s="161"/>
      <c r="E221" s="31"/>
    </row>
    <row r="222" spans="2:5">
      <c r="B222" s="161"/>
      <c r="C222" s="161"/>
      <c r="E222" s="31"/>
    </row>
    <row r="223" spans="2:5">
      <c r="B223" s="160"/>
      <c r="C223" s="161"/>
      <c r="E223" s="31"/>
    </row>
    <row r="224" spans="2:5">
      <c r="B224" s="160"/>
      <c r="C224" s="160"/>
      <c r="E224" s="31"/>
    </row>
    <row r="225" spans="2:5">
      <c r="B225" s="160"/>
      <c r="C225" s="160"/>
      <c r="E225" s="31"/>
    </row>
    <row r="226" spans="2:5">
      <c r="B226" s="160"/>
      <c r="C226" s="160"/>
      <c r="E226" s="31"/>
    </row>
    <row r="227" spans="2:5">
      <c r="B227" s="160"/>
      <c r="C227" s="160"/>
      <c r="E227" s="31"/>
    </row>
    <row r="228" spans="2:5">
      <c r="B228" s="160"/>
      <c r="C228" s="160"/>
      <c r="E228" s="31"/>
    </row>
    <row r="229" spans="2:5">
      <c r="B229" s="160"/>
      <c r="C229" s="160"/>
      <c r="E229" s="31"/>
    </row>
    <row r="230" spans="2:5">
      <c r="B230" s="160"/>
      <c r="C230" s="160"/>
      <c r="E230" s="31"/>
    </row>
    <row r="231" spans="2:5">
      <c r="B231" s="160"/>
      <c r="C231" s="160"/>
      <c r="E231" s="31"/>
    </row>
    <row r="232" spans="2:5">
      <c r="B232" s="160"/>
      <c r="C232" s="160"/>
      <c r="E232" s="31"/>
    </row>
    <row r="233" spans="2:5">
      <c r="B233" s="160"/>
      <c r="C233" s="160"/>
      <c r="E233" s="31"/>
    </row>
    <row r="234" spans="2:3">
      <c r="B234" s="160"/>
      <c r="C234" s="160"/>
    </row>
    <row r="235" spans="8:8">
      <c r="H235" s="17"/>
    </row>
    <row r="238" spans="3:3">
      <c r="C238" s="166"/>
    </row>
  </sheetData>
  <autoFilter ref="A1:H238">
    <extLst/>
  </autoFilter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8"/>
  <sheetViews>
    <sheetView zoomScale="85" zoomScaleNormal="85" workbookViewId="0">
      <pane ySplit="1" topLeftCell="A6" activePane="bottomLeft" state="frozen"/>
      <selection/>
      <selection pane="bottomLeft" activeCell="E21" sqref="E21"/>
    </sheetView>
  </sheetViews>
  <sheetFormatPr defaultColWidth="9" defaultRowHeight="14.25"/>
  <cols>
    <col min="1" max="1" width="6.5" style="2" customWidth="1"/>
    <col min="2" max="2" width="31" style="3" customWidth="1"/>
    <col min="3" max="3" width="16.8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262</v>
      </c>
      <c r="B1" s="6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7" t="s">
        <v>115</v>
      </c>
      <c r="C2" s="7" t="s">
        <v>116</v>
      </c>
      <c r="D2" s="8" t="s">
        <v>117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118</v>
      </c>
      <c r="E3" s="11" t="s">
        <v>119</v>
      </c>
      <c r="F3" s="11" t="s">
        <v>120</v>
      </c>
      <c r="G3" s="11" t="s">
        <v>121</v>
      </c>
      <c r="H3" s="12" t="s">
        <v>3</v>
      </c>
      <c r="I3" s="19"/>
    </row>
    <row r="4" s="1" customFormat="1" ht="60.95" customHeight="1" spans="1:9">
      <c r="A4" s="7">
        <v>1</v>
      </c>
      <c r="B4" s="13" t="s">
        <v>122</v>
      </c>
      <c r="C4" s="11" t="s">
        <v>123</v>
      </c>
      <c r="D4" s="14" t="s">
        <v>207</v>
      </c>
      <c r="E4" s="11">
        <v>1470</v>
      </c>
      <c r="F4" s="11">
        <v>2290</v>
      </c>
      <c r="G4" s="11">
        <f t="shared" ref="G4:G6" si="0">1*2*2*9</f>
        <v>36</v>
      </c>
      <c r="H4" s="12">
        <f t="shared" ref="H4:H8" si="1">E4*F4*G4/1000000</f>
        <v>121.1868</v>
      </c>
      <c r="I4" s="17" t="s">
        <v>125</v>
      </c>
    </row>
    <row r="5" ht="60.95" customHeight="1" spans="1:9">
      <c r="A5" s="7">
        <v>2</v>
      </c>
      <c r="B5" s="13" t="s">
        <v>126</v>
      </c>
      <c r="C5" s="11" t="s">
        <v>263</v>
      </c>
      <c r="D5" s="14" t="s">
        <v>207</v>
      </c>
      <c r="E5" s="11">
        <v>2220</v>
      </c>
      <c r="F5" s="11">
        <v>2290</v>
      </c>
      <c r="G5" s="11">
        <f t="shared" si="0"/>
        <v>36</v>
      </c>
      <c r="H5" s="12">
        <f t="shared" si="1"/>
        <v>183.0168</v>
      </c>
      <c r="I5" s="17" t="s">
        <v>128</v>
      </c>
    </row>
    <row r="6" ht="60.95" customHeight="1" spans="1:9">
      <c r="A6" s="7">
        <v>3</v>
      </c>
      <c r="B6" s="13" t="s">
        <v>129</v>
      </c>
      <c r="C6" s="11" t="s">
        <v>130</v>
      </c>
      <c r="D6" s="14" t="s">
        <v>207</v>
      </c>
      <c r="E6" s="11">
        <v>1270</v>
      </c>
      <c r="F6" s="11">
        <v>2290</v>
      </c>
      <c r="G6" s="11">
        <f t="shared" si="0"/>
        <v>36</v>
      </c>
      <c r="H6" s="12">
        <f t="shared" si="1"/>
        <v>104.6988</v>
      </c>
      <c r="I6" s="17" t="s">
        <v>131</v>
      </c>
    </row>
    <row r="7" ht="60.95" customHeight="1" spans="1:9">
      <c r="A7" s="7">
        <v>4</v>
      </c>
      <c r="B7" s="13" t="s">
        <v>132</v>
      </c>
      <c r="C7" s="11" t="s">
        <v>133</v>
      </c>
      <c r="D7" s="14" t="s">
        <v>134</v>
      </c>
      <c r="E7" s="11">
        <v>870</v>
      </c>
      <c r="F7" s="11">
        <v>1380</v>
      </c>
      <c r="G7" s="11">
        <f>1*2*2*6</f>
        <v>24</v>
      </c>
      <c r="H7" s="12">
        <f t="shared" si="1"/>
        <v>28.8144</v>
      </c>
      <c r="I7" s="17" t="s">
        <v>135</v>
      </c>
    </row>
    <row r="8" ht="60.95" customHeight="1" spans="1:9">
      <c r="A8" s="7">
        <v>4.1</v>
      </c>
      <c r="B8" s="13" t="s">
        <v>136</v>
      </c>
      <c r="C8" s="11" t="s">
        <v>133</v>
      </c>
      <c r="D8" s="14" t="s">
        <v>264</v>
      </c>
      <c r="E8" s="11">
        <v>870</v>
      </c>
      <c r="F8" s="11">
        <v>1380</v>
      </c>
      <c r="G8" s="11">
        <f>1*2*2*3</f>
        <v>12</v>
      </c>
      <c r="H8" s="12">
        <f t="shared" si="1"/>
        <v>14.4072</v>
      </c>
      <c r="I8" s="17" t="s">
        <v>135</v>
      </c>
    </row>
    <row r="9" ht="60.95" customHeight="1" spans="1:9">
      <c r="A9" s="7">
        <v>5</v>
      </c>
      <c r="B9" s="13" t="s">
        <v>138</v>
      </c>
      <c r="C9" s="11" t="s">
        <v>139</v>
      </c>
      <c r="D9" s="14" t="s">
        <v>207</v>
      </c>
      <c r="E9" s="11">
        <v>1770</v>
      </c>
      <c r="F9" s="11">
        <v>1380</v>
      </c>
      <c r="G9" s="11">
        <f>1*2*2*9</f>
        <v>36</v>
      </c>
      <c r="H9" s="12">
        <f t="shared" ref="H9:H16" si="2">E9*F9*G9/1000000</f>
        <v>87.9336</v>
      </c>
      <c r="I9" s="17" t="s">
        <v>140</v>
      </c>
    </row>
    <row r="10" ht="60.95" customHeight="1" spans="1:9">
      <c r="A10" s="7">
        <v>6</v>
      </c>
      <c r="B10" s="13" t="s">
        <v>141</v>
      </c>
      <c r="C10" s="11" t="s">
        <v>142</v>
      </c>
      <c r="D10" s="14" t="s">
        <v>207</v>
      </c>
      <c r="E10" s="11">
        <v>1970</v>
      </c>
      <c r="F10" s="11">
        <v>1680</v>
      </c>
      <c r="G10" s="11">
        <f>1*2*2*9</f>
        <v>36</v>
      </c>
      <c r="H10" s="12">
        <f t="shared" si="2"/>
        <v>119.1456</v>
      </c>
      <c r="I10" s="17" t="s">
        <v>143</v>
      </c>
    </row>
    <row r="11" ht="60.95" customHeight="1" spans="1:9">
      <c r="A11" s="7">
        <v>7</v>
      </c>
      <c r="B11" s="53" t="s">
        <v>144</v>
      </c>
      <c r="C11" s="11" t="s">
        <v>145</v>
      </c>
      <c r="D11" s="11" t="s">
        <v>146</v>
      </c>
      <c r="E11" s="11">
        <v>1170</v>
      </c>
      <c r="F11" s="15">
        <v>980</v>
      </c>
      <c r="G11" s="11">
        <v>2</v>
      </c>
      <c r="H11" s="12">
        <f t="shared" si="2"/>
        <v>2.2932</v>
      </c>
      <c r="I11" s="11" t="s">
        <v>146</v>
      </c>
    </row>
    <row r="12" ht="60.95" customHeight="1" spans="1:9">
      <c r="A12" s="7">
        <v>8</v>
      </c>
      <c r="B12" s="13" t="s">
        <v>147</v>
      </c>
      <c r="C12" s="11" t="s">
        <v>148</v>
      </c>
      <c r="D12" s="11" t="s">
        <v>149</v>
      </c>
      <c r="E12" s="11">
        <v>1170</v>
      </c>
      <c r="F12" s="11">
        <v>1380</v>
      </c>
      <c r="G12" s="11">
        <v>32</v>
      </c>
      <c r="H12" s="12">
        <f t="shared" si="2"/>
        <v>51.6672</v>
      </c>
      <c r="I12" s="17" t="s">
        <v>150</v>
      </c>
    </row>
    <row r="13" ht="60.95" customHeight="1" spans="1:9">
      <c r="A13" s="7">
        <v>9</v>
      </c>
      <c r="B13" s="13" t="s">
        <v>147</v>
      </c>
      <c r="C13" s="11" t="s">
        <v>145</v>
      </c>
      <c r="D13" s="11" t="s">
        <v>209</v>
      </c>
      <c r="E13" s="11">
        <v>1170</v>
      </c>
      <c r="F13" s="11">
        <v>980</v>
      </c>
      <c r="G13" s="11">
        <f>1*2*6</f>
        <v>12</v>
      </c>
      <c r="H13" s="12">
        <f t="shared" si="2"/>
        <v>13.7592</v>
      </c>
      <c r="I13" s="17" t="s">
        <v>152</v>
      </c>
    </row>
    <row r="14" ht="60.95" customHeight="1" spans="1:9">
      <c r="A14" s="7">
        <v>10</v>
      </c>
      <c r="B14" s="13" t="s">
        <v>132</v>
      </c>
      <c r="C14" s="11" t="s">
        <v>153</v>
      </c>
      <c r="D14" s="14" t="s">
        <v>134</v>
      </c>
      <c r="E14" s="11">
        <v>470</v>
      </c>
      <c r="F14" s="11">
        <v>1380</v>
      </c>
      <c r="G14" s="11">
        <f>1*2*2*6</f>
        <v>24</v>
      </c>
      <c r="H14" s="12">
        <f t="shared" si="2"/>
        <v>15.5664</v>
      </c>
      <c r="I14" s="17" t="s">
        <v>154</v>
      </c>
    </row>
    <row r="15" ht="60.95" customHeight="1" spans="1:9">
      <c r="A15" s="7">
        <v>10.1</v>
      </c>
      <c r="B15" s="13" t="s">
        <v>136</v>
      </c>
      <c r="C15" s="11" t="s">
        <v>153</v>
      </c>
      <c r="D15" s="14" t="s">
        <v>264</v>
      </c>
      <c r="E15" s="11">
        <v>470</v>
      </c>
      <c r="F15" s="11">
        <v>1380</v>
      </c>
      <c r="G15" s="11">
        <f>1*2*2*3</f>
        <v>12</v>
      </c>
      <c r="H15" s="12">
        <f t="shared" si="2"/>
        <v>7.7832</v>
      </c>
      <c r="I15" s="17" t="s">
        <v>154</v>
      </c>
    </row>
    <row r="16" ht="60.95" customHeight="1" spans="1:9">
      <c r="A16" s="7">
        <v>11</v>
      </c>
      <c r="B16" s="13" t="s">
        <v>155</v>
      </c>
      <c r="C16" s="11" t="s">
        <v>156</v>
      </c>
      <c r="D16" s="14" t="s">
        <v>157</v>
      </c>
      <c r="E16" s="11">
        <v>920</v>
      </c>
      <c r="F16" s="11">
        <v>2180</v>
      </c>
      <c r="G16" s="11">
        <v>2</v>
      </c>
      <c r="H16" s="12">
        <f t="shared" si="2"/>
        <v>4.0112</v>
      </c>
      <c r="I16" s="17" t="s">
        <v>152</v>
      </c>
    </row>
    <row r="17" ht="30" customHeight="1" spans="1:9">
      <c r="A17" s="7"/>
      <c r="B17" s="11"/>
      <c r="C17" s="11"/>
      <c r="D17" s="11"/>
      <c r="E17" s="11"/>
      <c r="F17" s="11"/>
      <c r="G17" s="11"/>
      <c r="H17" s="12">
        <f>SUM(H4:H16)</f>
        <v>754.2836</v>
      </c>
      <c r="I17" s="17"/>
    </row>
    <row r="18" ht="27.75" customHeight="1"/>
  </sheetData>
  <autoFilter ref="A3:I17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6" workbookViewId="0">
      <selection activeCell="H11" sqref="H11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3.25" style="24" customWidth="1"/>
    <col min="4" max="4" width="12.75" style="24" customWidth="1"/>
    <col min="5" max="7" width="13.875" style="24" customWidth="1"/>
    <col min="8" max="8" width="6.875" style="24" customWidth="1"/>
    <col min="9" max="10" width="8.75" style="24"/>
    <col min="11" max="11" width="11.5" style="24"/>
    <col min="12" max="16384" width="8.75" style="24"/>
  </cols>
  <sheetData>
    <row r="1" s="21" customFormat="1" ht="40.5" customHeight="1" spans="1:8">
      <c r="A1" s="25" t="s">
        <v>265</v>
      </c>
      <c r="B1" s="25"/>
      <c r="C1" s="25"/>
      <c r="D1" s="25"/>
      <c r="E1" s="25"/>
      <c r="F1" s="25"/>
      <c r="G1" s="25"/>
      <c r="H1" s="25"/>
    </row>
    <row r="2" s="22" customFormat="1" ht="44.25" customHeight="1" spans="1:8">
      <c r="A2" s="19" t="s">
        <v>1</v>
      </c>
      <c r="B2" s="19" t="s">
        <v>2</v>
      </c>
      <c r="C2" s="48" t="s">
        <v>3</v>
      </c>
      <c r="D2" s="19" t="s">
        <v>4</v>
      </c>
      <c r="E2" s="48" t="s">
        <v>5</v>
      </c>
      <c r="F2" s="19" t="s">
        <v>4</v>
      </c>
      <c r="G2" s="48" t="s">
        <v>266</v>
      </c>
      <c r="H2" s="19" t="s">
        <v>6</v>
      </c>
    </row>
    <row r="3" s="21" customFormat="1" ht="51.95" customHeight="1" spans="1:8">
      <c r="A3" s="19">
        <v>1</v>
      </c>
      <c r="B3" s="17" t="str">
        <f>'10#楼明细(表2.1) '!B17</f>
        <v>内平开窗 55断桥铝合金内平开窗 5+12A+5LOW-E钢化玻璃</v>
      </c>
      <c r="C3" s="31">
        <f>'10#楼明细(表2.1) '!H17</f>
        <v>97.9872</v>
      </c>
      <c r="D3" s="31">
        <f>'[1]55系列隔热内平开窗（5+12+5LOW-E'!D$84</f>
        <v>493.844423564368</v>
      </c>
      <c r="E3" s="31">
        <f>C3*D3</f>
        <v>48390.4323006864</v>
      </c>
      <c r="F3" s="31">
        <f>D3*$K$12</f>
        <v>485.529688324248</v>
      </c>
      <c r="G3" s="31">
        <f>F3*C3</f>
        <v>47575.6946757658</v>
      </c>
      <c r="H3" s="49"/>
    </row>
    <row r="4" s="21" customFormat="1" ht="51.95" customHeight="1" spans="1:8">
      <c r="A4" s="19">
        <v>2</v>
      </c>
      <c r="B4" s="17" t="str">
        <f>'10#楼明细(表2.1) '!B16</f>
        <v>内平开窗 55断桥铝合金内平开窗 5+12A+5LOW-E钢化玻璃 &gt;2m2采用6mm玻璃</v>
      </c>
      <c r="C4" s="31">
        <f>'10#楼明细(表2.1) '!H16</f>
        <v>114.5952</v>
      </c>
      <c r="D4" s="31">
        <f>'[1]55系列隔热内平开窗（5+12+5LOW -E6）'!D$84</f>
        <v>476.7590613847</v>
      </c>
      <c r="E4" s="31">
        <f t="shared" ref="E4:E11" si="0">C4*D4</f>
        <v>54634.299991192</v>
      </c>
      <c r="F4" s="31">
        <f t="shared" ref="F4:F13" si="1">D4*$K$12</f>
        <v>468.73198812116</v>
      </c>
      <c r="G4" s="31">
        <f t="shared" ref="G4:G13" si="2">F4*C4</f>
        <v>53714.435925142</v>
      </c>
      <c r="H4" s="17"/>
    </row>
    <row r="5" s="21" customFormat="1" ht="51.95" customHeight="1" spans="1:8">
      <c r="A5" s="19">
        <v>3</v>
      </c>
      <c r="B5" s="17" t="str">
        <f>'10#楼明细(表2.1) '!B15</f>
        <v>内平开窗 55断桥铝合金内平开窗 5+12A+5LOW-E中空玻璃</v>
      </c>
      <c r="C5" s="31">
        <f>'10#楼明细(表2.1) '!H15</f>
        <v>134.5344</v>
      </c>
      <c r="D5" s="31">
        <f>'[1]55系列隔热内平开窗（5+12+5LOW-E）'!D$83</f>
        <v>651.126667551971</v>
      </c>
      <c r="E5" s="31">
        <f t="shared" si="0"/>
        <v>87598.9355431039</v>
      </c>
      <c r="F5" s="31">
        <f t="shared" si="1"/>
        <v>640.163810445273</v>
      </c>
      <c r="G5" s="31">
        <f t="shared" si="2"/>
        <v>86124.0541399685</v>
      </c>
      <c r="H5" s="17"/>
    </row>
    <row r="6" s="21" customFormat="1" ht="54.95" customHeight="1" spans="1:8">
      <c r="A6" s="19">
        <v>4</v>
      </c>
      <c r="B6" s="17" t="str">
        <f>'10#楼明细(表2.1) '!B5</f>
        <v>内平开窗 55断桥铝合金内平开窗 5+12A+5中空玻璃</v>
      </c>
      <c r="C6" s="31">
        <f>'10#楼明细(表2.1) '!H5+'10#楼明细(表2.1) '!H6+'10#楼明细(表2.1) '!H7</f>
        <v>7.3028</v>
      </c>
      <c r="D6" s="31">
        <f>'[1]55系列隔热内平开窗（5+12+5）'!D$83</f>
        <v>886.535414285462</v>
      </c>
      <c r="E6" s="31">
        <f t="shared" si="0"/>
        <v>6474.19082344387</v>
      </c>
      <c r="F6" s="31">
        <f t="shared" si="1"/>
        <v>871.609038894665</v>
      </c>
      <c r="G6" s="31">
        <f t="shared" si="2"/>
        <v>6365.18648923996</v>
      </c>
      <c r="H6" s="17"/>
    </row>
    <row r="7" s="21" customFormat="1" ht="51.95" customHeight="1" spans="1:8">
      <c r="A7" s="19">
        <v>5</v>
      </c>
      <c r="B7" s="17" t="str">
        <f>'10#楼明细(表2.1) '!B9</f>
        <v>上悬窗 55断桥铝合金上悬窗 5+12A+5LOW-E中空玻璃 </v>
      </c>
      <c r="C7" s="31">
        <f>'10#楼明细(表2.1) '!H9+'10#楼明细(表2.1) '!H12+'10#楼明细(表2.1) '!H13</f>
        <v>39.5252</v>
      </c>
      <c r="D7" s="31">
        <f>'[1]55系列上悬窗（5+12+5LOW-E 非钢'!D$84</f>
        <v>934.602567236236</v>
      </c>
      <c r="E7" s="31">
        <f t="shared" si="0"/>
        <v>36940.3533905257</v>
      </c>
      <c r="F7" s="31">
        <f t="shared" si="1"/>
        <v>918.866897194206</v>
      </c>
      <c r="G7" s="31">
        <f t="shared" si="2"/>
        <v>36318.3978849804</v>
      </c>
      <c r="H7" s="49"/>
    </row>
    <row r="8" s="21" customFormat="1" ht="65.1" customHeight="1" spans="1:8">
      <c r="A8" s="19">
        <v>6</v>
      </c>
      <c r="B8" s="17" t="str">
        <f>'10#楼明细(表2.1) '!B10</f>
        <v>上悬窗 55断桥铝合金上悬窗 5+12A+5LOW-E中空玻璃 七层及以上钢化玻璃</v>
      </c>
      <c r="C8" s="31">
        <f>'10#楼明细(表2.1) '!H10+'10#楼明细(表2.1) '!H11</f>
        <v>11.8976</v>
      </c>
      <c r="D8" s="31">
        <f>'[1]55系列上悬窗（5+12+5LOW-E钢化'!D$84</f>
        <v>961.012250097879</v>
      </c>
      <c r="E8" s="31">
        <f t="shared" si="0"/>
        <v>11433.7393467645</v>
      </c>
      <c r="F8" s="31">
        <f t="shared" si="1"/>
        <v>944.831926820352</v>
      </c>
      <c r="G8" s="31">
        <f t="shared" si="2"/>
        <v>11241.2323325378</v>
      </c>
      <c r="H8" s="49"/>
    </row>
    <row r="9" s="21" customFormat="1" ht="51.95" customHeight="1" spans="1:8">
      <c r="A9" s="19">
        <v>7</v>
      </c>
      <c r="B9" s="17" t="str">
        <f>'10#楼明细(表2.1) '!B14</f>
        <v>推拉窗 80断桥铝合金推拉窗 5+12A+5LOW-E中空玻璃</v>
      </c>
      <c r="C9" s="31">
        <f>'10#楼明细(表2.1) '!H14</f>
        <v>46.8468</v>
      </c>
      <c r="D9" s="31">
        <f>'[1]80系列隔热推拉窗5+12+5low-e'!D$79</f>
        <v>608.385727104023</v>
      </c>
      <c r="E9" s="31">
        <f t="shared" si="0"/>
        <v>28500.9244804967</v>
      </c>
      <c r="F9" s="31">
        <f t="shared" si="1"/>
        <v>598.142488538673</v>
      </c>
      <c r="G9" s="31">
        <f t="shared" si="2"/>
        <v>28021.0615320735</v>
      </c>
      <c r="H9" s="49"/>
    </row>
    <row r="10" s="21" customFormat="1" ht="51.95" customHeight="1" spans="1:8">
      <c r="A10" s="19">
        <v>8</v>
      </c>
      <c r="B10" s="17" t="str">
        <f>'10#楼明细(表2.1) '!B8</f>
        <v>推拉窗 80断桥铝合金推拉窗 5+12A+5中空玻璃</v>
      </c>
      <c r="C10" s="31">
        <f>'10#楼明细(表2.1) '!H8</f>
        <v>11.466</v>
      </c>
      <c r="D10" s="31">
        <f>'[1]80系列隔热推拉窗5+12+5'!D$79</f>
        <v>675.882435857685</v>
      </c>
      <c r="E10" s="31">
        <f t="shared" si="0"/>
        <v>7749.66800954422</v>
      </c>
      <c r="F10" s="31">
        <f t="shared" si="1"/>
        <v>664.502772061863</v>
      </c>
      <c r="G10" s="31">
        <f t="shared" si="2"/>
        <v>7619.18878446133</v>
      </c>
      <c r="H10" s="49"/>
    </row>
    <row r="11" s="21" customFormat="1" ht="51.95" customHeight="1" spans="1:8">
      <c r="A11" s="19">
        <v>9</v>
      </c>
      <c r="B11" s="17" t="str">
        <f>'10#楼明细(表2.1) '!B4</f>
        <v>推拉门 80普通铝合金推拉门 5+12A+5钢化玻璃</v>
      </c>
      <c r="C11" s="31">
        <f>'10#楼明细(表2.1) '!H4</f>
        <v>364.6656</v>
      </c>
      <c r="D11" s="31">
        <f>'[1]80系列普铝推拉门6+12+6钢化'!D$79</f>
        <v>361.977715429515</v>
      </c>
      <c r="E11" s="31">
        <f t="shared" si="0"/>
        <v>132000.820783733</v>
      </c>
      <c r="F11" s="31">
        <f t="shared" si="1"/>
        <v>355.883187025414</v>
      </c>
      <c r="G11" s="31">
        <f t="shared" si="2"/>
        <v>129778.355926535</v>
      </c>
      <c r="H11" s="49"/>
    </row>
    <row r="12" s="21" customFormat="1" ht="42" customHeight="1" spans="1:11">
      <c r="A12" s="19" t="s">
        <v>7</v>
      </c>
      <c r="B12" s="17"/>
      <c r="C12" s="31">
        <f t="shared" ref="C12:G12" si="3">SUM(C3:C11)</f>
        <v>828.8208</v>
      </c>
      <c r="D12" s="50">
        <f>E12/C12</f>
        <v>499.17106890837</v>
      </c>
      <c r="E12" s="31">
        <f t="shared" si="3"/>
        <v>413723.36466949</v>
      </c>
      <c r="F12" s="31"/>
      <c r="G12" s="31">
        <f t="shared" si="3"/>
        <v>406757.607690704</v>
      </c>
      <c r="H12" s="51"/>
      <c r="K12" s="21">
        <f>'11#楼汇总表（表2）'!J14</f>
        <v>0.983163249713124</v>
      </c>
    </row>
    <row r="13" s="21" customFormat="1" ht="55.5" customHeight="1" spans="1:5">
      <c r="A13" s="43" t="s">
        <v>113</v>
      </c>
      <c r="B13" s="43"/>
      <c r="C13" s="43"/>
      <c r="D13" s="43"/>
      <c r="E13" s="43"/>
    </row>
    <row r="14" spans="1:11">
      <c r="A14" s="44"/>
      <c r="B14" s="45"/>
      <c r="C14" s="46"/>
      <c r="D14" s="46"/>
      <c r="E14" s="46"/>
      <c r="F14" s="52"/>
      <c r="G14" s="52"/>
      <c r="K14" s="21"/>
    </row>
    <row r="20" spans="2:2">
      <c r="B20" s="5"/>
    </row>
    <row r="21" spans="2:2">
      <c r="B21" s="5"/>
    </row>
    <row r="22" spans="2:2">
      <c r="B22" s="5"/>
    </row>
  </sheetData>
  <mergeCells count="3">
    <mergeCell ref="A1:H1"/>
    <mergeCell ref="A13:E13"/>
    <mergeCell ref="H8:H10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9"/>
  <sheetViews>
    <sheetView zoomScale="85" zoomScaleNormal="85" workbookViewId="0">
      <pane ySplit="1" topLeftCell="A2" activePane="bottomLeft" state="frozen"/>
      <selection/>
      <selection pane="bottomLeft" activeCell="C7" sqref="C7"/>
    </sheetView>
  </sheetViews>
  <sheetFormatPr defaultColWidth="9" defaultRowHeight="14.25"/>
  <cols>
    <col min="1" max="1" width="6.5" style="2" customWidth="1"/>
    <col min="2" max="2" width="38" style="3" customWidth="1"/>
    <col min="3" max="3" width="16.8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267</v>
      </c>
      <c r="B1" s="6"/>
      <c r="C1" s="6"/>
      <c r="D1" s="6"/>
      <c r="E1" s="6"/>
      <c r="F1" s="6"/>
      <c r="G1" s="6"/>
      <c r="H1" s="6"/>
      <c r="I1" s="18"/>
    </row>
    <row r="2" ht="33.95" customHeight="1" spans="1:9">
      <c r="A2" s="7" t="s">
        <v>1</v>
      </c>
      <c r="B2" s="7" t="s">
        <v>115</v>
      </c>
      <c r="C2" s="7" t="s">
        <v>116</v>
      </c>
      <c r="D2" s="8" t="s">
        <v>117</v>
      </c>
      <c r="E2" s="9"/>
      <c r="F2" s="9"/>
      <c r="G2" s="9"/>
      <c r="H2" s="10"/>
      <c r="I2" s="19" t="s">
        <v>6</v>
      </c>
    </row>
    <row r="3" ht="33" customHeight="1" spans="1:9">
      <c r="A3" s="7"/>
      <c r="B3" s="7"/>
      <c r="C3" s="7"/>
      <c r="D3" s="7" t="s">
        <v>118</v>
      </c>
      <c r="E3" s="11" t="s">
        <v>119</v>
      </c>
      <c r="F3" s="11" t="s">
        <v>120</v>
      </c>
      <c r="G3" s="11" t="s">
        <v>121</v>
      </c>
      <c r="H3" s="12" t="s">
        <v>3</v>
      </c>
      <c r="I3" s="19"/>
    </row>
    <row r="4" customFormat="1" ht="44.1" customHeight="1" spans="1:9">
      <c r="A4" s="7">
        <v>1</v>
      </c>
      <c r="B4" s="13" t="s">
        <v>171</v>
      </c>
      <c r="C4" s="11" t="s">
        <v>242</v>
      </c>
      <c r="D4" s="47" t="s">
        <v>243</v>
      </c>
      <c r="E4" s="11">
        <v>4870</v>
      </c>
      <c r="F4" s="11">
        <v>2340</v>
      </c>
      <c r="G4" s="11">
        <f>1*2*2*8</f>
        <v>32</v>
      </c>
      <c r="H4" s="12">
        <f t="shared" ref="H4:H17" si="0">E4*F4*G4/1000000</f>
        <v>364.6656</v>
      </c>
      <c r="I4" s="17" t="s">
        <v>128</v>
      </c>
    </row>
    <row r="5" s="1" customFormat="1" ht="44.1" customHeight="1" spans="1:9">
      <c r="A5" s="7">
        <v>2</v>
      </c>
      <c r="B5" s="13" t="s">
        <v>144</v>
      </c>
      <c r="C5" s="11" t="s">
        <v>244</v>
      </c>
      <c r="D5" s="47" t="s">
        <v>200</v>
      </c>
      <c r="E5" s="11">
        <v>1170</v>
      </c>
      <c r="F5" s="11">
        <v>980</v>
      </c>
      <c r="G5" s="11">
        <v>2</v>
      </c>
      <c r="H5" s="12">
        <f t="shared" si="0"/>
        <v>2.2932</v>
      </c>
      <c r="I5" s="17" t="s">
        <v>200</v>
      </c>
    </row>
    <row r="6" s="1" customFormat="1" ht="44.1" customHeight="1" spans="1:9">
      <c r="A6" s="7">
        <v>3</v>
      </c>
      <c r="B6" s="13" t="s">
        <v>144</v>
      </c>
      <c r="C6" s="11" t="s">
        <v>245</v>
      </c>
      <c r="D6" s="47" t="s">
        <v>246</v>
      </c>
      <c r="E6" s="11">
        <v>1070</v>
      </c>
      <c r="F6" s="11">
        <v>1480</v>
      </c>
      <c r="G6" s="11">
        <v>2</v>
      </c>
      <c r="H6" s="12">
        <f t="shared" si="0"/>
        <v>3.1672</v>
      </c>
      <c r="I6" s="47" t="s">
        <v>246</v>
      </c>
    </row>
    <row r="7" ht="44.1" customHeight="1" spans="1:9">
      <c r="A7" s="7">
        <v>4</v>
      </c>
      <c r="B7" s="13" t="s">
        <v>144</v>
      </c>
      <c r="C7" s="11" t="s">
        <v>247</v>
      </c>
      <c r="D7" s="47" t="s">
        <v>248</v>
      </c>
      <c r="E7" s="11">
        <v>470</v>
      </c>
      <c r="F7" s="11">
        <v>980</v>
      </c>
      <c r="G7" s="11">
        <f>2*2</f>
        <v>4</v>
      </c>
      <c r="H7" s="12">
        <f t="shared" si="0"/>
        <v>1.8424</v>
      </c>
      <c r="I7" s="47" t="s">
        <v>248</v>
      </c>
    </row>
    <row r="8" ht="44.1" customHeight="1" spans="1:9">
      <c r="A8" s="7">
        <v>5</v>
      </c>
      <c r="B8" s="13" t="s">
        <v>147</v>
      </c>
      <c r="C8" s="11" t="s">
        <v>145</v>
      </c>
      <c r="D8" s="47" t="s">
        <v>249</v>
      </c>
      <c r="E8" s="11">
        <v>1170</v>
      </c>
      <c r="F8" s="11">
        <v>980</v>
      </c>
      <c r="G8" s="11">
        <v>10</v>
      </c>
      <c r="H8" s="12">
        <f t="shared" si="0"/>
        <v>11.466</v>
      </c>
      <c r="I8" s="47"/>
    </row>
    <row r="9" ht="44.1" customHeight="1" spans="1:9">
      <c r="A9" s="7">
        <v>6</v>
      </c>
      <c r="B9" s="13" t="s">
        <v>132</v>
      </c>
      <c r="C9" s="11" t="s">
        <v>153</v>
      </c>
      <c r="D9" s="47" t="s">
        <v>250</v>
      </c>
      <c r="E9" s="11">
        <v>470</v>
      </c>
      <c r="F9" s="11">
        <v>1430</v>
      </c>
      <c r="G9" s="11">
        <f>1*2*2*6</f>
        <v>24</v>
      </c>
      <c r="H9" s="12">
        <f t="shared" si="0"/>
        <v>16.1304</v>
      </c>
      <c r="I9" s="17" t="s">
        <v>198</v>
      </c>
    </row>
    <row r="10" ht="56.1" customHeight="1" spans="1:9">
      <c r="A10" s="7">
        <v>6.1</v>
      </c>
      <c r="B10" s="13" t="s">
        <v>136</v>
      </c>
      <c r="C10" s="11" t="s">
        <v>153</v>
      </c>
      <c r="D10" s="47" t="s">
        <v>251</v>
      </c>
      <c r="E10" s="11">
        <v>470</v>
      </c>
      <c r="F10" s="11">
        <v>1430</v>
      </c>
      <c r="G10" s="11">
        <f>1*2*2*2</f>
        <v>8</v>
      </c>
      <c r="H10" s="12">
        <f t="shared" si="0"/>
        <v>5.3768</v>
      </c>
      <c r="I10" s="17" t="s">
        <v>198</v>
      </c>
    </row>
    <row r="11" ht="50.1" customHeight="1" spans="1:9">
      <c r="A11" s="7">
        <v>7</v>
      </c>
      <c r="B11" s="13" t="s">
        <v>132</v>
      </c>
      <c r="C11" s="11" t="s">
        <v>252</v>
      </c>
      <c r="D11" s="47" t="s">
        <v>250</v>
      </c>
      <c r="E11" s="11">
        <v>570</v>
      </c>
      <c r="F11" s="11">
        <v>1430</v>
      </c>
      <c r="G11" s="11">
        <f>1*2*2*2</f>
        <v>8</v>
      </c>
      <c r="H11" s="12">
        <f t="shared" si="0"/>
        <v>6.5208</v>
      </c>
      <c r="I11" s="17" t="s">
        <v>135</v>
      </c>
    </row>
    <row r="12" ht="50.1" customHeight="1" spans="1:9">
      <c r="A12" s="7">
        <v>7.1</v>
      </c>
      <c r="B12" s="13" t="s">
        <v>136</v>
      </c>
      <c r="C12" s="11" t="s">
        <v>252</v>
      </c>
      <c r="D12" s="47" t="s">
        <v>251</v>
      </c>
      <c r="E12" s="11">
        <v>570</v>
      </c>
      <c r="F12" s="11">
        <v>1430</v>
      </c>
      <c r="G12" s="11">
        <f>1*2*2*6</f>
        <v>24</v>
      </c>
      <c r="H12" s="12">
        <f t="shared" si="0"/>
        <v>19.5624</v>
      </c>
      <c r="I12" s="17" t="s">
        <v>135</v>
      </c>
    </row>
    <row r="13" ht="44.1" customHeight="1" spans="1:9">
      <c r="A13" s="7">
        <v>8</v>
      </c>
      <c r="B13" s="13" t="s">
        <v>132</v>
      </c>
      <c r="C13" s="11" t="s">
        <v>253</v>
      </c>
      <c r="D13" s="47" t="s">
        <v>254</v>
      </c>
      <c r="E13" s="11">
        <v>670</v>
      </c>
      <c r="F13" s="11">
        <v>1430</v>
      </c>
      <c r="G13" s="11">
        <f>2*2</f>
        <v>4</v>
      </c>
      <c r="H13" s="12">
        <f t="shared" si="0"/>
        <v>3.8324</v>
      </c>
      <c r="I13" s="17" t="s">
        <v>131</v>
      </c>
    </row>
    <row r="14" ht="44.1" customHeight="1" spans="1:9">
      <c r="A14" s="7">
        <v>9</v>
      </c>
      <c r="B14" s="13" t="s">
        <v>160</v>
      </c>
      <c r="C14" s="11" t="s">
        <v>255</v>
      </c>
      <c r="D14" s="47" t="s">
        <v>243</v>
      </c>
      <c r="E14" s="11">
        <v>1170</v>
      </c>
      <c r="F14" s="11">
        <v>1430</v>
      </c>
      <c r="G14" s="11">
        <f>1*2*2*8-G13</f>
        <v>28</v>
      </c>
      <c r="H14" s="12">
        <f t="shared" si="0"/>
        <v>46.8468</v>
      </c>
      <c r="I14" s="17" t="s">
        <v>131</v>
      </c>
    </row>
    <row r="15" ht="44.1" customHeight="1" spans="1:9">
      <c r="A15" s="7">
        <v>10</v>
      </c>
      <c r="B15" s="13" t="s">
        <v>138</v>
      </c>
      <c r="C15" s="11" t="s">
        <v>256</v>
      </c>
      <c r="D15" s="47" t="s">
        <v>243</v>
      </c>
      <c r="E15" s="11">
        <v>1470</v>
      </c>
      <c r="F15" s="11">
        <v>1430</v>
      </c>
      <c r="G15" s="11">
        <f>2*2*2*8</f>
        <v>64</v>
      </c>
      <c r="H15" s="12">
        <f t="shared" si="0"/>
        <v>134.5344</v>
      </c>
      <c r="I15" s="17" t="s">
        <v>140</v>
      </c>
    </row>
    <row r="16" ht="44.1" customHeight="1" spans="1:9">
      <c r="A16" s="7">
        <v>11</v>
      </c>
      <c r="B16" s="13" t="s">
        <v>141</v>
      </c>
      <c r="C16" s="11" t="s">
        <v>257</v>
      </c>
      <c r="D16" s="47" t="s">
        <v>243</v>
      </c>
      <c r="E16" s="11">
        <v>2070</v>
      </c>
      <c r="F16" s="11">
        <v>1730</v>
      </c>
      <c r="G16" s="11">
        <f>1*2*2*8</f>
        <v>32</v>
      </c>
      <c r="H16" s="12">
        <f t="shared" si="0"/>
        <v>114.5952</v>
      </c>
      <c r="I16" s="17" t="s">
        <v>143</v>
      </c>
    </row>
    <row r="17" ht="44.1" customHeight="1" spans="1:9">
      <c r="A17" s="7">
        <v>12</v>
      </c>
      <c r="B17" s="13" t="s">
        <v>170</v>
      </c>
      <c r="C17" s="11" t="s">
        <v>268</v>
      </c>
      <c r="D17" s="47" t="s">
        <v>243</v>
      </c>
      <c r="E17" s="11">
        <v>1770</v>
      </c>
      <c r="F17" s="11">
        <v>1730</v>
      </c>
      <c r="G17" s="11">
        <f>1*2*2*8</f>
        <v>32</v>
      </c>
      <c r="H17" s="12">
        <f t="shared" si="0"/>
        <v>97.9872</v>
      </c>
      <c r="I17" s="17" t="s">
        <v>125</v>
      </c>
    </row>
    <row r="18" ht="35.1" customHeight="1" spans="1:9">
      <c r="A18" s="7">
        <v>13</v>
      </c>
      <c r="B18" s="11"/>
      <c r="C18" s="11"/>
      <c r="D18" s="11"/>
      <c r="E18" s="11"/>
      <c r="F18" s="11"/>
      <c r="G18" s="11"/>
      <c r="H18" s="12">
        <f>SUM(H4:H17)</f>
        <v>828.8208</v>
      </c>
      <c r="I18" s="17"/>
    </row>
    <row r="19" ht="27.75" customHeight="1"/>
  </sheetData>
  <autoFilter ref="A3:I18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25"/>
  <sheetViews>
    <sheetView topLeftCell="A11" workbookViewId="0">
      <selection activeCell="J14" sqref="J14:J16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4.75" style="24" customWidth="1"/>
    <col min="4" max="4" width="12.75" style="24" customWidth="1"/>
    <col min="5" max="5" width="14.125" style="24" customWidth="1"/>
    <col min="6" max="6" width="6.875" style="24" customWidth="1"/>
    <col min="7" max="9" width="8.75" style="24"/>
    <col min="10" max="10" width="12.625" style="24"/>
    <col min="11" max="16384" width="8.75" style="24"/>
  </cols>
  <sheetData>
    <row r="1" s="21" customFormat="1" ht="40.5" customHeight="1" spans="1:6">
      <c r="A1" s="25" t="s">
        <v>269</v>
      </c>
      <c r="B1" s="25"/>
      <c r="C1" s="25"/>
      <c r="D1" s="25"/>
      <c r="E1" s="25"/>
      <c r="F1" s="25"/>
    </row>
    <row r="2" s="22" customFormat="1" ht="44.25" customHeight="1" spans="1:6">
      <c r="A2" s="26" t="s">
        <v>1</v>
      </c>
      <c r="B2" s="27" t="s">
        <v>2</v>
      </c>
      <c r="C2" s="28" t="s">
        <v>3</v>
      </c>
      <c r="D2" s="27" t="s">
        <v>4</v>
      </c>
      <c r="E2" s="28" t="s">
        <v>5</v>
      </c>
      <c r="F2" s="29" t="s">
        <v>6</v>
      </c>
    </row>
    <row r="3" s="21" customFormat="1" ht="51.95" customHeight="1" spans="1:6">
      <c r="A3" s="30">
        <v>1</v>
      </c>
      <c r="B3" s="17" t="str">
        <f>'11#楼明细(表2.1)  '!B10</f>
        <v>内平开窗 55断桥铝合金内平开窗 5+12A+5LOW-E钢化玻璃 &gt;2m2采用6mm玻璃</v>
      </c>
      <c r="C3" s="31">
        <f>'11#楼明细(表2.1)  '!H10</f>
        <v>119.1456</v>
      </c>
      <c r="D3" s="31">
        <v>488.949774688286</v>
      </c>
      <c r="E3" s="31">
        <f>C3*D3</f>
        <v>58256.2142751007</v>
      </c>
      <c r="F3" s="32"/>
    </row>
    <row r="4" s="21" customFormat="1" ht="51.95" customHeight="1" spans="1:6">
      <c r="A4" s="30">
        <v>2</v>
      </c>
      <c r="B4" s="17" t="str">
        <f>'11#楼明细(表2.1)  '!B9</f>
        <v>内平开窗 55断桥铝合金内平开窗 5+12A+5LOW-E中空玻璃</v>
      </c>
      <c r="C4" s="31">
        <f>'11#楼明细(表2.1)  '!H9+'11#楼明细(表2.1)  '!H17</f>
        <v>101.172</v>
      </c>
      <c r="D4" s="31">
        <v>528.458127190319</v>
      </c>
      <c r="E4" s="31">
        <f t="shared" ref="E4:E14" si="0">C4*D4</f>
        <v>53465.165644099</v>
      </c>
      <c r="F4" s="33"/>
    </row>
    <row r="5" s="21" customFormat="1" ht="51.95" customHeight="1" spans="1:6">
      <c r="A5" s="30">
        <v>3</v>
      </c>
      <c r="B5" s="17" t="str">
        <f>'11#楼明细(表2.1)  '!B11</f>
        <v>内平开窗 55断桥铝合金内平开窗 5+12A+5中空玻璃</v>
      </c>
      <c r="C5" s="31">
        <f>'11#楼明细(表2.1)  '!H11</f>
        <v>2.2932</v>
      </c>
      <c r="D5" s="31">
        <v>878.391453850047</v>
      </c>
      <c r="E5" s="31">
        <f t="shared" si="0"/>
        <v>2014.32728196893</v>
      </c>
      <c r="F5" s="33"/>
    </row>
    <row r="6" s="21" customFormat="1" ht="54.95" customHeight="1" spans="1:6">
      <c r="A6" s="30">
        <v>4</v>
      </c>
      <c r="B6" s="17" t="str">
        <f>'11#楼明细(表2.1)  '!B19</f>
        <v>内平开窗 55普通铝合金内平开窗 5+12A+5中空玻璃</v>
      </c>
      <c r="C6" s="31">
        <f>'11#楼明细(表2.1)  '!H19</f>
        <v>9.8784</v>
      </c>
      <c r="D6" s="31">
        <v>580.602581050266</v>
      </c>
      <c r="E6" s="31">
        <f t="shared" si="0"/>
        <v>5735.42453664695</v>
      </c>
      <c r="F6" s="33"/>
    </row>
    <row r="7" s="21" customFormat="1" ht="56.1" customHeight="1" spans="1:7">
      <c r="A7" s="30">
        <v>5</v>
      </c>
      <c r="B7" s="17" t="str">
        <f>'11#楼明细(表2.1)  '!B4</f>
        <v>平开门 55断桥铝合金外平开门 5+12A+5LOW-E钢化玻璃</v>
      </c>
      <c r="C7" s="31">
        <f>'11#楼明细(表2.1)  '!H4</f>
        <v>121.1868</v>
      </c>
      <c r="D7" s="31">
        <v>633.81696986891</v>
      </c>
      <c r="E7" s="31">
        <f t="shared" si="0"/>
        <v>76810.2503641096</v>
      </c>
      <c r="F7" s="32"/>
      <c r="G7" s="4"/>
    </row>
    <row r="8" s="21" customFormat="1" ht="51.95" customHeight="1" spans="1:6">
      <c r="A8" s="30">
        <v>6</v>
      </c>
      <c r="B8" s="17" t="str">
        <f>'11#楼明细(表2.1)  '!B6</f>
        <v>平开门 55普通铝合金外平开门 5+12A+5钢化玻璃</v>
      </c>
      <c r="C8" s="31">
        <f>'11#楼明细(表2.1)  '!H6</f>
        <v>104.6988</v>
      </c>
      <c r="D8" s="31">
        <v>607.37053108547</v>
      </c>
      <c r="E8" s="31">
        <f t="shared" si="0"/>
        <v>63590.9657600114</v>
      </c>
      <c r="F8" s="32"/>
    </row>
    <row r="9" s="21" customFormat="1" ht="65.1" customHeight="1" spans="1:6">
      <c r="A9" s="30">
        <v>7</v>
      </c>
      <c r="B9" s="17" t="str">
        <f>'11#楼明细(表2.1)  '!B7</f>
        <v>上悬窗 55断桥铝合金上悬窗 5+12A+5LOW-E中空玻璃 </v>
      </c>
      <c r="C9" s="31">
        <f>'11#楼明细(表2.1)  '!H7+'11#楼明细(表2.1)  '!H14</f>
        <v>44.3808</v>
      </c>
      <c r="D9" s="31">
        <v>826.202386534419</v>
      </c>
      <c r="E9" s="31">
        <f t="shared" si="0"/>
        <v>36667.5228763067</v>
      </c>
      <c r="F9" s="34"/>
    </row>
    <row r="10" s="21" customFormat="1" ht="51.95" customHeight="1" spans="1:6">
      <c r="A10" s="30">
        <v>8</v>
      </c>
      <c r="B10" s="17" t="str">
        <f>'11#楼明细(表2.1)  '!B8</f>
        <v>上悬窗 55断桥铝合金上悬窗 5+12A+5LOW-E中空玻璃 七层及以上钢化玻璃</v>
      </c>
      <c r="C10" s="31">
        <f>'11#楼明细(表2.1)  '!H8+'11#楼明细(表2.1)  '!H15</f>
        <v>22.1904</v>
      </c>
      <c r="D10" s="31">
        <v>839.859795383976</v>
      </c>
      <c r="E10" s="31">
        <f t="shared" si="0"/>
        <v>18636.8248034886</v>
      </c>
      <c r="F10" s="35"/>
    </row>
    <row r="11" s="21" customFormat="1" ht="51.95" customHeight="1" spans="1:6">
      <c r="A11" s="30">
        <v>9</v>
      </c>
      <c r="B11" s="17" t="str">
        <f>'11#楼明细(表2.1)  '!B12</f>
        <v>推拉窗 80断桥铝合金推拉窗 5+12A+5中空玻璃</v>
      </c>
      <c r="C11" s="31">
        <f>'11#楼明细(表2.1)  '!H12+'11#楼明细(表2.1)  '!H13</f>
        <v>65.4264</v>
      </c>
      <c r="D11" s="31">
        <v>617.217390940382</v>
      </c>
      <c r="E11" s="31">
        <f t="shared" si="0"/>
        <v>40382.3119066218</v>
      </c>
      <c r="F11" s="35"/>
    </row>
    <row r="12" s="21" customFormat="1" ht="51.95" customHeight="1" spans="1:6">
      <c r="A12" s="30">
        <v>10</v>
      </c>
      <c r="B12" s="17" t="str">
        <f>'11#楼明细(表2.1)  '!B5</f>
        <v>推拉门 80普通铝合金推拉门 5+12A+5钢化玻璃 &gt;2m2采用6mm玻璃</v>
      </c>
      <c r="C12" s="36">
        <f>'11#楼明细(表2.1)  '!H5</f>
        <v>183.0168</v>
      </c>
      <c r="D12" s="36">
        <v>402.315989007125</v>
      </c>
      <c r="E12" s="31">
        <f t="shared" si="0"/>
        <v>73630.5848969192</v>
      </c>
      <c r="F12" s="35"/>
    </row>
    <row r="13" s="21" customFormat="1" ht="51.95" customHeight="1" spans="1:6">
      <c r="A13" s="30">
        <v>11</v>
      </c>
      <c r="B13" s="17" t="str">
        <f>'11#楼明细(表2.1)  '!B18</f>
        <v>推拉内平开窗 80普铝推拉内平开窗 5+12A+5中空玻璃</v>
      </c>
      <c r="C13" s="36">
        <f>'11#楼明细(表2.1)  '!H18</f>
        <v>14.9184</v>
      </c>
      <c r="D13" s="36">
        <v>665.929682520342</v>
      </c>
      <c r="E13" s="31">
        <f t="shared" si="0"/>
        <v>9934.60537571147</v>
      </c>
      <c r="F13" s="35"/>
    </row>
    <row r="14" s="21" customFormat="1" ht="51.95" customHeight="1" spans="1:10">
      <c r="A14" s="30">
        <v>12</v>
      </c>
      <c r="B14" s="37" t="str">
        <f>'11#楼明细(表2.1)  '!B16</f>
        <v>外平开窗 55断桥铝合金外平开窗 5+12A+5中空玻璃</v>
      </c>
      <c r="C14" s="36">
        <f>'11#楼明细(表2.1)  '!H16</f>
        <v>4.0112</v>
      </c>
      <c r="D14" s="36">
        <v>721.474804577051</v>
      </c>
      <c r="E14" s="31">
        <f t="shared" si="0"/>
        <v>2893.97973611947</v>
      </c>
      <c r="F14" s="35"/>
      <c r="J14" s="21">
        <f>J15/J16</f>
        <v>0.983163249713124</v>
      </c>
    </row>
    <row r="15" s="21" customFormat="1" ht="42" customHeight="1" spans="1:10">
      <c r="A15" s="38" t="s">
        <v>7</v>
      </c>
      <c r="B15" s="39"/>
      <c r="C15" s="40">
        <f>SUM(C3:C14)</f>
        <v>792.3188</v>
      </c>
      <c r="D15" s="41">
        <f>E15/C15</f>
        <v>557.879198950099</v>
      </c>
      <c r="E15" s="40">
        <f>SUM(E3:E14)</f>
        <v>442018.177457104</v>
      </c>
      <c r="F15" s="42"/>
      <c r="J15" s="21">
        <f>汇总表!E23</f>
        <v>4520000.00236798</v>
      </c>
    </row>
    <row r="16" s="21" customFormat="1" ht="55.5" customHeight="1" spans="1:10">
      <c r="A16" s="43" t="s">
        <v>113</v>
      </c>
      <c r="B16" s="43"/>
      <c r="C16" s="43"/>
      <c r="D16" s="43"/>
      <c r="E16" s="43"/>
      <c r="J16" s="21">
        <f>'1#楼汇总表（表2）'!F17+'2#楼汇总表（表2）'!F16+'3#楼汇总表（表2）'!E16+'5#楼汇总表（表2）'!E15+'6#楼汇总表（表2）'!E15+'7#楼汇总表（表2）'!F16+'8#楼汇总表（表2）'!E13+'9#楼汇总表（表2）'!E13+'10#楼汇总表（表2）'!E12+E15</f>
        <v>4597405.36852539</v>
      </c>
    </row>
    <row r="17" spans="1:5">
      <c r="A17" s="44"/>
      <c r="B17" s="45"/>
      <c r="C17" s="46"/>
      <c r="D17" s="46"/>
      <c r="E17" s="46"/>
    </row>
    <row r="23" spans="2:2">
      <c r="B23" s="5"/>
    </row>
    <row r="24" spans="2:2">
      <c r="B24" s="5"/>
    </row>
    <row r="25" spans="2:2">
      <c r="B25" s="5"/>
    </row>
  </sheetData>
  <mergeCells count="3">
    <mergeCell ref="A1:F1"/>
    <mergeCell ref="A16:E16"/>
    <mergeCell ref="F9:F11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1"/>
  <sheetViews>
    <sheetView zoomScale="85" zoomScaleNormal="85" workbookViewId="0">
      <pane ySplit="1" topLeftCell="A14" activePane="bottomLeft" state="frozen"/>
      <selection/>
      <selection pane="bottomLeft" activeCell="H19" sqref="H19"/>
    </sheetView>
  </sheetViews>
  <sheetFormatPr defaultColWidth="9" defaultRowHeight="14.25"/>
  <cols>
    <col min="1" max="1" width="6.5" style="2" customWidth="1"/>
    <col min="2" max="2" width="34.75" style="3" customWidth="1"/>
    <col min="3" max="3" width="16.8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270</v>
      </c>
      <c r="B1" s="6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7" t="s">
        <v>115</v>
      </c>
      <c r="C2" s="7" t="s">
        <v>116</v>
      </c>
      <c r="D2" s="8" t="s">
        <v>117</v>
      </c>
      <c r="E2" s="9"/>
      <c r="F2" s="9"/>
      <c r="G2" s="9"/>
      <c r="H2" s="10"/>
      <c r="I2" s="19" t="s">
        <v>6</v>
      </c>
    </row>
    <row r="3" ht="30" customHeight="1" spans="1:9">
      <c r="A3" s="7"/>
      <c r="B3" s="7"/>
      <c r="C3" s="7"/>
      <c r="D3" s="7" t="s">
        <v>118</v>
      </c>
      <c r="E3" s="11" t="s">
        <v>119</v>
      </c>
      <c r="F3" s="11" t="s">
        <v>120</v>
      </c>
      <c r="G3" s="11" t="s">
        <v>121</v>
      </c>
      <c r="H3" s="12" t="s">
        <v>3</v>
      </c>
      <c r="I3" s="19"/>
    </row>
    <row r="4" ht="45" customHeight="1" spans="1:9">
      <c r="A4" s="7">
        <v>1</v>
      </c>
      <c r="B4" s="13" t="s">
        <v>122</v>
      </c>
      <c r="C4" s="11" t="s">
        <v>123</v>
      </c>
      <c r="D4" s="14" t="s">
        <v>207</v>
      </c>
      <c r="E4" s="11">
        <v>1470</v>
      </c>
      <c r="F4" s="11">
        <v>2290</v>
      </c>
      <c r="G4" s="11">
        <f t="shared" ref="G4:G6" si="0">1*2*2*9</f>
        <v>36</v>
      </c>
      <c r="H4" s="12">
        <f t="shared" ref="H4:H8" si="1">E4*F4*G4/1000000</f>
        <v>121.1868</v>
      </c>
      <c r="I4" s="17" t="s">
        <v>125</v>
      </c>
    </row>
    <row r="5" ht="45" customHeight="1" spans="1:9">
      <c r="A5" s="7">
        <v>2</v>
      </c>
      <c r="B5" s="13" t="s">
        <v>126</v>
      </c>
      <c r="C5" s="11" t="s">
        <v>263</v>
      </c>
      <c r="D5" s="14" t="s">
        <v>207</v>
      </c>
      <c r="E5" s="11">
        <v>2220</v>
      </c>
      <c r="F5" s="11">
        <v>2290</v>
      </c>
      <c r="G5" s="11">
        <f t="shared" si="0"/>
        <v>36</v>
      </c>
      <c r="H5" s="12">
        <f t="shared" si="1"/>
        <v>183.0168</v>
      </c>
      <c r="I5" s="17" t="s">
        <v>128</v>
      </c>
    </row>
    <row r="6" ht="45" customHeight="1" spans="1:9">
      <c r="A6" s="7">
        <v>3</v>
      </c>
      <c r="B6" s="13" t="s">
        <v>129</v>
      </c>
      <c r="C6" s="11" t="s">
        <v>130</v>
      </c>
      <c r="D6" s="14" t="s">
        <v>207</v>
      </c>
      <c r="E6" s="11">
        <v>1270</v>
      </c>
      <c r="F6" s="11">
        <v>2290</v>
      </c>
      <c r="G6" s="11">
        <f t="shared" si="0"/>
        <v>36</v>
      </c>
      <c r="H6" s="12">
        <f t="shared" si="1"/>
        <v>104.6988</v>
      </c>
      <c r="I6" s="17" t="s">
        <v>131</v>
      </c>
    </row>
    <row r="7" s="1" customFormat="1" ht="45" customHeight="1" spans="1:9">
      <c r="A7" s="7">
        <v>4</v>
      </c>
      <c r="B7" s="13" t="s">
        <v>132</v>
      </c>
      <c r="C7" s="11" t="s">
        <v>133</v>
      </c>
      <c r="D7" s="14" t="s">
        <v>134</v>
      </c>
      <c r="E7" s="11">
        <v>870</v>
      </c>
      <c r="F7" s="11">
        <v>1380</v>
      </c>
      <c r="G7" s="11">
        <f>1*2*2*6</f>
        <v>24</v>
      </c>
      <c r="H7" s="12">
        <f t="shared" si="1"/>
        <v>28.8144</v>
      </c>
      <c r="I7" s="17" t="s">
        <v>135</v>
      </c>
    </row>
    <row r="8" s="1" customFormat="1" ht="45" customHeight="1" spans="1:9">
      <c r="A8" s="7">
        <v>4.1</v>
      </c>
      <c r="B8" s="13" t="s">
        <v>136</v>
      </c>
      <c r="C8" s="11" t="s">
        <v>133</v>
      </c>
      <c r="D8" s="14" t="s">
        <v>264</v>
      </c>
      <c r="E8" s="11">
        <v>870</v>
      </c>
      <c r="F8" s="11">
        <v>1380</v>
      </c>
      <c r="G8" s="11">
        <f>1*2*2*3</f>
        <v>12</v>
      </c>
      <c r="H8" s="12">
        <f t="shared" si="1"/>
        <v>14.4072</v>
      </c>
      <c r="I8" s="17" t="s">
        <v>135</v>
      </c>
    </row>
    <row r="9" ht="45" customHeight="1" spans="1:9">
      <c r="A9" s="7">
        <v>5</v>
      </c>
      <c r="B9" s="13" t="s">
        <v>138</v>
      </c>
      <c r="C9" s="11" t="s">
        <v>139</v>
      </c>
      <c r="D9" s="14" t="s">
        <v>207</v>
      </c>
      <c r="E9" s="11">
        <v>1770</v>
      </c>
      <c r="F9" s="11">
        <v>1380</v>
      </c>
      <c r="G9" s="11">
        <f>1*2*2*9</f>
        <v>36</v>
      </c>
      <c r="H9" s="12">
        <f t="shared" ref="H9:H19" si="2">E9*F9*G9/1000000</f>
        <v>87.9336</v>
      </c>
      <c r="I9" s="17" t="s">
        <v>140</v>
      </c>
    </row>
    <row r="10" ht="45" customHeight="1" spans="1:9">
      <c r="A10" s="7">
        <v>6</v>
      </c>
      <c r="B10" s="13" t="s">
        <v>141</v>
      </c>
      <c r="C10" s="11" t="s">
        <v>142</v>
      </c>
      <c r="D10" s="14" t="s">
        <v>207</v>
      </c>
      <c r="E10" s="11">
        <v>1970</v>
      </c>
      <c r="F10" s="11">
        <v>1680</v>
      </c>
      <c r="G10" s="11">
        <f>1*2*2*9</f>
        <v>36</v>
      </c>
      <c r="H10" s="12">
        <f t="shared" si="2"/>
        <v>119.1456</v>
      </c>
      <c r="I10" s="17" t="s">
        <v>143</v>
      </c>
    </row>
    <row r="11" ht="45" customHeight="1" spans="1:9">
      <c r="A11" s="7">
        <v>7</v>
      </c>
      <c r="B11" s="13" t="s">
        <v>144</v>
      </c>
      <c r="C11" s="11" t="s">
        <v>145</v>
      </c>
      <c r="D11" s="11" t="s">
        <v>146</v>
      </c>
      <c r="E11" s="11">
        <v>1170</v>
      </c>
      <c r="F11" s="15">
        <v>980</v>
      </c>
      <c r="G11" s="11">
        <v>2</v>
      </c>
      <c r="H11" s="12">
        <f t="shared" si="2"/>
        <v>2.2932</v>
      </c>
      <c r="I11" s="11" t="s">
        <v>146</v>
      </c>
    </row>
    <row r="12" ht="45" customHeight="1" spans="1:9">
      <c r="A12" s="7">
        <v>8</v>
      </c>
      <c r="B12" s="13" t="s">
        <v>147</v>
      </c>
      <c r="C12" s="11" t="s">
        <v>148</v>
      </c>
      <c r="D12" s="11" t="s">
        <v>149</v>
      </c>
      <c r="E12" s="11">
        <v>1170</v>
      </c>
      <c r="F12" s="11">
        <v>1380</v>
      </c>
      <c r="G12" s="11">
        <v>32</v>
      </c>
      <c r="H12" s="12">
        <f t="shared" si="2"/>
        <v>51.6672</v>
      </c>
      <c r="I12" s="17" t="s">
        <v>150</v>
      </c>
    </row>
    <row r="13" ht="45" customHeight="1" spans="1:9">
      <c r="A13" s="7">
        <v>9</v>
      </c>
      <c r="B13" s="13" t="s">
        <v>147</v>
      </c>
      <c r="C13" s="11" t="s">
        <v>145</v>
      </c>
      <c r="D13" s="11" t="s">
        <v>209</v>
      </c>
      <c r="E13" s="11">
        <v>1170</v>
      </c>
      <c r="F13" s="11">
        <v>980</v>
      </c>
      <c r="G13" s="11">
        <f>1*2*6</f>
        <v>12</v>
      </c>
      <c r="H13" s="12">
        <f t="shared" si="2"/>
        <v>13.7592</v>
      </c>
      <c r="I13" s="17" t="s">
        <v>152</v>
      </c>
    </row>
    <row r="14" ht="45" customHeight="1" spans="1:9">
      <c r="A14" s="7">
        <v>10</v>
      </c>
      <c r="B14" s="13" t="s">
        <v>132</v>
      </c>
      <c r="C14" s="11" t="s">
        <v>153</v>
      </c>
      <c r="D14" s="14" t="s">
        <v>134</v>
      </c>
      <c r="E14" s="11">
        <v>470</v>
      </c>
      <c r="F14" s="11">
        <v>1380</v>
      </c>
      <c r="G14" s="11">
        <f>1*2*2*6</f>
        <v>24</v>
      </c>
      <c r="H14" s="12">
        <f t="shared" si="2"/>
        <v>15.5664</v>
      </c>
      <c r="I14" s="17" t="s">
        <v>154</v>
      </c>
    </row>
    <row r="15" ht="45" customHeight="1" spans="1:9">
      <c r="A15" s="7">
        <v>10.1</v>
      </c>
      <c r="B15" s="13" t="s">
        <v>136</v>
      </c>
      <c r="C15" s="11" t="s">
        <v>153</v>
      </c>
      <c r="D15" s="14" t="s">
        <v>264</v>
      </c>
      <c r="E15" s="11">
        <v>470</v>
      </c>
      <c r="F15" s="11">
        <v>1380</v>
      </c>
      <c r="G15" s="11">
        <f>1*2*2*3</f>
        <v>12</v>
      </c>
      <c r="H15" s="12">
        <f t="shared" si="2"/>
        <v>7.7832</v>
      </c>
      <c r="I15" s="17" t="s">
        <v>154</v>
      </c>
    </row>
    <row r="16" ht="45" customHeight="1" spans="1:9">
      <c r="A16" s="7">
        <v>11</v>
      </c>
      <c r="B16" s="13" t="s">
        <v>155</v>
      </c>
      <c r="C16" s="11" t="s">
        <v>156</v>
      </c>
      <c r="D16" s="14" t="s">
        <v>157</v>
      </c>
      <c r="E16" s="11">
        <v>920</v>
      </c>
      <c r="F16" s="11">
        <v>2180</v>
      </c>
      <c r="G16" s="11">
        <v>2</v>
      </c>
      <c r="H16" s="12">
        <f t="shared" si="2"/>
        <v>4.0112</v>
      </c>
      <c r="I16" s="17" t="s">
        <v>152</v>
      </c>
    </row>
    <row r="17" ht="45" customHeight="1" spans="1:9">
      <c r="A17" s="7">
        <v>12</v>
      </c>
      <c r="B17" s="13" t="s">
        <v>138</v>
      </c>
      <c r="C17" s="11" t="s">
        <v>164</v>
      </c>
      <c r="D17" s="16" t="s">
        <v>159</v>
      </c>
      <c r="E17" s="11">
        <v>1970</v>
      </c>
      <c r="F17" s="11">
        <v>1680</v>
      </c>
      <c r="G17" s="11">
        <v>4</v>
      </c>
      <c r="H17" s="12">
        <f t="shared" si="2"/>
        <v>13.2384</v>
      </c>
      <c r="I17" s="17"/>
    </row>
    <row r="18" ht="45" customHeight="1" spans="1:9">
      <c r="A18" s="7">
        <v>13</v>
      </c>
      <c r="B18" s="13" t="s">
        <v>204</v>
      </c>
      <c r="C18" s="11" t="s">
        <v>166</v>
      </c>
      <c r="D18" s="16" t="s">
        <v>159</v>
      </c>
      <c r="E18" s="11">
        <v>2220</v>
      </c>
      <c r="F18" s="11">
        <v>1680</v>
      </c>
      <c r="G18" s="11">
        <v>4</v>
      </c>
      <c r="H18" s="12">
        <f t="shared" si="2"/>
        <v>14.9184</v>
      </c>
      <c r="I18" s="20"/>
    </row>
    <row r="19" ht="45" customHeight="1" spans="1:9">
      <c r="A19" s="7">
        <v>14</v>
      </c>
      <c r="B19" s="13" t="s">
        <v>167</v>
      </c>
      <c r="C19" s="11" t="s">
        <v>168</v>
      </c>
      <c r="D19" s="16" t="s">
        <v>159</v>
      </c>
      <c r="E19" s="11">
        <v>1470</v>
      </c>
      <c r="F19" s="11">
        <v>1680</v>
      </c>
      <c r="G19" s="11">
        <v>4</v>
      </c>
      <c r="H19" s="12">
        <f t="shared" si="2"/>
        <v>9.8784</v>
      </c>
      <c r="I19" s="17"/>
    </row>
    <row r="20" ht="44.1" customHeight="1" spans="1:9">
      <c r="A20" s="7">
        <v>15</v>
      </c>
      <c r="B20" s="17" t="s">
        <v>7</v>
      </c>
      <c r="C20" s="11"/>
      <c r="D20" s="11"/>
      <c r="E20" s="11"/>
      <c r="F20" s="11"/>
      <c r="G20" s="11"/>
      <c r="H20" s="12">
        <f>SUM(H4:H19)</f>
        <v>792.3188</v>
      </c>
      <c r="I20" s="17"/>
    </row>
    <row r="21" ht="27.75" customHeight="1"/>
  </sheetData>
  <autoFilter ref="A3:I20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7"/>
  <sheetViews>
    <sheetView workbookViewId="0">
      <selection activeCell="P11" sqref="P11"/>
    </sheetView>
  </sheetViews>
  <sheetFormatPr defaultColWidth="9" defaultRowHeight="14.25"/>
  <cols>
    <col min="1" max="1" width="5.625" style="130" customWidth="1"/>
    <col min="2" max="2" width="7.25" style="130" customWidth="1"/>
    <col min="3" max="3" width="14.875" style="130" customWidth="1"/>
    <col min="4" max="4" width="7.75" style="130" customWidth="1"/>
    <col min="5" max="5" width="7.875" style="130" customWidth="1"/>
    <col min="6" max="6" width="9.375" style="130"/>
    <col min="7" max="8" width="9" style="130"/>
    <col min="9" max="9" width="13.625" style="130" customWidth="1"/>
    <col min="10" max="16384" width="9" style="130"/>
  </cols>
  <sheetData>
    <row r="1" ht="22.5" spans="1:9">
      <c r="A1" s="131" t="s">
        <v>9</v>
      </c>
      <c r="B1" s="131"/>
      <c r="C1" s="131"/>
      <c r="D1" s="131"/>
      <c r="E1" s="131"/>
      <c r="F1" s="131"/>
      <c r="G1" s="131"/>
      <c r="H1" s="131"/>
      <c r="I1" s="131"/>
    </row>
    <row r="2" ht="21" customHeight="1" spans="1:9">
      <c r="A2" s="132" t="s">
        <v>10</v>
      </c>
      <c r="B2" s="133"/>
      <c r="C2" s="133"/>
      <c r="D2" s="133"/>
      <c r="E2" s="133"/>
      <c r="F2" s="134"/>
      <c r="G2" s="135" t="s">
        <v>11</v>
      </c>
      <c r="H2" s="135"/>
      <c r="I2" s="135" t="s">
        <v>12</v>
      </c>
    </row>
    <row r="3" ht="38.25" spans="1:9">
      <c r="A3" s="136"/>
      <c r="B3" s="137" t="s">
        <v>1</v>
      </c>
      <c r="C3" s="137" t="s">
        <v>13</v>
      </c>
      <c r="D3" s="137" t="s">
        <v>14</v>
      </c>
      <c r="E3" s="137" t="s">
        <v>15</v>
      </c>
      <c r="F3" s="137" t="s">
        <v>16</v>
      </c>
      <c r="G3" s="137" t="s">
        <v>17</v>
      </c>
      <c r="H3" s="137" t="s">
        <v>18</v>
      </c>
      <c r="I3" s="146" t="s">
        <v>19</v>
      </c>
    </row>
    <row r="4" ht="20.1" customHeight="1" spans="1:9">
      <c r="A4" s="138" t="s">
        <v>20</v>
      </c>
      <c r="B4" s="139">
        <v>1.1</v>
      </c>
      <c r="C4" s="140" t="s">
        <v>21</v>
      </c>
      <c r="D4" s="141" t="s">
        <v>22</v>
      </c>
      <c r="E4" s="142">
        <v>5.604</v>
      </c>
      <c r="F4" s="143">
        <f>汇总表!C3</f>
        <v>669.3024</v>
      </c>
      <c r="G4" s="143">
        <f>[1]Sheet1!H$4</f>
        <v>23.4690265486726</v>
      </c>
      <c r="H4" s="143">
        <f t="shared" ref="H4:H13" si="0">E4*G4</f>
        <v>131.520424778761</v>
      </c>
      <c r="I4" s="141" t="s">
        <v>23</v>
      </c>
    </row>
    <row r="5" ht="20.1" customHeight="1" spans="1:9">
      <c r="A5" s="138"/>
      <c r="B5" s="139"/>
      <c r="C5" s="140" t="s">
        <v>24</v>
      </c>
      <c r="D5" s="141" t="s">
        <v>22</v>
      </c>
      <c r="E5" s="142">
        <v>0.96</v>
      </c>
      <c r="F5" s="143"/>
      <c r="G5" s="143">
        <f>[1]Sheet1!H$5</f>
        <v>22.8495575221239</v>
      </c>
      <c r="H5" s="143">
        <f t="shared" si="0"/>
        <v>21.9355752212389</v>
      </c>
      <c r="I5" s="141" t="s">
        <v>23</v>
      </c>
    </row>
    <row r="6" ht="20.1" customHeight="1" spans="1:9">
      <c r="A6" s="138"/>
      <c r="B6" s="141"/>
      <c r="C6" s="140" t="s">
        <v>25</v>
      </c>
      <c r="D6" s="141" t="s">
        <v>22</v>
      </c>
      <c r="E6" s="142">
        <v>0.3</v>
      </c>
      <c r="F6" s="143"/>
      <c r="G6" s="143">
        <f>[1]Sheet1!H$6</f>
        <v>21.6991150442478</v>
      </c>
      <c r="H6" s="143">
        <f t="shared" si="0"/>
        <v>6.50973451327434</v>
      </c>
      <c r="I6" s="141" t="s">
        <v>23</v>
      </c>
    </row>
    <row r="7" ht="40.5" customHeight="1" spans="1:9">
      <c r="A7" s="138"/>
      <c r="B7" s="140">
        <v>1.2</v>
      </c>
      <c r="C7" s="140" t="s">
        <v>26</v>
      </c>
      <c r="D7" s="141" t="s">
        <v>27</v>
      </c>
      <c r="E7" s="142">
        <v>0.85</v>
      </c>
      <c r="F7" s="143"/>
      <c r="G7" s="143">
        <f>122/1.13</f>
        <v>107.964601769912</v>
      </c>
      <c r="H7" s="143">
        <f t="shared" si="0"/>
        <v>91.7699115044248</v>
      </c>
      <c r="I7" s="141" t="s">
        <v>28</v>
      </c>
    </row>
    <row r="8" ht="20.1" customHeight="1" spans="1:9">
      <c r="A8" s="138"/>
      <c r="B8" s="141">
        <v>1.3</v>
      </c>
      <c r="C8" s="141" t="s">
        <v>29</v>
      </c>
      <c r="D8" s="141" t="s">
        <v>30</v>
      </c>
      <c r="E8" s="142">
        <v>0.34</v>
      </c>
      <c r="F8" s="143"/>
      <c r="G8" s="143">
        <f>63/1.13</f>
        <v>55.7522123893805</v>
      </c>
      <c r="H8" s="143">
        <f t="shared" si="0"/>
        <v>18.9557522123894</v>
      </c>
      <c r="I8" s="141" t="s">
        <v>31</v>
      </c>
    </row>
    <row r="9" ht="20.1" customHeight="1" spans="1:9">
      <c r="A9" s="138"/>
      <c r="B9" s="141">
        <v>1.4</v>
      </c>
      <c r="C9" s="141" t="s">
        <v>32</v>
      </c>
      <c r="D9" s="141" t="s">
        <v>33</v>
      </c>
      <c r="E9" s="142">
        <v>0.15</v>
      </c>
      <c r="F9" s="143"/>
      <c r="G9" s="143">
        <f>25/1.13</f>
        <v>22.1238938053097</v>
      </c>
      <c r="H9" s="143">
        <f t="shared" si="0"/>
        <v>3.31858407079646</v>
      </c>
      <c r="I9" s="141" t="s">
        <v>34</v>
      </c>
    </row>
    <row r="10" ht="20.1" customHeight="1" spans="1:9">
      <c r="A10" s="138"/>
      <c r="B10" s="141">
        <v>1.5</v>
      </c>
      <c r="C10" s="141" t="s">
        <v>35</v>
      </c>
      <c r="D10" s="141" t="s">
        <v>33</v>
      </c>
      <c r="E10" s="142"/>
      <c r="F10" s="143"/>
      <c r="G10" s="143"/>
      <c r="H10" s="143">
        <f t="shared" si="0"/>
        <v>0</v>
      </c>
      <c r="I10" s="141"/>
    </row>
    <row r="11" ht="33" customHeight="1" spans="1:9">
      <c r="A11" s="138"/>
      <c r="B11" s="141">
        <v>1.6</v>
      </c>
      <c r="C11" s="141" t="s">
        <v>36</v>
      </c>
      <c r="D11" s="141" t="s">
        <v>37</v>
      </c>
      <c r="E11" s="142">
        <v>0.25</v>
      </c>
      <c r="F11" s="143"/>
      <c r="G11" s="143">
        <f>23.5/1.13</f>
        <v>20.7964601769912</v>
      </c>
      <c r="H11" s="143">
        <f t="shared" si="0"/>
        <v>5.19911504424779</v>
      </c>
      <c r="I11" s="141" t="s">
        <v>38</v>
      </c>
    </row>
    <row r="12" ht="30" customHeight="1" spans="1:9">
      <c r="A12" s="138"/>
      <c r="B12" s="141">
        <v>1.7</v>
      </c>
      <c r="C12" s="141" t="s">
        <v>39</v>
      </c>
      <c r="D12" s="141" t="s">
        <v>37</v>
      </c>
      <c r="E12" s="142">
        <v>1.73</v>
      </c>
      <c r="F12" s="143"/>
      <c r="G12" s="143">
        <f>18/1.13</f>
        <v>15.929203539823</v>
      </c>
      <c r="H12" s="143">
        <f t="shared" si="0"/>
        <v>27.5575221238938</v>
      </c>
      <c r="I12" s="141" t="s">
        <v>40</v>
      </c>
    </row>
    <row r="13" ht="20.1" customHeight="1" spans="1:9">
      <c r="A13" s="138"/>
      <c r="B13" s="141">
        <v>1.8</v>
      </c>
      <c r="C13" s="141" t="s">
        <v>41</v>
      </c>
      <c r="D13" s="141" t="s">
        <v>42</v>
      </c>
      <c r="E13" s="142">
        <v>1</v>
      </c>
      <c r="F13" s="143"/>
      <c r="G13" s="143">
        <f>10/1.13</f>
        <v>8.8495575221239</v>
      </c>
      <c r="H13" s="143">
        <f t="shared" si="0"/>
        <v>8.8495575221239</v>
      </c>
      <c r="I13" s="141"/>
    </row>
    <row r="14" ht="20.1" customHeight="1" spans="1:9">
      <c r="A14" s="136" t="s">
        <v>43</v>
      </c>
      <c r="B14" s="136"/>
      <c r="C14" s="136"/>
      <c r="D14" s="144">
        <f>SUM(H4:H13)</f>
        <v>315.616176991151</v>
      </c>
      <c r="E14" s="144"/>
      <c r="F14" s="144"/>
      <c r="G14" s="144"/>
      <c r="H14" s="144"/>
      <c r="I14" s="144"/>
    </row>
    <row r="15" ht="20.1" customHeight="1" spans="1:9">
      <c r="A15" s="136" t="s">
        <v>44</v>
      </c>
      <c r="B15" s="136"/>
      <c r="C15" s="136"/>
      <c r="D15" s="144">
        <v>68</v>
      </c>
      <c r="E15" s="144"/>
      <c r="F15" s="144"/>
      <c r="G15" s="144"/>
      <c r="H15" s="144"/>
      <c r="I15" s="144"/>
    </row>
    <row r="16" ht="31.5" customHeight="1" spans="1:9">
      <c r="A16" s="136" t="s">
        <v>45</v>
      </c>
      <c r="B16" s="136"/>
      <c r="C16" s="136"/>
      <c r="D16" s="144">
        <f>(D14+D15)*15.1572463%</f>
        <v>58.1456487931926</v>
      </c>
      <c r="E16" s="144"/>
      <c r="F16" s="144"/>
      <c r="G16" s="144"/>
      <c r="H16" s="144"/>
      <c r="I16" s="144"/>
    </row>
    <row r="17" ht="20.1" customHeight="1" spans="1:9">
      <c r="A17" s="136" t="s">
        <v>46</v>
      </c>
      <c r="B17" s="136"/>
      <c r="C17" s="136"/>
      <c r="D17" s="144">
        <f>D14+D15+D16</f>
        <v>441.761825784343</v>
      </c>
      <c r="E17" s="144"/>
      <c r="F17" s="144"/>
      <c r="G17" s="144"/>
      <c r="H17" s="144"/>
      <c r="I17" s="144"/>
    </row>
    <row r="18" ht="20.1" customHeight="1" spans="1:9">
      <c r="A18" s="136" t="s">
        <v>47</v>
      </c>
      <c r="B18" s="136"/>
      <c r="C18" s="136"/>
      <c r="D18" s="144">
        <f>D17*11.8%</f>
        <v>52.1278954425525</v>
      </c>
      <c r="E18" s="144"/>
      <c r="F18" s="144"/>
      <c r="G18" s="144"/>
      <c r="H18" s="144"/>
      <c r="I18" s="144"/>
    </row>
    <row r="19" ht="20.1" customHeight="1" spans="1:9">
      <c r="A19" s="136" t="s">
        <v>48</v>
      </c>
      <c r="B19" s="136"/>
      <c r="C19" s="136"/>
      <c r="D19" s="145">
        <f>D17+D18</f>
        <v>493.889721226896</v>
      </c>
      <c r="E19" s="145"/>
      <c r="F19" s="145"/>
      <c r="G19" s="145"/>
      <c r="H19" s="145"/>
      <c r="I19" s="145"/>
    </row>
    <row r="20" ht="22.5" spans="1:9">
      <c r="A20" s="131" t="s">
        <v>9</v>
      </c>
      <c r="B20" s="131"/>
      <c r="C20" s="131"/>
      <c r="D20" s="131"/>
      <c r="E20" s="131"/>
      <c r="F20" s="131"/>
      <c r="G20" s="131"/>
      <c r="H20" s="131"/>
      <c r="I20" s="131"/>
    </row>
    <row r="21" ht="21" customHeight="1" spans="1:9">
      <c r="A21" s="132" t="s">
        <v>10</v>
      </c>
      <c r="B21" s="133"/>
      <c r="C21" s="133"/>
      <c r="D21" s="133"/>
      <c r="E21" s="133"/>
      <c r="F21" s="134"/>
      <c r="G21" s="135" t="s">
        <v>11</v>
      </c>
      <c r="H21" s="135"/>
      <c r="I21" s="135" t="s">
        <v>12</v>
      </c>
    </row>
    <row r="22" ht="38.25" spans="1:9">
      <c r="A22" s="136"/>
      <c r="B22" s="137" t="s">
        <v>1</v>
      </c>
      <c r="C22" s="137" t="s">
        <v>13</v>
      </c>
      <c r="D22" s="137" t="s">
        <v>14</v>
      </c>
      <c r="E22" s="137" t="s">
        <v>15</v>
      </c>
      <c r="F22" s="137" t="s">
        <v>16</v>
      </c>
      <c r="G22" s="137" t="s">
        <v>17</v>
      </c>
      <c r="H22" s="137" t="s">
        <v>18</v>
      </c>
      <c r="I22" s="146" t="s">
        <v>19</v>
      </c>
    </row>
    <row r="23" ht="20.1" customHeight="1" spans="1:9">
      <c r="A23" s="138" t="s">
        <v>20</v>
      </c>
      <c r="B23" s="139">
        <v>1.1</v>
      </c>
      <c r="C23" s="140" t="s">
        <v>21</v>
      </c>
      <c r="D23" s="141" t="s">
        <v>22</v>
      </c>
      <c r="E23" s="142">
        <v>5.1166</v>
      </c>
      <c r="F23" s="143">
        <f>汇总表!C4</f>
        <v>913.8048</v>
      </c>
      <c r="G23" s="143">
        <f>[1]Sheet1!H$4</f>
        <v>23.4690265486726</v>
      </c>
      <c r="H23" s="143">
        <f t="shared" ref="H23:H33" si="1">E23*G23</f>
        <v>120.081621238938</v>
      </c>
      <c r="I23" s="141" t="s">
        <v>23</v>
      </c>
    </row>
    <row r="24" ht="20.1" customHeight="1" spans="1:9">
      <c r="A24" s="138"/>
      <c r="B24" s="139"/>
      <c r="C24" s="140" t="s">
        <v>24</v>
      </c>
      <c r="D24" s="141" t="s">
        <v>22</v>
      </c>
      <c r="E24" s="142">
        <v>0.9</v>
      </c>
      <c r="F24" s="143"/>
      <c r="G24" s="143">
        <f>[1]Sheet1!H$5</f>
        <v>22.8495575221239</v>
      </c>
      <c r="H24" s="143">
        <f t="shared" si="1"/>
        <v>20.5646017699115</v>
      </c>
      <c r="I24" s="141" t="s">
        <v>23</v>
      </c>
    </row>
    <row r="25" ht="20.1" customHeight="1" spans="1:9">
      <c r="A25" s="138"/>
      <c r="B25" s="141"/>
      <c r="C25" s="140" t="s">
        <v>25</v>
      </c>
      <c r="D25" s="141" t="s">
        <v>22</v>
      </c>
      <c r="E25" s="142">
        <v>0.25</v>
      </c>
      <c r="F25" s="143"/>
      <c r="G25" s="143">
        <f>[1]Sheet1!H$6</f>
        <v>21.6991150442478</v>
      </c>
      <c r="H25" s="143">
        <f t="shared" si="1"/>
        <v>5.42477876106195</v>
      </c>
      <c r="I25" s="141" t="s">
        <v>23</v>
      </c>
    </row>
    <row r="26" ht="30" customHeight="1" spans="1:9">
      <c r="A26" s="138"/>
      <c r="B26" s="139">
        <v>1.2</v>
      </c>
      <c r="C26" s="140" t="s">
        <v>49</v>
      </c>
      <c r="D26" s="141" t="s">
        <v>27</v>
      </c>
      <c r="E26" s="142">
        <v>0.59</v>
      </c>
      <c r="F26" s="143"/>
      <c r="G26" s="143">
        <f>136/1.13</f>
        <v>120.353982300885</v>
      </c>
      <c r="H26" s="143">
        <f t="shared" si="1"/>
        <v>71.0088495575221</v>
      </c>
      <c r="I26" s="139" t="s">
        <v>28</v>
      </c>
    </row>
    <row r="27" ht="27" customHeight="1" spans="1:9">
      <c r="A27" s="138"/>
      <c r="B27" s="141"/>
      <c r="C27" s="140" t="s">
        <v>26</v>
      </c>
      <c r="D27" s="141" t="s">
        <v>27</v>
      </c>
      <c r="E27" s="142">
        <v>0.26</v>
      </c>
      <c r="F27" s="143"/>
      <c r="G27" s="143">
        <f>122/1.13</f>
        <v>107.964601769912</v>
      </c>
      <c r="H27" s="143">
        <f t="shared" si="1"/>
        <v>28.070796460177</v>
      </c>
      <c r="I27" s="141"/>
    </row>
    <row r="28" ht="20.1" customHeight="1" spans="1:9">
      <c r="A28" s="138"/>
      <c r="B28" s="141">
        <v>1.3</v>
      </c>
      <c r="C28" s="141" t="s">
        <v>29</v>
      </c>
      <c r="D28" s="141" t="s">
        <v>30</v>
      </c>
      <c r="E28" s="142">
        <v>0.29</v>
      </c>
      <c r="F28" s="143"/>
      <c r="G28" s="143">
        <f>63/1.13</f>
        <v>55.7522123893805</v>
      </c>
      <c r="H28" s="143">
        <f t="shared" si="1"/>
        <v>16.1681415929204</v>
      </c>
      <c r="I28" s="141" t="s">
        <v>31</v>
      </c>
    </row>
    <row r="29" ht="20.1" customHeight="1" spans="1:9">
      <c r="A29" s="138"/>
      <c r="B29" s="141">
        <v>1.4</v>
      </c>
      <c r="C29" s="141" t="s">
        <v>32</v>
      </c>
      <c r="D29" s="141" t="s">
        <v>33</v>
      </c>
      <c r="E29" s="142">
        <v>0.14</v>
      </c>
      <c r="F29" s="143"/>
      <c r="G29" s="143">
        <f>25/1.13</f>
        <v>22.1238938053097</v>
      </c>
      <c r="H29" s="143">
        <f t="shared" si="1"/>
        <v>3.09734513274336</v>
      </c>
      <c r="I29" s="141" t="s">
        <v>34</v>
      </c>
    </row>
    <row r="30" ht="20.1" customHeight="1" spans="1:9">
      <c r="A30" s="138"/>
      <c r="B30" s="141">
        <v>1.5</v>
      </c>
      <c r="C30" s="141" t="s">
        <v>35</v>
      </c>
      <c r="D30" s="141" t="s">
        <v>33</v>
      </c>
      <c r="E30" s="142"/>
      <c r="F30" s="143"/>
      <c r="G30" s="143"/>
      <c r="H30" s="143">
        <f t="shared" si="1"/>
        <v>0</v>
      </c>
      <c r="I30" s="141"/>
    </row>
    <row r="31" ht="30" customHeight="1" spans="1:9">
      <c r="A31" s="138"/>
      <c r="B31" s="141">
        <v>1.6</v>
      </c>
      <c r="C31" s="141" t="s">
        <v>36</v>
      </c>
      <c r="D31" s="141" t="s">
        <v>37</v>
      </c>
      <c r="E31" s="142">
        <v>0.23</v>
      </c>
      <c r="F31" s="143"/>
      <c r="G31" s="143">
        <f>23.5/1.13</f>
        <v>20.7964601769912</v>
      </c>
      <c r="H31" s="143">
        <f t="shared" si="1"/>
        <v>4.78318584070797</v>
      </c>
      <c r="I31" s="141" t="s">
        <v>38</v>
      </c>
    </row>
    <row r="32" ht="33" customHeight="1" spans="1:9">
      <c r="A32" s="138"/>
      <c r="B32" s="141">
        <v>1.7</v>
      </c>
      <c r="C32" s="141" t="s">
        <v>39</v>
      </c>
      <c r="D32" s="141" t="s">
        <v>37</v>
      </c>
      <c r="E32" s="142">
        <v>1.51</v>
      </c>
      <c r="F32" s="143"/>
      <c r="G32" s="143">
        <f>18/1.13</f>
        <v>15.929203539823</v>
      </c>
      <c r="H32" s="143">
        <f t="shared" si="1"/>
        <v>24.0530973451327</v>
      </c>
      <c r="I32" s="141" t="s">
        <v>40</v>
      </c>
    </row>
    <row r="33" ht="20.1" customHeight="1" spans="1:9">
      <c r="A33" s="138"/>
      <c r="B33" s="141">
        <v>1.8</v>
      </c>
      <c r="C33" s="141" t="s">
        <v>41</v>
      </c>
      <c r="D33" s="141" t="s">
        <v>42</v>
      </c>
      <c r="E33" s="142">
        <v>1</v>
      </c>
      <c r="F33" s="143"/>
      <c r="G33" s="143">
        <f>10/1.13</f>
        <v>8.8495575221239</v>
      </c>
      <c r="H33" s="143">
        <f t="shared" si="1"/>
        <v>8.8495575221239</v>
      </c>
      <c r="I33" s="141"/>
    </row>
    <row r="34" ht="20.1" customHeight="1" spans="1:9">
      <c r="A34" s="136" t="s">
        <v>43</v>
      </c>
      <c r="B34" s="136"/>
      <c r="C34" s="136"/>
      <c r="D34" s="144">
        <f>SUM(H23:H33)</f>
        <v>302.101975221239</v>
      </c>
      <c r="E34" s="144"/>
      <c r="F34" s="144"/>
      <c r="G34" s="144"/>
      <c r="H34" s="144"/>
      <c r="I34" s="144"/>
    </row>
    <row r="35" ht="20.1" customHeight="1" spans="1:9">
      <c r="A35" s="136" t="s">
        <v>44</v>
      </c>
      <c r="B35" s="136"/>
      <c r="C35" s="136"/>
      <c r="D35" s="144">
        <v>68</v>
      </c>
      <c r="E35" s="144"/>
      <c r="F35" s="144"/>
      <c r="G35" s="144"/>
      <c r="H35" s="144"/>
      <c r="I35" s="144"/>
    </row>
    <row r="36" ht="20.1" customHeight="1" spans="1:9">
      <c r="A36" s="136" t="s">
        <v>50</v>
      </c>
      <c r="B36" s="136"/>
      <c r="C36" s="136"/>
      <c r="D36" s="144">
        <f>(D34+D35)*15.1572463%</f>
        <v>56.0972679454482</v>
      </c>
      <c r="E36" s="144"/>
      <c r="F36" s="144"/>
      <c r="G36" s="144"/>
      <c r="H36" s="144"/>
      <c r="I36" s="144"/>
    </row>
    <row r="37" ht="20.1" customHeight="1" spans="1:9">
      <c r="A37" s="136" t="s">
        <v>46</v>
      </c>
      <c r="B37" s="136"/>
      <c r="C37" s="136"/>
      <c r="D37" s="144">
        <f>D34+D35+D36</f>
        <v>426.199243166687</v>
      </c>
      <c r="E37" s="144"/>
      <c r="F37" s="144"/>
      <c r="G37" s="144"/>
      <c r="H37" s="144"/>
      <c r="I37" s="144"/>
    </row>
    <row r="38" ht="20.1" customHeight="1" spans="1:9">
      <c r="A38" s="136" t="s">
        <v>47</v>
      </c>
      <c r="B38" s="136"/>
      <c r="C38" s="136"/>
      <c r="D38" s="144">
        <f>D37*11.8%</f>
        <v>50.2915106936691</v>
      </c>
      <c r="E38" s="144"/>
      <c r="F38" s="144"/>
      <c r="G38" s="144"/>
      <c r="H38" s="144"/>
      <c r="I38" s="144"/>
    </row>
    <row r="39" ht="20.1" customHeight="1" spans="1:9">
      <c r="A39" s="136" t="s">
        <v>48</v>
      </c>
      <c r="B39" s="136"/>
      <c r="C39" s="136"/>
      <c r="D39" s="145">
        <f>D37+D38</f>
        <v>476.490753860357</v>
      </c>
      <c r="E39" s="145"/>
      <c r="F39" s="145"/>
      <c r="G39" s="145"/>
      <c r="H39" s="145"/>
      <c r="I39" s="145"/>
    </row>
    <row r="40" ht="22.5" spans="1:9">
      <c r="A40" s="131" t="s">
        <v>9</v>
      </c>
      <c r="B40" s="131"/>
      <c r="C40" s="131"/>
      <c r="D40" s="131"/>
      <c r="E40" s="131"/>
      <c r="F40" s="131"/>
      <c r="G40" s="131"/>
      <c r="H40" s="131"/>
      <c r="I40" s="131"/>
    </row>
    <row r="41" ht="24" customHeight="1" spans="1:9">
      <c r="A41" s="132" t="s">
        <v>10</v>
      </c>
      <c r="B41" s="133"/>
      <c r="C41" s="133"/>
      <c r="D41" s="133"/>
      <c r="E41" s="133"/>
      <c r="F41" s="134"/>
      <c r="G41" s="135" t="s">
        <v>11</v>
      </c>
      <c r="H41" s="135"/>
      <c r="I41" s="135" t="s">
        <v>12</v>
      </c>
    </row>
    <row r="42" ht="38.25" spans="1:9">
      <c r="A42" s="136"/>
      <c r="B42" s="137" t="s">
        <v>1</v>
      </c>
      <c r="C42" s="137" t="s">
        <v>13</v>
      </c>
      <c r="D42" s="137" t="s">
        <v>14</v>
      </c>
      <c r="E42" s="137" t="s">
        <v>15</v>
      </c>
      <c r="F42" s="137" t="s">
        <v>16</v>
      </c>
      <c r="G42" s="137" t="s">
        <v>17</v>
      </c>
      <c r="H42" s="137" t="s">
        <v>18</v>
      </c>
      <c r="I42" s="146" t="s">
        <v>19</v>
      </c>
    </row>
    <row r="43" ht="20.1" customHeight="1" spans="1:9">
      <c r="A43" s="138" t="s">
        <v>20</v>
      </c>
      <c r="B43" s="139">
        <v>1.1</v>
      </c>
      <c r="C43" s="140" t="s">
        <v>21</v>
      </c>
      <c r="D43" s="141" t="s">
        <v>22</v>
      </c>
      <c r="E43" s="142">
        <v>7.002</v>
      </c>
      <c r="F43" s="143">
        <f>汇总表!C5</f>
        <v>1106.3784</v>
      </c>
      <c r="G43" s="143">
        <f>[1]Sheet1!H$4</f>
        <v>23.4690265486726</v>
      </c>
      <c r="H43" s="143">
        <f t="shared" ref="H43:H53" si="2">E43*G43</f>
        <v>164.330123893806</v>
      </c>
      <c r="I43" s="141" t="s">
        <v>23</v>
      </c>
    </row>
    <row r="44" ht="20.1" customHeight="1" spans="1:9">
      <c r="A44" s="138"/>
      <c r="B44" s="139"/>
      <c r="C44" s="140" t="s">
        <v>24</v>
      </c>
      <c r="D44" s="141" t="s">
        <v>22</v>
      </c>
      <c r="E44" s="142">
        <v>1.18</v>
      </c>
      <c r="F44" s="143"/>
      <c r="G44" s="143">
        <f>[1]Sheet1!H$5</f>
        <v>22.8495575221239</v>
      </c>
      <c r="H44" s="143">
        <f t="shared" si="2"/>
        <v>26.9624778761062</v>
      </c>
      <c r="I44" s="141" t="s">
        <v>23</v>
      </c>
    </row>
    <row r="45" ht="20.1" customHeight="1" spans="1:9">
      <c r="A45" s="138"/>
      <c r="B45" s="141"/>
      <c r="C45" s="140" t="s">
        <v>25</v>
      </c>
      <c r="D45" s="141" t="s">
        <v>22</v>
      </c>
      <c r="E45" s="142">
        <v>0.45</v>
      </c>
      <c r="F45" s="143"/>
      <c r="G45" s="143">
        <f>[1]Sheet1!H$6</f>
        <v>21.6991150442478</v>
      </c>
      <c r="H45" s="143">
        <f t="shared" si="2"/>
        <v>9.76460176991151</v>
      </c>
      <c r="I45" s="141" t="s">
        <v>23</v>
      </c>
    </row>
    <row r="46" ht="27" customHeight="1" spans="1:9">
      <c r="A46" s="138"/>
      <c r="B46" s="139">
        <v>1.2</v>
      </c>
      <c r="C46" s="140" t="s">
        <v>26</v>
      </c>
      <c r="D46" s="141" t="s">
        <v>27</v>
      </c>
      <c r="E46" s="142">
        <v>0</v>
      </c>
      <c r="F46" s="143"/>
      <c r="G46" s="143">
        <f>122/1.13</f>
        <v>107.964601769912</v>
      </c>
      <c r="H46" s="143">
        <f t="shared" si="2"/>
        <v>0</v>
      </c>
      <c r="I46" s="139" t="s">
        <v>28</v>
      </c>
    </row>
    <row r="47" ht="29.1" customHeight="1" spans="1:9">
      <c r="A47" s="138"/>
      <c r="B47" s="141"/>
      <c r="C47" s="140" t="s">
        <v>51</v>
      </c>
      <c r="D47" s="141" t="s">
        <v>27</v>
      </c>
      <c r="E47" s="142">
        <v>0.85</v>
      </c>
      <c r="F47" s="143"/>
      <c r="G47" s="143">
        <f>108/1.13</f>
        <v>95.5752212389381</v>
      </c>
      <c r="H47" s="143">
        <f t="shared" si="2"/>
        <v>81.2389380530973</v>
      </c>
      <c r="I47" s="141"/>
    </row>
    <row r="48" ht="20.1" customHeight="1" spans="1:9">
      <c r="A48" s="138"/>
      <c r="B48" s="141">
        <v>1.3</v>
      </c>
      <c r="C48" s="141" t="s">
        <v>29</v>
      </c>
      <c r="D48" s="141" t="s">
        <v>30</v>
      </c>
      <c r="E48" s="142">
        <v>0.52</v>
      </c>
      <c r="F48" s="143"/>
      <c r="G48" s="143">
        <f>63/1.13</f>
        <v>55.7522123893805</v>
      </c>
      <c r="H48" s="143">
        <f t="shared" si="2"/>
        <v>28.9911504424779</v>
      </c>
      <c r="I48" s="141" t="s">
        <v>31</v>
      </c>
    </row>
    <row r="49" ht="20.1" customHeight="1" spans="1:9">
      <c r="A49" s="138"/>
      <c r="B49" s="141">
        <v>1.4</v>
      </c>
      <c r="C49" s="141" t="s">
        <v>32</v>
      </c>
      <c r="D49" s="141" t="s">
        <v>33</v>
      </c>
      <c r="E49" s="142">
        <v>0.2</v>
      </c>
      <c r="F49" s="143"/>
      <c r="G49" s="143">
        <f>25/1.13</f>
        <v>22.1238938053097</v>
      </c>
      <c r="H49" s="143">
        <f t="shared" si="2"/>
        <v>4.42477876106195</v>
      </c>
      <c r="I49" s="141" t="s">
        <v>34</v>
      </c>
    </row>
    <row r="50" ht="20.1" customHeight="1" spans="1:9">
      <c r="A50" s="138"/>
      <c r="B50" s="141">
        <v>1.5</v>
      </c>
      <c r="C50" s="141" t="s">
        <v>35</v>
      </c>
      <c r="D50" s="141" t="s">
        <v>33</v>
      </c>
      <c r="E50" s="142"/>
      <c r="F50" s="143"/>
      <c r="G50" s="143"/>
      <c r="H50" s="143">
        <f t="shared" si="2"/>
        <v>0</v>
      </c>
      <c r="I50" s="141"/>
    </row>
    <row r="51" ht="30" customHeight="1" spans="1:9">
      <c r="A51" s="138"/>
      <c r="B51" s="141">
        <v>1.6</v>
      </c>
      <c r="C51" s="141" t="s">
        <v>36</v>
      </c>
      <c r="D51" s="141" t="s">
        <v>37</v>
      </c>
      <c r="E51" s="142">
        <v>0.29</v>
      </c>
      <c r="F51" s="143"/>
      <c r="G51" s="143">
        <f>23.5/1.13</f>
        <v>20.7964601769912</v>
      </c>
      <c r="H51" s="143">
        <f t="shared" si="2"/>
        <v>6.03097345132743</v>
      </c>
      <c r="I51" s="141" t="s">
        <v>38</v>
      </c>
    </row>
    <row r="52" ht="36" customHeight="1" spans="1:9">
      <c r="A52" s="138"/>
      <c r="B52" s="141">
        <v>1.7</v>
      </c>
      <c r="C52" s="141" t="s">
        <v>39</v>
      </c>
      <c r="D52" s="141" t="s">
        <v>37</v>
      </c>
      <c r="E52" s="142">
        <v>1.98</v>
      </c>
      <c r="F52" s="143"/>
      <c r="G52" s="143">
        <f>18/1.13</f>
        <v>15.929203539823</v>
      </c>
      <c r="H52" s="143">
        <f t="shared" si="2"/>
        <v>31.5398230088496</v>
      </c>
      <c r="I52" s="141" t="s">
        <v>40</v>
      </c>
    </row>
    <row r="53" ht="20.1" customHeight="1" spans="1:9">
      <c r="A53" s="138"/>
      <c r="B53" s="141">
        <v>1.8</v>
      </c>
      <c r="C53" s="141" t="s">
        <v>41</v>
      </c>
      <c r="D53" s="141" t="s">
        <v>42</v>
      </c>
      <c r="E53" s="142">
        <v>1</v>
      </c>
      <c r="F53" s="143"/>
      <c r="G53" s="143">
        <f>10/1.13</f>
        <v>8.8495575221239</v>
      </c>
      <c r="H53" s="143">
        <f t="shared" si="2"/>
        <v>8.8495575221239</v>
      </c>
      <c r="I53" s="141"/>
    </row>
    <row r="54" ht="20.1" customHeight="1" spans="1:9">
      <c r="A54" s="136" t="s">
        <v>43</v>
      </c>
      <c r="B54" s="136"/>
      <c r="C54" s="136"/>
      <c r="D54" s="144">
        <f>SUM(H43:H53)</f>
        <v>362.132424778761</v>
      </c>
      <c r="E54" s="144"/>
      <c r="F54" s="144"/>
      <c r="G54" s="144"/>
      <c r="H54" s="144"/>
      <c r="I54" s="144"/>
    </row>
    <row r="55" ht="20.1" customHeight="1" spans="1:9">
      <c r="A55" s="136" t="s">
        <v>44</v>
      </c>
      <c r="B55" s="136"/>
      <c r="C55" s="136"/>
      <c r="D55" s="144">
        <v>68</v>
      </c>
      <c r="E55" s="144"/>
      <c r="F55" s="144"/>
      <c r="G55" s="144"/>
      <c r="H55" s="144"/>
      <c r="I55" s="144"/>
    </row>
    <row r="56" ht="20.1" customHeight="1" spans="1:9">
      <c r="A56" s="136" t="s">
        <v>50</v>
      </c>
      <c r="B56" s="136"/>
      <c r="C56" s="136"/>
      <c r="D56" s="144">
        <f>(D54+D55)*15.1572463%</f>
        <v>65.1962310398791</v>
      </c>
      <c r="E56" s="144"/>
      <c r="F56" s="144"/>
      <c r="G56" s="144"/>
      <c r="H56" s="144"/>
      <c r="I56" s="144"/>
    </row>
    <row r="57" ht="20.1" customHeight="1" spans="1:9">
      <c r="A57" s="136" t="s">
        <v>46</v>
      </c>
      <c r="B57" s="136"/>
      <c r="C57" s="136"/>
      <c r="D57" s="144">
        <f>D54+D55+D56</f>
        <v>495.32865581864</v>
      </c>
      <c r="E57" s="144"/>
      <c r="F57" s="144"/>
      <c r="G57" s="144"/>
      <c r="H57" s="144"/>
      <c r="I57" s="144"/>
    </row>
    <row r="58" ht="20.1" customHeight="1" spans="1:9">
      <c r="A58" s="136" t="s">
        <v>47</v>
      </c>
      <c r="B58" s="136"/>
      <c r="C58" s="136"/>
      <c r="D58" s="144">
        <f>D57*11.8%</f>
        <v>58.4487813865996</v>
      </c>
      <c r="E58" s="144"/>
      <c r="F58" s="144"/>
      <c r="G58" s="144"/>
      <c r="H58" s="144"/>
      <c r="I58" s="144"/>
    </row>
    <row r="59" ht="20.1" customHeight="1" spans="1:9">
      <c r="A59" s="136" t="s">
        <v>48</v>
      </c>
      <c r="B59" s="136"/>
      <c r="C59" s="136"/>
      <c r="D59" s="145">
        <f>D57+D58</f>
        <v>553.77743720524</v>
      </c>
      <c r="E59" s="145"/>
      <c r="F59" s="145"/>
      <c r="G59" s="145"/>
      <c r="H59" s="145"/>
      <c r="I59" s="145"/>
    </row>
    <row r="60" ht="22.5" spans="1:9">
      <c r="A60" s="131" t="s">
        <v>9</v>
      </c>
      <c r="B60" s="131"/>
      <c r="C60" s="131"/>
      <c r="D60" s="131"/>
      <c r="E60" s="131"/>
      <c r="F60" s="131"/>
      <c r="G60" s="131"/>
      <c r="H60" s="131"/>
      <c r="I60" s="131"/>
    </row>
    <row r="61" ht="26.1" customHeight="1" spans="1:9">
      <c r="A61" s="132" t="s">
        <v>10</v>
      </c>
      <c r="B61" s="133"/>
      <c r="C61" s="133"/>
      <c r="D61" s="133"/>
      <c r="E61" s="133"/>
      <c r="F61" s="134"/>
      <c r="G61" s="135" t="s">
        <v>11</v>
      </c>
      <c r="H61" s="135"/>
      <c r="I61" s="135" t="s">
        <v>12</v>
      </c>
    </row>
    <row r="62" ht="38.25" spans="1:9">
      <c r="A62" s="136"/>
      <c r="B62" s="137" t="s">
        <v>1</v>
      </c>
      <c r="C62" s="137" t="s">
        <v>13</v>
      </c>
      <c r="D62" s="137" t="s">
        <v>14</v>
      </c>
      <c r="E62" s="137" t="s">
        <v>15</v>
      </c>
      <c r="F62" s="137" t="s">
        <v>16</v>
      </c>
      <c r="G62" s="137" t="s">
        <v>17</v>
      </c>
      <c r="H62" s="137" t="s">
        <v>18</v>
      </c>
      <c r="I62" s="146" t="s">
        <v>19</v>
      </c>
    </row>
    <row r="63" ht="20.1" customHeight="1" spans="1:9">
      <c r="A63" s="138" t="s">
        <v>20</v>
      </c>
      <c r="B63" s="139">
        <v>1.1</v>
      </c>
      <c r="C63" s="140" t="s">
        <v>21</v>
      </c>
      <c r="D63" s="141" t="s">
        <v>22</v>
      </c>
      <c r="E63" s="142">
        <v>13.0138</v>
      </c>
      <c r="F63" s="143">
        <f>汇总表!C6</f>
        <v>35.2444</v>
      </c>
      <c r="G63" s="143">
        <f>[1]Sheet1!H$4</f>
        <v>23.4690265486726</v>
      </c>
      <c r="H63" s="143">
        <f t="shared" ref="H63:H72" si="3">E63*G63</f>
        <v>305.421217699115</v>
      </c>
      <c r="I63" s="141" t="s">
        <v>23</v>
      </c>
    </row>
    <row r="64" ht="20.1" customHeight="1" spans="1:9">
      <c r="A64" s="138"/>
      <c r="B64" s="139"/>
      <c r="C64" s="140" t="s">
        <v>24</v>
      </c>
      <c r="D64" s="141" t="s">
        <v>22</v>
      </c>
      <c r="E64" s="142">
        <v>1.54</v>
      </c>
      <c r="F64" s="143"/>
      <c r="G64" s="143">
        <f>[1]Sheet1!H$5</f>
        <v>22.8495575221239</v>
      </c>
      <c r="H64" s="143">
        <f t="shared" si="3"/>
        <v>35.1883185840708</v>
      </c>
      <c r="I64" s="141" t="s">
        <v>23</v>
      </c>
    </row>
    <row r="65" ht="20.1" customHeight="1" spans="1:9">
      <c r="A65" s="138"/>
      <c r="B65" s="141"/>
      <c r="C65" s="140" t="s">
        <v>25</v>
      </c>
      <c r="D65" s="141" t="s">
        <v>22</v>
      </c>
      <c r="E65" s="142">
        <v>1.14</v>
      </c>
      <c r="F65" s="143"/>
      <c r="G65" s="143">
        <f>[1]Sheet1!H$6</f>
        <v>21.6991150442478</v>
      </c>
      <c r="H65" s="143">
        <f t="shared" si="3"/>
        <v>24.7369911504425</v>
      </c>
      <c r="I65" s="141" t="s">
        <v>23</v>
      </c>
    </row>
    <row r="66" ht="27.95" customHeight="1" spans="1:9">
      <c r="A66" s="138"/>
      <c r="B66" s="141">
        <v>1.2</v>
      </c>
      <c r="C66" s="140" t="s">
        <v>52</v>
      </c>
      <c r="D66" s="141" t="s">
        <v>27</v>
      </c>
      <c r="E66" s="142">
        <v>0.85</v>
      </c>
      <c r="F66" s="143"/>
      <c r="G66" s="143">
        <f>100/1.13</f>
        <v>88.495575221239</v>
      </c>
      <c r="H66" s="143">
        <f t="shared" si="3"/>
        <v>75.2212389380531</v>
      </c>
      <c r="I66" s="141" t="s">
        <v>28</v>
      </c>
    </row>
    <row r="67" ht="20.1" customHeight="1" spans="1:9">
      <c r="A67" s="138"/>
      <c r="B67" s="141">
        <v>1.3</v>
      </c>
      <c r="C67" s="141" t="s">
        <v>29</v>
      </c>
      <c r="D67" s="141" t="s">
        <v>30</v>
      </c>
      <c r="E67" s="142">
        <v>1.74</v>
      </c>
      <c r="F67" s="143"/>
      <c r="G67" s="143">
        <f>63/1.13</f>
        <v>55.7522123893805</v>
      </c>
      <c r="H67" s="143">
        <f t="shared" si="3"/>
        <v>97.0088495575221</v>
      </c>
      <c r="I67" s="141" t="s">
        <v>31</v>
      </c>
    </row>
    <row r="68" ht="20.1" customHeight="1" spans="1:9">
      <c r="A68" s="138"/>
      <c r="B68" s="141">
        <v>1.4</v>
      </c>
      <c r="C68" s="141" t="s">
        <v>32</v>
      </c>
      <c r="D68" s="141" t="s">
        <v>33</v>
      </c>
      <c r="E68" s="142">
        <v>0.55</v>
      </c>
      <c r="F68" s="143"/>
      <c r="G68" s="143">
        <f>25/1.13</f>
        <v>22.1238938053097</v>
      </c>
      <c r="H68" s="143">
        <f t="shared" si="3"/>
        <v>12.1681415929204</v>
      </c>
      <c r="I68" s="141" t="s">
        <v>34</v>
      </c>
    </row>
    <row r="69" ht="20.1" customHeight="1" spans="1:9">
      <c r="A69" s="138"/>
      <c r="B69" s="141">
        <v>1.5</v>
      </c>
      <c r="C69" s="141" t="s">
        <v>35</v>
      </c>
      <c r="D69" s="141" t="s">
        <v>33</v>
      </c>
      <c r="E69" s="142"/>
      <c r="F69" s="143"/>
      <c r="G69" s="143"/>
      <c r="H69" s="143">
        <f t="shared" si="3"/>
        <v>0</v>
      </c>
      <c r="I69" s="141"/>
    </row>
    <row r="70" ht="32.1" customHeight="1" spans="1:9">
      <c r="A70" s="138"/>
      <c r="B70" s="141">
        <v>1.6</v>
      </c>
      <c r="C70" s="141" t="s">
        <v>36</v>
      </c>
      <c r="D70" s="141" t="s">
        <v>37</v>
      </c>
      <c r="E70" s="142">
        <v>0.38</v>
      </c>
      <c r="F70" s="143"/>
      <c r="G70" s="143">
        <f>23.5/1.13</f>
        <v>20.7964601769912</v>
      </c>
      <c r="H70" s="143">
        <f t="shared" si="3"/>
        <v>7.90265486725664</v>
      </c>
      <c r="I70" s="141" t="s">
        <v>38</v>
      </c>
    </row>
    <row r="71" ht="30" customHeight="1" spans="1:9">
      <c r="A71" s="138"/>
      <c r="B71" s="141">
        <v>1.7</v>
      </c>
      <c r="C71" s="141" t="s">
        <v>39</v>
      </c>
      <c r="D71" s="141" t="s">
        <v>37</v>
      </c>
      <c r="E71" s="142">
        <v>2.6</v>
      </c>
      <c r="F71" s="143"/>
      <c r="G71" s="143">
        <f>18/1.13</f>
        <v>15.929203539823</v>
      </c>
      <c r="H71" s="143">
        <f t="shared" si="3"/>
        <v>41.4159292035398</v>
      </c>
      <c r="I71" s="141" t="s">
        <v>40</v>
      </c>
    </row>
    <row r="72" ht="20.1" customHeight="1" spans="1:9">
      <c r="A72" s="138"/>
      <c r="B72" s="141">
        <v>1.8</v>
      </c>
      <c r="C72" s="141" t="s">
        <v>41</v>
      </c>
      <c r="D72" s="141" t="s">
        <v>42</v>
      </c>
      <c r="E72" s="142">
        <v>1</v>
      </c>
      <c r="F72" s="143"/>
      <c r="G72" s="143">
        <f>10/1.13</f>
        <v>8.8495575221239</v>
      </c>
      <c r="H72" s="143">
        <f t="shared" si="3"/>
        <v>8.8495575221239</v>
      </c>
      <c r="I72" s="141"/>
    </row>
    <row r="73" ht="20.1" customHeight="1" spans="1:9">
      <c r="A73" s="136" t="s">
        <v>43</v>
      </c>
      <c r="B73" s="136"/>
      <c r="C73" s="136"/>
      <c r="D73" s="144">
        <f>SUM(H63:H72)</f>
        <v>607.912899115045</v>
      </c>
      <c r="E73" s="144"/>
      <c r="F73" s="144"/>
      <c r="G73" s="144"/>
      <c r="H73" s="144"/>
      <c r="I73" s="144"/>
    </row>
    <row r="74" ht="20.1" customHeight="1" spans="1:9">
      <c r="A74" s="136" t="s">
        <v>44</v>
      </c>
      <c r="B74" s="136"/>
      <c r="C74" s="136"/>
      <c r="D74" s="144">
        <v>68</v>
      </c>
      <c r="E74" s="144"/>
      <c r="F74" s="144"/>
      <c r="G74" s="144"/>
      <c r="H74" s="144"/>
      <c r="I74" s="144"/>
    </row>
    <row r="75" ht="20.1" customHeight="1" spans="1:9">
      <c r="A75" s="136" t="s">
        <v>50</v>
      </c>
      <c r="B75" s="136"/>
      <c r="C75" s="136"/>
      <c r="D75" s="144">
        <f>(D73+D74)*15.1572463%</f>
        <v>102.449782892338</v>
      </c>
      <c r="E75" s="144"/>
      <c r="F75" s="144"/>
      <c r="G75" s="144"/>
      <c r="H75" s="144"/>
      <c r="I75" s="144"/>
    </row>
    <row r="76" ht="20.1" customHeight="1" spans="1:9">
      <c r="A76" s="136" t="s">
        <v>46</v>
      </c>
      <c r="B76" s="136"/>
      <c r="C76" s="136"/>
      <c r="D76" s="144">
        <f>D73+D74+D75</f>
        <v>778.362682007383</v>
      </c>
      <c r="E76" s="144"/>
      <c r="F76" s="144"/>
      <c r="G76" s="144"/>
      <c r="H76" s="144"/>
      <c r="I76" s="144"/>
    </row>
    <row r="77" ht="20.1" customHeight="1" spans="1:9">
      <c r="A77" s="136" t="s">
        <v>47</v>
      </c>
      <c r="B77" s="136"/>
      <c r="C77" s="136"/>
      <c r="D77" s="144">
        <f>D76*11.8%</f>
        <v>91.8467964768712</v>
      </c>
      <c r="E77" s="144"/>
      <c r="F77" s="144"/>
      <c r="G77" s="144"/>
      <c r="H77" s="144"/>
      <c r="I77" s="144"/>
    </row>
    <row r="78" ht="20.1" customHeight="1" spans="1:9">
      <c r="A78" s="136" t="s">
        <v>48</v>
      </c>
      <c r="B78" s="136"/>
      <c r="C78" s="136"/>
      <c r="D78" s="145">
        <f>D76+D77</f>
        <v>870.209478484254</v>
      </c>
      <c r="E78" s="145"/>
      <c r="F78" s="145"/>
      <c r="G78" s="145"/>
      <c r="H78" s="145"/>
      <c r="I78" s="145"/>
    </row>
    <row r="79" ht="22.5" spans="1:9">
      <c r="A79" s="131" t="s">
        <v>9</v>
      </c>
      <c r="B79" s="131"/>
      <c r="C79" s="131"/>
      <c r="D79" s="131"/>
      <c r="E79" s="131"/>
      <c r="F79" s="131"/>
      <c r="G79" s="131"/>
      <c r="H79" s="131"/>
      <c r="I79" s="131"/>
    </row>
    <row r="80" ht="21.95" customHeight="1" spans="1:9">
      <c r="A80" s="132" t="s">
        <v>53</v>
      </c>
      <c r="B80" s="133"/>
      <c r="C80" s="133"/>
      <c r="D80" s="133"/>
      <c r="E80" s="133"/>
      <c r="F80" s="134"/>
      <c r="G80" s="135" t="s">
        <v>11</v>
      </c>
      <c r="H80" s="135"/>
      <c r="I80" s="135" t="s">
        <v>12</v>
      </c>
    </row>
    <row r="81" ht="38.25" spans="1:9">
      <c r="A81" s="136"/>
      <c r="B81" s="137" t="s">
        <v>1</v>
      </c>
      <c r="C81" s="137" t="s">
        <v>13</v>
      </c>
      <c r="D81" s="137" t="s">
        <v>14</v>
      </c>
      <c r="E81" s="137" t="s">
        <v>15</v>
      </c>
      <c r="F81" s="137" t="s">
        <v>16</v>
      </c>
      <c r="G81" s="137" t="s">
        <v>17</v>
      </c>
      <c r="H81" s="137" t="s">
        <v>18</v>
      </c>
      <c r="I81" s="146" t="s">
        <v>19</v>
      </c>
    </row>
    <row r="82" ht="20.1" customHeight="1" spans="1:9">
      <c r="A82" s="138" t="s">
        <v>20</v>
      </c>
      <c r="B82" s="139">
        <v>1.1</v>
      </c>
      <c r="C82" s="140" t="s">
        <v>21</v>
      </c>
      <c r="D82" s="141" t="s">
        <v>22</v>
      </c>
      <c r="E82" s="142">
        <v>0</v>
      </c>
      <c r="F82" s="143">
        <f>汇总表!C7</f>
        <v>118.9204</v>
      </c>
      <c r="G82" s="143">
        <f>[1]Sheet1!H$4</f>
        <v>23.4690265486726</v>
      </c>
      <c r="H82" s="143">
        <f t="shared" ref="H82:H91" si="4">E82*G82</f>
        <v>0</v>
      </c>
      <c r="I82" s="141" t="s">
        <v>23</v>
      </c>
    </row>
    <row r="83" ht="20.1" customHeight="1" spans="1:9">
      <c r="A83" s="138"/>
      <c r="B83" s="139"/>
      <c r="C83" s="140" t="s">
        <v>24</v>
      </c>
      <c r="D83" s="141" t="s">
        <v>22</v>
      </c>
      <c r="E83" s="142">
        <v>6.7359</v>
      </c>
      <c r="F83" s="143" t="s">
        <v>54</v>
      </c>
      <c r="G83" s="143">
        <f>[1]Sheet1!H$5</f>
        <v>22.8495575221239</v>
      </c>
      <c r="H83" s="143">
        <f t="shared" si="4"/>
        <v>153.912334513274</v>
      </c>
      <c r="I83" s="141" t="s">
        <v>23</v>
      </c>
    </row>
    <row r="84" ht="20.1" customHeight="1" spans="1:9">
      <c r="A84" s="138"/>
      <c r="B84" s="141"/>
      <c r="C84" s="140" t="s">
        <v>25</v>
      </c>
      <c r="D84" s="141" t="s">
        <v>22</v>
      </c>
      <c r="E84" s="142">
        <v>0.59</v>
      </c>
      <c r="F84" s="143"/>
      <c r="G84" s="143">
        <f>[1]Sheet1!H$6</f>
        <v>21.6991150442478</v>
      </c>
      <c r="H84" s="143">
        <f t="shared" si="4"/>
        <v>12.8024778761062</v>
      </c>
      <c r="I84" s="141" t="s">
        <v>23</v>
      </c>
    </row>
    <row r="85" ht="29.1" customHeight="1" spans="1:9">
      <c r="A85" s="138"/>
      <c r="B85" s="141">
        <v>1.2</v>
      </c>
      <c r="C85" s="147" t="s">
        <v>52</v>
      </c>
      <c r="D85" s="148" t="s">
        <v>27</v>
      </c>
      <c r="E85" s="149">
        <v>0.85</v>
      </c>
      <c r="F85" s="150"/>
      <c r="G85" s="150">
        <f>100/1.13</f>
        <v>88.495575221239</v>
      </c>
      <c r="H85" s="150">
        <f t="shared" si="4"/>
        <v>75.2212389380531</v>
      </c>
      <c r="I85" s="141" t="s">
        <v>28</v>
      </c>
    </row>
    <row r="86" ht="20.1" customHeight="1" spans="1:9">
      <c r="A86" s="138"/>
      <c r="B86" s="141">
        <v>1.3</v>
      </c>
      <c r="C86" s="141" t="s">
        <v>29</v>
      </c>
      <c r="D86" s="141" t="s">
        <v>30</v>
      </c>
      <c r="E86" s="142">
        <v>0.4</v>
      </c>
      <c r="F86" s="143"/>
      <c r="G86" s="143">
        <f>63/1.13</f>
        <v>55.7522123893805</v>
      </c>
      <c r="H86" s="143">
        <f t="shared" si="4"/>
        <v>22.3008849557522</v>
      </c>
      <c r="I86" s="141" t="s">
        <v>31</v>
      </c>
    </row>
    <row r="87" ht="20.1" customHeight="1" spans="1:9">
      <c r="A87" s="138"/>
      <c r="B87" s="141">
        <v>1.4</v>
      </c>
      <c r="C87" s="141" t="s">
        <v>32</v>
      </c>
      <c r="D87" s="141" t="s">
        <v>33</v>
      </c>
      <c r="E87" s="142">
        <v>0.23</v>
      </c>
      <c r="F87" s="143"/>
      <c r="G87" s="143">
        <f>25/1.13</f>
        <v>22.1238938053097</v>
      </c>
      <c r="H87" s="143">
        <f t="shared" si="4"/>
        <v>5.08849557522124</v>
      </c>
      <c r="I87" s="141" t="s">
        <v>34</v>
      </c>
    </row>
    <row r="88" ht="20.1" customHeight="1" spans="1:9">
      <c r="A88" s="138"/>
      <c r="B88" s="141">
        <v>1.5</v>
      </c>
      <c r="C88" s="141" t="s">
        <v>35</v>
      </c>
      <c r="D88" s="141" t="s">
        <v>33</v>
      </c>
      <c r="E88" s="142"/>
      <c r="F88" s="143"/>
      <c r="G88" s="143"/>
      <c r="H88" s="143">
        <f t="shared" si="4"/>
        <v>0</v>
      </c>
      <c r="I88" s="141"/>
    </row>
    <row r="89" ht="30" customHeight="1" spans="1:9">
      <c r="A89" s="138"/>
      <c r="B89" s="141">
        <v>1.6</v>
      </c>
      <c r="C89" s="141" t="s">
        <v>36</v>
      </c>
      <c r="D89" s="141" t="s">
        <v>37</v>
      </c>
      <c r="E89" s="142">
        <v>0.27</v>
      </c>
      <c r="F89" s="143"/>
      <c r="G89" s="143">
        <f>23.5/1.13</f>
        <v>20.7964601769912</v>
      </c>
      <c r="H89" s="143">
        <f t="shared" si="4"/>
        <v>5.61504424778761</v>
      </c>
      <c r="I89" s="141" t="s">
        <v>38</v>
      </c>
    </row>
    <row r="90" ht="33" customHeight="1" spans="1:9">
      <c r="A90" s="138"/>
      <c r="B90" s="141">
        <v>1.7</v>
      </c>
      <c r="C90" s="141" t="s">
        <v>39</v>
      </c>
      <c r="D90" s="141" t="s">
        <v>37</v>
      </c>
      <c r="E90" s="142">
        <v>1.85</v>
      </c>
      <c r="F90" s="143"/>
      <c r="G90" s="143">
        <f>18/1.13</f>
        <v>15.929203539823</v>
      </c>
      <c r="H90" s="143">
        <f t="shared" si="4"/>
        <v>29.4690265486726</v>
      </c>
      <c r="I90" s="141" t="s">
        <v>40</v>
      </c>
    </row>
    <row r="91" ht="20.1" customHeight="1" spans="1:9">
      <c r="A91" s="138"/>
      <c r="B91" s="141">
        <v>1.8</v>
      </c>
      <c r="C91" s="141" t="s">
        <v>41</v>
      </c>
      <c r="D91" s="141" t="s">
        <v>42</v>
      </c>
      <c r="E91" s="142">
        <v>1</v>
      </c>
      <c r="F91" s="143"/>
      <c r="G91" s="143">
        <f>10/1.13</f>
        <v>8.8495575221239</v>
      </c>
      <c r="H91" s="143">
        <f t="shared" si="4"/>
        <v>8.8495575221239</v>
      </c>
      <c r="I91" s="141"/>
    </row>
    <row r="92" ht="20.1" customHeight="1" spans="1:9">
      <c r="A92" s="136" t="s">
        <v>43</v>
      </c>
      <c r="B92" s="136"/>
      <c r="C92" s="136"/>
      <c r="D92" s="144">
        <f>SUM(H82:H91)</f>
        <v>313.259060176991</v>
      </c>
      <c r="E92" s="144"/>
      <c r="F92" s="144"/>
      <c r="G92" s="144"/>
      <c r="H92" s="144"/>
      <c r="I92" s="144"/>
    </row>
    <row r="93" ht="20.1" customHeight="1" spans="1:9">
      <c r="A93" s="136" t="s">
        <v>44</v>
      </c>
      <c r="B93" s="136"/>
      <c r="C93" s="136"/>
      <c r="D93" s="144">
        <v>68</v>
      </c>
      <c r="E93" s="144"/>
      <c r="F93" s="144"/>
      <c r="G93" s="144"/>
      <c r="H93" s="144"/>
      <c r="I93" s="144"/>
    </row>
    <row r="94" ht="31.5" customHeight="1" spans="1:9">
      <c r="A94" s="136" t="s">
        <v>50</v>
      </c>
      <c r="B94" s="136"/>
      <c r="C94" s="136"/>
      <c r="D94" s="144">
        <f>(D92+D93)*15.1572463%</f>
        <v>57.7883747920918</v>
      </c>
      <c r="E94" s="144"/>
      <c r="F94" s="144"/>
      <c r="G94" s="144"/>
      <c r="H94" s="144"/>
      <c r="I94" s="144"/>
    </row>
    <row r="95" ht="20.1" customHeight="1" spans="1:9">
      <c r="A95" s="136" t="s">
        <v>46</v>
      </c>
      <c r="B95" s="136"/>
      <c r="C95" s="136"/>
      <c r="D95" s="144">
        <f>D92+D93+D94</f>
        <v>439.047434969083</v>
      </c>
      <c r="E95" s="144"/>
      <c r="F95" s="144"/>
      <c r="G95" s="144"/>
      <c r="H95" s="144"/>
      <c r="I95" s="144"/>
    </row>
    <row r="96" ht="20.1" customHeight="1" spans="1:9">
      <c r="A96" s="136" t="s">
        <v>47</v>
      </c>
      <c r="B96" s="136"/>
      <c r="C96" s="136"/>
      <c r="D96" s="144">
        <f>D95*11.8%</f>
        <v>51.8075973263518</v>
      </c>
      <c r="E96" s="144"/>
      <c r="F96" s="144"/>
      <c r="G96" s="144"/>
      <c r="H96" s="144"/>
      <c r="I96" s="144"/>
    </row>
    <row r="97" ht="20.1" customHeight="1" spans="1:9">
      <c r="A97" s="136" t="s">
        <v>48</v>
      </c>
      <c r="B97" s="136"/>
      <c r="C97" s="136"/>
      <c r="D97" s="145">
        <f>D95+D96</f>
        <v>490.855032295435</v>
      </c>
      <c r="E97" s="145"/>
      <c r="F97" s="145"/>
      <c r="G97" s="145"/>
      <c r="H97" s="145"/>
      <c r="I97" s="145"/>
    </row>
    <row r="98" ht="22.5" spans="1:9">
      <c r="A98" s="131" t="s">
        <v>9</v>
      </c>
      <c r="B98" s="131"/>
      <c r="C98" s="131"/>
      <c r="D98" s="131"/>
      <c r="E98" s="131"/>
      <c r="F98" s="131"/>
      <c r="G98" s="131"/>
      <c r="H98" s="131"/>
      <c r="I98" s="131"/>
    </row>
    <row r="99" ht="24" customHeight="1" spans="1:9">
      <c r="A99" s="132" t="s">
        <v>53</v>
      </c>
      <c r="B99" s="133"/>
      <c r="C99" s="133"/>
      <c r="D99" s="133"/>
      <c r="E99" s="133"/>
      <c r="F99" s="134"/>
      <c r="G99" s="135" t="s">
        <v>11</v>
      </c>
      <c r="H99" s="135"/>
      <c r="I99" s="135" t="s">
        <v>12</v>
      </c>
    </row>
    <row r="100" ht="38.25" spans="1:9">
      <c r="A100" s="136"/>
      <c r="B100" s="137" t="s">
        <v>1</v>
      </c>
      <c r="C100" s="137" t="s">
        <v>13</v>
      </c>
      <c r="D100" s="137" t="s">
        <v>14</v>
      </c>
      <c r="E100" s="137" t="s">
        <v>15</v>
      </c>
      <c r="F100" s="137" t="s">
        <v>16</v>
      </c>
      <c r="G100" s="137" t="s">
        <v>17</v>
      </c>
      <c r="H100" s="137" t="s">
        <v>18</v>
      </c>
      <c r="I100" s="146" t="s">
        <v>19</v>
      </c>
    </row>
    <row r="101" ht="20.1" customHeight="1" spans="1:9">
      <c r="A101" s="138" t="s">
        <v>20</v>
      </c>
      <c r="B101" s="139">
        <v>1.1</v>
      </c>
      <c r="C101" s="140" t="s">
        <v>21</v>
      </c>
      <c r="D101" s="141" t="s">
        <v>22</v>
      </c>
      <c r="E101" s="142">
        <v>0</v>
      </c>
      <c r="F101" s="143">
        <f>汇总表!C8</f>
        <v>13.6324</v>
      </c>
      <c r="G101" s="143">
        <f>[1]Sheet1!H$4</f>
        <v>23.4690265486726</v>
      </c>
      <c r="H101" s="143">
        <f t="shared" ref="H101:H111" si="5">E101*G101</f>
        <v>0</v>
      </c>
      <c r="I101" s="141" t="s">
        <v>23</v>
      </c>
    </row>
    <row r="102" ht="20.1" customHeight="1" spans="1:9">
      <c r="A102" s="138"/>
      <c r="B102" s="139"/>
      <c r="C102" s="140" t="s">
        <v>24</v>
      </c>
      <c r="D102" s="141" t="s">
        <v>22</v>
      </c>
      <c r="E102" s="142">
        <v>4.9626</v>
      </c>
      <c r="F102" s="143"/>
      <c r="G102" s="143">
        <f>[1]Sheet1!H$5</f>
        <v>22.8495575221239</v>
      </c>
      <c r="H102" s="143">
        <f t="shared" si="5"/>
        <v>113.393214159292</v>
      </c>
      <c r="I102" s="141" t="s">
        <v>23</v>
      </c>
    </row>
    <row r="103" ht="20.1" customHeight="1" spans="1:9">
      <c r="A103" s="138"/>
      <c r="B103" s="141"/>
      <c r="C103" s="140" t="s">
        <v>25</v>
      </c>
      <c r="D103" s="141" t="s">
        <v>22</v>
      </c>
      <c r="E103" s="142">
        <v>0.45</v>
      </c>
      <c r="F103" s="143"/>
      <c r="G103" s="143">
        <f>[1]Sheet1!H$6</f>
        <v>21.6991150442478</v>
      </c>
      <c r="H103" s="143">
        <f t="shared" si="5"/>
        <v>9.76460176991151</v>
      </c>
      <c r="I103" s="141" t="s">
        <v>23</v>
      </c>
    </row>
    <row r="104" ht="27" customHeight="1" spans="1:9">
      <c r="A104" s="138"/>
      <c r="B104" s="139">
        <v>1.2</v>
      </c>
      <c r="C104" s="140" t="s">
        <v>52</v>
      </c>
      <c r="D104" s="141" t="s">
        <v>27</v>
      </c>
      <c r="E104" s="142">
        <v>0.26</v>
      </c>
      <c r="F104" s="143"/>
      <c r="G104" s="143">
        <f>100/1.13</f>
        <v>88.495575221239</v>
      </c>
      <c r="H104" s="143">
        <f t="shared" si="5"/>
        <v>23.0088495575221</v>
      </c>
      <c r="I104" s="139" t="s">
        <v>28</v>
      </c>
    </row>
    <row r="105" ht="30" customHeight="1" spans="1:9">
      <c r="A105" s="138"/>
      <c r="B105" s="141"/>
      <c r="C105" s="140" t="s">
        <v>55</v>
      </c>
      <c r="D105" s="141" t="s">
        <v>27</v>
      </c>
      <c r="E105" s="142">
        <v>0.59</v>
      </c>
      <c r="F105" s="143"/>
      <c r="G105" s="143">
        <f>126/1.13</f>
        <v>111.504424778761</v>
      </c>
      <c r="H105" s="143">
        <f t="shared" si="5"/>
        <v>65.787610619469</v>
      </c>
      <c r="I105" s="141"/>
    </row>
    <row r="106" ht="20.1" customHeight="1" spans="1:9">
      <c r="A106" s="138"/>
      <c r="B106" s="141">
        <v>1.3</v>
      </c>
      <c r="C106" s="141" t="s">
        <v>29</v>
      </c>
      <c r="D106" s="141" t="s">
        <v>30</v>
      </c>
      <c r="E106" s="142">
        <v>0.29</v>
      </c>
      <c r="F106" s="143"/>
      <c r="G106" s="143">
        <f>63/1.13</f>
        <v>55.7522123893805</v>
      </c>
      <c r="H106" s="143">
        <f t="shared" si="5"/>
        <v>16.1681415929204</v>
      </c>
      <c r="I106" s="141" t="s">
        <v>31</v>
      </c>
    </row>
    <row r="107" ht="20.1" customHeight="1" spans="1:9">
      <c r="A107" s="138"/>
      <c r="B107" s="141">
        <v>1.4</v>
      </c>
      <c r="C107" s="141" t="s">
        <v>32</v>
      </c>
      <c r="D107" s="141" t="s">
        <v>33</v>
      </c>
      <c r="E107" s="142">
        <v>0.14</v>
      </c>
      <c r="F107" s="143"/>
      <c r="G107" s="143">
        <f>25/1.13</f>
        <v>22.1238938053097</v>
      </c>
      <c r="H107" s="143">
        <f t="shared" si="5"/>
        <v>3.09734513274336</v>
      </c>
      <c r="I107" s="141" t="s">
        <v>34</v>
      </c>
    </row>
    <row r="108" ht="20.1" customHeight="1" spans="1:9">
      <c r="A108" s="138"/>
      <c r="B108" s="141">
        <v>1.5</v>
      </c>
      <c r="C108" s="141" t="s">
        <v>35</v>
      </c>
      <c r="D108" s="141" t="s">
        <v>33</v>
      </c>
      <c r="E108" s="142"/>
      <c r="F108" s="143"/>
      <c r="G108" s="143"/>
      <c r="H108" s="143">
        <f t="shared" si="5"/>
        <v>0</v>
      </c>
      <c r="I108" s="141"/>
    </row>
    <row r="109" ht="30" customHeight="1" spans="1:9">
      <c r="A109" s="138"/>
      <c r="B109" s="141">
        <v>1.6</v>
      </c>
      <c r="C109" s="141" t="s">
        <v>36</v>
      </c>
      <c r="D109" s="141" t="s">
        <v>37</v>
      </c>
      <c r="E109" s="142">
        <v>0.24</v>
      </c>
      <c r="F109" s="143"/>
      <c r="G109" s="143">
        <f>23.5/1.13</f>
        <v>20.7964601769912</v>
      </c>
      <c r="H109" s="143">
        <f t="shared" si="5"/>
        <v>4.99115044247788</v>
      </c>
      <c r="I109" s="141" t="s">
        <v>38</v>
      </c>
    </row>
    <row r="110" ht="30" customHeight="1" spans="1:9">
      <c r="A110" s="138"/>
      <c r="B110" s="141">
        <v>1.7</v>
      </c>
      <c r="C110" s="141" t="s">
        <v>39</v>
      </c>
      <c r="D110" s="141" t="s">
        <v>37</v>
      </c>
      <c r="E110" s="142">
        <v>1.53</v>
      </c>
      <c r="F110" s="143"/>
      <c r="G110" s="143">
        <f>18/1.13</f>
        <v>15.929203539823</v>
      </c>
      <c r="H110" s="143">
        <f t="shared" si="5"/>
        <v>24.3716814159292</v>
      </c>
      <c r="I110" s="141" t="s">
        <v>40</v>
      </c>
    </row>
    <row r="111" ht="20.1" customHeight="1" spans="1:9">
      <c r="A111" s="138"/>
      <c r="B111" s="141">
        <v>1.8</v>
      </c>
      <c r="C111" s="141" t="s">
        <v>41</v>
      </c>
      <c r="D111" s="141" t="s">
        <v>42</v>
      </c>
      <c r="E111" s="142">
        <v>1</v>
      </c>
      <c r="F111" s="143"/>
      <c r="G111" s="143">
        <f>10/1.13</f>
        <v>8.8495575221239</v>
      </c>
      <c r="H111" s="143">
        <f t="shared" si="5"/>
        <v>8.8495575221239</v>
      </c>
      <c r="I111" s="141"/>
    </row>
    <row r="112" ht="20.1" customHeight="1" spans="1:9">
      <c r="A112" s="136" t="s">
        <v>43</v>
      </c>
      <c r="B112" s="136"/>
      <c r="C112" s="136"/>
      <c r="D112" s="144">
        <f>SUM(H101:H111)</f>
        <v>269.432152212389</v>
      </c>
      <c r="E112" s="144"/>
      <c r="F112" s="144"/>
      <c r="G112" s="144"/>
      <c r="H112" s="144"/>
      <c r="I112" s="144"/>
    </row>
    <row r="113" ht="20.1" customHeight="1" spans="1:9">
      <c r="A113" s="136" t="s">
        <v>44</v>
      </c>
      <c r="B113" s="136"/>
      <c r="C113" s="136"/>
      <c r="D113" s="144">
        <v>68</v>
      </c>
      <c r="E113" s="144"/>
      <c r="F113" s="144"/>
      <c r="G113" s="144"/>
      <c r="H113" s="144"/>
      <c r="I113" s="144"/>
    </row>
    <row r="114" ht="30" customHeight="1" spans="1:9">
      <c r="A114" s="136" t="s">
        <v>50</v>
      </c>
      <c r="B114" s="136"/>
      <c r="C114" s="136"/>
      <c r="D114" s="144">
        <f>(D112+D113)*15.1572463%</f>
        <v>51.1454224062228</v>
      </c>
      <c r="E114" s="144"/>
      <c r="F114" s="144"/>
      <c r="G114" s="144"/>
      <c r="H114" s="144"/>
      <c r="I114" s="144"/>
    </row>
    <row r="115" ht="20.1" customHeight="1" spans="1:9">
      <c r="A115" s="136" t="s">
        <v>46</v>
      </c>
      <c r="B115" s="136"/>
      <c r="C115" s="136"/>
      <c r="D115" s="144">
        <f>D112+D113+D114</f>
        <v>388.577574618612</v>
      </c>
      <c r="E115" s="144"/>
      <c r="F115" s="144"/>
      <c r="G115" s="144"/>
      <c r="H115" s="144"/>
      <c r="I115" s="144"/>
    </row>
    <row r="116" ht="20.1" customHeight="1" spans="1:9">
      <c r="A116" s="136" t="s">
        <v>47</v>
      </c>
      <c r="B116" s="136"/>
      <c r="C116" s="136"/>
      <c r="D116" s="144">
        <f>D115*11.8%</f>
        <v>45.8521538049962</v>
      </c>
      <c r="E116" s="144"/>
      <c r="F116" s="144"/>
      <c r="G116" s="144"/>
      <c r="H116" s="144"/>
      <c r="I116" s="144"/>
    </row>
    <row r="117" ht="20.1" customHeight="1" spans="1:9">
      <c r="A117" s="136" t="s">
        <v>48</v>
      </c>
      <c r="B117" s="136"/>
      <c r="C117" s="136"/>
      <c r="D117" s="145">
        <f>D115+D116</f>
        <v>434.429728423608</v>
      </c>
      <c r="E117" s="145"/>
      <c r="F117" s="145"/>
      <c r="G117" s="145"/>
      <c r="H117" s="145"/>
      <c r="I117" s="145"/>
    </row>
    <row r="118" ht="22.5" spans="1:9">
      <c r="A118" s="131" t="s">
        <v>9</v>
      </c>
      <c r="B118" s="131"/>
      <c r="C118" s="131"/>
      <c r="D118" s="131"/>
      <c r="E118" s="131"/>
      <c r="F118" s="131"/>
      <c r="G118" s="131"/>
      <c r="H118" s="131"/>
      <c r="I118" s="131"/>
    </row>
    <row r="119" ht="29.1" customHeight="1" spans="1:9">
      <c r="A119" s="132" t="s">
        <v>56</v>
      </c>
      <c r="B119" s="133"/>
      <c r="C119" s="133"/>
      <c r="D119" s="133"/>
      <c r="E119" s="133"/>
      <c r="F119" s="134"/>
      <c r="G119" s="135" t="s">
        <v>11</v>
      </c>
      <c r="H119" s="135"/>
      <c r="I119" s="135" t="s">
        <v>57</v>
      </c>
    </row>
    <row r="120" ht="38.25" spans="1:9">
      <c r="A120" s="136"/>
      <c r="B120" s="137" t="s">
        <v>1</v>
      </c>
      <c r="C120" s="137" t="s">
        <v>13</v>
      </c>
      <c r="D120" s="137" t="s">
        <v>14</v>
      </c>
      <c r="E120" s="137" t="s">
        <v>15</v>
      </c>
      <c r="F120" s="137" t="s">
        <v>16</v>
      </c>
      <c r="G120" s="137" t="s">
        <v>17</v>
      </c>
      <c r="H120" s="137" t="s">
        <v>18</v>
      </c>
      <c r="I120" s="146" t="s">
        <v>19</v>
      </c>
    </row>
    <row r="121" ht="20.1" customHeight="1" spans="1:9">
      <c r="A121" s="138" t="s">
        <v>20</v>
      </c>
      <c r="B121" s="139">
        <v>1.1</v>
      </c>
      <c r="C121" s="140" t="s">
        <v>21</v>
      </c>
      <c r="D121" s="141" t="s">
        <v>22</v>
      </c>
      <c r="E121" s="142">
        <v>8.8484</v>
      </c>
      <c r="F121" s="143">
        <f>汇总表!C9</f>
        <v>891.4644</v>
      </c>
      <c r="G121" s="143">
        <f>[1]Sheet1!H$4</f>
        <v>23.4690265486726</v>
      </c>
      <c r="H121" s="143">
        <f t="shared" ref="H121:H130" si="6">E121*G121</f>
        <v>207.663334513275</v>
      </c>
      <c r="I121" s="141" t="s">
        <v>23</v>
      </c>
    </row>
    <row r="122" ht="20.1" customHeight="1" spans="1:9">
      <c r="A122" s="138"/>
      <c r="B122" s="139"/>
      <c r="C122" s="140" t="s">
        <v>24</v>
      </c>
      <c r="D122" s="141" t="s">
        <v>22</v>
      </c>
      <c r="E122" s="142">
        <v>1.14</v>
      </c>
      <c r="F122" s="143"/>
      <c r="G122" s="143">
        <f>[1]Sheet1!H$5</f>
        <v>22.8495575221239</v>
      </c>
      <c r="H122" s="143">
        <f t="shared" si="6"/>
        <v>26.0484955752212</v>
      </c>
      <c r="I122" s="141" t="s">
        <v>23</v>
      </c>
    </row>
    <row r="123" ht="20.1" customHeight="1" spans="1:9">
      <c r="A123" s="138"/>
      <c r="B123" s="141"/>
      <c r="C123" s="140" t="s">
        <v>25</v>
      </c>
      <c r="D123" s="141" t="s">
        <v>22</v>
      </c>
      <c r="E123" s="142">
        <v>0.37</v>
      </c>
      <c r="F123" s="143"/>
      <c r="G123" s="143">
        <f>[1]Sheet1!H$6</f>
        <v>21.6991150442478</v>
      </c>
      <c r="H123" s="143">
        <f t="shared" si="6"/>
        <v>8.02867256637169</v>
      </c>
      <c r="I123" s="141" t="s">
        <v>23</v>
      </c>
    </row>
    <row r="124" ht="33" customHeight="1" spans="1:9">
      <c r="A124" s="138"/>
      <c r="B124" s="141">
        <v>1.2</v>
      </c>
      <c r="C124" s="140" t="s">
        <v>26</v>
      </c>
      <c r="D124" s="141" t="s">
        <v>27</v>
      </c>
      <c r="E124" s="142">
        <f>0.85</f>
        <v>0.85</v>
      </c>
      <c r="F124" s="143"/>
      <c r="G124" s="143">
        <f>122/1.13</f>
        <v>107.964601769912</v>
      </c>
      <c r="H124" s="143">
        <f t="shared" si="6"/>
        <v>91.7699115044248</v>
      </c>
      <c r="I124" s="141" t="s">
        <v>28</v>
      </c>
    </row>
    <row r="125" ht="20.1" customHeight="1" spans="1:9">
      <c r="A125" s="138"/>
      <c r="B125" s="141">
        <v>1.3</v>
      </c>
      <c r="C125" s="141" t="s">
        <v>29</v>
      </c>
      <c r="D125" s="141" t="s">
        <v>30</v>
      </c>
      <c r="E125" s="142">
        <v>0.31</v>
      </c>
      <c r="F125" s="143"/>
      <c r="G125" s="143">
        <f>153/1.13</f>
        <v>135.398230088496</v>
      </c>
      <c r="H125" s="143">
        <f t="shared" si="6"/>
        <v>41.9734513274336</v>
      </c>
      <c r="I125" s="141" t="s">
        <v>31</v>
      </c>
    </row>
    <row r="126" ht="20.1" customHeight="1" spans="1:9">
      <c r="A126" s="138"/>
      <c r="B126" s="141">
        <v>1.4</v>
      </c>
      <c r="C126" s="141" t="s">
        <v>32</v>
      </c>
      <c r="D126" s="141" t="s">
        <v>33</v>
      </c>
      <c r="E126" s="142">
        <v>0.2</v>
      </c>
      <c r="F126" s="143"/>
      <c r="G126" s="143">
        <f>25/1.13</f>
        <v>22.1238938053097</v>
      </c>
      <c r="H126" s="143">
        <f t="shared" si="6"/>
        <v>4.42477876106195</v>
      </c>
      <c r="I126" s="141" t="s">
        <v>34</v>
      </c>
    </row>
    <row r="127" ht="20.1" customHeight="1" spans="1:9">
      <c r="A127" s="138"/>
      <c r="B127" s="141">
        <v>1.5</v>
      </c>
      <c r="C127" s="141" t="s">
        <v>35</v>
      </c>
      <c r="D127" s="141" t="s">
        <v>33</v>
      </c>
      <c r="E127" s="142"/>
      <c r="F127" s="143"/>
      <c r="G127" s="143"/>
      <c r="H127" s="143">
        <f t="shared" si="6"/>
        <v>0</v>
      </c>
      <c r="I127" s="141"/>
    </row>
    <row r="128" ht="33" customHeight="1" spans="1:9">
      <c r="A128" s="138"/>
      <c r="B128" s="141">
        <v>1.6</v>
      </c>
      <c r="C128" s="141" t="s">
        <v>36</v>
      </c>
      <c r="D128" s="141" t="s">
        <v>37</v>
      </c>
      <c r="E128" s="142">
        <v>0.23</v>
      </c>
      <c r="F128" s="143"/>
      <c r="G128" s="143">
        <f>23.5/1.13</f>
        <v>20.7964601769912</v>
      </c>
      <c r="H128" s="143">
        <f t="shared" si="6"/>
        <v>4.78318584070797</v>
      </c>
      <c r="I128" s="141" t="s">
        <v>38</v>
      </c>
    </row>
    <row r="129" ht="30" customHeight="1" spans="1:9">
      <c r="A129" s="138"/>
      <c r="B129" s="141">
        <v>1.7</v>
      </c>
      <c r="C129" s="141" t="s">
        <v>39</v>
      </c>
      <c r="D129" s="141" t="s">
        <v>37</v>
      </c>
      <c r="E129" s="142">
        <v>1.75</v>
      </c>
      <c r="F129" s="143"/>
      <c r="G129" s="143">
        <f>18/1.13</f>
        <v>15.929203539823</v>
      </c>
      <c r="H129" s="143">
        <f t="shared" si="6"/>
        <v>27.8761061946903</v>
      </c>
      <c r="I129" s="141" t="s">
        <v>40</v>
      </c>
    </row>
    <row r="130" ht="20.1" customHeight="1" spans="1:9">
      <c r="A130" s="138"/>
      <c r="B130" s="141">
        <v>1.8</v>
      </c>
      <c r="C130" s="141" t="s">
        <v>41</v>
      </c>
      <c r="D130" s="141" t="s">
        <v>42</v>
      </c>
      <c r="E130" s="142">
        <v>1</v>
      </c>
      <c r="F130" s="143"/>
      <c r="G130" s="143">
        <f>10/1.13</f>
        <v>8.8495575221239</v>
      </c>
      <c r="H130" s="143">
        <f t="shared" si="6"/>
        <v>8.8495575221239</v>
      </c>
      <c r="I130" s="141"/>
    </row>
    <row r="131" ht="20.1" customHeight="1" spans="1:9">
      <c r="A131" s="136" t="s">
        <v>43</v>
      </c>
      <c r="B131" s="136"/>
      <c r="C131" s="136"/>
      <c r="D131" s="144">
        <f>SUM(H121:H130)</f>
        <v>421.41749380531</v>
      </c>
      <c r="E131" s="144"/>
      <c r="F131" s="144"/>
      <c r="G131" s="144"/>
      <c r="H131" s="144"/>
      <c r="I131" s="144"/>
    </row>
    <row r="132" ht="20.1" customHeight="1" spans="1:9">
      <c r="A132" s="136" t="s">
        <v>44</v>
      </c>
      <c r="B132" s="136"/>
      <c r="C132" s="136"/>
      <c r="D132" s="144">
        <v>68</v>
      </c>
      <c r="E132" s="144"/>
      <c r="F132" s="144"/>
      <c r="G132" s="144"/>
      <c r="H132" s="144"/>
      <c r="I132" s="144"/>
    </row>
    <row r="133" ht="32.25" customHeight="1" spans="1:9">
      <c r="A133" s="136" t="s">
        <v>50</v>
      </c>
      <c r="B133" s="136"/>
      <c r="C133" s="136"/>
      <c r="D133" s="144">
        <f>(D131+D132)*15.1572463%</f>
        <v>74.1822149713581</v>
      </c>
      <c r="E133" s="144"/>
      <c r="F133" s="144"/>
      <c r="G133" s="144"/>
      <c r="H133" s="144"/>
      <c r="I133" s="144"/>
    </row>
    <row r="134" ht="20.1" customHeight="1" spans="1:9">
      <c r="A134" s="136" t="s">
        <v>46</v>
      </c>
      <c r="B134" s="136"/>
      <c r="C134" s="136"/>
      <c r="D134" s="144">
        <f>D131+D132+D133</f>
        <v>563.599708776668</v>
      </c>
      <c r="E134" s="144"/>
      <c r="F134" s="144"/>
      <c r="G134" s="144"/>
      <c r="H134" s="144"/>
      <c r="I134" s="144"/>
    </row>
    <row r="135" ht="20.1" customHeight="1" spans="1:9">
      <c r="A135" s="136" t="s">
        <v>47</v>
      </c>
      <c r="B135" s="136"/>
      <c r="C135" s="136"/>
      <c r="D135" s="144">
        <f>D134*11.8%</f>
        <v>66.5047656356468</v>
      </c>
      <c r="E135" s="144"/>
      <c r="F135" s="144"/>
      <c r="G135" s="144"/>
      <c r="H135" s="144"/>
      <c r="I135" s="144"/>
    </row>
    <row r="136" ht="20.1" customHeight="1" spans="1:9">
      <c r="A136" s="136" t="s">
        <v>48</v>
      </c>
      <c r="B136" s="136"/>
      <c r="C136" s="136"/>
      <c r="D136" s="145">
        <f>D134+D135</f>
        <v>630.104474412315</v>
      </c>
      <c r="E136" s="145"/>
      <c r="F136" s="145"/>
      <c r="G136" s="145"/>
      <c r="H136" s="145"/>
      <c r="I136" s="145"/>
    </row>
    <row r="137" ht="22.5" spans="1:9">
      <c r="A137" s="131" t="s">
        <v>9</v>
      </c>
      <c r="B137" s="131"/>
      <c r="C137" s="131"/>
      <c r="D137" s="131"/>
      <c r="E137" s="131"/>
      <c r="F137" s="131"/>
      <c r="G137" s="131"/>
      <c r="H137" s="131"/>
      <c r="I137" s="131"/>
    </row>
    <row r="138" ht="20.1" customHeight="1" spans="1:9">
      <c r="A138" s="132" t="s">
        <v>56</v>
      </c>
      <c r="B138" s="133"/>
      <c r="C138" s="133"/>
      <c r="D138" s="133"/>
      <c r="E138" s="133"/>
      <c r="F138" s="134"/>
      <c r="G138" s="135" t="s">
        <v>11</v>
      </c>
      <c r="H138" s="135"/>
      <c r="I138" s="135" t="s">
        <v>57</v>
      </c>
    </row>
    <row r="139" ht="20.1" customHeight="1" spans="1:9">
      <c r="A139" s="136"/>
      <c r="B139" s="137" t="s">
        <v>1</v>
      </c>
      <c r="C139" s="137" t="s">
        <v>13</v>
      </c>
      <c r="D139" s="137" t="s">
        <v>14</v>
      </c>
      <c r="E139" s="137" t="s">
        <v>15</v>
      </c>
      <c r="F139" s="137" t="s">
        <v>16</v>
      </c>
      <c r="G139" s="137" t="s">
        <v>17</v>
      </c>
      <c r="H139" s="137" t="s">
        <v>18</v>
      </c>
      <c r="I139" s="146" t="s">
        <v>19</v>
      </c>
    </row>
    <row r="140" ht="20.1" customHeight="1" spans="1:9">
      <c r="A140" s="138" t="s">
        <v>20</v>
      </c>
      <c r="B140" s="139">
        <v>1.1</v>
      </c>
      <c r="C140" s="140" t="s">
        <v>21</v>
      </c>
      <c r="D140" s="141" t="s">
        <v>22</v>
      </c>
      <c r="E140" s="142">
        <v>6.811</v>
      </c>
      <c r="F140" s="143">
        <f>汇总表!C10</f>
        <v>155.0016</v>
      </c>
      <c r="G140" s="143">
        <f>[1]Sheet1!H$4</f>
        <v>23.4690265486726</v>
      </c>
      <c r="H140" s="143">
        <f t="shared" ref="H140:H149" si="7">E140*G140</f>
        <v>159.847539823009</v>
      </c>
      <c r="I140" s="141" t="s">
        <v>23</v>
      </c>
    </row>
    <row r="141" ht="20.1" customHeight="1" spans="1:9">
      <c r="A141" s="138"/>
      <c r="B141" s="139"/>
      <c r="C141" s="140" t="s">
        <v>24</v>
      </c>
      <c r="D141" s="141" t="s">
        <v>22</v>
      </c>
      <c r="E141" s="142">
        <v>0.91</v>
      </c>
      <c r="F141" s="143"/>
      <c r="G141" s="143">
        <f>[1]Sheet1!H$5</f>
        <v>22.8495575221239</v>
      </c>
      <c r="H141" s="143">
        <f t="shared" si="7"/>
        <v>20.7930973451327</v>
      </c>
      <c r="I141" s="141" t="s">
        <v>23</v>
      </c>
    </row>
    <row r="142" ht="20.1" customHeight="1" spans="1:9">
      <c r="A142" s="138"/>
      <c r="B142" s="141"/>
      <c r="C142" s="140" t="s">
        <v>25</v>
      </c>
      <c r="D142" s="141" t="s">
        <v>22</v>
      </c>
      <c r="E142" s="142">
        <v>0.25</v>
      </c>
      <c r="F142" s="143"/>
      <c r="G142" s="143">
        <f>[1]Sheet1!H$6</f>
        <v>21.6991150442478</v>
      </c>
      <c r="H142" s="143">
        <f t="shared" si="7"/>
        <v>5.42477876106195</v>
      </c>
      <c r="I142" s="141" t="s">
        <v>23</v>
      </c>
    </row>
    <row r="143" ht="33" customHeight="1" spans="1:9">
      <c r="A143" s="138"/>
      <c r="B143" s="141">
        <v>1.2</v>
      </c>
      <c r="C143" s="140" t="s">
        <v>49</v>
      </c>
      <c r="D143" s="141" t="s">
        <v>27</v>
      </c>
      <c r="E143" s="142">
        <f>0.85</f>
        <v>0.85</v>
      </c>
      <c r="F143" s="143"/>
      <c r="G143" s="143">
        <f>136/1.13</f>
        <v>120.353982300885</v>
      </c>
      <c r="H143" s="143">
        <f t="shared" si="7"/>
        <v>102.300884955752</v>
      </c>
      <c r="I143" s="141" t="s">
        <v>28</v>
      </c>
    </row>
    <row r="144" ht="20.1" customHeight="1" spans="1:9">
      <c r="A144" s="138"/>
      <c r="B144" s="141">
        <v>1.3</v>
      </c>
      <c r="C144" s="141" t="s">
        <v>29</v>
      </c>
      <c r="D144" s="141" t="s">
        <v>30</v>
      </c>
      <c r="E144" s="142">
        <v>0.21</v>
      </c>
      <c r="F144" s="143"/>
      <c r="G144" s="143">
        <f>153/1.13</f>
        <v>135.398230088496</v>
      </c>
      <c r="H144" s="143">
        <f t="shared" si="7"/>
        <v>28.4336283185841</v>
      </c>
      <c r="I144" s="141" t="s">
        <v>31</v>
      </c>
    </row>
    <row r="145" ht="20.1" customHeight="1" spans="1:9">
      <c r="A145" s="138"/>
      <c r="B145" s="141">
        <v>1.4</v>
      </c>
      <c r="C145" s="141" t="s">
        <v>32</v>
      </c>
      <c r="D145" s="141" t="s">
        <v>33</v>
      </c>
      <c r="E145" s="142">
        <v>0.14</v>
      </c>
      <c r="F145" s="143"/>
      <c r="G145" s="143">
        <f>25/1.13</f>
        <v>22.1238938053097</v>
      </c>
      <c r="H145" s="143">
        <f t="shared" si="7"/>
        <v>3.09734513274336</v>
      </c>
      <c r="I145" s="141" t="s">
        <v>34</v>
      </c>
    </row>
    <row r="146" ht="20.1" customHeight="1" spans="1:9">
      <c r="A146" s="138"/>
      <c r="B146" s="141">
        <v>1.5</v>
      </c>
      <c r="C146" s="141" t="s">
        <v>35</v>
      </c>
      <c r="D146" s="141" t="s">
        <v>33</v>
      </c>
      <c r="E146" s="142"/>
      <c r="F146" s="143"/>
      <c r="G146" s="143"/>
      <c r="H146" s="143">
        <f t="shared" si="7"/>
        <v>0</v>
      </c>
      <c r="I146" s="141"/>
    </row>
    <row r="147" ht="33" customHeight="1" spans="1:9">
      <c r="A147" s="138"/>
      <c r="B147" s="141">
        <v>1.6</v>
      </c>
      <c r="C147" s="141" t="s">
        <v>36</v>
      </c>
      <c r="D147" s="141" t="s">
        <v>37</v>
      </c>
      <c r="E147" s="142">
        <v>0.18</v>
      </c>
      <c r="F147" s="143"/>
      <c r="G147" s="143">
        <f>23.5/1.13</f>
        <v>20.7964601769912</v>
      </c>
      <c r="H147" s="143">
        <f t="shared" si="7"/>
        <v>3.74336283185841</v>
      </c>
      <c r="I147" s="141" t="s">
        <v>38</v>
      </c>
    </row>
    <row r="148" ht="38.1" customHeight="1" spans="1:9">
      <c r="A148" s="138"/>
      <c r="B148" s="141">
        <v>1.7</v>
      </c>
      <c r="C148" s="141" t="s">
        <v>39</v>
      </c>
      <c r="D148" s="141" t="s">
        <v>37</v>
      </c>
      <c r="E148" s="142">
        <v>1.29</v>
      </c>
      <c r="F148" s="143"/>
      <c r="G148" s="143">
        <f>18/1.13</f>
        <v>15.929203539823</v>
      </c>
      <c r="H148" s="143">
        <f t="shared" si="7"/>
        <v>20.5486725663717</v>
      </c>
      <c r="I148" s="141" t="s">
        <v>40</v>
      </c>
    </row>
    <row r="149" ht="20.1" customHeight="1" spans="1:9">
      <c r="A149" s="138"/>
      <c r="B149" s="141">
        <v>1.8</v>
      </c>
      <c r="C149" s="141" t="s">
        <v>41</v>
      </c>
      <c r="D149" s="141" t="s">
        <v>42</v>
      </c>
      <c r="E149" s="142">
        <v>1</v>
      </c>
      <c r="F149" s="143"/>
      <c r="G149" s="143">
        <f>10/1.13</f>
        <v>8.8495575221239</v>
      </c>
      <c r="H149" s="143">
        <f t="shared" si="7"/>
        <v>8.8495575221239</v>
      </c>
      <c r="I149" s="141"/>
    </row>
    <row r="150" ht="20.1" customHeight="1" spans="1:9">
      <c r="A150" s="136" t="s">
        <v>43</v>
      </c>
      <c r="B150" s="136"/>
      <c r="C150" s="136"/>
      <c r="D150" s="144">
        <f>SUM(H140:H149)</f>
        <v>353.038867256637</v>
      </c>
      <c r="E150" s="144"/>
      <c r="F150" s="144"/>
      <c r="G150" s="144"/>
      <c r="H150" s="144"/>
      <c r="I150" s="144"/>
    </row>
    <row r="151" ht="20.1" customHeight="1" spans="1:9">
      <c r="A151" s="136" t="s">
        <v>44</v>
      </c>
      <c r="B151" s="136"/>
      <c r="C151" s="136"/>
      <c r="D151" s="144">
        <v>68</v>
      </c>
      <c r="E151" s="144"/>
      <c r="F151" s="144"/>
      <c r="G151" s="144"/>
      <c r="H151" s="144"/>
      <c r="I151" s="144"/>
    </row>
    <row r="152" ht="28.5" customHeight="1" spans="1:9">
      <c r="A152" s="136" t="s">
        <v>50</v>
      </c>
      <c r="B152" s="136"/>
      <c r="C152" s="136"/>
      <c r="D152" s="144">
        <f>(D150+D151)*15.1572463%</f>
        <v>63.8178981288186</v>
      </c>
      <c r="E152" s="144"/>
      <c r="F152" s="144"/>
      <c r="G152" s="144"/>
      <c r="H152" s="144"/>
      <c r="I152" s="144"/>
    </row>
    <row r="153" ht="20.1" customHeight="1" spans="1:9">
      <c r="A153" s="136" t="s">
        <v>46</v>
      </c>
      <c r="B153" s="136"/>
      <c r="C153" s="136"/>
      <c r="D153" s="144">
        <f>D150+D151+D152</f>
        <v>484.856765385456</v>
      </c>
      <c r="E153" s="144"/>
      <c r="F153" s="144"/>
      <c r="G153" s="144"/>
      <c r="H153" s="144"/>
      <c r="I153" s="144"/>
    </row>
    <row r="154" ht="20.1" customHeight="1" spans="1:9">
      <c r="A154" s="136" t="s">
        <v>47</v>
      </c>
      <c r="B154" s="136"/>
      <c r="C154" s="136"/>
      <c r="D154" s="144">
        <f>D153*11.8%</f>
        <v>57.2130983154838</v>
      </c>
      <c r="E154" s="144"/>
      <c r="F154" s="144"/>
      <c r="G154" s="144"/>
      <c r="H154" s="144"/>
      <c r="I154" s="144"/>
    </row>
    <row r="155" ht="20.1" customHeight="1" spans="1:9">
      <c r="A155" s="136" t="s">
        <v>48</v>
      </c>
      <c r="B155" s="136"/>
      <c r="C155" s="136"/>
      <c r="D155" s="145">
        <f>D153+D154</f>
        <v>542.06986370094</v>
      </c>
      <c r="E155" s="145"/>
      <c r="F155" s="145"/>
      <c r="G155" s="145"/>
      <c r="H155" s="145"/>
      <c r="I155" s="145"/>
    </row>
    <row r="156" ht="20.1" customHeight="1" spans="1:9">
      <c r="A156" s="131" t="s">
        <v>9</v>
      </c>
      <c r="B156" s="131"/>
      <c r="C156" s="131"/>
      <c r="D156" s="131"/>
      <c r="E156" s="131"/>
      <c r="F156" s="131"/>
      <c r="G156" s="131"/>
      <c r="H156" s="131"/>
      <c r="I156" s="131"/>
    </row>
    <row r="157" ht="20.1" customHeight="1" spans="1:9">
      <c r="A157" s="132" t="s">
        <v>58</v>
      </c>
      <c r="B157" s="133"/>
      <c r="C157" s="133"/>
      <c r="D157" s="133"/>
      <c r="E157" s="133"/>
      <c r="F157" s="134"/>
      <c r="G157" s="135" t="s">
        <v>11</v>
      </c>
      <c r="H157" s="135"/>
      <c r="I157" s="135" t="s">
        <v>57</v>
      </c>
    </row>
    <row r="158" ht="20.1" customHeight="1" spans="1:9">
      <c r="A158" s="136"/>
      <c r="B158" s="137" t="s">
        <v>1</v>
      </c>
      <c r="C158" s="137" t="s">
        <v>13</v>
      </c>
      <c r="D158" s="137" t="s">
        <v>14</v>
      </c>
      <c r="E158" s="137" t="s">
        <v>15</v>
      </c>
      <c r="F158" s="137" t="s">
        <v>16</v>
      </c>
      <c r="G158" s="137" t="s">
        <v>17</v>
      </c>
      <c r="H158" s="137" t="s">
        <v>18</v>
      </c>
      <c r="I158" s="146" t="s">
        <v>19</v>
      </c>
    </row>
    <row r="159" ht="20.1" customHeight="1" spans="1:9">
      <c r="A159" s="138" t="s">
        <v>20</v>
      </c>
      <c r="B159" s="139">
        <v>1.1</v>
      </c>
      <c r="C159" s="140" t="s">
        <v>21</v>
      </c>
      <c r="D159" s="141" t="s">
        <v>22</v>
      </c>
      <c r="E159" s="142">
        <v>0</v>
      </c>
      <c r="F159" s="143">
        <f>汇总表!C11</f>
        <v>504.2916</v>
      </c>
      <c r="G159" s="143">
        <f>[1]Sheet1!H$4</f>
        <v>23.4690265486726</v>
      </c>
      <c r="H159" s="143">
        <f t="shared" ref="H159:H168" si="8">E159*G159</f>
        <v>0</v>
      </c>
      <c r="I159" s="141" t="s">
        <v>23</v>
      </c>
    </row>
    <row r="160" ht="20.1" customHeight="1" spans="1:9">
      <c r="A160" s="138"/>
      <c r="B160" s="139"/>
      <c r="C160" s="140" t="s">
        <v>24</v>
      </c>
      <c r="D160" s="141" t="s">
        <v>22</v>
      </c>
      <c r="E160" s="142">
        <v>9.0238</v>
      </c>
      <c r="F160" s="143"/>
      <c r="G160" s="143">
        <f>[1]Sheet1!H$5</f>
        <v>22.8495575221239</v>
      </c>
      <c r="H160" s="143">
        <f t="shared" si="8"/>
        <v>206.189837168142</v>
      </c>
      <c r="I160" s="141" t="s">
        <v>23</v>
      </c>
    </row>
    <row r="161" ht="20.1" customHeight="1" spans="1:9">
      <c r="A161" s="138"/>
      <c r="B161" s="141"/>
      <c r="C161" s="140" t="s">
        <v>25</v>
      </c>
      <c r="D161" s="141" t="s">
        <v>22</v>
      </c>
      <c r="E161" s="142">
        <v>0.55</v>
      </c>
      <c r="F161" s="143"/>
      <c r="G161" s="143">
        <f>[1]Sheet1!H$6</f>
        <v>21.6991150442478</v>
      </c>
      <c r="H161" s="143">
        <f t="shared" si="8"/>
        <v>11.9345132743363</v>
      </c>
      <c r="I161" s="141" t="s">
        <v>23</v>
      </c>
    </row>
    <row r="162" ht="30" customHeight="1" spans="1:9">
      <c r="A162" s="138"/>
      <c r="B162" s="141">
        <v>1.2</v>
      </c>
      <c r="C162" s="140" t="s">
        <v>59</v>
      </c>
      <c r="D162" s="141" t="s">
        <v>27</v>
      </c>
      <c r="E162" s="142">
        <f>0.85</f>
        <v>0.85</v>
      </c>
      <c r="F162" s="143"/>
      <c r="G162" s="143">
        <f>112/1.13</f>
        <v>99.1150442477876</v>
      </c>
      <c r="H162" s="143">
        <f t="shared" si="8"/>
        <v>84.2477876106195</v>
      </c>
      <c r="I162" s="141" t="s">
        <v>28</v>
      </c>
    </row>
    <row r="163" ht="20.1" customHeight="1" spans="1:9">
      <c r="A163" s="138"/>
      <c r="B163" s="141">
        <v>1.3</v>
      </c>
      <c r="C163" s="141" t="s">
        <v>29</v>
      </c>
      <c r="D163" s="141" t="s">
        <v>30</v>
      </c>
      <c r="E163" s="142">
        <v>0.34</v>
      </c>
      <c r="F163" s="143"/>
      <c r="G163" s="143">
        <f>153/1.13</f>
        <v>135.398230088496</v>
      </c>
      <c r="H163" s="143">
        <f t="shared" si="8"/>
        <v>46.0353982300885</v>
      </c>
      <c r="I163" s="141" t="s">
        <v>31</v>
      </c>
    </row>
    <row r="164" ht="20.1" customHeight="1" spans="1:9">
      <c r="A164" s="138"/>
      <c r="B164" s="141">
        <v>1.4</v>
      </c>
      <c r="C164" s="141" t="s">
        <v>32</v>
      </c>
      <c r="D164" s="141" t="s">
        <v>33</v>
      </c>
      <c r="E164" s="142">
        <v>0.22</v>
      </c>
      <c r="F164" s="143"/>
      <c r="G164" s="143">
        <f>25/1.13</f>
        <v>22.1238938053097</v>
      </c>
      <c r="H164" s="143">
        <f t="shared" si="8"/>
        <v>4.86725663716814</v>
      </c>
      <c r="I164" s="141" t="s">
        <v>34</v>
      </c>
    </row>
    <row r="165" ht="20.1" customHeight="1" spans="1:9">
      <c r="A165" s="138"/>
      <c r="B165" s="141">
        <v>1.5</v>
      </c>
      <c r="C165" s="141" t="s">
        <v>35</v>
      </c>
      <c r="D165" s="141" t="s">
        <v>33</v>
      </c>
      <c r="E165" s="142"/>
      <c r="F165" s="143"/>
      <c r="G165" s="143"/>
      <c r="H165" s="143">
        <f t="shared" si="8"/>
        <v>0</v>
      </c>
      <c r="I165" s="141"/>
    </row>
    <row r="166" ht="32.1" customHeight="1" spans="1:9">
      <c r="A166" s="138"/>
      <c r="B166" s="141">
        <v>1.6</v>
      </c>
      <c r="C166" s="141" t="s">
        <v>36</v>
      </c>
      <c r="D166" s="141" t="s">
        <v>37</v>
      </c>
      <c r="E166" s="142">
        <v>0.24</v>
      </c>
      <c r="F166" s="143"/>
      <c r="G166" s="143">
        <f>23.5/1.13</f>
        <v>20.7964601769912</v>
      </c>
      <c r="H166" s="143">
        <f t="shared" si="8"/>
        <v>4.99115044247788</v>
      </c>
      <c r="I166" s="141" t="s">
        <v>38</v>
      </c>
    </row>
    <row r="167" ht="35.1" customHeight="1" spans="1:9">
      <c r="A167" s="138"/>
      <c r="B167" s="141">
        <v>1.7</v>
      </c>
      <c r="C167" s="141" t="s">
        <v>39</v>
      </c>
      <c r="D167" s="141" t="s">
        <v>37</v>
      </c>
      <c r="E167" s="142">
        <v>1.77</v>
      </c>
      <c r="F167" s="143"/>
      <c r="G167" s="143">
        <f>18/1.13</f>
        <v>15.929203539823</v>
      </c>
      <c r="H167" s="143">
        <f t="shared" si="8"/>
        <v>28.1946902654867</v>
      </c>
      <c r="I167" s="141" t="s">
        <v>40</v>
      </c>
    </row>
    <row r="168" ht="20.1" customHeight="1" spans="1:9">
      <c r="A168" s="138"/>
      <c r="B168" s="141">
        <v>1.8</v>
      </c>
      <c r="C168" s="141" t="s">
        <v>41</v>
      </c>
      <c r="D168" s="141" t="s">
        <v>42</v>
      </c>
      <c r="E168" s="142">
        <v>1</v>
      </c>
      <c r="F168" s="143"/>
      <c r="G168" s="143">
        <f>10/1.13</f>
        <v>8.8495575221239</v>
      </c>
      <c r="H168" s="143">
        <f t="shared" si="8"/>
        <v>8.8495575221239</v>
      </c>
      <c r="I168" s="141"/>
    </row>
    <row r="169" ht="20.1" customHeight="1" spans="1:9">
      <c r="A169" s="136" t="s">
        <v>43</v>
      </c>
      <c r="B169" s="136"/>
      <c r="C169" s="136"/>
      <c r="D169" s="144">
        <f>SUM(H159:H168)</f>
        <v>395.310191150443</v>
      </c>
      <c r="E169" s="144"/>
      <c r="F169" s="144"/>
      <c r="G169" s="144"/>
      <c r="H169" s="144"/>
      <c r="I169" s="144"/>
    </row>
    <row r="170" ht="20.1" customHeight="1" spans="1:9">
      <c r="A170" s="136" t="s">
        <v>44</v>
      </c>
      <c r="B170" s="136"/>
      <c r="C170" s="136"/>
      <c r="D170" s="144">
        <v>68</v>
      </c>
      <c r="E170" s="144"/>
      <c r="F170" s="144"/>
      <c r="G170" s="144"/>
      <c r="H170" s="144"/>
      <c r="I170" s="144"/>
    </row>
    <row r="171" ht="20.1" customHeight="1" spans="1:9">
      <c r="A171" s="136" t="s">
        <v>50</v>
      </c>
      <c r="B171" s="136"/>
      <c r="C171" s="136"/>
      <c r="D171" s="144">
        <f>(D169+D170)*15.1572463%</f>
        <v>70.2250668056734</v>
      </c>
      <c r="E171" s="144"/>
      <c r="F171" s="144"/>
      <c r="G171" s="144"/>
      <c r="H171" s="144"/>
      <c r="I171" s="144"/>
    </row>
    <row r="172" ht="20.1" customHeight="1" spans="1:9">
      <c r="A172" s="136" t="s">
        <v>46</v>
      </c>
      <c r="B172" s="136"/>
      <c r="C172" s="136"/>
      <c r="D172" s="144">
        <f>D169+D170+D171</f>
        <v>533.535257956116</v>
      </c>
      <c r="E172" s="144"/>
      <c r="F172" s="144"/>
      <c r="G172" s="144"/>
      <c r="H172" s="144"/>
      <c r="I172" s="144"/>
    </row>
    <row r="173" ht="20.1" customHeight="1" spans="1:9">
      <c r="A173" s="136" t="s">
        <v>47</v>
      </c>
      <c r="B173" s="136"/>
      <c r="C173" s="136"/>
      <c r="D173" s="144">
        <f>D172*11.8%</f>
        <v>62.9571604388217</v>
      </c>
      <c r="E173" s="144"/>
      <c r="F173" s="144"/>
      <c r="G173" s="144"/>
      <c r="H173" s="144"/>
      <c r="I173" s="144"/>
    </row>
    <row r="174" ht="20.1" customHeight="1" spans="1:9">
      <c r="A174" s="136" t="s">
        <v>48</v>
      </c>
      <c r="B174" s="136"/>
      <c r="C174" s="136"/>
      <c r="D174" s="145">
        <f>D172+D173</f>
        <v>596.492418394938</v>
      </c>
      <c r="E174" s="145"/>
      <c r="F174" s="145"/>
      <c r="G174" s="145"/>
      <c r="H174" s="145"/>
      <c r="I174" s="145"/>
    </row>
    <row r="175" ht="20.1" customHeight="1" spans="1:9">
      <c r="A175" s="131" t="s">
        <v>9</v>
      </c>
      <c r="B175" s="131"/>
      <c r="C175" s="131"/>
      <c r="D175" s="131"/>
      <c r="E175" s="131"/>
      <c r="F175" s="131"/>
      <c r="G175" s="131"/>
      <c r="H175" s="131"/>
      <c r="I175" s="131"/>
    </row>
    <row r="176" ht="20.1" customHeight="1" spans="1:9">
      <c r="A176" s="132" t="s">
        <v>60</v>
      </c>
      <c r="B176" s="133"/>
      <c r="C176" s="133"/>
      <c r="D176" s="133"/>
      <c r="E176" s="133"/>
      <c r="F176" s="134"/>
      <c r="G176" s="135" t="s">
        <v>11</v>
      </c>
      <c r="H176" s="135"/>
      <c r="I176" s="135" t="s">
        <v>61</v>
      </c>
    </row>
    <row r="177" ht="20.1" customHeight="1" spans="1:9">
      <c r="A177" s="136"/>
      <c r="B177" s="137" t="s">
        <v>1</v>
      </c>
      <c r="C177" s="137" t="s">
        <v>13</v>
      </c>
      <c r="D177" s="137" t="s">
        <v>14</v>
      </c>
      <c r="E177" s="137" t="s">
        <v>15</v>
      </c>
      <c r="F177" s="137" t="s">
        <v>16</v>
      </c>
      <c r="G177" s="137" t="s">
        <v>17</v>
      </c>
      <c r="H177" s="137" t="s">
        <v>18</v>
      </c>
      <c r="I177" s="146" t="s">
        <v>19</v>
      </c>
    </row>
    <row r="178" ht="20.1" customHeight="1" spans="1:9">
      <c r="A178" s="138" t="s">
        <v>20</v>
      </c>
      <c r="B178" s="139">
        <v>1.1</v>
      </c>
      <c r="C178" s="140" t="s">
        <v>21</v>
      </c>
      <c r="D178" s="141" t="s">
        <v>22</v>
      </c>
      <c r="E178" s="142">
        <v>11.9915</v>
      </c>
      <c r="F178" s="143">
        <f>汇总表!C12</f>
        <v>526.2208</v>
      </c>
      <c r="G178" s="143">
        <f>[1]Sheet1!H$4</f>
        <v>23.4690265486726</v>
      </c>
      <c r="H178" s="143">
        <f t="shared" ref="H178:H188" si="9">E178*G178</f>
        <v>281.428831858407</v>
      </c>
      <c r="I178" s="141" t="s">
        <v>23</v>
      </c>
    </row>
    <row r="179" ht="20.1" customHeight="1" spans="1:9">
      <c r="A179" s="138"/>
      <c r="B179" s="139"/>
      <c r="C179" s="140" t="s">
        <v>24</v>
      </c>
      <c r="D179" s="141" t="s">
        <v>22</v>
      </c>
      <c r="E179" s="142">
        <v>1.28</v>
      </c>
      <c r="F179" s="143"/>
      <c r="G179" s="143">
        <f>[1]Sheet1!H$5</f>
        <v>22.8495575221239</v>
      </c>
      <c r="H179" s="143">
        <f t="shared" si="9"/>
        <v>29.2474336283186</v>
      </c>
      <c r="I179" s="141" t="s">
        <v>23</v>
      </c>
    </row>
    <row r="180" ht="20.1" customHeight="1" spans="1:9">
      <c r="A180" s="138"/>
      <c r="B180" s="141"/>
      <c r="C180" s="140" t="s">
        <v>25</v>
      </c>
      <c r="D180" s="141" t="s">
        <v>22</v>
      </c>
      <c r="E180" s="142">
        <v>1.6</v>
      </c>
      <c r="F180" s="143"/>
      <c r="G180" s="143">
        <f>[1]Sheet1!H$6</f>
        <v>21.6991150442478</v>
      </c>
      <c r="H180" s="143">
        <f t="shared" si="9"/>
        <v>34.7185840707965</v>
      </c>
      <c r="I180" s="141" t="s">
        <v>23</v>
      </c>
    </row>
    <row r="181" ht="33" customHeight="1" spans="1:9">
      <c r="A181" s="138"/>
      <c r="B181" s="139">
        <v>1.2</v>
      </c>
      <c r="C181" s="140" t="s">
        <v>26</v>
      </c>
      <c r="D181" s="141" t="s">
        <v>27</v>
      </c>
      <c r="E181" s="142">
        <v>0</v>
      </c>
      <c r="F181" s="143"/>
      <c r="G181" s="143">
        <f>122/1.13</f>
        <v>107.964601769912</v>
      </c>
      <c r="H181" s="143">
        <f t="shared" si="9"/>
        <v>0</v>
      </c>
      <c r="I181" s="139" t="s">
        <v>28</v>
      </c>
    </row>
    <row r="182" ht="33" customHeight="1" spans="1:9">
      <c r="A182" s="138"/>
      <c r="B182" s="141"/>
      <c r="C182" s="140" t="s">
        <v>51</v>
      </c>
      <c r="D182" s="141" t="s">
        <v>27</v>
      </c>
      <c r="E182" s="142">
        <v>0.85</v>
      </c>
      <c r="F182" s="143"/>
      <c r="G182" s="143">
        <f>108/1.13</f>
        <v>95.5752212389381</v>
      </c>
      <c r="H182" s="143">
        <f t="shared" si="9"/>
        <v>81.2389380530973</v>
      </c>
      <c r="I182" s="141"/>
    </row>
    <row r="183" ht="20.1" customHeight="1" spans="1:9">
      <c r="A183" s="138"/>
      <c r="B183" s="141">
        <v>1.3</v>
      </c>
      <c r="C183" s="141" t="s">
        <v>29</v>
      </c>
      <c r="D183" s="141" t="s">
        <v>30</v>
      </c>
      <c r="E183" s="142">
        <v>1.23</v>
      </c>
      <c r="F183" s="143"/>
      <c r="G183" s="143">
        <f>81.5/1.13</f>
        <v>72.1238938053097</v>
      </c>
      <c r="H183" s="143">
        <f t="shared" si="9"/>
        <v>88.712389380531</v>
      </c>
      <c r="I183" s="141" t="s">
        <v>31</v>
      </c>
    </row>
    <row r="184" ht="20.1" customHeight="1" spans="1:9">
      <c r="A184" s="138"/>
      <c r="B184" s="141">
        <v>1.4</v>
      </c>
      <c r="C184" s="141" t="s">
        <v>32</v>
      </c>
      <c r="D184" s="141" t="s">
        <v>33</v>
      </c>
      <c r="E184" s="142">
        <v>0.49</v>
      </c>
      <c r="F184" s="143"/>
      <c r="G184" s="143">
        <f>25/1.13</f>
        <v>22.1238938053097</v>
      </c>
      <c r="H184" s="143">
        <f t="shared" si="9"/>
        <v>10.8407079646018</v>
      </c>
      <c r="I184" s="141" t="s">
        <v>34</v>
      </c>
    </row>
    <row r="185" ht="20.1" customHeight="1" spans="1:9">
      <c r="A185" s="138"/>
      <c r="B185" s="141">
        <v>1.5</v>
      </c>
      <c r="C185" s="141" t="s">
        <v>35</v>
      </c>
      <c r="D185" s="141" t="s">
        <v>33</v>
      </c>
      <c r="E185" s="142"/>
      <c r="F185" s="143"/>
      <c r="G185" s="143"/>
      <c r="H185" s="143">
        <f t="shared" si="9"/>
        <v>0</v>
      </c>
      <c r="I185" s="141"/>
    </row>
    <row r="186" ht="33" customHeight="1" spans="1:9">
      <c r="A186" s="138"/>
      <c r="B186" s="141">
        <v>1.6</v>
      </c>
      <c r="C186" s="141" t="s">
        <v>36</v>
      </c>
      <c r="D186" s="141" t="s">
        <v>37</v>
      </c>
      <c r="E186" s="142">
        <v>0.49</v>
      </c>
      <c r="F186" s="143"/>
      <c r="G186" s="143">
        <f>23.5/1.13</f>
        <v>20.7964601769912</v>
      </c>
      <c r="H186" s="143">
        <f t="shared" si="9"/>
        <v>10.1902654867257</v>
      </c>
      <c r="I186" s="141" t="s">
        <v>38</v>
      </c>
    </row>
    <row r="187" ht="33" customHeight="1" spans="1:9">
      <c r="A187" s="138"/>
      <c r="B187" s="141">
        <v>1.7</v>
      </c>
      <c r="C187" s="141" t="s">
        <v>39</v>
      </c>
      <c r="D187" s="141" t="s">
        <v>37</v>
      </c>
      <c r="E187" s="142">
        <v>3.03</v>
      </c>
      <c r="F187" s="143"/>
      <c r="G187" s="143">
        <f>18/1.13</f>
        <v>15.929203539823</v>
      </c>
      <c r="H187" s="143">
        <f t="shared" si="9"/>
        <v>48.2654867256637</v>
      </c>
      <c r="I187" s="141" t="s">
        <v>40</v>
      </c>
    </row>
    <row r="188" ht="20.1" customHeight="1" spans="1:9">
      <c r="A188" s="138"/>
      <c r="B188" s="141">
        <v>1.8</v>
      </c>
      <c r="C188" s="141" t="s">
        <v>41</v>
      </c>
      <c r="D188" s="141" t="s">
        <v>42</v>
      </c>
      <c r="E188" s="142">
        <v>1</v>
      </c>
      <c r="F188" s="143"/>
      <c r="G188" s="143">
        <f>10/1.13</f>
        <v>8.8495575221239</v>
      </c>
      <c r="H188" s="143">
        <f t="shared" si="9"/>
        <v>8.8495575221239</v>
      </c>
      <c r="I188" s="141"/>
    </row>
    <row r="189" ht="20.1" customHeight="1" spans="1:9">
      <c r="A189" s="136" t="s">
        <v>43</v>
      </c>
      <c r="B189" s="136"/>
      <c r="C189" s="136"/>
      <c r="D189" s="144">
        <f>SUM(H178:H188)</f>
        <v>593.492194690266</v>
      </c>
      <c r="E189" s="144"/>
      <c r="F189" s="144"/>
      <c r="G189" s="144"/>
      <c r="H189" s="144"/>
      <c r="I189" s="144"/>
    </row>
    <row r="190" ht="20.1" customHeight="1" spans="1:9">
      <c r="A190" s="136" t="s">
        <v>44</v>
      </c>
      <c r="B190" s="136"/>
      <c r="C190" s="136"/>
      <c r="D190" s="144">
        <v>68</v>
      </c>
      <c r="E190" s="144"/>
      <c r="F190" s="144"/>
      <c r="G190" s="144"/>
      <c r="H190" s="144"/>
      <c r="I190" s="144"/>
    </row>
    <row r="191" ht="20.1" customHeight="1" spans="1:9">
      <c r="A191" s="136" t="s">
        <v>50</v>
      </c>
      <c r="B191" s="136"/>
      <c r="C191" s="136"/>
      <c r="D191" s="144">
        <f>(D189+D190)*15.1572463%</f>
        <v>100.264001204479</v>
      </c>
      <c r="E191" s="144"/>
      <c r="F191" s="144"/>
      <c r="G191" s="144"/>
      <c r="H191" s="144"/>
      <c r="I191" s="144"/>
    </row>
    <row r="192" ht="20.1" customHeight="1" spans="1:9">
      <c r="A192" s="136" t="s">
        <v>46</v>
      </c>
      <c r="B192" s="136"/>
      <c r="C192" s="136"/>
      <c r="D192" s="144">
        <f>D189+D190+D191</f>
        <v>761.756195894745</v>
      </c>
      <c r="E192" s="144"/>
      <c r="F192" s="144"/>
      <c r="G192" s="144"/>
      <c r="H192" s="144"/>
      <c r="I192" s="144"/>
    </row>
    <row r="193" ht="20.1" customHeight="1" spans="1:9">
      <c r="A193" s="136" t="s">
        <v>47</v>
      </c>
      <c r="B193" s="136"/>
      <c r="C193" s="136"/>
      <c r="D193" s="144">
        <f>D192*11.8%</f>
        <v>89.8872311155799</v>
      </c>
      <c r="E193" s="144"/>
      <c r="F193" s="144"/>
      <c r="G193" s="144"/>
      <c r="H193" s="144"/>
      <c r="I193" s="144"/>
    </row>
    <row r="194" ht="20.1" customHeight="1" spans="1:9">
      <c r="A194" s="136" t="s">
        <v>48</v>
      </c>
      <c r="B194" s="136"/>
      <c r="C194" s="136"/>
      <c r="D194" s="145">
        <f>D192+D193</f>
        <v>851.643427010325</v>
      </c>
      <c r="E194" s="145"/>
      <c r="F194" s="145"/>
      <c r="G194" s="145"/>
      <c r="H194" s="145"/>
      <c r="I194" s="145"/>
    </row>
    <row r="195" ht="20.1" customHeight="1" spans="1:9">
      <c r="A195" s="131" t="s">
        <v>9</v>
      </c>
      <c r="B195" s="131"/>
      <c r="C195" s="131"/>
      <c r="D195" s="131"/>
      <c r="E195" s="131"/>
      <c r="F195" s="131"/>
      <c r="G195" s="131"/>
      <c r="H195" s="131"/>
      <c r="I195" s="131"/>
    </row>
    <row r="196" ht="20.1" customHeight="1" spans="1:9">
      <c r="A196" s="132" t="s">
        <v>60</v>
      </c>
      <c r="B196" s="133"/>
      <c r="C196" s="133"/>
      <c r="D196" s="133"/>
      <c r="E196" s="133"/>
      <c r="F196" s="134"/>
      <c r="G196" s="135" t="s">
        <v>11</v>
      </c>
      <c r="H196" s="135"/>
      <c r="I196" s="135" t="s">
        <v>61</v>
      </c>
    </row>
    <row r="197" ht="20.1" customHeight="1" spans="1:9">
      <c r="A197" s="136"/>
      <c r="B197" s="137" t="s">
        <v>1</v>
      </c>
      <c r="C197" s="137" t="s">
        <v>13</v>
      </c>
      <c r="D197" s="137" t="s">
        <v>14</v>
      </c>
      <c r="E197" s="137" t="s">
        <v>15</v>
      </c>
      <c r="F197" s="137" t="s">
        <v>16</v>
      </c>
      <c r="G197" s="137" t="s">
        <v>17</v>
      </c>
      <c r="H197" s="137" t="s">
        <v>18</v>
      </c>
      <c r="I197" s="146" t="s">
        <v>19</v>
      </c>
    </row>
    <row r="198" ht="20.1" customHeight="1" spans="1:9">
      <c r="A198" s="138" t="s">
        <v>20</v>
      </c>
      <c r="B198" s="139">
        <v>1.1</v>
      </c>
      <c r="C198" s="140" t="s">
        <v>21</v>
      </c>
      <c r="D198" s="141" t="s">
        <v>22</v>
      </c>
      <c r="E198" s="142">
        <v>12.206</v>
      </c>
      <c r="F198" s="143">
        <f>汇总表!C13</f>
        <v>195.0424</v>
      </c>
      <c r="G198" s="143">
        <f>[1]Sheet1!H$4</f>
        <v>23.4690265486726</v>
      </c>
      <c r="H198" s="143">
        <f t="shared" ref="H198:H208" si="10">E198*G198</f>
        <v>286.462938053098</v>
      </c>
      <c r="I198" s="141" t="s">
        <v>23</v>
      </c>
    </row>
    <row r="199" ht="20.1" customHeight="1" spans="1:9">
      <c r="A199" s="138"/>
      <c r="B199" s="139"/>
      <c r="C199" s="140" t="s">
        <v>24</v>
      </c>
      <c r="D199" s="141" t="s">
        <v>22</v>
      </c>
      <c r="E199" s="142">
        <v>1.21</v>
      </c>
      <c r="F199" s="143"/>
      <c r="G199" s="143">
        <f>[1]Sheet1!H$5</f>
        <v>22.8495575221239</v>
      </c>
      <c r="H199" s="143">
        <f t="shared" si="10"/>
        <v>27.6479646017699</v>
      </c>
      <c r="I199" s="141" t="s">
        <v>23</v>
      </c>
    </row>
    <row r="200" ht="20.1" customHeight="1" spans="1:9">
      <c r="A200" s="138"/>
      <c r="B200" s="141"/>
      <c r="C200" s="140" t="s">
        <v>25</v>
      </c>
      <c r="D200" s="141" t="s">
        <v>22</v>
      </c>
      <c r="E200" s="142">
        <v>1.52</v>
      </c>
      <c r="F200" s="143"/>
      <c r="G200" s="143">
        <f>[1]Sheet1!H$6</f>
        <v>21.6991150442478</v>
      </c>
      <c r="H200" s="143">
        <f t="shared" si="10"/>
        <v>32.9826548672567</v>
      </c>
      <c r="I200" s="141" t="s">
        <v>23</v>
      </c>
    </row>
    <row r="201" ht="30" customHeight="1" spans="1:9">
      <c r="A201" s="138"/>
      <c r="B201" s="139">
        <v>1.2</v>
      </c>
      <c r="C201" s="140" t="s">
        <v>26</v>
      </c>
      <c r="D201" s="141" t="s">
        <v>27</v>
      </c>
      <c r="E201" s="142">
        <v>0.85</v>
      </c>
      <c r="F201" s="143"/>
      <c r="G201" s="143">
        <f>122/1.13</f>
        <v>107.964601769912</v>
      </c>
      <c r="H201" s="143">
        <f t="shared" si="10"/>
        <v>91.7699115044248</v>
      </c>
      <c r="I201" s="139" t="s">
        <v>28</v>
      </c>
    </row>
    <row r="202" ht="33" customHeight="1" spans="1:9">
      <c r="A202" s="138"/>
      <c r="B202" s="141"/>
      <c r="C202" s="140" t="s">
        <v>51</v>
      </c>
      <c r="D202" s="141" t="s">
        <v>27</v>
      </c>
      <c r="E202" s="142">
        <v>0</v>
      </c>
      <c r="F202" s="143"/>
      <c r="G202" s="143">
        <f>108/1.13</f>
        <v>95.5752212389381</v>
      </c>
      <c r="H202" s="143">
        <f t="shared" si="10"/>
        <v>0</v>
      </c>
      <c r="I202" s="141"/>
    </row>
    <row r="203" ht="20.1" customHeight="1" spans="1:9">
      <c r="A203" s="138"/>
      <c r="B203" s="141">
        <v>1.3</v>
      </c>
      <c r="C203" s="141" t="s">
        <v>29</v>
      </c>
      <c r="D203" s="141" t="s">
        <v>30</v>
      </c>
      <c r="E203" s="142">
        <v>1.25</v>
      </c>
      <c r="F203" s="143"/>
      <c r="G203" s="143">
        <f>81.5/1.13</f>
        <v>72.1238938053097</v>
      </c>
      <c r="H203" s="143">
        <f t="shared" si="10"/>
        <v>90.1548672566372</v>
      </c>
      <c r="I203" s="141" t="s">
        <v>31</v>
      </c>
    </row>
    <row r="204" ht="20.1" customHeight="1" spans="1:9">
      <c r="A204" s="138"/>
      <c r="B204" s="141">
        <v>1.4</v>
      </c>
      <c r="C204" s="141" t="s">
        <v>32</v>
      </c>
      <c r="D204" s="141" t="s">
        <v>33</v>
      </c>
      <c r="E204" s="142">
        <v>0.5</v>
      </c>
      <c r="F204" s="143"/>
      <c r="G204" s="143">
        <f>25/1.13</f>
        <v>22.1238938053097</v>
      </c>
      <c r="H204" s="143">
        <f t="shared" si="10"/>
        <v>11.0619469026549</v>
      </c>
      <c r="I204" s="141" t="s">
        <v>34</v>
      </c>
    </row>
    <row r="205" ht="20.1" customHeight="1" spans="1:9">
      <c r="A205" s="138"/>
      <c r="B205" s="141">
        <v>1.5</v>
      </c>
      <c r="C205" s="141" t="s">
        <v>35</v>
      </c>
      <c r="D205" s="141" t="s">
        <v>33</v>
      </c>
      <c r="E205" s="142"/>
      <c r="F205" s="143"/>
      <c r="G205" s="143"/>
      <c r="H205" s="143">
        <f t="shared" si="10"/>
        <v>0</v>
      </c>
      <c r="I205" s="141"/>
    </row>
    <row r="206" ht="33" customHeight="1" spans="1:9">
      <c r="A206" s="138"/>
      <c r="B206" s="141">
        <v>1.6</v>
      </c>
      <c r="C206" s="141" t="s">
        <v>36</v>
      </c>
      <c r="D206" s="141" t="s">
        <v>37</v>
      </c>
      <c r="E206" s="142">
        <v>0.41</v>
      </c>
      <c r="F206" s="143"/>
      <c r="G206" s="143">
        <f>23.5/1.13</f>
        <v>20.7964601769912</v>
      </c>
      <c r="H206" s="143">
        <f t="shared" si="10"/>
        <v>8.52654867256637</v>
      </c>
      <c r="I206" s="141" t="s">
        <v>38</v>
      </c>
    </row>
    <row r="207" ht="36.95" customHeight="1" spans="1:9">
      <c r="A207" s="138"/>
      <c r="B207" s="141">
        <v>1.7</v>
      </c>
      <c r="C207" s="141" t="s">
        <v>39</v>
      </c>
      <c r="D207" s="141" t="s">
        <v>37</v>
      </c>
      <c r="E207" s="142">
        <v>2.75</v>
      </c>
      <c r="F207" s="143"/>
      <c r="G207" s="143">
        <f>18/1.13</f>
        <v>15.929203539823</v>
      </c>
      <c r="H207" s="143">
        <f t="shared" si="10"/>
        <v>43.8053097345133</v>
      </c>
      <c r="I207" s="141" t="s">
        <v>40</v>
      </c>
    </row>
    <row r="208" ht="20.1" customHeight="1" spans="1:9">
      <c r="A208" s="138"/>
      <c r="B208" s="141">
        <v>1.8</v>
      </c>
      <c r="C208" s="141" t="s">
        <v>41</v>
      </c>
      <c r="D208" s="141" t="s">
        <v>42</v>
      </c>
      <c r="E208" s="142">
        <v>1</v>
      </c>
      <c r="F208" s="143"/>
      <c r="G208" s="143">
        <f>10/1.13</f>
        <v>8.8495575221239</v>
      </c>
      <c r="H208" s="143">
        <f t="shared" si="10"/>
        <v>8.8495575221239</v>
      </c>
      <c r="I208" s="141"/>
    </row>
    <row r="209" ht="20.1" customHeight="1" spans="1:9">
      <c r="A209" s="136" t="s">
        <v>43</v>
      </c>
      <c r="B209" s="136"/>
      <c r="C209" s="136"/>
      <c r="D209" s="144">
        <f>SUM(H198:H208)</f>
        <v>601.261699115045</v>
      </c>
      <c r="E209" s="144"/>
      <c r="F209" s="144"/>
      <c r="G209" s="144"/>
      <c r="H209" s="144"/>
      <c r="I209" s="144"/>
    </row>
    <row r="210" ht="20.1" customHeight="1" spans="1:9">
      <c r="A210" s="136" t="s">
        <v>44</v>
      </c>
      <c r="B210" s="136"/>
      <c r="C210" s="136"/>
      <c r="D210" s="144">
        <v>68</v>
      </c>
      <c r="E210" s="144"/>
      <c r="F210" s="144"/>
      <c r="G210" s="144"/>
      <c r="H210" s="144"/>
      <c r="I210" s="144"/>
    </row>
    <row r="211" ht="20.1" customHeight="1" spans="1:9">
      <c r="A211" s="136" t="s">
        <v>50</v>
      </c>
      <c r="B211" s="136"/>
      <c r="C211" s="136"/>
      <c r="D211" s="144">
        <f>(D209+D210)*15.1572463%</f>
        <v>101.441644126432</v>
      </c>
      <c r="E211" s="144"/>
      <c r="F211" s="144"/>
      <c r="G211" s="144"/>
      <c r="H211" s="144"/>
      <c r="I211" s="144"/>
    </row>
    <row r="212" ht="20.1" customHeight="1" spans="1:9">
      <c r="A212" s="136" t="s">
        <v>46</v>
      </c>
      <c r="B212" s="136"/>
      <c r="C212" s="136"/>
      <c r="D212" s="144">
        <f>D209+D210+D211</f>
        <v>770.703343241477</v>
      </c>
      <c r="E212" s="144"/>
      <c r="F212" s="144"/>
      <c r="G212" s="144"/>
      <c r="H212" s="144"/>
      <c r="I212" s="144"/>
    </row>
    <row r="213" ht="20.1" customHeight="1" spans="1:9">
      <c r="A213" s="136" t="s">
        <v>47</v>
      </c>
      <c r="B213" s="136"/>
      <c r="C213" s="136"/>
      <c r="D213" s="144">
        <f>D212*11.8%</f>
        <v>90.9429945024943</v>
      </c>
      <c r="E213" s="144"/>
      <c r="F213" s="144"/>
      <c r="G213" s="144"/>
      <c r="H213" s="144"/>
      <c r="I213" s="144"/>
    </row>
    <row r="214" ht="20.1" customHeight="1" spans="1:9">
      <c r="A214" s="136" t="s">
        <v>48</v>
      </c>
      <c r="B214" s="136"/>
      <c r="C214" s="136"/>
      <c r="D214" s="145">
        <f>D212+D213</f>
        <v>861.646337743971</v>
      </c>
      <c r="E214" s="145"/>
      <c r="F214" s="145"/>
      <c r="G214" s="145"/>
      <c r="H214" s="145"/>
      <c r="I214" s="145"/>
    </row>
    <row r="215" ht="20.1" customHeight="1" spans="1:9">
      <c r="A215" s="131" t="s">
        <v>9</v>
      </c>
      <c r="B215" s="131"/>
      <c r="C215" s="131"/>
      <c r="D215" s="131"/>
      <c r="E215" s="131"/>
      <c r="F215" s="131"/>
      <c r="G215" s="131"/>
      <c r="H215" s="131"/>
      <c r="I215" s="131"/>
    </row>
    <row r="216" ht="20.1" customHeight="1" spans="1:9">
      <c r="A216" s="132" t="s">
        <v>60</v>
      </c>
      <c r="B216" s="133"/>
      <c r="C216" s="133"/>
      <c r="D216" s="133"/>
      <c r="E216" s="133"/>
      <c r="F216" s="134"/>
      <c r="G216" s="135" t="s">
        <v>11</v>
      </c>
      <c r="H216" s="135"/>
      <c r="I216" s="135" t="s">
        <v>61</v>
      </c>
    </row>
    <row r="217" ht="20.1" customHeight="1" spans="1:9">
      <c r="A217" s="136"/>
      <c r="B217" s="137" t="s">
        <v>1</v>
      </c>
      <c r="C217" s="137" t="s">
        <v>13</v>
      </c>
      <c r="D217" s="137" t="s">
        <v>14</v>
      </c>
      <c r="E217" s="137" t="s">
        <v>15</v>
      </c>
      <c r="F217" s="137" t="s">
        <v>16</v>
      </c>
      <c r="G217" s="137" t="s">
        <v>17</v>
      </c>
      <c r="H217" s="137" t="s">
        <v>18</v>
      </c>
      <c r="I217" s="146" t="s">
        <v>19</v>
      </c>
    </row>
    <row r="218" ht="20.1" customHeight="1" spans="1:9">
      <c r="A218" s="138" t="s">
        <v>20</v>
      </c>
      <c r="B218" s="139">
        <v>1.1</v>
      </c>
      <c r="C218" s="140" t="s">
        <v>21</v>
      </c>
      <c r="D218" s="141" t="s">
        <v>22</v>
      </c>
      <c r="E218" s="142">
        <v>10.4047</v>
      </c>
      <c r="F218" s="143">
        <f>汇总表!C14</f>
        <v>15.4154</v>
      </c>
      <c r="G218" s="143">
        <f>[1]Sheet1!H$4</f>
        <v>23.4690265486726</v>
      </c>
      <c r="H218" s="143">
        <f t="shared" ref="H218:H228" si="11">E218*G218</f>
        <v>244.188180530974</v>
      </c>
      <c r="I218" s="141" t="s">
        <v>23</v>
      </c>
    </row>
    <row r="219" ht="20.1" customHeight="1" spans="1:9">
      <c r="A219" s="138"/>
      <c r="B219" s="139"/>
      <c r="C219" s="140" t="s">
        <v>24</v>
      </c>
      <c r="D219" s="141" t="s">
        <v>22</v>
      </c>
      <c r="E219" s="142">
        <v>1.13</v>
      </c>
      <c r="F219" s="143"/>
      <c r="G219" s="143">
        <f>[1]Sheet1!H$5</f>
        <v>22.8495575221239</v>
      </c>
      <c r="H219" s="143">
        <f t="shared" si="11"/>
        <v>25.82</v>
      </c>
      <c r="I219" s="141" t="s">
        <v>23</v>
      </c>
    </row>
    <row r="220" ht="20.1" customHeight="1" spans="1:9">
      <c r="A220" s="138"/>
      <c r="B220" s="141"/>
      <c r="C220" s="140" t="s">
        <v>25</v>
      </c>
      <c r="D220" s="141" t="s">
        <v>22</v>
      </c>
      <c r="E220" s="142">
        <v>1.22</v>
      </c>
      <c r="F220" s="143"/>
      <c r="G220" s="143">
        <f>[1]Sheet1!H$6</f>
        <v>21.6991150442478</v>
      </c>
      <c r="H220" s="143">
        <f t="shared" si="11"/>
        <v>26.4729203539823</v>
      </c>
      <c r="I220" s="141" t="s">
        <v>23</v>
      </c>
    </row>
    <row r="221" ht="27.95" customHeight="1" spans="1:9">
      <c r="A221" s="138"/>
      <c r="B221" s="139">
        <v>1.2</v>
      </c>
      <c r="C221" s="140" t="s">
        <v>26</v>
      </c>
      <c r="D221" s="141" t="s">
        <v>27</v>
      </c>
      <c r="E221" s="142">
        <v>0</v>
      </c>
      <c r="F221" s="143"/>
      <c r="G221" s="143">
        <f>122/1.13</f>
        <v>107.964601769912</v>
      </c>
      <c r="H221" s="143">
        <f t="shared" si="11"/>
        <v>0</v>
      </c>
      <c r="I221" s="139" t="s">
        <v>28</v>
      </c>
    </row>
    <row r="222" ht="29.1" customHeight="1" spans="1:9">
      <c r="A222" s="138"/>
      <c r="B222" s="141"/>
      <c r="C222" s="140" t="s">
        <v>52</v>
      </c>
      <c r="D222" s="141" t="s">
        <v>27</v>
      </c>
      <c r="E222" s="142">
        <v>0.85</v>
      </c>
      <c r="F222" s="143"/>
      <c r="G222" s="143">
        <f>100/1.13</f>
        <v>88.495575221239</v>
      </c>
      <c r="H222" s="143">
        <f t="shared" si="11"/>
        <v>75.2212389380531</v>
      </c>
      <c r="I222" s="141"/>
    </row>
    <row r="223" ht="20.1" customHeight="1" spans="1:9">
      <c r="A223" s="138"/>
      <c r="B223" s="141">
        <v>1.3</v>
      </c>
      <c r="C223" s="141" t="s">
        <v>29</v>
      </c>
      <c r="D223" s="141" t="s">
        <v>30</v>
      </c>
      <c r="E223" s="142">
        <v>0.94</v>
      </c>
      <c r="F223" s="143"/>
      <c r="G223" s="143">
        <f>81.5/1.13</f>
        <v>72.1238938053097</v>
      </c>
      <c r="H223" s="143">
        <f t="shared" si="11"/>
        <v>67.7964601769911</v>
      </c>
      <c r="I223" s="141" t="s">
        <v>31</v>
      </c>
    </row>
    <row r="224" ht="20.1" customHeight="1" spans="1:9">
      <c r="A224" s="138"/>
      <c r="B224" s="141">
        <v>1.4</v>
      </c>
      <c r="C224" s="141" t="s">
        <v>32</v>
      </c>
      <c r="D224" s="141" t="s">
        <v>33</v>
      </c>
      <c r="E224" s="142">
        <v>0.4</v>
      </c>
      <c r="F224" s="143"/>
      <c r="G224" s="143">
        <f>25/1.13</f>
        <v>22.1238938053097</v>
      </c>
      <c r="H224" s="143">
        <f t="shared" si="11"/>
        <v>8.8495575221239</v>
      </c>
      <c r="I224" s="141" t="s">
        <v>34</v>
      </c>
    </row>
    <row r="225" ht="20.1" customHeight="1" spans="1:9">
      <c r="A225" s="138"/>
      <c r="B225" s="141">
        <v>1.5</v>
      </c>
      <c r="C225" s="141" t="s">
        <v>35</v>
      </c>
      <c r="D225" s="141" t="s">
        <v>33</v>
      </c>
      <c r="E225" s="142"/>
      <c r="F225" s="143"/>
      <c r="G225" s="143"/>
      <c r="H225" s="143">
        <f t="shared" si="11"/>
        <v>0</v>
      </c>
      <c r="I225" s="141"/>
    </row>
    <row r="226" ht="29.1" customHeight="1" spans="1:9">
      <c r="A226" s="138"/>
      <c r="B226" s="141">
        <v>1.6</v>
      </c>
      <c r="C226" s="141" t="s">
        <v>36</v>
      </c>
      <c r="D226" s="141" t="s">
        <v>37</v>
      </c>
      <c r="E226" s="142">
        <v>0.38</v>
      </c>
      <c r="F226" s="143"/>
      <c r="G226" s="143">
        <f>23.5/1.13</f>
        <v>20.7964601769912</v>
      </c>
      <c r="H226" s="143">
        <f t="shared" si="11"/>
        <v>7.90265486725664</v>
      </c>
      <c r="I226" s="141" t="s">
        <v>38</v>
      </c>
    </row>
    <row r="227" ht="33" customHeight="1" spans="1:9">
      <c r="A227" s="138"/>
      <c r="B227" s="141">
        <v>1.7</v>
      </c>
      <c r="C227" s="141" t="s">
        <v>39</v>
      </c>
      <c r="D227" s="141" t="s">
        <v>37</v>
      </c>
      <c r="E227" s="142">
        <v>2.53</v>
      </c>
      <c r="F227" s="143"/>
      <c r="G227" s="143">
        <f>18/1.13</f>
        <v>15.929203539823</v>
      </c>
      <c r="H227" s="143">
        <f t="shared" si="11"/>
        <v>40.3008849557522</v>
      </c>
      <c r="I227" s="141" t="s">
        <v>40</v>
      </c>
    </row>
    <row r="228" ht="20.1" customHeight="1" spans="1:9">
      <c r="A228" s="138"/>
      <c r="B228" s="141">
        <v>1.8</v>
      </c>
      <c r="C228" s="141" t="s">
        <v>41</v>
      </c>
      <c r="D228" s="141" t="s">
        <v>42</v>
      </c>
      <c r="E228" s="142">
        <v>1</v>
      </c>
      <c r="F228" s="143"/>
      <c r="G228" s="143">
        <f>10/1.13</f>
        <v>8.8495575221239</v>
      </c>
      <c r="H228" s="143">
        <f t="shared" si="11"/>
        <v>8.8495575221239</v>
      </c>
      <c r="I228" s="141"/>
    </row>
    <row r="229" ht="20.1" customHeight="1" spans="1:9">
      <c r="A229" s="136" t="s">
        <v>43</v>
      </c>
      <c r="B229" s="136"/>
      <c r="C229" s="136"/>
      <c r="D229" s="144">
        <f>SUM(H218:H228)</f>
        <v>505.401454867257</v>
      </c>
      <c r="E229" s="144"/>
      <c r="F229" s="144"/>
      <c r="G229" s="144"/>
      <c r="H229" s="144"/>
      <c r="I229" s="144"/>
    </row>
    <row r="230" ht="20.1" customHeight="1" spans="1:9">
      <c r="A230" s="136" t="s">
        <v>44</v>
      </c>
      <c r="B230" s="136"/>
      <c r="C230" s="136"/>
      <c r="D230" s="144">
        <v>68</v>
      </c>
      <c r="E230" s="144"/>
      <c r="F230" s="144"/>
      <c r="G230" s="144"/>
      <c r="H230" s="144"/>
      <c r="I230" s="144"/>
    </row>
    <row r="231" ht="20.1" customHeight="1" spans="1:9">
      <c r="A231" s="136" t="s">
        <v>50</v>
      </c>
      <c r="B231" s="136"/>
      <c r="C231" s="136"/>
      <c r="D231" s="144">
        <f>(D229+D230)*15.1572463%</f>
        <v>86.9118708020135</v>
      </c>
      <c r="E231" s="144"/>
      <c r="F231" s="144"/>
      <c r="G231" s="144"/>
      <c r="H231" s="144"/>
      <c r="I231" s="144"/>
    </row>
    <row r="232" ht="20.1" customHeight="1" spans="1:9">
      <c r="A232" s="136" t="s">
        <v>46</v>
      </c>
      <c r="B232" s="136"/>
      <c r="C232" s="136"/>
      <c r="D232" s="144">
        <f>D229+D230+D231</f>
        <v>660.313325669271</v>
      </c>
      <c r="E232" s="144"/>
      <c r="F232" s="144"/>
      <c r="G232" s="144"/>
      <c r="H232" s="144"/>
      <c r="I232" s="144"/>
    </row>
    <row r="233" ht="20.1" customHeight="1" spans="1:9">
      <c r="A233" s="136" t="s">
        <v>47</v>
      </c>
      <c r="B233" s="136"/>
      <c r="C233" s="136"/>
      <c r="D233" s="144">
        <f>D232*11.8%</f>
        <v>77.9169724289739</v>
      </c>
      <c r="E233" s="144"/>
      <c r="F233" s="144"/>
      <c r="G233" s="144"/>
      <c r="H233" s="144"/>
      <c r="I233" s="144"/>
    </row>
    <row r="234" ht="20.1" customHeight="1" spans="1:9">
      <c r="A234" s="136" t="s">
        <v>48</v>
      </c>
      <c r="B234" s="136"/>
      <c r="C234" s="136"/>
      <c r="D234" s="145">
        <f>D232+D233</f>
        <v>738.230298098244</v>
      </c>
      <c r="E234" s="145"/>
      <c r="F234" s="145"/>
      <c r="G234" s="145"/>
      <c r="H234" s="145"/>
      <c r="I234" s="145"/>
    </row>
    <row r="235" ht="20.1" customHeight="1" spans="1:9">
      <c r="A235" s="131" t="s">
        <v>9</v>
      </c>
      <c r="B235" s="131"/>
      <c r="C235" s="131"/>
      <c r="D235" s="131"/>
      <c r="E235" s="131"/>
      <c r="F235" s="131"/>
      <c r="G235" s="131"/>
      <c r="H235" s="131"/>
      <c r="I235" s="131"/>
    </row>
    <row r="236" ht="20.1" customHeight="1" spans="1:9">
      <c r="A236" s="132" t="s">
        <v>62</v>
      </c>
      <c r="B236" s="133"/>
      <c r="C236" s="133"/>
      <c r="D236" s="133"/>
      <c r="E236" s="133"/>
      <c r="F236" s="134"/>
      <c r="G236" s="135" t="s">
        <v>11</v>
      </c>
      <c r="H236" s="135"/>
      <c r="I236" s="135" t="s">
        <v>63</v>
      </c>
    </row>
    <row r="237" ht="20.1" customHeight="1" spans="1:9">
      <c r="A237" s="136"/>
      <c r="B237" s="137" t="s">
        <v>1</v>
      </c>
      <c r="C237" s="137" t="s">
        <v>13</v>
      </c>
      <c r="D237" s="137" t="s">
        <v>14</v>
      </c>
      <c r="E237" s="137" t="s">
        <v>15</v>
      </c>
      <c r="F237" s="137" t="s">
        <v>16</v>
      </c>
      <c r="G237" s="137" t="s">
        <v>17</v>
      </c>
      <c r="H237" s="137" t="s">
        <v>18</v>
      </c>
      <c r="I237" s="146" t="s">
        <v>19</v>
      </c>
    </row>
    <row r="238" ht="20.1" customHeight="1" spans="1:9">
      <c r="A238" s="138" t="s">
        <v>20</v>
      </c>
      <c r="B238" s="139">
        <v>1.1</v>
      </c>
      <c r="C238" s="140" t="s">
        <v>21</v>
      </c>
      <c r="D238" s="141" t="s">
        <v>22</v>
      </c>
      <c r="E238" s="142">
        <v>9.6297</v>
      </c>
      <c r="F238" s="143">
        <f>汇总表!C15</f>
        <v>181.4544</v>
      </c>
      <c r="G238" s="143">
        <f>[1]Sheet1!H$4</f>
        <v>23.4690265486726</v>
      </c>
      <c r="H238" s="143">
        <f t="shared" ref="H238:H247" si="12">E238*G238</f>
        <v>225.999684955753</v>
      </c>
      <c r="I238" s="141" t="s">
        <v>23</v>
      </c>
    </row>
    <row r="239" ht="20.1" customHeight="1" spans="1:9">
      <c r="A239" s="138"/>
      <c r="B239" s="139"/>
      <c r="C239" s="140" t="s">
        <v>24</v>
      </c>
      <c r="D239" s="141" t="s">
        <v>22</v>
      </c>
      <c r="E239" s="142">
        <v>0.48</v>
      </c>
      <c r="F239" s="143"/>
      <c r="G239" s="143">
        <f>[1]Sheet1!H$5</f>
        <v>22.8495575221239</v>
      </c>
      <c r="H239" s="143">
        <f t="shared" si="12"/>
        <v>10.9677876106195</v>
      </c>
      <c r="I239" s="141" t="s">
        <v>23</v>
      </c>
    </row>
    <row r="240" ht="20.1" customHeight="1" spans="1:9">
      <c r="A240" s="138"/>
      <c r="B240" s="141"/>
      <c r="C240" s="140" t="s">
        <v>25</v>
      </c>
      <c r="D240" s="141" t="s">
        <v>22</v>
      </c>
      <c r="E240" s="142">
        <f>'[2]80系列隔热推拉窗5+12+5low-e'!E28</f>
        <v>0</v>
      </c>
      <c r="F240" s="143"/>
      <c r="G240" s="143">
        <f>[1]Sheet1!H$6</f>
        <v>21.6991150442478</v>
      </c>
      <c r="H240" s="143">
        <f t="shared" si="12"/>
        <v>0</v>
      </c>
      <c r="I240" s="141" t="s">
        <v>23</v>
      </c>
    </row>
    <row r="241" ht="35.1" customHeight="1" spans="1:9">
      <c r="A241" s="138"/>
      <c r="B241" s="141">
        <v>1.2</v>
      </c>
      <c r="C241" s="140" t="s">
        <v>64</v>
      </c>
      <c r="D241" s="141" t="s">
        <v>27</v>
      </c>
      <c r="E241" s="142">
        <v>0.85</v>
      </c>
      <c r="F241" s="143"/>
      <c r="G241" s="143">
        <f>108/1.13</f>
        <v>95.5752212389381</v>
      </c>
      <c r="H241" s="143">
        <f t="shared" si="12"/>
        <v>81.2389380530973</v>
      </c>
      <c r="I241" s="141" t="s">
        <v>28</v>
      </c>
    </row>
    <row r="242" ht="20.1" customHeight="1" spans="1:9">
      <c r="A242" s="138"/>
      <c r="B242" s="141">
        <v>1.3</v>
      </c>
      <c r="C242" s="141" t="s">
        <v>29</v>
      </c>
      <c r="D242" s="141" t="s">
        <v>30</v>
      </c>
      <c r="E242" s="142">
        <v>0.6</v>
      </c>
      <c r="F242" s="143"/>
      <c r="G242" s="143">
        <f>25.6/1.13</f>
        <v>22.6548672566372</v>
      </c>
      <c r="H242" s="143">
        <f t="shared" si="12"/>
        <v>13.5929203539823</v>
      </c>
      <c r="I242" s="141" t="s">
        <v>31</v>
      </c>
    </row>
    <row r="243" ht="20.1" customHeight="1" spans="1:9">
      <c r="A243" s="138"/>
      <c r="B243" s="141">
        <v>1.4</v>
      </c>
      <c r="C243" s="141" t="s">
        <v>32</v>
      </c>
      <c r="D243" s="141" t="s">
        <v>33</v>
      </c>
      <c r="E243" s="142">
        <f>'[2]80系列隔热推拉窗5+12+5low-e'!E25</f>
        <v>0</v>
      </c>
      <c r="F243" s="143"/>
      <c r="G243" s="143">
        <f>25/1.13</f>
        <v>22.1238938053097</v>
      </c>
      <c r="H243" s="143">
        <f t="shared" si="12"/>
        <v>0</v>
      </c>
      <c r="I243" s="141" t="s">
        <v>34</v>
      </c>
    </row>
    <row r="244" ht="20.1" customHeight="1" spans="1:9">
      <c r="A244" s="138"/>
      <c r="B244" s="141">
        <v>1.5</v>
      </c>
      <c r="C244" s="141" t="s">
        <v>35</v>
      </c>
      <c r="D244" s="141" t="s">
        <v>33</v>
      </c>
      <c r="E244" s="142">
        <v>7.91</v>
      </c>
      <c r="F244" s="143"/>
      <c r="G244" s="143">
        <f>1.2/1.13</f>
        <v>1.06194690265487</v>
      </c>
      <c r="H244" s="143">
        <f t="shared" si="12"/>
        <v>8.4</v>
      </c>
      <c r="I244" s="141"/>
    </row>
    <row r="245" ht="27.95" customHeight="1" spans="1:9">
      <c r="A245" s="138"/>
      <c r="B245" s="141">
        <v>1.6</v>
      </c>
      <c r="C245" s="141" t="s">
        <v>36</v>
      </c>
      <c r="D245" s="141" t="s">
        <v>37</v>
      </c>
      <c r="E245" s="142">
        <v>0.31</v>
      </c>
      <c r="F245" s="143"/>
      <c r="G245" s="143">
        <f>23.5/1.13</f>
        <v>20.7964601769912</v>
      </c>
      <c r="H245" s="143">
        <f t="shared" si="12"/>
        <v>6.44690265486726</v>
      </c>
      <c r="I245" s="141" t="s">
        <v>38</v>
      </c>
    </row>
    <row r="246" ht="32.1" customHeight="1" spans="1:9">
      <c r="A246" s="138"/>
      <c r="B246" s="141">
        <v>1.7</v>
      </c>
      <c r="C246" s="141" t="s">
        <v>39</v>
      </c>
      <c r="D246" s="141" t="s">
        <v>37</v>
      </c>
      <c r="E246" s="142">
        <v>2.2</v>
      </c>
      <c r="F246" s="143"/>
      <c r="G246" s="143">
        <f>18/1.13</f>
        <v>15.929203539823</v>
      </c>
      <c r="H246" s="143">
        <f t="shared" si="12"/>
        <v>35.0442477876106</v>
      </c>
      <c r="I246" s="141" t="s">
        <v>40</v>
      </c>
    </row>
    <row r="247" ht="20.1" customHeight="1" spans="1:9">
      <c r="A247" s="138"/>
      <c r="B247" s="141">
        <v>1.8</v>
      </c>
      <c r="C247" s="141" t="s">
        <v>41</v>
      </c>
      <c r="D247" s="141" t="s">
        <v>42</v>
      </c>
      <c r="E247" s="142">
        <v>1</v>
      </c>
      <c r="F247" s="143"/>
      <c r="G247" s="143">
        <f>10/1.13</f>
        <v>8.8495575221239</v>
      </c>
      <c r="H247" s="143">
        <f t="shared" si="12"/>
        <v>8.8495575221239</v>
      </c>
      <c r="I247" s="141"/>
    </row>
    <row r="248" ht="20.1" customHeight="1" spans="1:9">
      <c r="A248" s="136" t="s">
        <v>43</v>
      </c>
      <c r="B248" s="136"/>
      <c r="C248" s="136"/>
      <c r="D248" s="144">
        <f>SUM(H238:H247)</f>
        <v>390.540038938053</v>
      </c>
      <c r="E248" s="144"/>
      <c r="F248" s="144"/>
      <c r="G248" s="144"/>
      <c r="H248" s="144"/>
      <c r="I248" s="144"/>
    </row>
    <row r="249" ht="20.1" customHeight="1" spans="1:9">
      <c r="A249" s="136" t="s">
        <v>44</v>
      </c>
      <c r="B249" s="136"/>
      <c r="C249" s="136"/>
      <c r="D249" s="144">
        <v>68</v>
      </c>
      <c r="E249" s="144"/>
      <c r="F249" s="144"/>
      <c r="G249" s="144"/>
      <c r="H249" s="144"/>
      <c r="I249" s="144"/>
    </row>
    <row r="250" ht="20.1" customHeight="1" spans="1:9">
      <c r="A250" s="136" t="s">
        <v>50</v>
      </c>
      <c r="B250" s="136"/>
      <c r="C250" s="136"/>
      <c r="D250" s="144">
        <f>(D248+D249)*15.1572463%</f>
        <v>69.5020430859567</v>
      </c>
      <c r="E250" s="144"/>
      <c r="F250" s="144"/>
      <c r="G250" s="144"/>
      <c r="H250" s="144"/>
      <c r="I250" s="144"/>
    </row>
    <row r="251" ht="20.1" customHeight="1" spans="1:9">
      <c r="A251" s="136" t="s">
        <v>46</v>
      </c>
      <c r="B251" s="136"/>
      <c r="C251" s="136"/>
      <c r="D251" s="144">
        <f>D248+D249+D250</f>
        <v>528.04208202401</v>
      </c>
      <c r="E251" s="144"/>
      <c r="F251" s="144"/>
      <c r="G251" s="144"/>
      <c r="H251" s="144"/>
      <c r="I251" s="144"/>
    </row>
    <row r="252" ht="20.1" customHeight="1" spans="1:9">
      <c r="A252" s="136" t="s">
        <v>47</v>
      </c>
      <c r="B252" s="136"/>
      <c r="C252" s="136"/>
      <c r="D252" s="144">
        <f>D251*11.8%</f>
        <v>62.3089656788332</v>
      </c>
      <c r="E252" s="144"/>
      <c r="F252" s="144"/>
      <c r="G252" s="144"/>
      <c r="H252" s="144"/>
      <c r="I252" s="144"/>
    </row>
    <row r="253" ht="20.1" customHeight="1" spans="1:9">
      <c r="A253" s="136" t="s">
        <v>48</v>
      </c>
      <c r="B253" s="136"/>
      <c r="C253" s="136"/>
      <c r="D253" s="145">
        <f>D251+D252</f>
        <v>590.351047702843</v>
      </c>
      <c r="E253" s="145"/>
      <c r="F253" s="145"/>
      <c r="G253" s="145"/>
      <c r="H253" s="145"/>
      <c r="I253" s="145"/>
    </row>
    <row r="254" ht="20.1" customHeight="1" spans="1:9">
      <c r="A254" s="131" t="s">
        <v>9</v>
      </c>
      <c r="B254" s="131"/>
      <c r="C254" s="131"/>
      <c r="D254" s="131"/>
      <c r="E254" s="131"/>
      <c r="F254" s="131"/>
      <c r="G254" s="131"/>
      <c r="H254" s="131"/>
      <c r="I254" s="131"/>
    </row>
    <row r="255" ht="20.1" customHeight="1" spans="1:9">
      <c r="A255" s="132" t="s">
        <v>62</v>
      </c>
      <c r="B255" s="133"/>
      <c r="C255" s="133"/>
      <c r="D255" s="133"/>
      <c r="E255" s="133"/>
      <c r="F255" s="134"/>
      <c r="G255" s="135" t="s">
        <v>11</v>
      </c>
      <c r="H255" s="135"/>
      <c r="I255" s="135" t="s">
        <v>63</v>
      </c>
    </row>
    <row r="256" ht="20.1" customHeight="1" spans="1:9">
      <c r="A256" s="136"/>
      <c r="B256" s="137" t="s">
        <v>1</v>
      </c>
      <c r="C256" s="137" t="s">
        <v>13</v>
      </c>
      <c r="D256" s="137" t="s">
        <v>14</v>
      </c>
      <c r="E256" s="137" t="s">
        <v>15</v>
      </c>
      <c r="F256" s="137" t="s">
        <v>16</v>
      </c>
      <c r="G256" s="137" t="s">
        <v>17</v>
      </c>
      <c r="H256" s="137" t="s">
        <v>18</v>
      </c>
      <c r="I256" s="146" t="s">
        <v>19</v>
      </c>
    </row>
    <row r="257" ht="20.1" customHeight="1" spans="1:9">
      <c r="A257" s="138" t="s">
        <v>20</v>
      </c>
      <c r="B257" s="139">
        <v>1.1</v>
      </c>
      <c r="C257" s="140" t="s">
        <v>21</v>
      </c>
      <c r="D257" s="141" t="s">
        <v>22</v>
      </c>
      <c r="E257" s="142">
        <v>10.6138</v>
      </c>
      <c r="F257" s="143">
        <f>汇总表!C16</f>
        <v>381.7008</v>
      </c>
      <c r="G257" s="143">
        <f>[1]Sheet1!H$4</f>
        <v>23.4690265486726</v>
      </c>
      <c r="H257" s="143">
        <f t="shared" ref="H257:H266" si="13">E257*G257</f>
        <v>249.095553982301</v>
      </c>
      <c r="I257" s="141" t="s">
        <v>23</v>
      </c>
    </row>
    <row r="258" ht="20.1" customHeight="1" spans="1:9">
      <c r="A258" s="138"/>
      <c r="B258" s="139"/>
      <c r="C258" s="140" t="s">
        <v>24</v>
      </c>
      <c r="D258" s="141" t="s">
        <v>22</v>
      </c>
      <c r="E258" s="142">
        <v>0.56</v>
      </c>
      <c r="F258" s="143"/>
      <c r="G258" s="143">
        <f>[1]Sheet1!H$5</f>
        <v>22.8495575221239</v>
      </c>
      <c r="H258" s="143">
        <f t="shared" si="13"/>
        <v>12.7957522123894</v>
      </c>
      <c r="I258" s="141" t="s">
        <v>23</v>
      </c>
    </row>
    <row r="259" ht="20.1" customHeight="1" spans="1:9">
      <c r="A259" s="138"/>
      <c r="B259" s="141"/>
      <c r="C259" s="140" t="s">
        <v>25</v>
      </c>
      <c r="D259" s="141" t="s">
        <v>22</v>
      </c>
      <c r="E259" s="142">
        <f>'[3]80系列隔热推拉窗5+12+5'!E28</f>
        <v>0</v>
      </c>
      <c r="F259" s="143"/>
      <c r="G259" s="143">
        <f>[1]Sheet1!H$6</f>
        <v>21.6991150442478</v>
      </c>
      <c r="H259" s="143">
        <f t="shared" si="13"/>
        <v>0</v>
      </c>
      <c r="I259" s="141" t="s">
        <v>23</v>
      </c>
    </row>
    <row r="260" ht="30" customHeight="1" spans="1:9">
      <c r="A260" s="138"/>
      <c r="B260" s="141">
        <v>1.2</v>
      </c>
      <c r="C260" s="140" t="s">
        <v>65</v>
      </c>
      <c r="D260" s="141" t="s">
        <v>27</v>
      </c>
      <c r="E260" s="142">
        <v>0.85</v>
      </c>
      <c r="F260" s="143"/>
      <c r="G260" s="143">
        <f>100/1.13</f>
        <v>88.495575221239</v>
      </c>
      <c r="H260" s="143">
        <f t="shared" si="13"/>
        <v>75.2212389380531</v>
      </c>
      <c r="I260" s="141" t="s">
        <v>28</v>
      </c>
    </row>
    <row r="261" ht="20.1" customHeight="1" spans="1:9">
      <c r="A261" s="138"/>
      <c r="B261" s="141">
        <v>1.3</v>
      </c>
      <c r="C261" s="141" t="s">
        <v>29</v>
      </c>
      <c r="D261" s="141" t="s">
        <v>30</v>
      </c>
      <c r="E261" s="142">
        <v>0.62</v>
      </c>
      <c r="F261" s="143"/>
      <c r="G261" s="143">
        <f>25.6/1.13</f>
        <v>22.6548672566372</v>
      </c>
      <c r="H261" s="143">
        <f t="shared" si="13"/>
        <v>14.046017699115</v>
      </c>
      <c r="I261" s="141" t="s">
        <v>31</v>
      </c>
    </row>
    <row r="262" ht="20.1" customHeight="1" spans="1:9">
      <c r="A262" s="138"/>
      <c r="B262" s="141">
        <v>1.4</v>
      </c>
      <c r="C262" s="141" t="s">
        <v>32</v>
      </c>
      <c r="D262" s="141" t="s">
        <v>33</v>
      </c>
      <c r="E262" s="142">
        <f>'[3]80系列隔热推拉窗5+12+5'!E25</f>
        <v>0</v>
      </c>
      <c r="F262" s="143"/>
      <c r="G262" s="143">
        <f>25/1.13</f>
        <v>22.1238938053097</v>
      </c>
      <c r="H262" s="143">
        <f t="shared" si="13"/>
        <v>0</v>
      </c>
      <c r="I262" s="141" t="s">
        <v>34</v>
      </c>
    </row>
    <row r="263" ht="20.1" customHeight="1" spans="1:9">
      <c r="A263" s="138"/>
      <c r="B263" s="141">
        <v>1.5</v>
      </c>
      <c r="C263" s="141" t="s">
        <v>35</v>
      </c>
      <c r="D263" s="141" t="s">
        <v>33</v>
      </c>
      <c r="E263" s="142">
        <v>8.03</v>
      </c>
      <c r="F263" s="143"/>
      <c r="G263" s="143">
        <f>1.2/1.13</f>
        <v>1.06194690265487</v>
      </c>
      <c r="H263" s="143">
        <f t="shared" si="13"/>
        <v>8.52743362831858</v>
      </c>
      <c r="I263" s="141"/>
    </row>
    <row r="264" ht="30" customHeight="1" spans="1:9">
      <c r="A264" s="138"/>
      <c r="B264" s="141">
        <v>1.6</v>
      </c>
      <c r="C264" s="141" t="s">
        <v>36</v>
      </c>
      <c r="D264" s="141" t="s">
        <v>37</v>
      </c>
      <c r="E264" s="142">
        <v>0.32</v>
      </c>
      <c r="F264" s="143"/>
      <c r="G264" s="143">
        <f>23.5/1.13</f>
        <v>20.7964601769912</v>
      </c>
      <c r="H264" s="143">
        <f t="shared" si="13"/>
        <v>6.65486725663717</v>
      </c>
      <c r="I264" s="141" t="s">
        <v>38</v>
      </c>
    </row>
    <row r="265" ht="33" customHeight="1" spans="1:9">
      <c r="A265" s="138"/>
      <c r="B265" s="141">
        <v>1.7</v>
      </c>
      <c r="C265" s="141" t="s">
        <v>39</v>
      </c>
      <c r="D265" s="141" t="s">
        <v>37</v>
      </c>
      <c r="E265" s="142">
        <v>2.23</v>
      </c>
      <c r="F265" s="143"/>
      <c r="G265" s="143">
        <f>18/1.13</f>
        <v>15.929203539823</v>
      </c>
      <c r="H265" s="143">
        <f t="shared" si="13"/>
        <v>35.5221238938053</v>
      </c>
      <c r="I265" s="141" t="s">
        <v>40</v>
      </c>
    </row>
    <row r="266" ht="20.1" customHeight="1" spans="1:9">
      <c r="A266" s="138"/>
      <c r="B266" s="141">
        <v>1.8</v>
      </c>
      <c r="C266" s="141" t="s">
        <v>41</v>
      </c>
      <c r="D266" s="141" t="s">
        <v>42</v>
      </c>
      <c r="E266" s="142">
        <v>1</v>
      </c>
      <c r="F266" s="143"/>
      <c r="G266" s="143">
        <f>10/1.13</f>
        <v>8.8495575221239</v>
      </c>
      <c r="H266" s="143">
        <f t="shared" si="13"/>
        <v>8.8495575221239</v>
      </c>
      <c r="I266" s="141"/>
    </row>
    <row r="267" ht="20.1" customHeight="1" spans="1:9">
      <c r="A267" s="136" t="s">
        <v>43</v>
      </c>
      <c r="B267" s="136"/>
      <c r="C267" s="136"/>
      <c r="D267" s="144">
        <f>SUM(H257:H266)</f>
        <v>410.712545132744</v>
      </c>
      <c r="E267" s="144"/>
      <c r="F267" s="144"/>
      <c r="G267" s="144"/>
      <c r="H267" s="144"/>
      <c r="I267" s="144"/>
    </row>
    <row r="268" ht="20.1" customHeight="1" spans="1:9">
      <c r="A268" s="136" t="s">
        <v>44</v>
      </c>
      <c r="B268" s="136"/>
      <c r="C268" s="136"/>
      <c r="D268" s="144">
        <v>68</v>
      </c>
      <c r="E268" s="144"/>
      <c r="F268" s="144"/>
      <c r="G268" s="144"/>
      <c r="H268" s="144"/>
      <c r="I268" s="144"/>
    </row>
    <row r="269" ht="20.1" customHeight="1" spans="1:9">
      <c r="A269" s="136" t="s">
        <v>50</v>
      </c>
      <c r="B269" s="136"/>
      <c r="C269" s="136"/>
      <c r="D269" s="144">
        <f>(D267+D268)*15.1572463%</f>
        <v>72.5596395347686</v>
      </c>
      <c r="E269" s="144"/>
      <c r="F269" s="144"/>
      <c r="G269" s="144"/>
      <c r="H269" s="144"/>
      <c r="I269" s="144"/>
    </row>
    <row r="270" ht="20.1" customHeight="1" spans="1:9">
      <c r="A270" s="136" t="s">
        <v>46</v>
      </c>
      <c r="B270" s="136"/>
      <c r="C270" s="136"/>
      <c r="D270" s="144">
        <f>D267+D268+D269</f>
        <v>551.272184667512</v>
      </c>
      <c r="E270" s="144"/>
      <c r="F270" s="144"/>
      <c r="G270" s="144"/>
      <c r="H270" s="144"/>
      <c r="I270" s="144"/>
    </row>
    <row r="271" ht="20.1" customHeight="1" spans="1:9">
      <c r="A271" s="136" t="s">
        <v>47</v>
      </c>
      <c r="B271" s="136"/>
      <c r="C271" s="136"/>
      <c r="D271" s="144">
        <f>D270*11.8%</f>
        <v>65.0501177907665</v>
      </c>
      <c r="E271" s="144"/>
      <c r="F271" s="144"/>
      <c r="G271" s="144"/>
      <c r="H271" s="144"/>
      <c r="I271" s="144"/>
    </row>
    <row r="272" ht="20.1" customHeight="1" spans="1:9">
      <c r="A272" s="136" t="s">
        <v>48</v>
      </c>
      <c r="B272" s="136"/>
      <c r="C272" s="136"/>
      <c r="D272" s="145">
        <f>D270+D271</f>
        <v>616.322302458279</v>
      </c>
      <c r="E272" s="145"/>
      <c r="F272" s="145"/>
      <c r="G272" s="145"/>
      <c r="H272" s="145"/>
      <c r="I272" s="145"/>
    </row>
    <row r="273" ht="20.1" customHeight="1" spans="1:9">
      <c r="A273" s="131" t="s">
        <v>9</v>
      </c>
      <c r="B273" s="131"/>
      <c r="C273" s="131"/>
      <c r="D273" s="131"/>
      <c r="E273" s="131"/>
      <c r="F273" s="131"/>
      <c r="G273" s="131"/>
      <c r="H273" s="131"/>
      <c r="I273" s="131"/>
    </row>
    <row r="274" ht="20.1" customHeight="1" spans="1:9">
      <c r="A274" s="132" t="s">
        <v>66</v>
      </c>
      <c r="B274" s="133"/>
      <c r="C274" s="133"/>
      <c r="D274" s="133"/>
      <c r="E274" s="133"/>
      <c r="F274" s="134"/>
      <c r="G274" s="135" t="s">
        <v>11</v>
      </c>
      <c r="H274" s="135"/>
      <c r="I274" s="135" t="s">
        <v>63</v>
      </c>
    </row>
    <row r="275" ht="20.1" customHeight="1" spans="1:9">
      <c r="A275" s="136"/>
      <c r="B275" s="137" t="s">
        <v>1</v>
      </c>
      <c r="C275" s="137" t="s">
        <v>13</v>
      </c>
      <c r="D275" s="137" t="s">
        <v>14</v>
      </c>
      <c r="E275" s="137" t="s">
        <v>15</v>
      </c>
      <c r="F275" s="137" t="s">
        <v>16</v>
      </c>
      <c r="G275" s="137" t="s">
        <v>17</v>
      </c>
      <c r="H275" s="137" t="s">
        <v>18</v>
      </c>
      <c r="I275" s="146" t="s">
        <v>19</v>
      </c>
    </row>
    <row r="276" ht="20.1" customHeight="1" spans="1:9">
      <c r="A276" s="138" t="s">
        <v>20</v>
      </c>
      <c r="B276" s="139">
        <v>1.1</v>
      </c>
      <c r="C276" s="140" t="s">
        <v>21</v>
      </c>
      <c r="D276" s="141" t="s">
        <v>22</v>
      </c>
      <c r="E276" s="142">
        <v>0</v>
      </c>
      <c r="F276" s="143">
        <f>汇总表!C17</f>
        <v>124.5628</v>
      </c>
      <c r="G276" s="143">
        <f>[1]Sheet1!H$4</f>
        <v>23.4690265486726</v>
      </c>
      <c r="H276" s="143">
        <f t="shared" ref="H276:H285" si="14">E276*G276</f>
        <v>0</v>
      </c>
      <c r="I276" s="141" t="s">
        <v>23</v>
      </c>
    </row>
    <row r="277" ht="20.1" customHeight="1" spans="1:9">
      <c r="A277" s="138"/>
      <c r="B277" s="139"/>
      <c r="C277" s="140" t="s">
        <v>24</v>
      </c>
      <c r="D277" s="141" t="s">
        <v>22</v>
      </c>
      <c r="E277" s="142">
        <v>7.7058</v>
      </c>
      <c r="F277" s="143"/>
      <c r="G277" s="143">
        <f>[1]Sheet1!H$5</f>
        <v>22.8495575221239</v>
      </c>
      <c r="H277" s="143">
        <f t="shared" si="14"/>
        <v>176.074120353982</v>
      </c>
      <c r="I277" s="141" t="s">
        <v>23</v>
      </c>
    </row>
    <row r="278" ht="20.1" customHeight="1" spans="1:9">
      <c r="A278" s="138"/>
      <c r="B278" s="141"/>
      <c r="C278" s="140" t="s">
        <v>25</v>
      </c>
      <c r="D278" s="141" t="s">
        <v>22</v>
      </c>
      <c r="E278" s="142">
        <f>'[3]80系列普铝推拉窗平开窗'!E42</f>
        <v>0</v>
      </c>
      <c r="F278" s="143"/>
      <c r="G278" s="143">
        <f>[1]Sheet1!H$6</f>
        <v>21.6991150442478</v>
      </c>
      <c r="H278" s="143">
        <f t="shared" si="14"/>
        <v>0</v>
      </c>
      <c r="I278" s="141" t="s">
        <v>23</v>
      </c>
    </row>
    <row r="279" ht="27" customHeight="1" spans="1:9">
      <c r="A279" s="138"/>
      <c r="B279" s="140">
        <v>1.2</v>
      </c>
      <c r="C279" s="140" t="s">
        <v>65</v>
      </c>
      <c r="D279" s="141" t="s">
        <v>27</v>
      </c>
      <c r="E279" s="142">
        <v>0.85</v>
      </c>
      <c r="F279" s="143"/>
      <c r="G279" s="143">
        <f>100/1.13</f>
        <v>88.495575221239</v>
      </c>
      <c r="H279" s="143">
        <f t="shared" si="14"/>
        <v>75.2212389380531</v>
      </c>
      <c r="I279" s="141" t="s">
        <v>28</v>
      </c>
    </row>
    <row r="280" ht="20.1" customHeight="1" spans="1:9">
      <c r="A280" s="138"/>
      <c r="B280" s="141">
        <v>1.3</v>
      </c>
      <c r="C280" s="141" t="s">
        <v>29</v>
      </c>
      <c r="D280" s="141" t="s">
        <v>30</v>
      </c>
      <c r="E280" s="142">
        <v>0.42</v>
      </c>
      <c r="F280" s="143"/>
      <c r="G280" s="143">
        <f>29.8/1.13</f>
        <v>26.3716814159292</v>
      </c>
      <c r="H280" s="143">
        <f t="shared" si="14"/>
        <v>11.0761061946903</v>
      </c>
      <c r="I280" s="141" t="s">
        <v>31</v>
      </c>
    </row>
    <row r="281" ht="20.1" customHeight="1" spans="1:9">
      <c r="A281" s="138"/>
      <c r="B281" s="141">
        <v>1.4</v>
      </c>
      <c r="C281" s="141" t="s">
        <v>32</v>
      </c>
      <c r="D281" s="141" t="s">
        <v>33</v>
      </c>
      <c r="E281" s="142">
        <f>'[3]80系列普铝推拉窗平开窗'!E35</f>
        <v>0</v>
      </c>
      <c r="F281" s="143"/>
      <c r="G281" s="143">
        <f>25/1.13</f>
        <v>22.1238938053097</v>
      </c>
      <c r="H281" s="143">
        <f t="shared" si="14"/>
        <v>0</v>
      </c>
      <c r="I281" s="141" t="s">
        <v>34</v>
      </c>
    </row>
    <row r="282" ht="20.1" customHeight="1" spans="1:9">
      <c r="A282" s="138"/>
      <c r="B282" s="141">
        <v>1.5</v>
      </c>
      <c r="C282" s="141" t="s">
        <v>35</v>
      </c>
      <c r="D282" s="141" t="s">
        <v>33</v>
      </c>
      <c r="E282" s="142">
        <v>4.94</v>
      </c>
      <c r="F282" s="143"/>
      <c r="G282" s="143">
        <f>1.2/1.13</f>
        <v>1.06194690265487</v>
      </c>
      <c r="H282" s="143">
        <f t="shared" si="14"/>
        <v>5.24601769911505</v>
      </c>
      <c r="I282" s="141"/>
    </row>
    <row r="283" ht="33" customHeight="1" spans="1:9">
      <c r="A283" s="138"/>
      <c r="B283" s="141">
        <v>1.6</v>
      </c>
      <c r="C283" s="141" t="s">
        <v>36</v>
      </c>
      <c r="D283" s="141" t="s">
        <v>37</v>
      </c>
      <c r="E283" s="142">
        <v>0.19</v>
      </c>
      <c r="F283" s="143"/>
      <c r="G283" s="143">
        <f>23.5/1.13</f>
        <v>20.7964601769912</v>
      </c>
      <c r="H283" s="143">
        <f t="shared" si="14"/>
        <v>3.95132743362832</v>
      </c>
      <c r="I283" s="141" t="s">
        <v>38</v>
      </c>
    </row>
    <row r="284" ht="29.1" customHeight="1" spans="1:9">
      <c r="A284" s="138"/>
      <c r="B284" s="141">
        <v>1.7</v>
      </c>
      <c r="C284" s="141" t="s">
        <v>39</v>
      </c>
      <c r="D284" s="141" t="s">
        <v>37</v>
      </c>
      <c r="E284" s="142">
        <v>1.32</v>
      </c>
      <c r="F284" s="143"/>
      <c r="G284" s="143">
        <f>18/1.13</f>
        <v>15.929203539823</v>
      </c>
      <c r="H284" s="143">
        <f t="shared" si="14"/>
        <v>21.0265486725664</v>
      </c>
      <c r="I284" s="141" t="s">
        <v>40</v>
      </c>
    </row>
    <row r="285" ht="20.1" customHeight="1" spans="1:9">
      <c r="A285" s="138"/>
      <c r="B285" s="141">
        <v>1.8</v>
      </c>
      <c r="C285" s="141" t="s">
        <v>41</v>
      </c>
      <c r="D285" s="141" t="s">
        <v>42</v>
      </c>
      <c r="E285" s="142">
        <v>1</v>
      </c>
      <c r="F285" s="143"/>
      <c r="G285" s="143">
        <f>10/1.13</f>
        <v>8.8495575221239</v>
      </c>
      <c r="H285" s="143">
        <f t="shared" si="14"/>
        <v>8.8495575221239</v>
      </c>
      <c r="I285" s="141"/>
    </row>
    <row r="286" ht="20.1" customHeight="1" spans="1:9">
      <c r="A286" s="136" t="s">
        <v>43</v>
      </c>
      <c r="B286" s="136"/>
      <c r="C286" s="136"/>
      <c r="D286" s="144">
        <f>SUM(H276:H285)</f>
        <v>301.444916814159</v>
      </c>
      <c r="E286" s="144"/>
      <c r="F286" s="144"/>
      <c r="G286" s="144"/>
      <c r="H286" s="144"/>
      <c r="I286" s="144"/>
    </row>
    <row r="287" ht="20.1" customHeight="1" spans="1:9">
      <c r="A287" s="136" t="s">
        <v>44</v>
      </c>
      <c r="B287" s="136"/>
      <c r="C287" s="136"/>
      <c r="D287" s="144">
        <v>68</v>
      </c>
      <c r="E287" s="144"/>
      <c r="F287" s="144"/>
      <c r="G287" s="144"/>
      <c r="H287" s="144"/>
      <c r="I287" s="144"/>
    </row>
    <row r="288" ht="20.1" customHeight="1" spans="1:9">
      <c r="A288" s="136" t="s">
        <v>50</v>
      </c>
      <c r="B288" s="136"/>
      <c r="C288" s="136"/>
      <c r="D288" s="144">
        <f>(D286+D287)*15.1572463%</f>
        <v>55.9976759843523</v>
      </c>
      <c r="E288" s="144"/>
      <c r="F288" s="144"/>
      <c r="G288" s="144"/>
      <c r="H288" s="144"/>
      <c r="I288" s="144"/>
    </row>
    <row r="289" ht="20.1" customHeight="1" spans="1:9">
      <c r="A289" s="136" t="s">
        <v>46</v>
      </c>
      <c r="B289" s="136"/>
      <c r="C289" s="136"/>
      <c r="D289" s="144">
        <f>D286+D287+D288</f>
        <v>425.442592798512</v>
      </c>
      <c r="E289" s="144"/>
      <c r="F289" s="144"/>
      <c r="G289" s="144"/>
      <c r="H289" s="144"/>
      <c r="I289" s="144"/>
    </row>
    <row r="290" ht="20.1" customHeight="1" spans="1:9">
      <c r="A290" s="136" t="s">
        <v>47</v>
      </c>
      <c r="B290" s="136"/>
      <c r="C290" s="136"/>
      <c r="D290" s="144">
        <f>D289*11.8%</f>
        <v>50.2022259502244</v>
      </c>
      <c r="E290" s="144"/>
      <c r="F290" s="144"/>
      <c r="G290" s="144"/>
      <c r="H290" s="144"/>
      <c r="I290" s="144"/>
    </row>
    <row r="291" ht="20.1" customHeight="1" spans="1:9">
      <c r="A291" s="136" t="s">
        <v>48</v>
      </c>
      <c r="B291" s="136"/>
      <c r="C291" s="136"/>
      <c r="D291" s="145">
        <f>D289+D290</f>
        <v>475.644818748736</v>
      </c>
      <c r="E291" s="145"/>
      <c r="F291" s="145"/>
      <c r="G291" s="145"/>
      <c r="H291" s="145"/>
      <c r="I291" s="145"/>
    </row>
    <row r="292" ht="20.1" customHeight="1" spans="1:9">
      <c r="A292" s="131" t="s">
        <v>9</v>
      </c>
      <c r="B292" s="131"/>
      <c r="C292" s="131"/>
      <c r="D292" s="131"/>
      <c r="E292" s="131"/>
      <c r="F292" s="131"/>
      <c r="G292" s="131"/>
      <c r="H292" s="131"/>
      <c r="I292" s="131"/>
    </row>
    <row r="293" ht="20.1" customHeight="1" spans="1:9">
      <c r="A293" s="132" t="s">
        <v>67</v>
      </c>
      <c r="B293" s="133"/>
      <c r="C293" s="133"/>
      <c r="D293" s="133"/>
      <c r="E293" s="133"/>
      <c r="F293" s="134"/>
      <c r="G293" s="135" t="s">
        <v>11</v>
      </c>
      <c r="H293" s="135"/>
      <c r="I293" s="135" t="s">
        <v>68</v>
      </c>
    </row>
    <row r="294" ht="20.1" customHeight="1" spans="1:9">
      <c r="A294" s="136"/>
      <c r="B294" s="137" t="s">
        <v>1</v>
      </c>
      <c r="C294" s="137" t="s">
        <v>13</v>
      </c>
      <c r="D294" s="137" t="s">
        <v>14</v>
      </c>
      <c r="E294" s="137" t="s">
        <v>15</v>
      </c>
      <c r="F294" s="137" t="s">
        <v>16</v>
      </c>
      <c r="G294" s="137" t="s">
        <v>17</v>
      </c>
      <c r="H294" s="137" t="s">
        <v>18</v>
      </c>
      <c r="I294" s="146" t="s">
        <v>19</v>
      </c>
    </row>
    <row r="295" ht="20.1" customHeight="1" spans="1:9">
      <c r="A295" s="138" t="s">
        <v>20</v>
      </c>
      <c r="B295" s="139">
        <v>1.1</v>
      </c>
      <c r="C295" s="140" t="s">
        <v>21</v>
      </c>
      <c r="D295" s="141" t="s">
        <v>22</v>
      </c>
      <c r="E295" s="142">
        <v>0</v>
      </c>
      <c r="F295" s="143">
        <f>汇总表!C18</f>
        <v>1082.016</v>
      </c>
      <c r="G295" s="143">
        <f>[1]Sheet1!H$4</f>
        <v>23.4690265486726</v>
      </c>
      <c r="H295" s="143">
        <f t="shared" ref="H295:H305" si="15">E295*G295</f>
        <v>0</v>
      </c>
      <c r="I295" s="141" t="s">
        <v>23</v>
      </c>
    </row>
    <row r="296" ht="20.1" customHeight="1" spans="1:9">
      <c r="A296" s="138"/>
      <c r="B296" s="139"/>
      <c r="C296" s="140" t="s">
        <v>24</v>
      </c>
      <c r="D296" s="141" t="s">
        <v>22</v>
      </c>
      <c r="E296" s="142">
        <v>3.895</v>
      </c>
      <c r="F296" s="143"/>
      <c r="G296" s="143">
        <f>[1]Sheet1!H$5</f>
        <v>22.8495575221239</v>
      </c>
      <c r="H296" s="143">
        <f t="shared" si="15"/>
        <v>88.9990265486726</v>
      </c>
      <c r="I296" s="141" t="s">
        <v>23</v>
      </c>
    </row>
    <row r="297" ht="20.1" customHeight="1" spans="1:9">
      <c r="A297" s="138"/>
      <c r="B297" s="141"/>
      <c r="C297" s="140" t="s">
        <v>25</v>
      </c>
      <c r="D297" s="141" t="s">
        <v>22</v>
      </c>
      <c r="E297" s="142">
        <f>'[4]80系列普铝推拉门5+12+5钢化'!E28</f>
        <v>0</v>
      </c>
      <c r="F297" s="143"/>
      <c r="G297" s="143">
        <f>[1]Sheet1!H$6</f>
        <v>21.6991150442478</v>
      </c>
      <c r="H297" s="143">
        <f t="shared" si="15"/>
        <v>0</v>
      </c>
      <c r="I297" s="141" t="s">
        <v>23</v>
      </c>
    </row>
    <row r="298" ht="30" customHeight="1" spans="1:9">
      <c r="A298" s="138"/>
      <c r="B298" s="151">
        <v>1.2</v>
      </c>
      <c r="C298" s="140" t="s">
        <v>59</v>
      </c>
      <c r="D298" s="141" t="s">
        <v>27</v>
      </c>
      <c r="E298" s="142">
        <v>0.85</v>
      </c>
      <c r="F298" s="143"/>
      <c r="G298" s="143">
        <f>112/1.13</f>
        <v>99.1150442477876</v>
      </c>
      <c r="H298" s="143">
        <f t="shared" si="15"/>
        <v>84.2477876106195</v>
      </c>
      <c r="I298" s="139" t="s">
        <v>28</v>
      </c>
    </row>
    <row r="299" ht="33.95" customHeight="1" spans="1:9">
      <c r="A299" s="138"/>
      <c r="B299" s="140"/>
      <c r="C299" s="140" t="s">
        <v>55</v>
      </c>
      <c r="D299" s="141" t="s">
        <v>27</v>
      </c>
      <c r="E299" s="142">
        <v>0</v>
      </c>
      <c r="F299" s="143"/>
      <c r="G299" s="143">
        <f>126/1.13</f>
        <v>111.504424778761</v>
      </c>
      <c r="H299" s="143">
        <f t="shared" si="15"/>
        <v>0</v>
      </c>
      <c r="I299" s="141"/>
    </row>
    <row r="300" ht="20.1" customHeight="1" spans="1:9">
      <c r="A300" s="138"/>
      <c r="B300" s="140">
        <v>1.3</v>
      </c>
      <c r="C300" s="141" t="s">
        <v>29</v>
      </c>
      <c r="D300" s="141" t="s">
        <v>30</v>
      </c>
      <c r="E300" s="142">
        <v>0.22</v>
      </c>
      <c r="F300" s="143"/>
      <c r="G300" s="143">
        <f>61/1.13</f>
        <v>53.9823008849558</v>
      </c>
      <c r="H300" s="143">
        <f t="shared" si="15"/>
        <v>11.8761061946903</v>
      </c>
      <c r="I300" s="141" t="s">
        <v>31</v>
      </c>
    </row>
    <row r="301" ht="20.1" customHeight="1" spans="1:9">
      <c r="A301" s="138"/>
      <c r="B301" s="141">
        <v>1.4</v>
      </c>
      <c r="C301" s="141" t="s">
        <v>32</v>
      </c>
      <c r="D301" s="141" t="s">
        <v>33</v>
      </c>
      <c r="E301" s="142">
        <f>'[4]80系列普铝推拉门5+12+5钢化'!E25</f>
        <v>0</v>
      </c>
      <c r="F301" s="143"/>
      <c r="G301" s="143">
        <f>25/1.13</f>
        <v>22.1238938053097</v>
      </c>
      <c r="H301" s="143">
        <f t="shared" si="15"/>
        <v>0</v>
      </c>
      <c r="I301" s="141" t="s">
        <v>34</v>
      </c>
    </row>
    <row r="302" ht="20.1" customHeight="1" spans="1:9">
      <c r="A302" s="138"/>
      <c r="B302" s="141">
        <v>1.5</v>
      </c>
      <c r="C302" s="141" t="s">
        <v>35</v>
      </c>
      <c r="D302" s="141" t="s">
        <v>33</v>
      </c>
      <c r="E302" s="142">
        <v>4.79</v>
      </c>
      <c r="F302" s="143"/>
      <c r="G302" s="143">
        <f>1.2/1.13</f>
        <v>1.06194690265487</v>
      </c>
      <c r="H302" s="143">
        <f t="shared" si="15"/>
        <v>5.08672566371681</v>
      </c>
      <c r="I302" s="141"/>
    </row>
    <row r="303" ht="29.1" customHeight="1" spans="1:9">
      <c r="A303" s="138"/>
      <c r="B303" s="141">
        <v>1.6</v>
      </c>
      <c r="C303" s="141" t="s">
        <v>36</v>
      </c>
      <c r="D303" s="141" t="s">
        <v>37</v>
      </c>
      <c r="E303" s="142">
        <v>0.19</v>
      </c>
      <c r="F303" s="143"/>
      <c r="G303" s="143">
        <f>23.5/1.13</f>
        <v>20.7964601769912</v>
      </c>
      <c r="H303" s="143">
        <f t="shared" si="15"/>
        <v>3.95132743362832</v>
      </c>
      <c r="I303" s="141" t="s">
        <v>38</v>
      </c>
    </row>
    <row r="304" ht="32.1" customHeight="1" spans="1:9">
      <c r="A304" s="138"/>
      <c r="B304" s="141">
        <v>1.7</v>
      </c>
      <c r="C304" s="141" t="s">
        <v>39</v>
      </c>
      <c r="D304" s="141" t="s">
        <v>37</v>
      </c>
      <c r="E304" s="142">
        <v>1.3571</v>
      </c>
      <c r="F304" s="143"/>
      <c r="G304" s="143">
        <f>18/1.13</f>
        <v>15.929203539823</v>
      </c>
      <c r="H304" s="143">
        <f t="shared" si="15"/>
        <v>21.6175221238938</v>
      </c>
      <c r="I304" s="141" t="s">
        <v>40</v>
      </c>
    </row>
    <row r="305" ht="20.1" customHeight="1" spans="1:9">
      <c r="A305" s="138"/>
      <c r="B305" s="141">
        <v>1.8</v>
      </c>
      <c r="C305" s="141" t="s">
        <v>41</v>
      </c>
      <c r="D305" s="141" t="s">
        <v>42</v>
      </c>
      <c r="E305" s="142">
        <v>1</v>
      </c>
      <c r="F305" s="143"/>
      <c r="G305" s="143">
        <f>10/1.13</f>
        <v>8.8495575221239</v>
      </c>
      <c r="H305" s="143">
        <f t="shared" si="15"/>
        <v>8.8495575221239</v>
      </c>
      <c r="I305" s="141"/>
    </row>
    <row r="306" ht="20.1" customHeight="1" spans="1:9">
      <c r="A306" s="136" t="s">
        <v>43</v>
      </c>
      <c r="B306" s="136"/>
      <c r="C306" s="136"/>
      <c r="D306" s="144">
        <f>SUM(H295:H305)</f>
        <v>224.628053097345</v>
      </c>
      <c r="E306" s="144"/>
      <c r="F306" s="144"/>
      <c r="G306" s="144"/>
      <c r="H306" s="144"/>
      <c r="I306" s="144"/>
    </row>
    <row r="307" ht="20.1" customHeight="1" spans="1:9">
      <c r="A307" s="136" t="s">
        <v>44</v>
      </c>
      <c r="B307" s="136"/>
      <c r="C307" s="136"/>
      <c r="D307" s="144">
        <v>68</v>
      </c>
      <c r="E307" s="144"/>
      <c r="F307" s="144"/>
      <c r="G307" s="144"/>
      <c r="H307" s="144"/>
      <c r="I307" s="144"/>
    </row>
    <row r="308" ht="20.1" customHeight="1" spans="1:9">
      <c r="A308" s="136" t="s">
        <v>50</v>
      </c>
      <c r="B308" s="136"/>
      <c r="C308" s="136"/>
      <c r="D308" s="144">
        <f>(D306+D307)*15.1572463%</f>
        <v>44.3543547508594</v>
      </c>
      <c r="E308" s="144"/>
      <c r="F308" s="144"/>
      <c r="G308" s="144"/>
      <c r="H308" s="144"/>
      <c r="I308" s="144"/>
    </row>
    <row r="309" ht="20.1" customHeight="1" spans="1:9">
      <c r="A309" s="136" t="s">
        <v>46</v>
      </c>
      <c r="B309" s="136"/>
      <c r="C309" s="136"/>
      <c r="D309" s="144">
        <f>D306+D307+D308</f>
        <v>336.982407848205</v>
      </c>
      <c r="E309" s="144"/>
      <c r="F309" s="144"/>
      <c r="G309" s="144"/>
      <c r="H309" s="144"/>
      <c r="I309" s="144"/>
    </row>
    <row r="310" ht="20.1" customHeight="1" spans="1:9">
      <c r="A310" s="136" t="s">
        <v>47</v>
      </c>
      <c r="B310" s="136"/>
      <c r="C310" s="136"/>
      <c r="D310" s="144">
        <f>D309*11.8%</f>
        <v>39.7639241260881</v>
      </c>
      <c r="E310" s="144"/>
      <c r="F310" s="144"/>
      <c r="G310" s="144"/>
      <c r="H310" s="144"/>
      <c r="I310" s="144"/>
    </row>
    <row r="311" ht="20.1" customHeight="1" spans="1:9">
      <c r="A311" s="136" t="s">
        <v>48</v>
      </c>
      <c r="B311" s="136"/>
      <c r="C311" s="136"/>
      <c r="D311" s="145">
        <f>D309+D310</f>
        <v>376.746331974293</v>
      </c>
      <c r="E311" s="145"/>
      <c r="F311" s="145"/>
      <c r="G311" s="145"/>
      <c r="H311" s="145"/>
      <c r="I311" s="145"/>
    </row>
    <row r="312" ht="20.1" customHeight="1" spans="1:9">
      <c r="A312" s="131" t="s">
        <v>9</v>
      </c>
      <c r="B312" s="131"/>
      <c r="C312" s="131"/>
      <c r="D312" s="131"/>
      <c r="E312" s="131"/>
      <c r="F312" s="131"/>
      <c r="G312" s="131"/>
      <c r="H312" s="131"/>
      <c r="I312" s="131"/>
    </row>
    <row r="313" ht="20.1" customHeight="1" spans="1:9">
      <c r="A313" s="132" t="s">
        <v>67</v>
      </c>
      <c r="B313" s="133"/>
      <c r="C313" s="133"/>
      <c r="D313" s="133"/>
      <c r="E313" s="133"/>
      <c r="F313" s="134"/>
      <c r="G313" s="135" t="s">
        <v>11</v>
      </c>
      <c r="H313" s="135"/>
      <c r="I313" s="135" t="s">
        <v>68</v>
      </c>
    </row>
    <row r="314" ht="20.1" customHeight="1" spans="1:9">
      <c r="A314" s="136"/>
      <c r="B314" s="137" t="s">
        <v>1</v>
      </c>
      <c r="C314" s="137" t="s">
        <v>13</v>
      </c>
      <c r="D314" s="137" t="s">
        <v>14</v>
      </c>
      <c r="E314" s="137" t="s">
        <v>15</v>
      </c>
      <c r="F314" s="137" t="s">
        <v>16</v>
      </c>
      <c r="G314" s="137" t="s">
        <v>17</v>
      </c>
      <c r="H314" s="137" t="s">
        <v>18</v>
      </c>
      <c r="I314" s="146" t="s">
        <v>19</v>
      </c>
    </row>
    <row r="315" ht="20.1" customHeight="1" spans="1:9">
      <c r="A315" s="138" t="s">
        <v>20</v>
      </c>
      <c r="B315" s="139">
        <v>1.1</v>
      </c>
      <c r="C315" s="140" t="s">
        <v>21</v>
      </c>
      <c r="D315" s="141" t="s">
        <v>22</v>
      </c>
      <c r="E315" s="142">
        <v>0</v>
      </c>
      <c r="F315" s="143">
        <f>汇总表!C19</f>
        <v>1546.452</v>
      </c>
      <c r="G315" s="143">
        <f>[1]Sheet1!H$4</f>
        <v>23.4690265486726</v>
      </c>
      <c r="H315" s="143">
        <f t="shared" ref="H315:H324" si="16">E315*G315</f>
        <v>0</v>
      </c>
      <c r="I315" s="141" t="s">
        <v>23</v>
      </c>
    </row>
    <row r="316" ht="20.1" customHeight="1" spans="1:9">
      <c r="A316" s="138"/>
      <c r="B316" s="139"/>
      <c r="C316" s="140" t="s">
        <v>24</v>
      </c>
      <c r="D316" s="141" t="s">
        <v>22</v>
      </c>
      <c r="E316" s="142">
        <v>4.2375</v>
      </c>
      <c r="F316" s="143"/>
      <c r="G316" s="143">
        <f>[1]Sheet1!H$5</f>
        <v>22.8495575221239</v>
      </c>
      <c r="H316" s="143">
        <f t="shared" si="16"/>
        <v>96.825</v>
      </c>
      <c r="I316" s="141" t="s">
        <v>23</v>
      </c>
    </row>
    <row r="317" ht="20.1" customHeight="1" spans="1:9">
      <c r="A317" s="138"/>
      <c r="B317" s="141"/>
      <c r="C317" s="140" t="s">
        <v>25</v>
      </c>
      <c r="D317" s="141" t="s">
        <v>22</v>
      </c>
      <c r="E317" s="142">
        <f>'[5]80系列普铝推拉门6+12+6钢化'!E28</f>
        <v>0</v>
      </c>
      <c r="F317" s="143"/>
      <c r="G317" s="143">
        <f>[1]Sheet1!H$6</f>
        <v>21.6991150442478</v>
      </c>
      <c r="H317" s="143">
        <f t="shared" si="16"/>
        <v>0</v>
      </c>
      <c r="I317" s="141" t="s">
        <v>23</v>
      </c>
    </row>
    <row r="318" ht="30" customHeight="1" spans="1:9">
      <c r="A318" s="138"/>
      <c r="B318" s="141">
        <v>1.2</v>
      </c>
      <c r="C318" s="140" t="s">
        <v>55</v>
      </c>
      <c r="D318" s="141" t="s">
        <v>27</v>
      </c>
      <c r="E318" s="142">
        <v>0.85</v>
      </c>
      <c r="F318" s="143"/>
      <c r="G318" s="143">
        <f>126/1.13</f>
        <v>111.504424778761</v>
      </c>
      <c r="H318" s="143">
        <f t="shared" si="16"/>
        <v>94.7787610619469</v>
      </c>
      <c r="I318" s="141" t="s">
        <v>28</v>
      </c>
    </row>
    <row r="319" ht="20.1" customHeight="1" spans="1:9">
      <c r="A319" s="138"/>
      <c r="B319" s="141">
        <v>1.3</v>
      </c>
      <c r="C319" s="141" t="s">
        <v>29</v>
      </c>
      <c r="D319" s="141" t="s">
        <v>30</v>
      </c>
      <c r="E319" s="142">
        <v>0.18</v>
      </c>
      <c r="F319" s="143"/>
      <c r="G319" s="143">
        <f>61/1.13</f>
        <v>53.9823008849558</v>
      </c>
      <c r="H319" s="143">
        <f t="shared" si="16"/>
        <v>9.71681415929203</v>
      </c>
      <c r="I319" s="141" t="s">
        <v>31</v>
      </c>
    </row>
    <row r="320" ht="20.1" customHeight="1" spans="1:9">
      <c r="A320" s="138"/>
      <c r="B320" s="141">
        <v>1.4</v>
      </c>
      <c r="C320" s="141" t="s">
        <v>32</v>
      </c>
      <c r="D320" s="141" t="s">
        <v>33</v>
      </c>
      <c r="E320" s="142">
        <f>'[5]80系列普铝推拉门6+12+6钢化'!E25</f>
        <v>0</v>
      </c>
      <c r="F320" s="143"/>
      <c r="G320" s="143">
        <f>25/1.13</f>
        <v>22.1238938053097</v>
      </c>
      <c r="H320" s="143">
        <f t="shared" si="16"/>
        <v>0</v>
      </c>
      <c r="I320" s="141" t="s">
        <v>34</v>
      </c>
    </row>
    <row r="321" ht="20.1" customHeight="1" spans="1:9">
      <c r="A321" s="138"/>
      <c r="B321" s="141">
        <v>1.5</v>
      </c>
      <c r="C321" s="141" t="s">
        <v>35</v>
      </c>
      <c r="D321" s="141" t="s">
        <v>33</v>
      </c>
      <c r="E321" s="142">
        <v>4.28</v>
      </c>
      <c r="F321" s="143"/>
      <c r="G321" s="143">
        <f>1.2/1.13</f>
        <v>1.06194690265487</v>
      </c>
      <c r="H321" s="143">
        <f t="shared" si="16"/>
        <v>4.54513274336283</v>
      </c>
      <c r="I321" s="141"/>
    </row>
    <row r="322" ht="30" customHeight="1" spans="1:9">
      <c r="A322" s="138"/>
      <c r="B322" s="141">
        <v>1.6</v>
      </c>
      <c r="C322" s="141" t="s">
        <v>36</v>
      </c>
      <c r="D322" s="141" t="s">
        <v>37</v>
      </c>
      <c r="E322" s="142">
        <v>0.17</v>
      </c>
      <c r="F322" s="143"/>
      <c r="G322" s="143">
        <f>23.5/1.13</f>
        <v>20.7964601769912</v>
      </c>
      <c r="H322" s="143">
        <f t="shared" si="16"/>
        <v>3.5353982300885</v>
      </c>
      <c r="I322" s="141" t="s">
        <v>38</v>
      </c>
    </row>
    <row r="323" ht="36" customHeight="1" spans="1:9">
      <c r="A323" s="138"/>
      <c r="B323" s="141">
        <v>1.7</v>
      </c>
      <c r="C323" s="141" t="s">
        <v>39</v>
      </c>
      <c r="D323" s="141" t="s">
        <v>37</v>
      </c>
      <c r="E323" s="142">
        <v>1.2</v>
      </c>
      <c r="F323" s="143"/>
      <c r="G323" s="143">
        <f>18/1.13</f>
        <v>15.929203539823</v>
      </c>
      <c r="H323" s="143">
        <f t="shared" si="16"/>
        <v>19.1150442477876</v>
      </c>
      <c r="I323" s="141" t="s">
        <v>40</v>
      </c>
    </row>
    <row r="324" ht="20.1" customHeight="1" spans="1:9">
      <c r="A324" s="138"/>
      <c r="B324" s="141">
        <v>1.8</v>
      </c>
      <c r="C324" s="141" t="s">
        <v>41</v>
      </c>
      <c r="D324" s="141" t="s">
        <v>42</v>
      </c>
      <c r="E324" s="142">
        <v>1</v>
      </c>
      <c r="F324" s="143"/>
      <c r="G324" s="143">
        <f>10/1.13</f>
        <v>8.8495575221239</v>
      </c>
      <c r="H324" s="143">
        <f t="shared" si="16"/>
        <v>8.8495575221239</v>
      </c>
      <c r="I324" s="141"/>
    </row>
    <row r="325" ht="20.1" customHeight="1" spans="1:9">
      <c r="A325" s="136" t="s">
        <v>43</v>
      </c>
      <c r="B325" s="136"/>
      <c r="C325" s="136"/>
      <c r="D325" s="144">
        <f>SUM(H315:H324)</f>
        <v>237.365707964602</v>
      </c>
      <c r="E325" s="144"/>
      <c r="F325" s="144"/>
      <c r="G325" s="144"/>
      <c r="H325" s="144"/>
      <c r="I325" s="144"/>
    </row>
    <row r="326" ht="20.1" customHeight="1" spans="1:9">
      <c r="A326" s="136" t="s">
        <v>44</v>
      </c>
      <c r="B326" s="136"/>
      <c r="C326" s="136"/>
      <c r="D326" s="144">
        <v>68</v>
      </c>
      <c r="E326" s="144"/>
      <c r="F326" s="144"/>
      <c r="G326" s="144"/>
      <c r="H326" s="144"/>
      <c r="I326" s="144"/>
    </row>
    <row r="327" ht="20.1" customHeight="1" spans="1:9">
      <c r="A327" s="136" t="s">
        <v>50</v>
      </c>
      <c r="B327" s="136"/>
      <c r="C327" s="136"/>
      <c r="D327" s="144">
        <f>(D325+D326)*15.1572463%</f>
        <v>46.2850324719334</v>
      </c>
      <c r="E327" s="144"/>
      <c r="F327" s="144"/>
      <c r="G327" s="144"/>
      <c r="H327" s="144"/>
      <c r="I327" s="144"/>
    </row>
    <row r="328" ht="20.1" customHeight="1" spans="1:9">
      <c r="A328" s="136" t="s">
        <v>46</v>
      </c>
      <c r="B328" s="136"/>
      <c r="C328" s="136"/>
      <c r="D328" s="144">
        <f>D325+D326+D327</f>
        <v>351.650740436535</v>
      </c>
      <c r="E328" s="144"/>
      <c r="F328" s="144"/>
      <c r="G328" s="144"/>
      <c r="H328" s="144"/>
      <c r="I328" s="144"/>
    </row>
    <row r="329" ht="20.1" customHeight="1" spans="1:9">
      <c r="A329" s="136" t="s">
        <v>47</v>
      </c>
      <c r="B329" s="136"/>
      <c r="C329" s="136"/>
      <c r="D329" s="144">
        <f>D328*11.8%</f>
        <v>41.4947873715112</v>
      </c>
      <c r="E329" s="144"/>
      <c r="F329" s="144"/>
      <c r="G329" s="144"/>
      <c r="H329" s="144"/>
      <c r="I329" s="144"/>
    </row>
    <row r="330" ht="20.1" customHeight="1" spans="1:9">
      <c r="A330" s="136" t="s">
        <v>48</v>
      </c>
      <c r="B330" s="136"/>
      <c r="C330" s="136"/>
      <c r="D330" s="145">
        <f>D328+D329</f>
        <v>393.145527808046</v>
      </c>
      <c r="E330" s="145"/>
      <c r="F330" s="145"/>
      <c r="G330" s="145"/>
      <c r="H330" s="145"/>
      <c r="I330" s="145"/>
    </row>
    <row r="331" ht="20.1" customHeight="1" spans="1:9">
      <c r="A331" s="131" t="s">
        <v>9</v>
      </c>
      <c r="B331" s="131"/>
      <c r="C331" s="131"/>
      <c r="D331" s="131"/>
      <c r="E331" s="131"/>
      <c r="F331" s="131"/>
      <c r="G331" s="131"/>
      <c r="H331" s="131"/>
      <c r="I331" s="131"/>
    </row>
    <row r="332" ht="20.1" customHeight="1" spans="1:9">
      <c r="A332" s="132" t="s">
        <v>66</v>
      </c>
      <c r="B332" s="133"/>
      <c r="C332" s="133"/>
      <c r="D332" s="133"/>
      <c r="E332" s="133"/>
      <c r="F332" s="134"/>
      <c r="G332" s="135" t="s">
        <v>11</v>
      </c>
      <c r="H332" s="135"/>
      <c r="I332" s="135" t="s">
        <v>63</v>
      </c>
    </row>
    <row r="333" ht="20.1" customHeight="1" spans="1:9">
      <c r="A333" s="136"/>
      <c r="B333" s="137" t="s">
        <v>1</v>
      </c>
      <c r="C333" s="137" t="s">
        <v>13</v>
      </c>
      <c r="D333" s="137" t="s">
        <v>14</v>
      </c>
      <c r="E333" s="137" t="s">
        <v>15</v>
      </c>
      <c r="F333" s="137" t="s">
        <v>16</v>
      </c>
      <c r="G333" s="137" t="s">
        <v>17</v>
      </c>
      <c r="H333" s="137" t="s">
        <v>18</v>
      </c>
      <c r="I333" s="146" t="s">
        <v>19</v>
      </c>
    </row>
    <row r="334" ht="20.1" customHeight="1" spans="1:9">
      <c r="A334" s="138" t="s">
        <v>20</v>
      </c>
      <c r="B334" s="139">
        <v>1.1</v>
      </c>
      <c r="C334" s="140" t="s">
        <v>21</v>
      </c>
      <c r="D334" s="141" t="s">
        <v>22</v>
      </c>
      <c r="E334" s="142">
        <v>0</v>
      </c>
      <c r="F334" s="143">
        <f>汇总表!C20</f>
        <v>45.1992</v>
      </c>
      <c r="G334" s="143">
        <f>[1]Sheet1!H$4</f>
        <v>23.4690265486726</v>
      </c>
      <c r="H334" s="143">
        <f t="shared" ref="H334:H343" si="17">E334*G334</f>
        <v>0</v>
      </c>
      <c r="I334" s="141" t="s">
        <v>23</v>
      </c>
    </row>
    <row r="335" ht="20.1" customHeight="1" spans="1:9">
      <c r="A335" s="138"/>
      <c r="B335" s="139"/>
      <c r="C335" s="140" t="s">
        <v>24</v>
      </c>
      <c r="D335" s="141" t="s">
        <v>22</v>
      </c>
      <c r="E335" s="142">
        <v>10.3223</v>
      </c>
      <c r="F335" s="143"/>
      <c r="G335" s="143">
        <f>[1]Sheet1!H$5</f>
        <v>22.8495575221239</v>
      </c>
      <c r="H335" s="143">
        <f t="shared" si="17"/>
        <v>235.85998761062</v>
      </c>
      <c r="I335" s="141" t="s">
        <v>23</v>
      </c>
    </row>
    <row r="336" ht="20.1" customHeight="1" spans="1:9">
      <c r="A336" s="138"/>
      <c r="B336" s="141"/>
      <c r="C336" s="140" t="s">
        <v>25</v>
      </c>
      <c r="D336" s="141" t="s">
        <v>22</v>
      </c>
      <c r="E336" s="142">
        <v>0.98</v>
      </c>
      <c r="F336" s="143"/>
      <c r="G336" s="143">
        <f>[1]Sheet1!H$6</f>
        <v>21.6991150442478</v>
      </c>
      <c r="H336" s="143">
        <f t="shared" si="17"/>
        <v>21.2651327433628</v>
      </c>
      <c r="I336" s="141" t="s">
        <v>23</v>
      </c>
    </row>
    <row r="337" ht="32.1" customHeight="1" spans="1:9">
      <c r="A337" s="138"/>
      <c r="B337" s="141">
        <v>1.2</v>
      </c>
      <c r="C337" s="140" t="s">
        <v>65</v>
      </c>
      <c r="D337" s="141" t="s">
        <v>27</v>
      </c>
      <c r="E337" s="142">
        <v>0.85</v>
      </c>
      <c r="F337" s="143"/>
      <c r="G337" s="143">
        <f>100/1.13</f>
        <v>88.495575221239</v>
      </c>
      <c r="H337" s="143">
        <f t="shared" si="17"/>
        <v>75.2212389380531</v>
      </c>
      <c r="I337" s="141" t="s">
        <v>28</v>
      </c>
    </row>
    <row r="338" ht="20.1" customHeight="1" spans="1:9">
      <c r="A338" s="138"/>
      <c r="B338" s="141">
        <v>1.3</v>
      </c>
      <c r="C338" s="141" t="s">
        <v>29</v>
      </c>
      <c r="D338" s="141" t="s">
        <v>30</v>
      </c>
      <c r="E338" s="142">
        <v>0.28</v>
      </c>
      <c r="F338" s="143"/>
      <c r="G338" s="143">
        <f>245/1.13</f>
        <v>216.814159292035</v>
      </c>
      <c r="H338" s="143">
        <f t="shared" si="17"/>
        <v>60.7079646017699</v>
      </c>
      <c r="I338" s="141" t="s">
        <v>31</v>
      </c>
    </row>
    <row r="339" ht="20.1" customHeight="1" spans="1:9">
      <c r="A339" s="138"/>
      <c r="B339" s="141">
        <v>1.4</v>
      </c>
      <c r="C339" s="141" t="s">
        <v>32</v>
      </c>
      <c r="D339" s="141" t="s">
        <v>33</v>
      </c>
      <c r="E339" s="142">
        <f>'[6]80系列普铝推拉窗平开窗'!E35</f>
        <v>0</v>
      </c>
      <c r="F339" s="143"/>
      <c r="G339" s="143">
        <f>25/1.13</f>
        <v>22.1238938053097</v>
      </c>
      <c r="H339" s="143">
        <f t="shared" si="17"/>
        <v>0</v>
      </c>
      <c r="I339" s="141" t="s">
        <v>34</v>
      </c>
    </row>
    <row r="340" ht="20.1" customHeight="1" spans="1:9">
      <c r="A340" s="138"/>
      <c r="B340" s="141">
        <v>1.5</v>
      </c>
      <c r="C340" s="141" t="s">
        <v>35</v>
      </c>
      <c r="D340" s="141" t="s">
        <v>33</v>
      </c>
      <c r="E340" s="142">
        <v>4.2</v>
      </c>
      <c r="F340" s="143"/>
      <c r="G340" s="143">
        <f>1.2/1.13</f>
        <v>1.06194690265487</v>
      </c>
      <c r="H340" s="143">
        <f t="shared" si="17"/>
        <v>4.46017699115044</v>
      </c>
      <c r="I340" s="141"/>
    </row>
    <row r="341" ht="30.95" customHeight="1" spans="1:9">
      <c r="A341" s="138"/>
      <c r="B341" s="141">
        <v>1.6</v>
      </c>
      <c r="C341" s="141" t="s">
        <v>36</v>
      </c>
      <c r="D341" s="141" t="s">
        <v>37</v>
      </c>
      <c r="E341" s="142">
        <v>0.23</v>
      </c>
      <c r="F341" s="143"/>
      <c r="G341" s="143">
        <f>23.5/1.13</f>
        <v>20.7964601769912</v>
      </c>
      <c r="H341" s="143">
        <f t="shared" si="17"/>
        <v>4.78318584070797</v>
      </c>
      <c r="I341" s="141" t="s">
        <v>38</v>
      </c>
    </row>
    <row r="342" ht="33" customHeight="1" spans="1:9">
      <c r="A342" s="138"/>
      <c r="B342" s="141">
        <v>1.7</v>
      </c>
      <c r="C342" s="141" t="s">
        <v>39</v>
      </c>
      <c r="D342" s="141" t="s">
        <v>37</v>
      </c>
      <c r="E342" s="142">
        <v>1.37</v>
      </c>
      <c r="F342" s="143"/>
      <c r="G342" s="143">
        <f>18/1.13</f>
        <v>15.929203539823</v>
      </c>
      <c r="H342" s="143">
        <f t="shared" si="17"/>
        <v>21.8230088495575</v>
      </c>
      <c r="I342" s="141" t="s">
        <v>40</v>
      </c>
    </row>
    <row r="343" ht="20.1" customHeight="1" spans="1:9">
      <c r="A343" s="138"/>
      <c r="B343" s="141">
        <v>1.8</v>
      </c>
      <c r="C343" s="141" t="s">
        <v>41</v>
      </c>
      <c r="D343" s="141" t="s">
        <v>42</v>
      </c>
      <c r="E343" s="142">
        <v>1</v>
      </c>
      <c r="F343" s="143"/>
      <c r="G343" s="143">
        <f>10/1.13</f>
        <v>8.8495575221239</v>
      </c>
      <c r="H343" s="143">
        <f t="shared" si="17"/>
        <v>8.8495575221239</v>
      </c>
      <c r="I343" s="141"/>
    </row>
    <row r="344" ht="20.1" customHeight="1" spans="1:9">
      <c r="A344" s="136" t="s">
        <v>43</v>
      </c>
      <c r="B344" s="136"/>
      <c r="C344" s="136"/>
      <c r="D344" s="144">
        <f>SUM(H334:H343)</f>
        <v>432.970253097345</v>
      </c>
      <c r="E344" s="144"/>
      <c r="F344" s="144"/>
      <c r="G344" s="144"/>
      <c r="H344" s="144"/>
      <c r="I344" s="144"/>
    </row>
    <row r="345" ht="20.1" customHeight="1" spans="1:9">
      <c r="A345" s="136" t="s">
        <v>44</v>
      </c>
      <c r="B345" s="136"/>
      <c r="C345" s="136"/>
      <c r="D345" s="144">
        <v>68</v>
      </c>
      <c r="E345" s="144"/>
      <c r="F345" s="144"/>
      <c r="G345" s="144"/>
      <c r="H345" s="144"/>
      <c r="I345" s="144"/>
    </row>
    <row r="346" ht="20.1" customHeight="1" spans="1:12">
      <c r="A346" s="136" t="s">
        <v>50</v>
      </c>
      <c r="B346" s="136"/>
      <c r="C346" s="136"/>
      <c r="D346" s="144">
        <f>(D344+D345)*15.1572463%</f>
        <v>75.933295151698</v>
      </c>
      <c r="E346" s="144"/>
      <c r="F346" s="144"/>
      <c r="G346" s="144"/>
      <c r="H346" s="144"/>
      <c r="I346" s="144"/>
      <c r="L346" s="130" t="s">
        <v>69</v>
      </c>
    </row>
    <row r="347" ht="20.1" customHeight="1" spans="1:9">
      <c r="A347" s="136" t="s">
        <v>46</v>
      </c>
      <c r="B347" s="136"/>
      <c r="C347" s="136"/>
      <c r="D347" s="144">
        <f>D344+D345+D346</f>
        <v>576.903548249043</v>
      </c>
      <c r="E347" s="144"/>
      <c r="F347" s="144"/>
      <c r="G347" s="144"/>
      <c r="H347" s="144"/>
      <c r="I347" s="144"/>
    </row>
    <row r="348" ht="20.1" customHeight="1" spans="1:9">
      <c r="A348" s="136" t="s">
        <v>47</v>
      </c>
      <c r="B348" s="136"/>
      <c r="C348" s="136"/>
      <c r="D348" s="144">
        <f>D347*11.8%</f>
        <v>68.0746186933871</v>
      </c>
      <c r="E348" s="144"/>
      <c r="F348" s="144"/>
      <c r="G348" s="144"/>
      <c r="H348" s="144"/>
      <c r="I348" s="144"/>
    </row>
    <row r="349" ht="20.1" customHeight="1" spans="1:9">
      <c r="A349" s="136" t="s">
        <v>48</v>
      </c>
      <c r="B349" s="136"/>
      <c r="C349" s="136"/>
      <c r="D349" s="145">
        <f>D347+D348</f>
        <v>644.97816694243</v>
      </c>
      <c r="E349" s="145"/>
      <c r="F349" s="145"/>
      <c r="G349" s="145"/>
      <c r="H349" s="145"/>
      <c r="I349" s="145"/>
    </row>
    <row r="350" ht="20.1" customHeight="1" spans="1:9">
      <c r="A350" s="131" t="s">
        <v>9</v>
      </c>
      <c r="B350" s="131"/>
      <c r="C350" s="131"/>
      <c r="D350" s="131"/>
      <c r="E350" s="131"/>
      <c r="F350" s="131"/>
      <c r="G350" s="131"/>
      <c r="H350" s="131"/>
      <c r="I350" s="131"/>
    </row>
    <row r="351" ht="20.1" customHeight="1" spans="1:9">
      <c r="A351" s="132" t="s">
        <v>70</v>
      </c>
      <c r="B351" s="133"/>
      <c r="C351" s="133"/>
      <c r="D351" s="133"/>
      <c r="E351" s="133"/>
      <c r="F351" s="134"/>
      <c r="G351" s="135" t="s">
        <v>11</v>
      </c>
      <c r="H351" s="135"/>
      <c r="I351" s="135" t="s">
        <v>71</v>
      </c>
    </row>
    <row r="352" ht="20.1" customHeight="1" spans="1:9">
      <c r="A352" s="136"/>
      <c r="B352" s="137" t="s">
        <v>1</v>
      </c>
      <c r="C352" s="137" t="s">
        <v>13</v>
      </c>
      <c r="D352" s="137" t="s">
        <v>14</v>
      </c>
      <c r="E352" s="137" t="s">
        <v>15</v>
      </c>
      <c r="F352" s="137" t="s">
        <v>16</v>
      </c>
      <c r="G352" s="137" t="s">
        <v>17</v>
      </c>
      <c r="H352" s="137" t="s">
        <v>18</v>
      </c>
      <c r="I352" s="146" t="s">
        <v>19</v>
      </c>
    </row>
    <row r="353" ht="20.1" customHeight="1" spans="1:9">
      <c r="A353" s="138" t="s">
        <v>20</v>
      </c>
      <c r="B353" s="139">
        <v>1.1</v>
      </c>
      <c r="C353" s="140" t="s">
        <v>21</v>
      </c>
      <c r="D353" s="141" t="s">
        <v>22</v>
      </c>
      <c r="E353" s="142">
        <v>10.2078</v>
      </c>
      <c r="F353" s="143">
        <f>汇总表!C21</f>
        <v>4.0112</v>
      </c>
      <c r="G353" s="143">
        <f>[1]Sheet1!H$4</f>
        <v>23.4690265486726</v>
      </c>
      <c r="H353" s="143">
        <f t="shared" ref="H353:H362" si="18">E353*G353</f>
        <v>239.56712920354</v>
      </c>
      <c r="I353" s="141" t="s">
        <v>23</v>
      </c>
    </row>
    <row r="354" ht="20.1" customHeight="1" spans="1:9">
      <c r="A354" s="138"/>
      <c r="B354" s="139"/>
      <c r="C354" s="140" t="s">
        <v>24</v>
      </c>
      <c r="D354" s="141" t="s">
        <v>22</v>
      </c>
      <c r="E354" s="142">
        <v>1.125</v>
      </c>
      <c r="F354" s="143"/>
      <c r="G354" s="143">
        <f>[1]Sheet1!H$5</f>
        <v>22.8495575221239</v>
      </c>
      <c r="H354" s="143">
        <f t="shared" si="18"/>
        <v>25.7057522123894</v>
      </c>
      <c r="I354" s="141" t="s">
        <v>23</v>
      </c>
    </row>
    <row r="355" ht="20.1" customHeight="1" spans="1:9">
      <c r="A355" s="138"/>
      <c r="B355" s="141"/>
      <c r="C355" s="140" t="s">
        <v>25</v>
      </c>
      <c r="D355" s="141" t="s">
        <v>22</v>
      </c>
      <c r="E355" s="142">
        <v>1.1</v>
      </c>
      <c r="F355" s="143"/>
      <c r="G355" s="143">
        <f>[1]Sheet1!H$6</f>
        <v>21.6991150442478</v>
      </c>
      <c r="H355" s="143">
        <f t="shared" si="18"/>
        <v>23.8690265486726</v>
      </c>
      <c r="I355" s="141" t="s">
        <v>23</v>
      </c>
    </row>
    <row r="356" ht="30.95" customHeight="1" spans="1:9">
      <c r="A356" s="138"/>
      <c r="B356" s="141">
        <v>1.2</v>
      </c>
      <c r="C356" s="140" t="s">
        <v>52</v>
      </c>
      <c r="D356" s="141" t="s">
        <v>27</v>
      </c>
      <c r="E356" s="142">
        <v>0.85</v>
      </c>
      <c r="F356" s="143"/>
      <c r="G356" s="143">
        <f>100/1.13</f>
        <v>88.495575221239</v>
      </c>
      <c r="H356" s="143">
        <f t="shared" si="18"/>
        <v>75.2212389380531</v>
      </c>
      <c r="I356" s="141" t="s">
        <v>28</v>
      </c>
    </row>
    <row r="357" ht="20.1" customHeight="1" spans="1:9">
      <c r="A357" s="138"/>
      <c r="B357" s="141">
        <v>1.3</v>
      </c>
      <c r="C357" s="141" t="s">
        <v>29</v>
      </c>
      <c r="D357" s="141" t="s">
        <v>30</v>
      </c>
      <c r="E357" s="142">
        <v>1</v>
      </c>
      <c r="F357" s="143"/>
      <c r="G357" s="143">
        <f>71/1.13</f>
        <v>62.8318584070797</v>
      </c>
      <c r="H357" s="143">
        <f t="shared" si="18"/>
        <v>62.8318584070797</v>
      </c>
      <c r="I357" s="141" t="s">
        <v>31</v>
      </c>
    </row>
    <row r="358" ht="20.1" customHeight="1" spans="1:9">
      <c r="A358" s="138"/>
      <c r="B358" s="141">
        <v>1.4</v>
      </c>
      <c r="C358" s="141" t="s">
        <v>32</v>
      </c>
      <c r="D358" s="141" t="s">
        <v>33</v>
      </c>
      <c r="E358" s="142">
        <v>0.4</v>
      </c>
      <c r="F358" s="143"/>
      <c r="G358" s="143">
        <f>25/1.13</f>
        <v>22.1238938053097</v>
      </c>
      <c r="H358" s="143">
        <f t="shared" si="18"/>
        <v>8.8495575221239</v>
      </c>
      <c r="I358" s="141" t="s">
        <v>34</v>
      </c>
    </row>
    <row r="359" ht="20.1" customHeight="1" spans="1:9">
      <c r="A359" s="138"/>
      <c r="B359" s="141">
        <v>1.5</v>
      </c>
      <c r="C359" s="141" t="s">
        <v>35</v>
      </c>
      <c r="D359" s="141" t="s">
        <v>33</v>
      </c>
      <c r="E359" s="142"/>
      <c r="F359" s="143"/>
      <c r="G359" s="143"/>
      <c r="H359" s="143">
        <f t="shared" si="18"/>
        <v>0</v>
      </c>
      <c r="I359" s="141"/>
    </row>
    <row r="360" ht="30" customHeight="1" spans="1:9">
      <c r="A360" s="138"/>
      <c r="B360" s="141">
        <v>1.6</v>
      </c>
      <c r="C360" s="141" t="s">
        <v>36</v>
      </c>
      <c r="D360" s="141" t="s">
        <v>37</v>
      </c>
      <c r="E360" s="142">
        <v>0.31</v>
      </c>
      <c r="F360" s="143"/>
      <c r="G360" s="143">
        <f>23.5/1.13</f>
        <v>20.7964601769912</v>
      </c>
      <c r="H360" s="143">
        <f t="shared" si="18"/>
        <v>6.44690265486726</v>
      </c>
      <c r="I360" s="141" t="s">
        <v>38</v>
      </c>
    </row>
    <row r="361" ht="35.1" customHeight="1" spans="1:9">
      <c r="A361" s="138"/>
      <c r="B361" s="141">
        <v>1.7</v>
      </c>
      <c r="C361" s="141" t="s">
        <v>39</v>
      </c>
      <c r="D361" s="141" t="s">
        <v>37</v>
      </c>
      <c r="E361" s="142">
        <v>2.07</v>
      </c>
      <c r="F361" s="143"/>
      <c r="G361" s="143">
        <f>18/1.13</f>
        <v>15.929203539823</v>
      </c>
      <c r="H361" s="143">
        <f t="shared" si="18"/>
        <v>32.9734513274336</v>
      </c>
      <c r="I361" s="141" t="s">
        <v>40</v>
      </c>
    </row>
    <row r="362" ht="20.1" customHeight="1" spans="1:9">
      <c r="A362" s="138"/>
      <c r="B362" s="141">
        <v>1.8</v>
      </c>
      <c r="C362" s="141" t="s">
        <v>41</v>
      </c>
      <c r="D362" s="141" t="s">
        <v>42</v>
      </c>
      <c r="E362" s="142">
        <v>1</v>
      </c>
      <c r="F362" s="143"/>
      <c r="G362" s="143">
        <f>10/1.13</f>
        <v>8.8495575221239</v>
      </c>
      <c r="H362" s="143">
        <f t="shared" si="18"/>
        <v>8.8495575221239</v>
      </c>
      <c r="I362" s="141"/>
    </row>
    <row r="363" ht="20.1" customHeight="1" spans="1:9">
      <c r="A363" s="136" t="s">
        <v>43</v>
      </c>
      <c r="B363" s="136"/>
      <c r="C363" s="136"/>
      <c r="D363" s="144">
        <f>SUM(H353:H362)</f>
        <v>484.314474336284</v>
      </c>
      <c r="E363" s="144"/>
      <c r="F363" s="144"/>
      <c r="G363" s="144"/>
      <c r="H363" s="144"/>
      <c r="I363" s="144"/>
    </row>
    <row r="364" ht="20.1" customHeight="1" spans="1:9">
      <c r="A364" s="136" t="s">
        <v>44</v>
      </c>
      <c r="B364" s="136"/>
      <c r="C364" s="136"/>
      <c r="D364" s="144">
        <v>68</v>
      </c>
      <c r="E364" s="144"/>
      <c r="F364" s="144"/>
      <c r="G364" s="144"/>
      <c r="H364" s="144"/>
      <c r="I364" s="144"/>
    </row>
    <row r="365" ht="20.1" customHeight="1" spans="1:9">
      <c r="A365" s="136" t="s">
        <v>50</v>
      </c>
      <c r="B365" s="136"/>
      <c r="C365" s="136"/>
      <c r="D365" s="144">
        <f>(D363+D364)*15.1572463%</f>
        <v>83.7156652257008</v>
      </c>
      <c r="E365" s="144"/>
      <c r="F365" s="144"/>
      <c r="G365" s="144"/>
      <c r="H365" s="144"/>
      <c r="I365" s="144"/>
    </row>
    <row r="366" ht="20.1" customHeight="1" spans="1:9">
      <c r="A366" s="136" t="s">
        <v>46</v>
      </c>
      <c r="B366" s="136"/>
      <c r="C366" s="136"/>
      <c r="D366" s="144">
        <f>D363+D364+D365</f>
        <v>636.030139561984</v>
      </c>
      <c r="E366" s="144"/>
      <c r="F366" s="144"/>
      <c r="G366" s="144"/>
      <c r="H366" s="144"/>
      <c r="I366" s="144"/>
    </row>
    <row r="367" ht="20.1" customHeight="1" spans="1:9">
      <c r="A367" s="136" t="s">
        <v>47</v>
      </c>
      <c r="B367" s="136"/>
      <c r="C367" s="136"/>
      <c r="D367" s="144">
        <f>D366*11.8%</f>
        <v>75.0515564683142</v>
      </c>
      <c r="E367" s="144"/>
      <c r="F367" s="144"/>
      <c r="G367" s="144"/>
      <c r="H367" s="144"/>
      <c r="I367" s="144"/>
    </row>
    <row r="368" ht="20.1" customHeight="1" spans="1:9">
      <c r="A368" s="136" t="s">
        <v>48</v>
      </c>
      <c r="B368" s="136"/>
      <c r="C368" s="136"/>
      <c r="D368" s="145">
        <f>D366+D367</f>
        <v>711.081696030299</v>
      </c>
      <c r="E368" s="145"/>
      <c r="F368" s="145"/>
      <c r="G368" s="145"/>
      <c r="H368" s="145"/>
      <c r="I368" s="145"/>
    </row>
    <row r="369" ht="20.1" customHeight="1" spans="1:9">
      <c r="A369" s="131" t="s">
        <v>9</v>
      </c>
      <c r="B369" s="131"/>
      <c r="C369" s="131"/>
      <c r="D369" s="131"/>
      <c r="E369" s="131"/>
      <c r="F369" s="131"/>
      <c r="G369" s="131"/>
      <c r="H369" s="131"/>
      <c r="I369" s="131"/>
    </row>
    <row r="370" ht="20.1" customHeight="1" spans="1:9">
      <c r="A370" s="132" t="s">
        <v>70</v>
      </c>
      <c r="B370" s="133"/>
      <c r="C370" s="133"/>
      <c r="D370" s="133"/>
      <c r="E370" s="133"/>
      <c r="F370" s="134"/>
      <c r="G370" s="135" t="s">
        <v>11</v>
      </c>
      <c r="H370" s="135"/>
      <c r="I370" s="135" t="s">
        <v>71</v>
      </c>
    </row>
    <row r="371" ht="20.1" customHeight="1" spans="1:9">
      <c r="A371" s="136"/>
      <c r="B371" s="137" t="s">
        <v>1</v>
      </c>
      <c r="C371" s="137" t="s">
        <v>13</v>
      </c>
      <c r="D371" s="137" t="s">
        <v>14</v>
      </c>
      <c r="E371" s="137" t="s">
        <v>15</v>
      </c>
      <c r="F371" s="137" t="s">
        <v>16</v>
      </c>
      <c r="G371" s="137" t="s">
        <v>17</v>
      </c>
      <c r="H371" s="137" t="s">
        <v>18</v>
      </c>
      <c r="I371" s="146" t="s">
        <v>19</v>
      </c>
    </row>
    <row r="372" ht="20.1" customHeight="1" spans="1:9">
      <c r="A372" s="138" t="s">
        <v>20</v>
      </c>
      <c r="B372" s="139">
        <v>1.1</v>
      </c>
      <c r="C372" s="140" t="s">
        <v>21</v>
      </c>
      <c r="D372" s="141" t="s">
        <v>22</v>
      </c>
      <c r="E372" s="142">
        <v>10.2441</v>
      </c>
      <c r="F372" s="143">
        <f>汇总表!C22</f>
        <v>31.9756</v>
      </c>
      <c r="G372" s="143">
        <f>[1]Sheet1!H$4</f>
        <v>23.4690265486726</v>
      </c>
      <c r="H372" s="143">
        <f t="shared" ref="H372:H381" si="19">E372*G372</f>
        <v>240.419054867257</v>
      </c>
      <c r="I372" s="141" t="s">
        <v>23</v>
      </c>
    </row>
    <row r="373" ht="20.1" customHeight="1" spans="1:9">
      <c r="A373" s="138"/>
      <c r="B373" s="139"/>
      <c r="C373" s="140" t="s">
        <v>24</v>
      </c>
      <c r="D373" s="141" t="s">
        <v>22</v>
      </c>
      <c r="E373" s="142">
        <v>1.13</v>
      </c>
      <c r="F373" s="143"/>
      <c r="G373" s="143">
        <f>[1]Sheet1!H$5</f>
        <v>22.8495575221239</v>
      </c>
      <c r="H373" s="143">
        <f t="shared" si="19"/>
        <v>25.82</v>
      </c>
      <c r="I373" s="141" t="s">
        <v>23</v>
      </c>
    </row>
    <row r="374" ht="20.1" customHeight="1" spans="1:9">
      <c r="A374" s="138"/>
      <c r="B374" s="141"/>
      <c r="C374" s="140" t="s">
        <v>25</v>
      </c>
      <c r="D374" s="141" t="s">
        <v>22</v>
      </c>
      <c r="E374" s="142">
        <v>1.1</v>
      </c>
      <c r="F374" s="143"/>
      <c r="G374" s="143">
        <f>[1]Sheet1!H$6</f>
        <v>21.6991150442478</v>
      </c>
      <c r="H374" s="143">
        <f t="shared" si="19"/>
        <v>23.8690265486726</v>
      </c>
      <c r="I374" s="141" t="s">
        <v>23</v>
      </c>
    </row>
    <row r="375" ht="30" customHeight="1" spans="1:9">
      <c r="A375" s="138"/>
      <c r="B375" s="141">
        <v>1.2</v>
      </c>
      <c r="C375" s="140" t="s">
        <v>52</v>
      </c>
      <c r="D375" s="141" t="s">
        <v>27</v>
      </c>
      <c r="E375" s="142">
        <v>0.85</v>
      </c>
      <c r="F375" s="143"/>
      <c r="G375" s="143">
        <f>100/1.13</f>
        <v>88.495575221239</v>
      </c>
      <c r="H375" s="143">
        <f t="shared" si="19"/>
        <v>75.2212389380531</v>
      </c>
      <c r="I375" s="141" t="s">
        <v>28</v>
      </c>
    </row>
    <row r="376" ht="20.1" customHeight="1" spans="1:9">
      <c r="A376" s="138"/>
      <c r="B376" s="141">
        <v>1.3</v>
      </c>
      <c r="C376" s="141" t="s">
        <v>29</v>
      </c>
      <c r="D376" s="141" t="s">
        <v>30</v>
      </c>
      <c r="E376" s="142">
        <v>1.02</v>
      </c>
      <c r="F376" s="143"/>
      <c r="G376" s="143">
        <f>71/1.13</f>
        <v>62.8318584070797</v>
      </c>
      <c r="H376" s="143">
        <f t="shared" si="19"/>
        <v>64.0884955752212</v>
      </c>
      <c r="I376" s="141" t="s">
        <v>31</v>
      </c>
    </row>
    <row r="377" ht="20.1" customHeight="1" spans="1:9">
      <c r="A377" s="138"/>
      <c r="B377" s="141">
        <v>1.4</v>
      </c>
      <c r="C377" s="141" t="s">
        <v>32</v>
      </c>
      <c r="D377" s="141" t="s">
        <v>33</v>
      </c>
      <c r="E377" s="142">
        <v>0.41</v>
      </c>
      <c r="F377" s="143"/>
      <c r="G377" s="143">
        <f>25/1.13</f>
        <v>22.1238938053097</v>
      </c>
      <c r="H377" s="143">
        <f t="shared" si="19"/>
        <v>9.07079646017699</v>
      </c>
      <c r="I377" s="141" t="s">
        <v>34</v>
      </c>
    </row>
    <row r="378" ht="20.1" customHeight="1" spans="1:9">
      <c r="A378" s="138"/>
      <c r="B378" s="141">
        <v>1.5</v>
      </c>
      <c r="C378" s="141" t="s">
        <v>35</v>
      </c>
      <c r="D378" s="141" t="s">
        <v>33</v>
      </c>
      <c r="E378" s="142"/>
      <c r="F378" s="143"/>
      <c r="G378" s="143"/>
      <c r="H378" s="143">
        <f t="shared" si="19"/>
        <v>0</v>
      </c>
      <c r="I378" s="141"/>
    </row>
    <row r="379" ht="32.1" customHeight="1" spans="1:9">
      <c r="A379" s="138"/>
      <c r="B379" s="141">
        <v>1.6</v>
      </c>
      <c r="C379" s="141" t="s">
        <v>36</v>
      </c>
      <c r="D379" s="141" t="s">
        <v>37</v>
      </c>
      <c r="E379" s="142">
        <v>0.34</v>
      </c>
      <c r="F379" s="143"/>
      <c r="G379" s="143">
        <f>23.5/1.13</f>
        <v>20.7964601769912</v>
      </c>
      <c r="H379" s="143">
        <f t="shared" si="19"/>
        <v>7.07079646017699</v>
      </c>
      <c r="I379" s="141" t="s">
        <v>38</v>
      </c>
    </row>
    <row r="380" ht="33.95" customHeight="1" spans="1:9">
      <c r="A380" s="138"/>
      <c r="B380" s="141">
        <v>1.7</v>
      </c>
      <c r="C380" s="141" t="s">
        <v>39</v>
      </c>
      <c r="D380" s="141" t="s">
        <v>37</v>
      </c>
      <c r="E380" s="142">
        <v>2.25</v>
      </c>
      <c r="F380" s="143"/>
      <c r="G380" s="143">
        <f>18/1.13</f>
        <v>15.929203539823</v>
      </c>
      <c r="H380" s="143">
        <f t="shared" si="19"/>
        <v>35.8407079646018</v>
      </c>
      <c r="I380" s="141" t="s">
        <v>40</v>
      </c>
    </row>
    <row r="381" ht="20.1" customHeight="1" spans="1:9">
      <c r="A381" s="138"/>
      <c r="B381" s="141">
        <v>1.8</v>
      </c>
      <c r="C381" s="141" t="s">
        <v>41</v>
      </c>
      <c r="D381" s="141" t="s">
        <v>42</v>
      </c>
      <c r="E381" s="142">
        <v>1</v>
      </c>
      <c r="F381" s="143"/>
      <c r="G381" s="143">
        <f>10/1.13</f>
        <v>8.8495575221239</v>
      </c>
      <c r="H381" s="143">
        <f t="shared" si="19"/>
        <v>8.8495575221239</v>
      </c>
      <c r="I381" s="141"/>
    </row>
    <row r="382" ht="20.1" customHeight="1" spans="1:9">
      <c r="A382" s="136" t="s">
        <v>43</v>
      </c>
      <c r="B382" s="136"/>
      <c r="C382" s="136"/>
      <c r="D382" s="144">
        <f>SUM(H372:H381)</f>
        <v>490.249674336284</v>
      </c>
      <c r="E382" s="144"/>
      <c r="F382" s="144"/>
      <c r="G382" s="144"/>
      <c r="H382" s="144"/>
      <c r="I382" s="144"/>
    </row>
    <row r="383" ht="20.1" customHeight="1" spans="1:9">
      <c r="A383" s="136" t="s">
        <v>44</v>
      </c>
      <c r="B383" s="136"/>
      <c r="C383" s="136"/>
      <c r="D383" s="144">
        <v>68</v>
      </c>
      <c r="E383" s="144"/>
      <c r="F383" s="144"/>
      <c r="G383" s="144"/>
      <c r="H383" s="144"/>
      <c r="I383" s="144"/>
    </row>
    <row r="384" ht="33" customHeight="1" spans="1:9">
      <c r="A384" s="136" t="s">
        <v>50</v>
      </c>
      <c r="B384" s="136"/>
      <c r="C384" s="136"/>
      <c r="D384" s="144">
        <f>(D382+D383)*15.1572463%</f>
        <v>84.6152781080984</v>
      </c>
      <c r="E384" s="144"/>
      <c r="F384" s="144"/>
      <c r="G384" s="144"/>
      <c r="H384" s="144"/>
      <c r="I384" s="144"/>
    </row>
    <row r="385" ht="20.1" customHeight="1" spans="1:9">
      <c r="A385" s="136" t="s">
        <v>46</v>
      </c>
      <c r="B385" s="136"/>
      <c r="C385" s="136"/>
      <c r="D385" s="144">
        <f>D382+D383+D384</f>
        <v>642.864952444382</v>
      </c>
      <c r="E385" s="144"/>
      <c r="F385" s="144"/>
      <c r="G385" s="144"/>
      <c r="H385" s="144"/>
      <c r="I385" s="144"/>
    </row>
    <row r="386" ht="20.1" customHeight="1" spans="1:9">
      <c r="A386" s="136" t="s">
        <v>47</v>
      </c>
      <c r="B386" s="136"/>
      <c r="C386" s="136"/>
      <c r="D386" s="144">
        <f>D385*11.8%</f>
        <v>75.8580643884371</v>
      </c>
      <c r="E386" s="144"/>
      <c r="F386" s="144"/>
      <c r="G386" s="144"/>
      <c r="H386" s="144"/>
      <c r="I386" s="144"/>
    </row>
    <row r="387" ht="20.1" customHeight="1" spans="1:9">
      <c r="A387" s="136" t="s">
        <v>48</v>
      </c>
      <c r="B387" s="136"/>
      <c r="C387" s="136"/>
      <c r="D387" s="145">
        <f>D385+D386</f>
        <v>718.723016832819</v>
      </c>
      <c r="E387" s="145"/>
      <c r="F387" s="145"/>
      <c r="G387" s="145"/>
      <c r="H387" s="145"/>
      <c r="I387" s="145"/>
    </row>
  </sheetData>
  <mergeCells count="354">
    <mergeCell ref="A1:I1"/>
    <mergeCell ref="A2:F2"/>
    <mergeCell ref="G2:H2"/>
    <mergeCell ref="A14:C14"/>
    <mergeCell ref="D14:I14"/>
    <mergeCell ref="A15:C15"/>
    <mergeCell ref="D15:I15"/>
    <mergeCell ref="A16:C16"/>
    <mergeCell ref="D16:I16"/>
    <mergeCell ref="A17:C17"/>
    <mergeCell ref="D17:I17"/>
    <mergeCell ref="A18:C18"/>
    <mergeCell ref="D18:I18"/>
    <mergeCell ref="A19:C19"/>
    <mergeCell ref="D19:I19"/>
    <mergeCell ref="A20:I20"/>
    <mergeCell ref="A21:F21"/>
    <mergeCell ref="G21:H21"/>
    <mergeCell ref="A34:C34"/>
    <mergeCell ref="D34:I34"/>
    <mergeCell ref="A35:C35"/>
    <mergeCell ref="D35:I35"/>
    <mergeCell ref="A36:C36"/>
    <mergeCell ref="D36:I36"/>
    <mergeCell ref="A37:C37"/>
    <mergeCell ref="D37:I37"/>
    <mergeCell ref="A38:C38"/>
    <mergeCell ref="D38:I38"/>
    <mergeCell ref="A39:C39"/>
    <mergeCell ref="D39:I39"/>
    <mergeCell ref="A40:I40"/>
    <mergeCell ref="A41:F41"/>
    <mergeCell ref="G41:H41"/>
    <mergeCell ref="A54:C54"/>
    <mergeCell ref="D54:I54"/>
    <mergeCell ref="A55:C55"/>
    <mergeCell ref="D55:I55"/>
    <mergeCell ref="A56:C56"/>
    <mergeCell ref="D56:I56"/>
    <mergeCell ref="A57:C57"/>
    <mergeCell ref="D57:I57"/>
    <mergeCell ref="A58:C58"/>
    <mergeCell ref="D58:I58"/>
    <mergeCell ref="A59:C59"/>
    <mergeCell ref="D59:I59"/>
    <mergeCell ref="A60:I60"/>
    <mergeCell ref="A61:F61"/>
    <mergeCell ref="G61:H61"/>
    <mergeCell ref="A73:C73"/>
    <mergeCell ref="D73:I73"/>
    <mergeCell ref="A74:C74"/>
    <mergeCell ref="D74:I74"/>
    <mergeCell ref="A75:C75"/>
    <mergeCell ref="D75:I75"/>
    <mergeCell ref="A76:C76"/>
    <mergeCell ref="D76:I76"/>
    <mergeCell ref="A77:C77"/>
    <mergeCell ref="D77:I77"/>
    <mergeCell ref="A78:C78"/>
    <mergeCell ref="D78:I78"/>
    <mergeCell ref="A79:I79"/>
    <mergeCell ref="A80:F80"/>
    <mergeCell ref="G80:H80"/>
    <mergeCell ref="A92:C92"/>
    <mergeCell ref="D92:I92"/>
    <mergeCell ref="A93:C93"/>
    <mergeCell ref="D93:I93"/>
    <mergeCell ref="A94:C94"/>
    <mergeCell ref="D94:I94"/>
    <mergeCell ref="A95:C95"/>
    <mergeCell ref="D95:I95"/>
    <mergeCell ref="A96:C96"/>
    <mergeCell ref="D96:I96"/>
    <mergeCell ref="A97:C97"/>
    <mergeCell ref="D97:I97"/>
    <mergeCell ref="A98:I98"/>
    <mergeCell ref="A99:F99"/>
    <mergeCell ref="G99:H99"/>
    <mergeCell ref="A112:C112"/>
    <mergeCell ref="D112:I112"/>
    <mergeCell ref="A113:C113"/>
    <mergeCell ref="D113:I113"/>
    <mergeCell ref="A114:C114"/>
    <mergeCell ref="D114:I114"/>
    <mergeCell ref="A115:C115"/>
    <mergeCell ref="D115:I115"/>
    <mergeCell ref="A116:C116"/>
    <mergeCell ref="D116:I116"/>
    <mergeCell ref="A117:C117"/>
    <mergeCell ref="D117:I117"/>
    <mergeCell ref="A118:I118"/>
    <mergeCell ref="A119:F119"/>
    <mergeCell ref="G119:H119"/>
    <mergeCell ref="A131:C131"/>
    <mergeCell ref="D131:I131"/>
    <mergeCell ref="A132:C132"/>
    <mergeCell ref="D132:I132"/>
    <mergeCell ref="A133:C133"/>
    <mergeCell ref="D133:I133"/>
    <mergeCell ref="A134:C134"/>
    <mergeCell ref="D134:I134"/>
    <mergeCell ref="A135:C135"/>
    <mergeCell ref="D135:I135"/>
    <mergeCell ref="A136:C136"/>
    <mergeCell ref="D136:I136"/>
    <mergeCell ref="A137:I137"/>
    <mergeCell ref="A138:F138"/>
    <mergeCell ref="G138:H138"/>
    <mergeCell ref="A150:C150"/>
    <mergeCell ref="D150:I150"/>
    <mergeCell ref="A151:C151"/>
    <mergeCell ref="D151:I151"/>
    <mergeCell ref="A152:C152"/>
    <mergeCell ref="D152:I152"/>
    <mergeCell ref="A153:C153"/>
    <mergeCell ref="D153:I153"/>
    <mergeCell ref="A154:C154"/>
    <mergeCell ref="D154:I154"/>
    <mergeCell ref="A155:C155"/>
    <mergeCell ref="D155:I155"/>
    <mergeCell ref="A156:I156"/>
    <mergeCell ref="A157:F157"/>
    <mergeCell ref="G157:H157"/>
    <mergeCell ref="A169:C169"/>
    <mergeCell ref="D169:I169"/>
    <mergeCell ref="A170:C170"/>
    <mergeCell ref="D170:I170"/>
    <mergeCell ref="A171:C171"/>
    <mergeCell ref="D171:I171"/>
    <mergeCell ref="A172:C172"/>
    <mergeCell ref="D172:I172"/>
    <mergeCell ref="A173:C173"/>
    <mergeCell ref="D173:I173"/>
    <mergeCell ref="A174:C174"/>
    <mergeCell ref="D174:I174"/>
    <mergeCell ref="A175:I175"/>
    <mergeCell ref="A176:F176"/>
    <mergeCell ref="G176:H176"/>
    <mergeCell ref="A189:C189"/>
    <mergeCell ref="D189:I189"/>
    <mergeCell ref="A190:C190"/>
    <mergeCell ref="D190:I190"/>
    <mergeCell ref="A191:C191"/>
    <mergeCell ref="D191:I191"/>
    <mergeCell ref="A192:C192"/>
    <mergeCell ref="D192:I192"/>
    <mergeCell ref="A193:C193"/>
    <mergeCell ref="D193:I193"/>
    <mergeCell ref="A194:C194"/>
    <mergeCell ref="D194:I194"/>
    <mergeCell ref="A195:I195"/>
    <mergeCell ref="A196:F196"/>
    <mergeCell ref="G196:H196"/>
    <mergeCell ref="A209:C209"/>
    <mergeCell ref="D209:I209"/>
    <mergeCell ref="A210:C210"/>
    <mergeCell ref="D210:I210"/>
    <mergeCell ref="A211:C211"/>
    <mergeCell ref="D211:I211"/>
    <mergeCell ref="A212:C212"/>
    <mergeCell ref="D212:I212"/>
    <mergeCell ref="A213:C213"/>
    <mergeCell ref="D213:I213"/>
    <mergeCell ref="A214:C214"/>
    <mergeCell ref="D214:I214"/>
    <mergeCell ref="A215:I215"/>
    <mergeCell ref="A216:F216"/>
    <mergeCell ref="G216:H216"/>
    <mergeCell ref="A229:C229"/>
    <mergeCell ref="D229:I229"/>
    <mergeCell ref="A230:C230"/>
    <mergeCell ref="D230:I230"/>
    <mergeCell ref="A231:C231"/>
    <mergeCell ref="D231:I231"/>
    <mergeCell ref="A232:C232"/>
    <mergeCell ref="D232:I232"/>
    <mergeCell ref="A233:C233"/>
    <mergeCell ref="D233:I233"/>
    <mergeCell ref="A234:C234"/>
    <mergeCell ref="D234:I234"/>
    <mergeCell ref="A235:I235"/>
    <mergeCell ref="A236:F236"/>
    <mergeCell ref="G236:H236"/>
    <mergeCell ref="A248:C248"/>
    <mergeCell ref="D248:I248"/>
    <mergeCell ref="A249:C249"/>
    <mergeCell ref="D249:I249"/>
    <mergeCell ref="A250:C250"/>
    <mergeCell ref="D250:I250"/>
    <mergeCell ref="A251:C251"/>
    <mergeCell ref="D251:I251"/>
    <mergeCell ref="A252:C252"/>
    <mergeCell ref="D252:I252"/>
    <mergeCell ref="A253:C253"/>
    <mergeCell ref="D253:I253"/>
    <mergeCell ref="A254:I254"/>
    <mergeCell ref="A255:F255"/>
    <mergeCell ref="G255:H255"/>
    <mergeCell ref="A267:C267"/>
    <mergeCell ref="D267:I267"/>
    <mergeCell ref="A268:C268"/>
    <mergeCell ref="D268:I268"/>
    <mergeCell ref="A269:C269"/>
    <mergeCell ref="D269:I269"/>
    <mergeCell ref="A270:C270"/>
    <mergeCell ref="D270:I270"/>
    <mergeCell ref="A271:C271"/>
    <mergeCell ref="D271:I271"/>
    <mergeCell ref="A272:C272"/>
    <mergeCell ref="D272:I272"/>
    <mergeCell ref="A273:I273"/>
    <mergeCell ref="A274:F274"/>
    <mergeCell ref="G274:H274"/>
    <mergeCell ref="A286:C286"/>
    <mergeCell ref="D286:I286"/>
    <mergeCell ref="A287:C287"/>
    <mergeCell ref="D287:I287"/>
    <mergeCell ref="A288:C288"/>
    <mergeCell ref="D288:I288"/>
    <mergeCell ref="A289:C289"/>
    <mergeCell ref="D289:I289"/>
    <mergeCell ref="A290:C290"/>
    <mergeCell ref="D290:I290"/>
    <mergeCell ref="A291:C291"/>
    <mergeCell ref="D291:I291"/>
    <mergeCell ref="A292:I292"/>
    <mergeCell ref="A293:F293"/>
    <mergeCell ref="G293:H293"/>
    <mergeCell ref="A306:C306"/>
    <mergeCell ref="D306:I306"/>
    <mergeCell ref="A307:C307"/>
    <mergeCell ref="D307:I307"/>
    <mergeCell ref="A308:C308"/>
    <mergeCell ref="D308:I308"/>
    <mergeCell ref="A309:C309"/>
    <mergeCell ref="D309:I309"/>
    <mergeCell ref="A310:C310"/>
    <mergeCell ref="D310:I310"/>
    <mergeCell ref="A311:C311"/>
    <mergeCell ref="D311:I311"/>
    <mergeCell ref="A312:I312"/>
    <mergeCell ref="A313:F313"/>
    <mergeCell ref="G313:H313"/>
    <mergeCell ref="A325:C325"/>
    <mergeCell ref="D325:I325"/>
    <mergeCell ref="A326:C326"/>
    <mergeCell ref="D326:I326"/>
    <mergeCell ref="A327:C327"/>
    <mergeCell ref="D327:I327"/>
    <mergeCell ref="A328:C328"/>
    <mergeCell ref="D328:I328"/>
    <mergeCell ref="A329:C329"/>
    <mergeCell ref="D329:I329"/>
    <mergeCell ref="A330:C330"/>
    <mergeCell ref="D330:I330"/>
    <mergeCell ref="A331:I331"/>
    <mergeCell ref="A332:F332"/>
    <mergeCell ref="G332:H332"/>
    <mergeCell ref="A344:C344"/>
    <mergeCell ref="D344:I344"/>
    <mergeCell ref="A345:C345"/>
    <mergeCell ref="D345:I345"/>
    <mergeCell ref="A346:C346"/>
    <mergeCell ref="D346:I346"/>
    <mergeCell ref="A347:C347"/>
    <mergeCell ref="D347:I347"/>
    <mergeCell ref="A348:C348"/>
    <mergeCell ref="D348:I348"/>
    <mergeCell ref="A349:C349"/>
    <mergeCell ref="D349:I349"/>
    <mergeCell ref="A350:I350"/>
    <mergeCell ref="A351:F351"/>
    <mergeCell ref="G351:H351"/>
    <mergeCell ref="A363:C363"/>
    <mergeCell ref="D363:I363"/>
    <mergeCell ref="A364:C364"/>
    <mergeCell ref="D364:I364"/>
    <mergeCell ref="A365:C365"/>
    <mergeCell ref="D365:I365"/>
    <mergeCell ref="A366:C366"/>
    <mergeCell ref="D366:I366"/>
    <mergeCell ref="A367:C367"/>
    <mergeCell ref="D367:I367"/>
    <mergeCell ref="A368:C368"/>
    <mergeCell ref="D368:I368"/>
    <mergeCell ref="A369:I369"/>
    <mergeCell ref="A370:F370"/>
    <mergeCell ref="G370:H370"/>
    <mergeCell ref="A382:C382"/>
    <mergeCell ref="D382:I382"/>
    <mergeCell ref="A383:C383"/>
    <mergeCell ref="D383:I383"/>
    <mergeCell ref="A384:C384"/>
    <mergeCell ref="D384:I384"/>
    <mergeCell ref="A385:C385"/>
    <mergeCell ref="D385:I385"/>
    <mergeCell ref="A386:C386"/>
    <mergeCell ref="D386:I386"/>
    <mergeCell ref="A387:C387"/>
    <mergeCell ref="D387:I387"/>
    <mergeCell ref="A4:A13"/>
    <mergeCell ref="A23:A33"/>
    <mergeCell ref="A43:A53"/>
    <mergeCell ref="A63:A72"/>
    <mergeCell ref="A82:A91"/>
    <mergeCell ref="A101:A111"/>
    <mergeCell ref="A121:A130"/>
    <mergeCell ref="A140:A149"/>
    <mergeCell ref="A159:A168"/>
    <mergeCell ref="A178:A188"/>
    <mergeCell ref="A198:A208"/>
    <mergeCell ref="A218:A228"/>
    <mergeCell ref="A238:A247"/>
    <mergeCell ref="A257:A266"/>
    <mergeCell ref="A276:A285"/>
    <mergeCell ref="A295:A305"/>
    <mergeCell ref="A315:A324"/>
    <mergeCell ref="A334:A343"/>
    <mergeCell ref="A353:A362"/>
    <mergeCell ref="A372:A381"/>
    <mergeCell ref="B4:B6"/>
    <mergeCell ref="B23:B25"/>
    <mergeCell ref="B26:B27"/>
    <mergeCell ref="B43:B45"/>
    <mergeCell ref="B46:B47"/>
    <mergeCell ref="B63:B65"/>
    <mergeCell ref="B82:B84"/>
    <mergeCell ref="B101:B103"/>
    <mergeCell ref="B104:B105"/>
    <mergeCell ref="B121:B123"/>
    <mergeCell ref="B140:B142"/>
    <mergeCell ref="B159:B161"/>
    <mergeCell ref="B178:B180"/>
    <mergeCell ref="B181:B182"/>
    <mergeCell ref="B198:B200"/>
    <mergeCell ref="B201:B202"/>
    <mergeCell ref="B218:B220"/>
    <mergeCell ref="B221:B222"/>
    <mergeCell ref="B238:B240"/>
    <mergeCell ref="B257:B259"/>
    <mergeCell ref="B276:B278"/>
    <mergeCell ref="B295:B297"/>
    <mergeCell ref="B298:B299"/>
    <mergeCell ref="B315:B317"/>
    <mergeCell ref="B334:B336"/>
    <mergeCell ref="B353:B355"/>
    <mergeCell ref="B372:B374"/>
    <mergeCell ref="I26:I27"/>
    <mergeCell ref="I46:I47"/>
    <mergeCell ref="I104:I105"/>
    <mergeCell ref="I181:I182"/>
    <mergeCell ref="I201:I202"/>
    <mergeCell ref="I221:I222"/>
    <mergeCell ref="I298:I299"/>
  </mergeCells>
  <printOptions horizontalCentered="1"/>
  <pageMargins left="0.393055555555556" right="0.393055555555556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K20" sqref="K20"/>
    </sheetView>
  </sheetViews>
  <sheetFormatPr defaultColWidth="9" defaultRowHeight="14.25"/>
  <cols>
    <col min="1" max="1" width="3.75" customWidth="1"/>
    <col min="2" max="2" width="12.5" customWidth="1"/>
    <col min="4" max="4" width="7.25" customWidth="1"/>
    <col min="5" max="5" width="5.875" customWidth="1"/>
    <col min="6" max="6" width="7.25" customWidth="1"/>
    <col min="8" max="8" width="9.625"/>
    <col min="13" max="13" width="10.375" customWidth="1"/>
    <col min="14" max="14" width="10.125" customWidth="1"/>
  </cols>
  <sheetData>
    <row r="1" ht="26" customHeight="1" spans="1:15">
      <c r="A1" s="80" t="s">
        <v>72</v>
      </c>
      <c r="B1" s="81"/>
      <c r="C1" s="81"/>
      <c r="D1" s="81"/>
      <c r="E1" s="81"/>
      <c r="F1" s="82"/>
      <c r="G1" s="81"/>
      <c r="H1" s="81"/>
      <c r="I1" s="81"/>
      <c r="J1" s="81"/>
      <c r="K1" s="109"/>
      <c r="L1" s="82"/>
      <c r="M1" s="81"/>
      <c r="N1" s="81"/>
      <c r="O1" s="81"/>
    </row>
    <row r="2" ht="27" customHeight="1" spans="1:15">
      <c r="A2" s="83" t="s">
        <v>1</v>
      </c>
      <c r="B2" s="83" t="s">
        <v>73</v>
      </c>
      <c r="C2" s="83" t="s">
        <v>74</v>
      </c>
      <c r="D2" s="83" t="s">
        <v>75</v>
      </c>
      <c r="E2" s="83" t="s">
        <v>76</v>
      </c>
      <c r="F2" s="84" t="s">
        <v>77</v>
      </c>
      <c r="G2" s="83"/>
      <c r="H2" s="83" t="s">
        <v>78</v>
      </c>
      <c r="I2" s="83"/>
      <c r="J2" s="83"/>
      <c r="K2" s="110" t="s">
        <v>79</v>
      </c>
      <c r="L2" s="84"/>
      <c r="M2" s="83" t="s">
        <v>80</v>
      </c>
      <c r="N2" s="83" t="s">
        <v>81</v>
      </c>
      <c r="O2" s="83" t="s">
        <v>82</v>
      </c>
    </row>
    <row r="3" ht="27" spans="1:15">
      <c r="A3" s="83"/>
      <c r="B3" s="83"/>
      <c r="C3" s="83"/>
      <c r="D3" s="83"/>
      <c r="E3" s="83"/>
      <c r="F3" s="84" t="s">
        <v>83</v>
      </c>
      <c r="G3" s="83" t="s">
        <v>84</v>
      </c>
      <c r="H3" s="83" t="s">
        <v>85</v>
      </c>
      <c r="I3" s="83" t="s">
        <v>86</v>
      </c>
      <c r="J3" s="83" t="s">
        <v>87</v>
      </c>
      <c r="K3" s="110" t="s">
        <v>88</v>
      </c>
      <c r="L3" s="84" t="s">
        <v>89</v>
      </c>
      <c r="M3" s="83"/>
      <c r="N3" s="83"/>
      <c r="O3" s="83"/>
    </row>
    <row r="4" ht="31.5" spans="1:15">
      <c r="A4" s="85"/>
      <c r="B4" s="85"/>
      <c r="C4" s="86" t="s">
        <v>90</v>
      </c>
      <c r="D4" s="87" t="s">
        <v>91</v>
      </c>
      <c r="E4" s="87" t="s">
        <v>91</v>
      </c>
      <c r="F4" s="88" t="s">
        <v>92</v>
      </c>
      <c r="G4" s="89" t="s">
        <v>93</v>
      </c>
      <c r="H4" s="88" t="s">
        <v>94</v>
      </c>
      <c r="I4" s="111" t="s">
        <v>95</v>
      </c>
      <c r="J4" s="89" t="s">
        <v>96</v>
      </c>
      <c r="K4" s="112" t="s">
        <v>97</v>
      </c>
      <c r="L4" s="113" t="s">
        <v>98</v>
      </c>
      <c r="M4" s="89" t="s">
        <v>99</v>
      </c>
      <c r="N4" s="89" t="s">
        <v>100</v>
      </c>
      <c r="O4" s="114" t="s">
        <v>101</v>
      </c>
    </row>
    <row r="5" ht="21" customHeight="1" spans="1:15">
      <c r="A5" s="90">
        <v>1</v>
      </c>
      <c r="B5" s="90" t="s">
        <v>102</v>
      </c>
      <c r="C5" s="91"/>
      <c r="D5" s="92"/>
      <c r="E5" s="92"/>
      <c r="F5" s="93"/>
      <c r="G5" s="94"/>
      <c r="H5" s="93">
        <f>'6#楼汇总表（表2）'!G15</f>
        <v>434079.814542051</v>
      </c>
      <c r="I5" s="115">
        <v>0.4</v>
      </c>
      <c r="J5" s="94">
        <f t="shared" ref="J5:J7" si="0">H5*I5</f>
        <v>173631.925816821</v>
      </c>
      <c r="K5" s="116"/>
      <c r="L5" s="117"/>
      <c r="M5" s="94"/>
      <c r="N5" s="94"/>
      <c r="O5" s="93"/>
    </row>
    <row r="6" ht="21" customHeight="1" spans="1:15">
      <c r="A6" s="90">
        <v>2</v>
      </c>
      <c r="B6" s="90" t="s">
        <v>103</v>
      </c>
      <c r="C6" s="91"/>
      <c r="D6" s="92"/>
      <c r="E6" s="92"/>
      <c r="F6" s="93"/>
      <c r="G6" s="94"/>
      <c r="H6" s="93">
        <f>'10#楼汇总表（表2）'!G12</f>
        <v>406757.607690704</v>
      </c>
      <c r="I6" s="115">
        <v>0.4</v>
      </c>
      <c r="J6" s="94">
        <f t="shared" si="0"/>
        <v>162703.043076282</v>
      </c>
      <c r="K6" s="116"/>
      <c r="L6" s="117"/>
      <c r="M6" s="94"/>
      <c r="N6" s="94"/>
      <c r="O6" s="93"/>
    </row>
    <row r="7" ht="21" customHeight="1" spans="1:15">
      <c r="A7" s="90"/>
      <c r="B7" s="90"/>
      <c r="C7" s="91"/>
      <c r="D7" s="92"/>
      <c r="E7" s="92"/>
      <c r="F7" s="93"/>
      <c r="G7" s="94"/>
      <c r="H7" s="93"/>
      <c r="I7" s="115"/>
      <c r="J7" s="94"/>
      <c r="K7" s="116"/>
      <c r="L7" s="117"/>
      <c r="M7" s="94"/>
      <c r="N7" s="94"/>
      <c r="O7" s="93"/>
    </row>
    <row r="8" ht="19" customHeight="1" spans="1:15">
      <c r="A8" s="95"/>
      <c r="B8" s="96" t="s">
        <v>7</v>
      </c>
      <c r="C8" s="96"/>
      <c r="D8" s="96"/>
      <c r="E8" s="95"/>
      <c r="F8" s="97"/>
      <c r="G8" s="98"/>
      <c r="H8" s="98">
        <f>SUM(H5:H7)</f>
        <v>840837.422232756</v>
      </c>
      <c r="I8" s="118"/>
      <c r="J8" s="98">
        <f>J5+J6+J7</f>
        <v>336334.968893102</v>
      </c>
      <c r="K8" s="98"/>
      <c r="L8" s="119"/>
      <c r="M8" s="120" t="s">
        <v>104</v>
      </c>
      <c r="N8" s="120" t="s">
        <v>105</v>
      </c>
      <c r="O8" s="121"/>
    </row>
    <row r="9" ht="22" customHeight="1" spans="1:15">
      <c r="A9" s="99"/>
      <c r="B9" s="99" t="s">
        <v>106</v>
      </c>
      <c r="C9" s="99"/>
      <c r="D9" s="99"/>
      <c r="E9" s="99"/>
      <c r="F9" s="100"/>
      <c r="G9" s="101"/>
      <c r="H9" s="101"/>
      <c r="I9" s="101"/>
      <c r="J9" s="101">
        <v>336000</v>
      </c>
      <c r="K9" s="122"/>
      <c r="L9" s="123"/>
      <c r="M9" s="101"/>
      <c r="N9" s="101"/>
      <c r="O9" s="124" t="s">
        <v>107</v>
      </c>
    </row>
    <row r="10" ht="29" customHeight="1" spans="1:15">
      <c r="A10" s="102" t="s">
        <v>108</v>
      </c>
      <c r="B10" s="102"/>
      <c r="C10" s="102"/>
      <c r="D10" s="102"/>
      <c r="E10" s="102"/>
      <c r="F10" s="103"/>
      <c r="G10" s="102"/>
      <c r="H10" s="102"/>
      <c r="I10" s="102"/>
      <c r="J10" s="102"/>
      <c r="K10" s="125"/>
      <c r="L10" s="103"/>
      <c r="M10" s="102"/>
      <c r="N10" s="102"/>
      <c r="O10" s="102"/>
    </row>
    <row r="11" ht="18" customHeight="1" spans="1:15">
      <c r="A11" s="104" t="s">
        <v>109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</row>
    <row r="12" ht="36" customHeight="1" spans="1:15">
      <c r="A12" s="105"/>
      <c r="B12" s="106"/>
      <c r="C12" s="106"/>
      <c r="D12" s="106"/>
      <c r="E12" s="106"/>
      <c r="F12" s="107"/>
      <c r="G12" s="108" t="s">
        <v>110</v>
      </c>
      <c r="H12" s="108"/>
      <c r="I12" s="108"/>
      <c r="J12" s="126"/>
      <c r="K12" s="127"/>
      <c r="L12" s="128" t="s">
        <v>111</v>
      </c>
      <c r="M12" s="129"/>
      <c r="N12" s="106"/>
      <c r="O12" s="106"/>
    </row>
  </sheetData>
  <mergeCells count="18">
    <mergeCell ref="A1:O1"/>
    <mergeCell ref="F2:G2"/>
    <mergeCell ref="H2:J2"/>
    <mergeCell ref="K2:L2"/>
    <mergeCell ref="B9:E9"/>
    <mergeCell ref="A10:O10"/>
    <mergeCell ref="A11:O11"/>
    <mergeCell ref="G12:I12"/>
    <mergeCell ref="J12:K12"/>
    <mergeCell ref="L12:M12"/>
    <mergeCell ref="A2:A3"/>
    <mergeCell ref="B2:B3"/>
    <mergeCell ref="C2:C3"/>
    <mergeCell ref="D2:D3"/>
    <mergeCell ref="E2:E3"/>
    <mergeCell ref="M2:M3"/>
    <mergeCell ref="N2:N3"/>
    <mergeCell ref="O2:O3"/>
  </mergeCells>
  <printOptions horizontalCentered="1"/>
  <pageMargins left="0.393055555555556" right="0.393055555555556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F7" sqref="F7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3.25" style="24" customWidth="1"/>
    <col min="4" max="5" width="12.75" style="24" customWidth="1"/>
    <col min="6" max="6" width="10.75" style="24" customWidth="1"/>
    <col min="7" max="7" width="10.625" style="57" customWidth="1"/>
    <col min="8" max="8" width="6.875" style="24" customWidth="1"/>
    <col min="9" max="9" width="8.75" style="24"/>
    <col min="10" max="10" width="12.625" style="24"/>
    <col min="11" max="16384" width="8.75" style="24"/>
  </cols>
  <sheetData>
    <row r="1" s="21" customFormat="1" ht="40.5" customHeight="1" spans="1:8">
      <c r="A1" s="25" t="s">
        <v>112</v>
      </c>
      <c r="B1" s="25"/>
      <c r="C1" s="25"/>
      <c r="D1" s="25"/>
      <c r="E1" s="25"/>
      <c r="F1" s="25"/>
      <c r="G1" s="58"/>
      <c r="H1" s="25"/>
    </row>
    <row r="2" s="22" customFormat="1" ht="33" customHeight="1" spans="1:8">
      <c r="A2" s="26" t="s">
        <v>1</v>
      </c>
      <c r="B2" s="27" t="s">
        <v>2</v>
      </c>
      <c r="C2" s="28" t="s">
        <v>3</v>
      </c>
      <c r="D2" s="27" t="s">
        <v>4</v>
      </c>
      <c r="E2" s="27" t="s">
        <v>4</v>
      </c>
      <c r="F2" s="28" t="s">
        <v>5</v>
      </c>
      <c r="G2" s="59" t="s">
        <v>5</v>
      </c>
      <c r="H2" s="29" t="s">
        <v>6</v>
      </c>
    </row>
    <row r="3" s="21" customFormat="1" ht="45" customHeight="1" spans="1:8">
      <c r="A3" s="30">
        <v>1</v>
      </c>
      <c r="B3" s="17" t="str">
        <f>'1#楼明细(表2.1) '!B10</f>
        <v>内平开窗 55断桥铝合金内平开窗 5+12A+5LOW-E钢化玻璃 &gt;2m2采用6mm玻璃</v>
      </c>
      <c r="C3" s="31">
        <f>'1#楼明细(表2.1) '!H10</f>
        <v>109.0592</v>
      </c>
      <c r="D3" s="31">
        <f>'[7]55系列隔热内平开窗（5+12+5LOW -E6）'!D$84</f>
        <v>485.561473006677</v>
      </c>
      <c r="E3" s="31">
        <f>D3*$J$18</f>
        <v>477.386195736736</v>
      </c>
      <c r="F3" s="31">
        <f>C3*D3</f>
        <v>52954.9457969298</v>
      </c>
      <c r="G3" s="73">
        <f t="shared" ref="G3:G16" si="0">C3*E3</f>
        <v>52063.3565980918</v>
      </c>
      <c r="H3" s="32"/>
    </row>
    <row r="4" s="21" customFormat="1" ht="45" customHeight="1" spans="1:8">
      <c r="A4" s="30">
        <v>2</v>
      </c>
      <c r="B4" s="17" t="str">
        <f>'1#楼明细(表2.1) '!B9</f>
        <v>内平开窗 55断桥铝合金内平开窗 5+12A+5LOW-E中空玻璃</v>
      </c>
      <c r="C4" s="31">
        <f>'1#楼明细(表2.1) '!H9+'1#楼明细(表2.1) '!H17+'1#楼明细(表2.1) '!H19</f>
        <v>94.48</v>
      </c>
      <c r="D4" s="31">
        <f>'[7]55系列隔热内平开窗（5+12+5LOW-E'!D$84</f>
        <v>515.865238870687</v>
      </c>
      <c r="E4" s="31">
        <f t="shared" ref="E4:E16" si="1">D4*$J$18</f>
        <v>507.179744662141</v>
      </c>
      <c r="F4" s="31">
        <f>C4*D4</f>
        <v>48738.9477685025</v>
      </c>
      <c r="G4" s="73">
        <f t="shared" si="0"/>
        <v>47918.3422756791</v>
      </c>
      <c r="H4" s="33"/>
    </row>
    <row r="5" s="21" customFormat="1" ht="45" customHeight="1" spans="1:8">
      <c r="A5" s="30">
        <v>3</v>
      </c>
      <c r="B5" s="17" t="str">
        <f>'1#楼明细(表2.1) '!B11</f>
        <v>内平开窗 55断桥铝合金内平开窗 5+12A+5中空玻璃</v>
      </c>
      <c r="C5" s="31">
        <f>'1#楼明细(表2.1) '!H11</f>
        <v>2.2932</v>
      </c>
      <c r="D5" s="31">
        <f>'[7]55系列隔热内平开窗（5+12+5）'!D$83</f>
        <v>878.391453850047</v>
      </c>
      <c r="E5" s="31">
        <f t="shared" si="1"/>
        <v>863.602196287448</v>
      </c>
      <c r="F5" s="31">
        <f>C5*D5</f>
        <v>2014.32728196893</v>
      </c>
      <c r="G5" s="73">
        <f t="shared" si="0"/>
        <v>1980.41255652637</v>
      </c>
      <c r="H5" s="33"/>
    </row>
    <row r="6" s="21" customFormat="1" ht="45" customHeight="1" spans="1:8">
      <c r="A6" s="30">
        <v>4</v>
      </c>
      <c r="B6" s="17" t="str">
        <f>'1#楼明细(表2.1) '!B22</f>
        <v>内平开窗 55普通铝合金内平开窗 5+12A+5中空玻璃</v>
      </c>
      <c r="C6" s="31">
        <f>'1#楼明细(表2.1) '!H22</f>
        <v>10.1724</v>
      </c>
      <c r="D6" s="31">
        <f>'[7]55系列普铝内平开窗（5+12+5）'!D$83</f>
        <v>489.431161651455</v>
      </c>
      <c r="E6" s="31">
        <f t="shared" si="1"/>
        <v>481.190731400114</v>
      </c>
      <c r="F6" s="31">
        <f>C6*D6</f>
        <v>4978.68954878326</v>
      </c>
      <c r="G6" s="73">
        <f t="shared" si="0"/>
        <v>4894.86459609452</v>
      </c>
      <c r="H6" s="33"/>
    </row>
    <row r="7" s="21" customFormat="1" ht="45" customHeight="1" spans="1:9">
      <c r="A7" s="30">
        <v>5</v>
      </c>
      <c r="B7" s="17" t="str">
        <f>'1#楼明细(表2.1) '!B20</f>
        <v>内平开窗 55普通铝合金内平开窗 5+12A+5中空玻璃 &gt;2m2采用6mm玻璃</v>
      </c>
      <c r="C7" s="31">
        <f>'1#楼明细(表2.1) '!H20</f>
        <v>13.6324</v>
      </c>
      <c r="D7" s="31">
        <f>'[7]55系列普铝内平开窗（5+12+5 6+12+6）'!D$84</f>
        <v>442.802021216057</v>
      </c>
      <c r="E7" s="31">
        <f t="shared" si="1"/>
        <v>435.346674158318</v>
      </c>
      <c r="F7" s="31">
        <f t="shared" ref="F4:F16" si="2">C7*D7</f>
        <v>6036.45427402578</v>
      </c>
      <c r="G7" s="73">
        <f t="shared" si="0"/>
        <v>5934.82000079586</v>
      </c>
      <c r="H7" s="32"/>
      <c r="I7" s="4"/>
    </row>
    <row r="8" s="21" customFormat="1" ht="45" customHeight="1" spans="1:8">
      <c r="A8" s="30">
        <v>6</v>
      </c>
      <c r="B8" s="17" t="str">
        <f>'1#楼明细(表2.1) '!B4</f>
        <v>平开门 55断桥铝合金外平开门 5+12A+5LOW-E钢化玻璃</v>
      </c>
      <c r="C8" s="31">
        <f>'1#楼明细(表2.1) '!H4</f>
        <v>110.0736</v>
      </c>
      <c r="D8" s="31">
        <f>'[7]55隔热平开门钢化'!D$82</f>
        <v>630.224391055544</v>
      </c>
      <c r="E8" s="31">
        <f t="shared" si="1"/>
        <v>619.613460358643</v>
      </c>
      <c r="F8" s="31">
        <f t="shared" si="2"/>
        <v>69371.0675312915</v>
      </c>
      <c r="G8" s="73">
        <f t="shared" si="0"/>
        <v>68203.0841901331</v>
      </c>
      <c r="H8" s="32"/>
    </row>
    <row r="9" s="21" customFormat="1" ht="45" customHeight="1" spans="1:8">
      <c r="A9" s="30">
        <v>7</v>
      </c>
      <c r="B9" s="17" t="str">
        <f>'1#楼明细(表2.1) '!B6</f>
        <v>平开门 55普通铝合金外平开门 5+12A+5钢化玻璃</v>
      </c>
      <c r="C9" s="31">
        <f>'1#楼明细(表2.1) '!H6</f>
        <v>95.0976</v>
      </c>
      <c r="D9" s="31">
        <f>'[7]55普铝平开门5+12a+5钢化'!D$82</f>
        <v>603.860194383975</v>
      </c>
      <c r="E9" s="31">
        <f t="shared" si="1"/>
        <v>593.693151082947</v>
      </c>
      <c r="F9" s="31">
        <f t="shared" si="2"/>
        <v>57425.6552214495</v>
      </c>
      <c r="G9" s="73">
        <f t="shared" si="0"/>
        <v>56458.7938044257</v>
      </c>
      <c r="H9" s="34"/>
    </row>
    <row r="10" s="21" customFormat="1" ht="45" customHeight="1" spans="1:8">
      <c r="A10" s="30">
        <v>8</v>
      </c>
      <c r="B10" s="17" t="str">
        <f>'1#楼明细(表2.1) '!B7</f>
        <v>上悬窗 55断桥铝合金上悬窗 5+12A+5LOW-E中空玻璃 </v>
      </c>
      <c r="C10" s="31">
        <f>'1#楼明细(表2.1) '!H7+'1#楼明细(表2.1) '!H14</f>
        <v>45.9888</v>
      </c>
      <c r="D10" s="31">
        <f>'[7]55系列上悬窗（5+12+5LOW-E 非钢'!D$84</f>
        <v>815.835119720686</v>
      </c>
      <c r="E10" s="31">
        <f t="shared" si="1"/>
        <v>802.099107534685</v>
      </c>
      <c r="F10" s="31">
        <f t="shared" si="2"/>
        <v>37519.2781538107</v>
      </c>
      <c r="G10" s="73">
        <f t="shared" si="0"/>
        <v>36887.5754365911</v>
      </c>
      <c r="H10" s="35"/>
    </row>
    <row r="11" s="21" customFormat="1" ht="45" customHeight="1" spans="1:8">
      <c r="A11" s="30">
        <v>9</v>
      </c>
      <c r="B11" s="17" t="str">
        <f>'1#楼明细(表2.1) '!B8</f>
        <v>上悬窗 55断桥铝合金上悬窗 5+12A+5LOW-E中空玻璃 七层及以上钢化玻璃</v>
      </c>
      <c r="C11" s="31">
        <f>'1#楼明细(表2.1) '!H8+'1#楼明细(表2.1) '!H15</f>
        <v>15.3296</v>
      </c>
      <c r="D11" s="31">
        <f>'[7]55系列上悬窗（5+12+5LOW-E钢化'!D$84</f>
        <v>829.492528570244</v>
      </c>
      <c r="E11" s="31">
        <f t="shared" si="1"/>
        <v>815.526570001877</v>
      </c>
      <c r="F11" s="31">
        <f t="shared" si="2"/>
        <v>12715.7886659704</v>
      </c>
      <c r="G11" s="73">
        <f t="shared" si="0"/>
        <v>12501.6961075008</v>
      </c>
      <c r="H11" s="35"/>
    </row>
    <row r="12" s="21" customFormat="1" ht="45" customHeight="1" spans="1:8">
      <c r="A12" s="30">
        <v>10</v>
      </c>
      <c r="B12" s="70" t="str">
        <f>'1#楼明细(表2.1) '!B18</f>
        <v>推拉窗 80断桥铝合金推拉窗 5+12A+5LOW-E中空玻璃</v>
      </c>
      <c r="C12" s="31">
        <f>'1#楼明细(表2.1) '!H18</f>
        <v>8.7024</v>
      </c>
      <c r="D12" s="31">
        <f>'[7]80系列隔热推拉窗5+12+5low-e'!D$79</f>
        <v>560.802698372337</v>
      </c>
      <c r="E12" s="31">
        <f t="shared" si="1"/>
        <v>551.360603379636</v>
      </c>
      <c r="F12" s="31">
        <f t="shared" si="2"/>
        <v>4880.32940231543</v>
      </c>
      <c r="G12" s="73">
        <f t="shared" si="0"/>
        <v>4798.16051485094</v>
      </c>
      <c r="H12" s="35"/>
    </row>
    <row r="13" s="21" customFormat="1" ht="45" customHeight="1" spans="1:8">
      <c r="A13" s="30">
        <v>11</v>
      </c>
      <c r="B13" s="17" t="str">
        <f>'1#楼明细(表2.1) '!B12</f>
        <v>推拉窗 80断桥铝合金推拉窗 5+12A+5中空玻璃</v>
      </c>
      <c r="C13" s="31">
        <f>'1#楼明细(表2.1) '!H12+'1#楼明细(表2.1) '!H13</f>
        <v>58.3128</v>
      </c>
      <c r="D13" s="31">
        <f>'[7]80系列隔热推拉窗5+12+5'!D$79</f>
        <v>611.437119960746</v>
      </c>
      <c r="E13" s="31">
        <f t="shared" si="1"/>
        <v>601.14250585584</v>
      </c>
      <c r="F13" s="31">
        <f t="shared" si="2"/>
        <v>35654.610488847</v>
      </c>
      <c r="G13" s="73">
        <f t="shared" si="0"/>
        <v>35054.3027154704</v>
      </c>
      <c r="H13" s="35"/>
    </row>
    <row r="14" s="21" customFormat="1" ht="45" customHeight="1" spans="1:8">
      <c r="A14" s="30">
        <v>12</v>
      </c>
      <c r="B14" s="17" t="str">
        <f>'1#楼明细(表2.1) '!B21</f>
        <v>推拉窗 80普通铝合金推拉窗 5+12A+5中空玻璃</v>
      </c>
      <c r="C14" s="31">
        <f>'1#楼明细(表2.1) '!H21</f>
        <v>15.3624</v>
      </c>
      <c r="D14" s="31">
        <f>'[7]80系列普铝推拉窗'!D$79</f>
        <v>404.563998137678</v>
      </c>
      <c r="E14" s="31">
        <f t="shared" si="1"/>
        <v>397.752455125974</v>
      </c>
      <c r="F14" s="31">
        <f t="shared" si="2"/>
        <v>6215.07396499026</v>
      </c>
      <c r="G14" s="73">
        <f t="shared" si="0"/>
        <v>6110.43231662726</v>
      </c>
      <c r="H14" s="71"/>
    </row>
    <row r="15" s="21" customFormat="1" ht="45" customHeight="1" spans="1:8">
      <c r="A15" s="30">
        <v>13</v>
      </c>
      <c r="B15" s="17" t="str">
        <f>'1#楼明细(表2.1) '!B5</f>
        <v>推拉门 80普通铝合金推拉门 5+12A+5钢化玻璃 &gt;2m2采用6mm玻璃</v>
      </c>
      <c r="C15" s="31">
        <f>'1#楼明细(表2.1) '!H5</f>
        <v>166.2336</v>
      </c>
      <c r="D15" s="31">
        <f>'[7]80系列普铝推拉门6+12+6钢化'!D$79</f>
        <v>400.606451598261</v>
      </c>
      <c r="E15" s="31">
        <f t="shared" si="1"/>
        <v>393.86154080939</v>
      </c>
      <c r="F15" s="31">
        <f t="shared" si="2"/>
        <v>66594.2526324047</v>
      </c>
      <c r="G15" s="73">
        <f t="shared" si="0"/>
        <v>65473.0218302917</v>
      </c>
      <c r="H15" s="35"/>
    </row>
    <row r="16" s="21" customFormat="1" ht="45" customHeight="1" spans="1:8">
      <c r="A16" s="30">
        <v>14</v>
      </c>
      <c r="B16" s="37" t="str">
        <f>'1#楼明细(表2.1) '!B16</f>
        <v>外平开窗 55断桥铝合金外平开窗 5+12A+5中空玻璃</v>
      </c>
      <c r="C16" s="36">
        <f>'1#楼明细(表2.1) '!H16</f>
        <v>4.0112</v>
      </c>
      <c r="D16" s="36">
        <f>'[7]55系列外平开窗（5+12+5非钢'!D$83</f>
        <v>725.185165924822</v>
      </c>
      <c r="E16" s="31">
        <f t="shared" si="1"/>
        <v>712.975404374399</v>
      </c>
      <c r="F16" s="31">
        <f t="shared" si="2"/>
        <v>2908.86273755765</v>
      </c>
      <c r="G16" s="73">
        <f t="shared" si="0"/>
        <v>2859.88694202659</v>
      </c>
      <c r="H16" s="35"/>
    </row>
    <row r="17" s="21" customFormat="1" ht="45" customHeight="1" spans="1:8">
      <c r="A17" s="38" t="s">
        <v>7</v>
      </c>
      <c r="B17" s="39"/>
      <c r="C17" s="40">
        <f>SUM(C3:C16)</f>
        <v>748.7492</v>
      </c>
      <c r="D17" s="41">
        <f>F17/C17</f>
        <v>544.919825582248</v>
      </c>
      <c r="E17" s="41">
        <f>G17/C17</f>
        <v>535.745146552551</v>
      </c>
      <c r="F17" s="40">
        <f>SUM(F3:F16)</f>
        <v>408008.283468847</v>
      </c>
      <c r="G17" s="79">
        <f>SUM(G3:G16)</f>
        <v>401138.749885105</v>
      </c>
      <c r="H17" s="42"/>
    </row>
    <row r="18" s="21" customFormat="1" ht="55.5" customHeight="1" spans="1:10">
      <c r="A18" s="43" t="s">
        <v>113</v>
      </c>
      <c r="B18" s="43"/>
      <c r="C18" s="43"/>
      <c r="D18" s="43"/>
      <c r="E18" s="43"/>
      <c r="F18" s="43"/>
      <c r="G18" s="63"/>
      <c r="J18" s="21">
        <f>'2#楼汇总表（表2）'!J16</f>
        <v>0.983163249713124</v>
      </c>
    </row>
    <row r="19" spans="1:6">
      <c r="A19" s="44"/>
      <c r="B19" s="45"/>
      <c r="C19" s="46"/>
      <c r="D19" s="46"/>
      <c r="E19" s="46"/>
      <c r="F19" s="46"/>
    </row>
    <row r="25" spans="2:2">
      <c r="B25" s="5"/>
    </row>
    <row r="26" spans="2:2">
      <c r="B26" s="5"/>
    </row>
    <row r="27" spans="2:2">
      <c r="B27" s="5"/>
    </row>
  </sheetData>
  <mergeCells count="3">
    <mergeCell ref="A1:H1"/>
    <mergeCell ref="A18:F18"/>
    <mergeCell ref="H9:H14"/>
  </mergeCells>
  <printOptions horizontalCentered="1"/>
  <pageMargins left="0.314583333333333" right="0.314583333333333" top="0.590277777777778" bottom="0.393055555555556" header="0.298611111111111" footer="0.298611111111111"/>
  <pageSetup paperSize="9" scale="8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3"/>
  <sheetViews>
    <sheetView zoomScale="85" zoomScaleNormal="85" workbookViewId="0">
      <pane ySplit="1" topLeftCell="A2" activePane="bottomLeft" state="frozen"/>
      <selection/>
      <selection pane="bottomLeft" activeCell="F27" sqref="F27"/>
    </sheetView>
  </sheetViews>
  <sheetFormatPr defaultColWidth="9" defaultRowHeight="14.25"/>
  <cols>
    <col min="1" max="1" width="6.5" style="2" customWidth="1"/>
    <col min="2" max="2" width="53.75" style="3" customWidth="1"/>
    <col min="3" max="3" width="16.75" style="3" customWidth="1"/>
    <col min="4" max="4" width="20.25" style="3" customWidth="1"/>
    <col min="5" max="5" width="11.375" style="3" customWidth="1"/>
    <col min="6" max="6" width="13.375" style="3" customWidth="1"/>
    <col min="7" max="7" width="7.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114</v>
      </c>
      <c r="B1" s="6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7" t="s">
        <v>115</v>
      </c>
      <c r="C2" s="7" t="s">
        <v>116</v>
      </c>
      <c r="D2" s="8" t="s">
        <v>117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118</v>
      </c>
      <c r="E3" s="11" t="s">
        <v>119</v>
      </c>
      <c r="F3" s="11" t="s">
        <v>120</v>
      </c>
      <c r="G3" s="11" t="s">
        <v>121</v>
      </c>
      <c r="H3" s="12" t="s">
        <v>3</v>
      </c>
      <c r="I3" s="19"/>
    </row>
    <row r="4" ht="30" customHeight="1" spans="1:9">
      <c r="A4" s="7">
        <v>1</v>
      </c>
      <c r="B4" s="75" t="s">
        <v>122</v>
      </c>
      <c r="C4" s="11" t="s">
        <v>123</v>
      </c>
      <c r="D4" s="14" t="s">
        <v>124</v>
      </c>
      <c r="E4" s="11">
        <v>1470</v>
      </c>
      <c r="F4" s="11">
        <v>2340</v>
      </c>
      <c r="G4" s="11">
        <f t="shared" ref="G4:G6" si="0">1*2*2*8</f>
        <v>32</v>
      </c>
      <c r="H4" s="12">
        <f t="shared" ref="H4:H9" si="1">E4*F4*G4/1000000</f>
        <v>110.0736</v>
      </c>
      <c r="I4" s="17" t="s">
        <v>125</v>
      </c>
    </row>
    <row r="5" ht="44.1" customHeight="1" spans="1:9">
      <c r="A5" s="7">
        <v>2</v>
      </c>
      <c r="B5" s="76" t="s">
        <v>126</v>
      </c>
      <c r="C5" s="11" t="s">
        <v>127</v>
      </c>
      <c r="D5" s="14" t="s">
        <v>124</v>
      </c>
      <c r="E5" s="11">
        <v>2220</v>
      </c>
      <c r="F5" s="11">
        <v>2340</v>
      </c>
      <c r="G5" s="11">
        <f t="shared" si="0"/>
        <v>32</v>
      </c>
      <c r="H5" s="12">
        <f t="shared" si="1"/>
        <v>166.2336</v>
      </c>
      <c r="I5" s="17" t="s">
        <v>128</v>
      </c>
    </row>
    <row r="6" ht="30" customHeight="1" spans="1:9">
      <c r="A6" s="7">
        <v>3</v>
      </c>
      <c r="B6" s="75" t="s">
        <v>129</v>
      </c>
      <c r="C6" s="11" t="s">
        <v>130</v>
      </c>
      <c r="D6" s="14" t="s">
        <v>124</v>
      </c>
      <c r="E6" s="11">
        <v>1270</v>
      </c>
      <c r="F6" s="11">
        <v>2340</v>
      </c>
      <c r="G6" s="11">
        <f t="shared" si="0"/>
        <v>32</v>
      </c>
      <c r="H6" s="12">
        <f t="shared" si="1"/>
        <v>95.0976</v>
      </c>
      <c r="I6" s="17" t="s">
        <v>131</v>
      </c>
    </row>
    <row r="7" ht="39" customHeight="1" spans="1:9">
      <c r="A7" s="7">
        <v>4</v>
      </c>
      <c r="B7" s="76" t="s">
        <v>132</v>
      </c>
      <c r="C7" s="11" t="s">
        <v>133</v>
      </c>
      <c r="D7" s="14" t="s">
        <v>134</v>
      </c>
      <c r="E7" s="11">
        <v>870</v>
      </c>
      <c r="F7" s="11">
        <v>1430</v>
      </c>
      <c r="G7" s="11">
        <f>1*2*2*6</f>
        <v>24</v>
      </c>
      <c r="H7" s="12">
        <f t="shared" si="1"/>
        <v>29.8584</v>
      </c>
      <c r="I7" s="17" t="s">
        <v>135</v>
      </c>
    </row>
    <row r="8" ht="39" customHeight="1" spans="1:9">
      <c r="A8" s="7">
        <v>4.1</v>
      </c>
      <c r="B8" s="76" t="s">
        <v>136</v>
      </c>
      <c r="C8" s="11" t="s">
        <v>133</v>
      </c>
      <c r="D8" s="14" t="s">
        <v>137</v>
      </c>
      <c r="E8" s="11">
        <v>870</v>
      </c>
      <c r="F8" s="11">
        <v>1430</v>
      </c>
      <c r="G8" s="11">
        <f>1*2*2*2</f>
        <v>8</v>
      </c>
      <c r="H8" s="12">
        <f t="shared" si="1"/>
        <v>9.9528</v>
      </c>
      <c r="I8" s="17" t="s">
        <v>135</v>
      </c>
    </row>
    <row r="9" ht="30" customHeight="1" spans="1:9">
      <c r="A9" s="7">
        <v>5</v>
      </c>
      <c r="B9" s="75" t="s">
        <v>138</v>
      </c>
      <c r="C9" s="11" t="s">
        <v>139</v>
      </c>
      <c r="D9" s="14" t="s">
        <v>124</v>
      </c>
      <c r="E9" s="11">
        <v>1770</v>
      </c>
      <c r="F9" s="11">
        <v>1430</v>
      </c>
      <c r="G9" s="11">
        <f>1*2*2*8</f>
        <v>32</v>
      </c>
      <c r="H9" s="12">
        <f t="shared" si="1"/>
        <v>80.9952</v>
      </c>
      <c r="I9" s="17" t="s">
        <v>140</v>
      </c>
    </row>
    <row r="10" ht="36.95" customHeight="1" spans="1:9">
      <c r="A10" s="7">
        <v>6</v>
      </c>
      <c r="B10" s="76" t="s">
        <v>141</v>
      </c>
      <c r="C10" s="11" t="s">
        <v>142</v>
      </c>
      <c r="D10" s="14" t="s">
        <v>124</v>
      </c>
      <c r="E10" s="11">
        <v>1970</v>
      </c>
      <c r="F10" s="11">
        <v>1730</v>
      </c>
      <c r="G10" s="11">
        <f>1*2*2*8</f>
        <v>32</v>
      </c>
      <c r="H10" s="12">
        <f t="shared" ref="H10:H15" si="2">E10*F10*G10/1000000</f>
        <v>109.0592</v>
      </c>
      <c r="I10" s="17" t="s">
        <v>143</v>
      </c>
    </row>
    <row r="11" ht="30.75" customHeight="1" spans="1:9">
      <c r="A11" s="7">
        <v>7</v>
      </c>
      <c r="B11" s="77" t="s">
        <v>144</v>
      </c>
      <c r="C11" s="11" t="s">
        <v>145</v>
      </c>
      <c r="D11" s="11" t="s">
        <v>146</v>
      </c>
      <c r="E11" s="11">
        <v>1170</v>
      </c>
      <c r="F11" s="15">
        <v>980</v>
      </c>
      <c r="G11" s="11">
        <v>2</v>
      </c>
      <c r="H11" s="12">
        <f t="shared" si="2"/>
        <v>2.2932</v>
      </c>
      <c r="I11" s="11" t="s">
        <v>146</v>
      </c>
    </row>
    <row r="12" ht="39.75" customHeight="1" spans="1:9">
      <c r="A12" s="7">
        <v>8</v>
      </c>
      <c r="B12" s="75" t="s">
        <v>147</v>
      </c>
      <c r="C12" s="11" t="s">
        <v>148</v>
      </c>
      <c r="D12" s="11" t="s">
        <v>149</v>
      </c>
      <c r="E12" s="11">
        <v>1170</v>
      </c>
      <c r="F12" s="11">
        <v>1430</v>
      </c>
      <c r="G12" s="11">
        <v>28</v>
      </c>
      <c r="H12" s="12">
        <f t="shared" si="2"/>
        <v>46.8468</v>
      </c>
      <c r="I12" s="17" t="s">
        <v>150</v>
      </c>
    </row>
    <row r="13" ht="42.95" customHeight="1" spans="1:9">
      <c r="A13" s="7">
        <v>9</v>
      </c>
      <c r="B13" s="75" t="s">
        <v>147</v>
      </c>
      <c r="C13" s="11" t="s">
        <v>145</v>
      </c>
      <c r="D13" s="11" t="s">
        <v>151</v>
      </c>
      <c r="E13" s="11">
        <v>1170</v>
      </c>
      <c r="F13" s="11">
        <v>980</v>
      </c>
      <c r="G13" s="11">
        <f>1*2*5</f>
        <v>10</v>
      </c>
      <c r="H13" s="12">
        <f t="shared" si="2"/>
        <v>11.466</v>
      </c>
      <c r="I13" s="17" t="s">
        <v>152</v>
      </c>
    </row>
    <row r="14" ht="42.95" customHeight="1" spans="1:9">
      <c r="A14" s="7">
        <v>10</v>
      </c>
      <c r="B14" s="76" t="s">
        <v>132</v>
      </c>
      <c r="C14" s="11" t="s">
        <v>153</v>
      </c>
      <c r="D14" s="14" t="s">
        <v>134</v>
      </c>
      <c r="E14" s="11">
        <v>470</v>
      </c>
      <c r="F14" s="11">
        <v>1430</v>
      </c>
      <c r="G14" s="11">
        <f>1*2*2*6</f>
        <v>24</v>
      </c>
      <c r="H14" s="12">
        <f t="shared" si="2"/>
        <v>16.1304</v>
      </c>
      <c r="I14" s="17" t="s">
        <v>154</v>
      </c>
    </row>
    <row r="15" ht="42.95" customHeight="1" spans="1:9">
      <c r="A15" s="7">
        <v>10.1</v>
      </c>
      <c r="B15" s="76" t="s">
        <v>136</v>
      </c>
      <c r="C15" s="11" t="s">
        <v>153</v>
      </c>
      <c r="D15" s="14" t="s">
        <v>137</v>
      </c>
      <c r="E15" s="11">
        <v>470</v>
      </c>
      <c r="F15" s="11">
        <v>1430</v>
      </c>
      <c r="G15" s="11">
        <f>1*2*2*2</f>
        <v>8</v>
      </c>
      <c r="H15" s="12">
        <f t="shared" si="2"/>
        <v>5.3768</v>
      </c>
      <c r="I15" s="17" t="s">
        <v>154</v>
      </c>
    </row>
    <row r="16" ht="39.95" customHeight="1" spans="1:9">
      <c r="A16" s="7">
        <v>11</v>
      </c>
      <c r="B16" s="75" t="s">
        <v>155</v>
      </c>
      <c r="C16" s="11" t="s">
        <v>156</v>
      </c>
      <c r="D16" s="14" t="s">
        <v>157</v>
      </c>
      <c r="E16" s="11">
        <v>920</v>
      </c>
      <c r="F16" s="11">
        <v>2180</v>
      </c>
      <c r="G16" s="11">
        <v>2</v>
      </c>
      <c r="H16" s="12">
        <f t="shared" ref="H16:H22" si="3">E16*F16*G16/1000000</f>
        <v>4.0112</v>
      </c>
      <c r="I16" s="17" t="s">
        <v>152</v>
      </c>
    </row>
    <row r="17" ht="60" customHeight="1" spans="1:9">
      <c r="A17" s="7">
        <v>12</v>
      </c>
      <c r="B17" s="78" t="s">
        <v>138</v>
      </c>
      <c r="C17" s="11" t="s">
        <v>158</v>
      </c>
      <c r="D17" s="11" t="s">
        <v>159</v>
      </c>
      <c r="E17" s="11">
        <v>1970</v>
      </c>
      <c r="F17" s="11">
        <v>980</v>
      </c>
      <c r="G17" s="11">
        <v>4</v>
      </c>
      <c r="H17" s="12">
        <f t="shared" si="3"/>
        <v>7.7224</v>
      </c>
      <c r="I17" s="17"/>
    </row>
    <row r="18" ht="41.1" customHeight="1" spans="1:9">
      <c r="A18" s="7">
        <v>13</v>
      </c>
      <c r="B18" s="78" t="s">
        <v>160</v>
      </c>
      <c r="C18" s="11" t="s">
        <v>161</v>
      </c>
      <c r="D18" s="11" t="s">
        <v>159</v>
      </c>
      <c r="E18" s="11">
        <v>2220</v>
      </c>
      <c r="F18" s="11">
        <v>980</v>
      </c>
      <c r="G18" s="11">
        <v>4</v>
      </c>
      <c r="H18" s="12">
        <f t="shared" si="3"/>
        <v>8.7024</v>
      </c>
      <c r="I18" s="17"/>
    </row>
    <row r="19" ht="44.1" customHeight="1" spans="1:9">
      <c r="A19" s="7">
        <v>14</v>
      </c>
      <c r="B19" s="78" t="s">
        <v>138</v>
      </c>
      <c r="C19" s="11" t="s">
        <v>162</v>
      </c>
      <c r="D19" s="11" t="s">
        <v>159</v>
      </c>
      <c r="E19" s="11">
        <v>1470</v>
      </c>
      <c r="F19" s="11">
        <v>980</v>
      </c>
      <c r="G19" s="11">
        <v>4</v>
      </c>
      <c r="H19" s="12">
        <f t="shared" si="3"/>
        <v>5.7624</v>
      </c>
      <c r="I19" s="17"/>
    </row>
    <row r="20" ht="57" customHeight="1" spans="1:9">
      <c r="A20" s="7">
        <v>15</v>
      </c>
      <c r="B20" s="76" t="s">
        <v>163</v>
      </c>
      <c r="C20" s="11" t="s">
        <v>164</v>
      </c>
      <c r="D20" s="11" t="s">
        <v>159</v>
      </c>
      <c r="E20" s="11">
        <v>1970</v>
      </c>
      <c r="F20" s="11">
        <v>1730</v>
      </c>
      <c r="G20" s="11">
        <v>4</v>
      </c>
      <c r="H20" s="12">
        <f t="shared" si="3"/>
        <v>13.6324</v>
      </c>
      <c r="I20" s="17"/>
    </row>
    <row r="21" ht="39.95" customHeight="1" spans="1:9">
      <c r="A21" s="7">
        <v>16</v>
      </c>
      <c r="B21" s="75" t="s">
        <v>165</v>
      </c>
      <c r="C21" s="11" t="s">
        <v>166</v>
      </c>
      <c r="D21" s="11" t="s">
        <v>159</v>
      </c>
      <c r="E21" s="11">
        <v>2220</v>
      </c>
      <c r="F21" s="11">
        <v>1730</v>
      </c>
      <c r="G21" s="11">
        <v>4</v>
      </c>
      <c r="H21" s="12">
        <f t="shared" si="3"/>
        <v>15.3624</v>
      </c>
      <c r="I21" s="20"/>
    </row>
    <row r="22" ht="39.95" customHeight="1" spans="1:9">
      <c r="A22" s="7">
        <v>17</v>
      </c>
      <c r="B22" s="75" t="s">
        <v>167</v>
      </c>
      <c r="C22" s="11" t="s">
        <v>168</v>
      </c>
      <c r="D22" s="11" t="s">
        <v>159</v>
      </c>
      <c r="E22" s="11">
        <v>1470</v>
      </c>
      <c r="F22" s="11">
        <v>1730</v>
      </c>
      <c r="G22" s="11">
        <v>4</v>
      </c>
      <c r="H22" s="12">
        <f t="shared" si="3"/>
        <v>10.1724</v>
      </c>
      <c r="I22" s="17"/>
    </row>
    <row r="23" ht="27.75" customHeight="1" spans="1:9">
      <c r="A23" s="7">
        <v>18</v>
      </c>
      <c r="B23" s="11"/>
      <c r="C23" s="11"/>
      <c r="D23" s="11"/>
      <c r="E23" s="11"/>
      <c r="F23" s="11"/>
      <c r="G23" s="11"/>
      <c r="H23" s="12">
        <f>SUM(H4:H22)</f>
        <v>748.7492</v>
      </c>
      <c r="I23" s="17"/>
    </row>
  </sheetData>
  <autoFilter ref="A2:I23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26"/>
  <sheetViews>
    <sheetView topLeftCell="A9" workbookViewId="0">
      <selection activeCell="J16" sqref="J16"/>
    </sheetView>
  </sheetViews>
  <sheetFormatPr defaultColWidth="8.75" defaultRowHeight="14.25"/>
  <cols>
    <col min="1" max="1" width="5.25" style="23" customWidth="1"/>
    <col min="2" max="2" width="33.25" style="24" customWidth="1"/>
    <col min="3" max="3" width="15.125" style="24" customWidth="1"/>
    <col min="4" max="4" width="12.75" style="24" hidden="1" customWidth="1"/>
    <col min="5" max="5" width="12.75" style="24" customWidth="1"/>
    <col min="6" max="6" width="13.625" style="24" hidden="1" customWidth="1"/>
    <col min="7" max="7" width="11.625" style="57" customWidth="1"/>
    <col min="8" max="8" width="6.875" style="24" customWidth="1"/>
    <col min="9" max="9" width="8.75" style="24"/>
    <col min="10" max="10" width="11.5" style="24"/>
    <col min="11" max="16384" width="8.75" style="24"/>
  </cols>
  <sheetData>
    <row r="1" s="21" customFormat="1" ht="30" customHeight="1" spans="1:8">
      <c r="A1" s="25" t="s">
        <v>169</v>
      </c>
      <c r="B1" s="25"/>
      <c r="C1" s="25"/>
      <c r="D1" s="25"/>
      <c r="E1" s="25"/>
      <c r="F1" s="25"/>
      <c r="G1" s="58"/>
      <c r="H1" s="25"/>
    </row>
    <row r="2" s="22" customFormat="1" ht="38" customHeight="1" spans="1:8">
      <c r="A2" s="26" t="s">
        <v>1</v>
      </c>
      <c r="B2" s="27" t="s">
        <v>2</v>
      </c>
      <c r="C2" s="28" t="s">
        <v>3</v>
      </c>
      <c r="D2" s="27" t="s">
        <v>4</v>
      </c>
      <c r="E2" s="27" t="s">
        <v>4</v>
      </c>
      <c r="F2" s="28" t="s">
        <v>5</v>
      </c>
      <c r="G2" s="59" t="s">
        <v>5</v>
      </c>
      <c r="H2" s="29" t="s">
        <v>6</v>
      </c>
    </row>
    <row r="3" s="21" customFormat="1" ht="45" customHeight="1" spans="1:8">
      <c r="A3" s="30">
        <v>1</v>
      </c>
      <c r="B3" s="70" t="s">
        <v>170</v>
      </c>
      <c r="C3" s="31">
        <f>'2#楼明细(表2.1) '!H14</f>
        <v>146.9808</v>
      </c>
      <c r="D3" s="31">
        <f>'[8]55系列隔热内平开窗（5+12+5LOW钢化）'!D$83</f>
        <v>496.914052510667</v>
      </c>
      <c r="E3" s="31">
        <f>D3*$J$16</f>
        <v>488.547634694505</v>
      </c>
      <c r="F3" s="31">
        <f>C3*D3</f>
        <v>73036.8249692598</v>
      </c>
      <c r="G3" s="73">
        <f>C3*E3</f>
        <v>71807.1221855061</v>
      </c>
      <c r="H3" s="32"/>
    </row>
    <row r="4" s="21" customFormat="1" ht="45" customHeight="1" spans="1:8">
      <c r="A4" s="30">
        <v>2</v>
      </c>
      <c r="B4" s="17" t="s">
        <v>138</v>
      </c>
      <c r="C4" s="31">
        <f>'2#楼明细(表2.1) '!H15+'2#楼明细(表2.1) '!H16+'2#楼明细(表2.1) '!H18</f>
        <v>119.364</v>
      </c>
      <c r="D4" s="31">
        <f>'[8]55系列隔热内平开窗（5+12+5LOW-E中空'!D$83</f>
        <v>557.367836090127</v>
      </c>
      <c r="E4" s="31">
        <f t="shared" ref="E4:E15" si="0">D4*$J$16</f>
        <v>547.983573015941</v>
      </c>
      <c r="F4" s="31">
        <f t="shared" ref="F4:F15" si="1">C4*D4</f>
        <v>66529.6543870619</v>
      </c>
      <c r="G4" s="73">
        <f t="shared" ref="G4:G16" si="2">C4*E4</f>
        <v>65409.5112094748</v>
      </c>
      <c r="H4" s="33"/>
    </row>
    <row r="5" s="21" customFormat="1" ht="45" customHeight="1" spans="1:8">
      <c r="A5" s="30">
        <v>3</v>
      </c>
      <c r="B5" s="17" t="s">
        <v>144</v>
      </c>
      <c r="C5" s="31">
        <f>'2#楼明细(表2.1) '!H13</f>
        <v>3.4398</v>
      </c>
      <c r="D5" s="31">
        <f>'[8]55系列隔热内平开窗（5+12+5）'!D$83</f>
        <v>878.391453850047</v>
      </c>
      <c r="E5" s="31">
        <f t="shared" si="0"/>
        <v>863.602196287448</v>
      </c>
      <c r="F5" s="31">
        <f t="shared" si="1"/>
        <v>3021.49092295339</v>
      </c>
      <c r="G5" s="73">
        <f t="shared" si="2"/>
        <v>2970.61883478956</v>
      </c>
      <c r="H5" s="33"/>
    </row>
    <row r="6" s="21" customFormat="1" ht="45" customHeight="1" spans="1:8">
      <c r="A6" s="30">
        <v>4</v>
      </c>
      <c r="B6" s="70" t="s">
        <v>167</v>
      </c>
      <c r="C6" s="31">
        <f>'2#楼明细(表2.1) '!H19+'2#楼明细(表2.1) '!H21</f>
        <v>32.5932</v>
      </c>
      <c r="D6" s="31">
        <f>'[8]55系列普铝内平开窗（5+12+5）'!D$84</f>
        <v>456.67833801851</v>
      </c>
      <c r="E6" s="31">
        <f t="shared" si="0"/>
        <v>448.989358879867</v>
      </c>
      <c r="F6" s="31">
        <f t="shared" si="1"/>
        <v>14884.6084067049</v>
      </c>
      <c r="G6" s="73">
        <f t="shared" si="2"/>
        <v>14633.9999718433</v>
      </c>
      <c r="H6" s="33"/>
    </row>
    <row r="7" s="21" customFormat="1" ht="45" customHeight="1" spans="1:9">
      <c r="A7" s="30">
        <v>5</v>
      </c>
      <c r="B7" s="17" t="s">
        <v>122</v>
      </c>
      <c r="C7" s="31">
        <f>'2#楼明细(表2.1) '!H5</f>
        <v>153.8784</v>
      </c>
      <c r="D7" s="31">
        <f>'[8]55隔热平开门钢化'!D$82</f>
        <v>654.014090188512</v>
      </c>
      <c r="E7" s="31">
        <f t="shared" si="0"/>
        <v>643.002618267909</v>
      </c>
      <c r="F7" s="31">
        <f t="shared" si="1"/>
        <v>100638.641775664</v>
      </c>
      <c r="G7" s="73">
        <f t="shared" si="2"/>
        <v>98944.2140948767</v>
      </c>
      <c r="H7" s="32"/>
      <c r="I7" s="4"/>
    </row>
    <row r="8" s="21" customFormat="1" ht="45" customHeight="1" spans="1:8">
      <c r="A8" s="30">
        <v>6</v>
      </c>
      <c r="B8" s="17" t="s">
        <v>132</v>
      </c>
      <c r="C8" s="31">
        <f>'2#楼明细(表2.1) '!H7+'2#楼明细(表2.1) '!H9</f>
        <v>82.8828</v>
      </c>
      <c r="D8" s="31">
        <f>'[8]55系列上悬窗（5+12+5LOW-E 非钢'!D$84</f>
        <v>929.110904721715</v>
      </c>
      <c r="E8" s="31">
        <f t="shared" si="0"/>
        <v>913.467696430102</v>
      </c>
      <c r="F8" s="31">
        <f t="shared" si="1"/>
        <v>77007.313293869</v>
      </c>
      <c r="G8" s="73">
        <f t="shared" si="2"/>
        <v>75710.7603896768</v>
      </c>
      <c r="H8" s="32"/>
    </row>
    <row r="9" s="21" customFormat="1" ht="45" customHeight="1" spans="1:8">
      <c r="A9" s="30">
        <v>7</v>
      </c>
      <c r="B9" s="17" t="s">
        <v>136</v>
      </c>
      <c r="C9" s="31">
        <f>'2#楼明细(表2.1) '!H8+'2#楼明细(表2.1) '!H10</f>
        <v>27.6276</v>
      </c>
      <c r="D9" s="31">
        <f>'[8]55系列上悬窗（5+12+5LOW-E钢化'!D$84</f>
        <v>942.768313571272</v>
      </c>
      <c r="E9" s="31">
        <f t="shared" si="0"/>
        <v>926.895158897293</v>
      </c>
      <c r="F9" s="31">
        <f t="shared" si="1"/>
        <v>26046.4258600217</v>
      </c>
      <c r="G9" s="73">
        <f t="shared" si="2"/>
        <v>25607.8886919509</v>
      </c>
      <c r="H9" s="34"/>
    </row>
    <row r="10" s="21" customFormat="1" ht="45" customHeight="1" spans="1:8">
      <c r="A10" s="30">
        <v>8</v>
      </c>
      <c r="B10" s="70" t="s">
        <v>160</v>
      </c>
      <c r="C10" s="31">
        <f>'2#楼明细(表2.1) '!H17</f>
        <v>12.7596</v>
      </c>
      <c r="D10" s="31">
        <f>'[8]80系列隔热推拉窗5+12+5low-e'!D$79</f>
        <v>563.957718038849</v>
      </c>
      <c r="E10" s="31">
        <f t="shared" si="0"/>
        <v>554.462502767872</v>
      </c>
      <c r="F10" s="31">
        <f t="shared" si="1"/>
        <v>7195.8748990885</v>
      </c>
      <c r="G10" s="73">
        <f t="shared" si="2"/>
        <v>7074.71975031694</v>
      </c>
      <c r="H10" s="35"/>
    </row>
    <row r="11" s="21" customFormat="1" ht="45" customHeight="1" spans="1:8">
      <c r="A11" s="30">
        <v>9</v>
      </c>
      <c r="B11" s="17" t="s">
        <v>147</v>
      </c>
      <c r="C11" s="31">
        <f>'2#楼明细(表2.1) '!H11</f>
        <v>17.199</v>
      </c>
      <c r="D11" s="31">
        <f>'[8]80系列隔热推拉窗5+12+5'!D$79</f>
        <v>675.882435857685</v>
      </c>
      <c r="E11" s="31">
        <f t="shared" si="0"/>
        <v>664.502772061863</v>
      </c>
      <c r="F11" s="31">
        <f t="shared" si="1"/>
        <v>11624.5020143163</v>
      </c>
      <c r="G11" s="73">
        <f t="shared" si="2"/>
        <v>11428.783176692</v>
      </c>
      <c r="H11" s="35"/>
    </row>
    <row r="12" s="21" customFormat="1" ht="45" customHeight="1" spans="1:8">
      <c r="A12" s="30">
        <v>10</v>
      </c>
      <c r="B12" s="70" t="s">
        <v>165</v>
      </c>
      <c r="C12" s="31">
        <f>'2#楼明细(表2.1) '!H20</f>
        <v>22.5246</v>
      </c>
      <c r="D12" s="31">
        <f>'[8]80系列普铝推拉窗'!D$79</f>
        <v>406.883870150735</v>
      </c>
      <c r="E12" s="31">
        <f t="shared" si="0"/>
        <v>400.033268033249</v>
      </c>
      <c r="F12" s="31">
        <f t="shared" si="1"/>
        <v>9164.89642159724</v>
      </c>
      <c r="G12" s="73">
        <f t="shared" si="2"/>
        <v>9010.58934914173</v>
      </c>
      <c r="H12" s="35"/>
    </row>
    <row r="13" s="21" customFormat="1" ht="45" customHeight="1" spans="1:8">
      <c r="A13" s="30">
        <v>11</v>
      </c>
      <c r="B13" s="17" t="s">
        <v>126</v>
      </c>
      <c r="C13" s="31">
        <f>'2#楼明细(表2.1) '!H4</f>
        <v>243.7344</v>
      </c>
      <c r="D13" s="31">
        <f>'[8]80系列普铝推拉门6+12+6钢化'!D$79</f>
        <v>403.095332864856</v>
      </c>
      <c r="E13" s="31">
        <f t="shared" si="0"/>
        <v>396.308517403605</v>
      </c>
      <c r="F13" s="31">
        <f t="shared" si="1"/>
        <v>98248.199098616</v>
      </c>
      <c r="G13" s="73">
        <f t="shared" si="2"/>
        <v>96594.0187042573</v>
      </c>
      <c r="H13" s="35"/>
    </row>
    <row r="14" s="21" customFormat="1" ht="45" customHeight="1" spans="1:8">
      <c r="A14" s="30">
        <v>12</v>
      </c>
      <c r="B14" s="17" t="s">
        <v>171</v>
      </c>
      <c r="C14" s="31">
        <f>'2#楼明细(表2.1) '!H6</f>
        <v>176.3424</v>
      </c>
      <c r="D14" s="31">
        <f>'[8]80系列普铝推拉门5+12+5钢化'!D$79</f>
        <v>431.669641812807</v>
      </c>
      <c r="E14" s="31">
        <f t="shared" si="0"/>
        <v>424.401727847179</v>
      </c>
      <c r="F14" s="31">
        <f t="shared" si="1"/>
        <v>76121.6606444107</v>
      </c>
      <c r="G14" s="73">
        <f t="shared" si="2"/>
        <v>74840.0192527185</v>
      </c>
      <c r="H14" s="71"/>
    </row>
    <row r="15" s="21" customFormat="1" ht="45" customHeight="1" spans="1:8">
      <c r="A15" s="30">
        <v>13</v>
      </c>
      <c r="B15" s="17" t="s">
        <v>155</v>
      </c>
      <c r="C15" s="36">
        <f>'2#楼明细(表2.1) '!H12</f>
        <v>5.9598</v>
      </c>
      <c r="D15" s="36">
        <f>'[8]55系列外平开窗（5+12+5非钢'!D$83</f>
        <v>740.875625165467</v>
      </c>
      <c r="E15" s="31">
        <f t="shared" si="0"/>
        <v>728.401687270923</v>
      </c>
      <c r="F15" s="31">
        <f t="shared" si="1"/>
        <v>4415.47055086115</v>
      </c>
      <c r="G15" s="73">
        <f t="shared" si="2"/>
        <v>4341.12837579725</v>
      </c>
      <c r="H15" s="35"/>
    </row>
    <row r="16" s="21" customFormat="1" ht="45" customHeight="1" spans="1:10">
      <c r="A16" s="38" t="s">
        <v>7</v>
      </c>
      <c r="B16" s="39"/>
      <c r="C16" s="40">
        <f>SUM(C3:C15)</f>
        <v>1045.2864</v>
      </c>
      <c r="D16" s="41">
        <f>F16/C16</f>
        <v>543.330099046945</v>
      </c>
      <c r="E16" s="41">
        <f>G16/C16</f>
        <v>534.182185845948</v>
      </c>
      <c r="F16" s="40">
        <f>SUM(F3:F15)</f>
        <v>567935.563244424</v>
      </c>
      <c r="G16" s="74">
        <f>SUM(G3:G15)</f>
        <v>558373.373987042</v>
      </c>
      <c r="H16" s="42"/>
      <c r="J16" s="21">
        <f>'3#楼汇总表（表2）'!H17</f>
        <v>0.983163249713124</v>
      </c>
    </row>
    <row r="17" s="21" customFormat="1" ht="45" customHeight="1" spans="1:7">
      <c r="A17" s="43" t="s">
        <v>113</v>
      </c>
      <c r="B17" s="43"/>
      <c r="C17" s="43"/>
      <c r="D17" s="43"/>
      <c r="E17" s="43"/>
      <c r="F17" s="43"/>
      <c r="G17" s="63"/>
    </row>
    <row r="18" spans="1:6">
      <c r="A18" s="44"/>
      <c r="B18" s="45"/>
      <c r="C18" s="46"/>
      <c r="D18" s="46"/>
      <c r="E18" s="46"/>
      <c r="F18" s="46"/>
    </row>
    <row r="24" spans="2:2">
      <c r="B24" s="5"/>
    </row>
    <row r="25" spans="2:2">
      <c r="B25" s="5"/>
    </row>
    <row r="26" spans="2:2">
      <c r="B26" s="5"/>
    </row>
  </sheetData>
  <mergeCells count="3">
    <mergeCell ref="A1:H1"/>
    <mergeCell ref="A17:F17"/>
    <mergeCell ref="H9:H14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2"/>
  <sheetViews>
    <sheetView zoomScale="85" zoomScaleNormal="85" workbookViewId="0">
      <pane ySplit="1" topLeftCell="A8" activePane="bottomLeft" state="frozen"/>
      <selection/>
      <selection pane="bottomLeft" activeCell="K10" sqref="K10"/>
    </sheetView>
  </sheetViews>
  <sheetFormatPr defaultColWidth="9" defaultRowHeight="14.25"/>
  <cols>
    <col min="1" max="1" width="6.5" style="2" customWidth="1"/>
    <col min="2" max="2" width="45.875" style="3" customWidth="1"/>
    <col min="3" max="3" width="16.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6" t="s">
        <v>172</v>
      </c>
      <c r="B1" s="66"/>
      <c r="C1" s="66"/>
      <c r="D1" s="66"/>
      <c r="E1" s="66"/>
      <c r="F1" s="66"/>
      <c r="G1" s="66"/>
      <c r="H1" s="66"/>
      <c r="I1" s="69"/>
    </row>
    <row r="2" ht="21.95" customHeight="1" spans="1:9">
      <c r="A2" s="7" t="s">
        <v>1</v>
      </c>
      <c r="B2" s="7" t="s">
        <v>115</v>
      </c>
      <c r="C2" s="7" t="s">
        <v>116</v>
      </c>
      <c r="D2" s="8" t="s">
        <v>117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118</v>
      </c>
      <c r="E3" s="11" t="s">
        <v>119</v>
      </c>
      <c r="F3" s="11" t="s">
        <v>120</v>
      </c>
      <c r="G3" s="11" t="s">
        <v>121</v>
      </c>
      <c r="H3" s="12" t="s">
        <v>3</v>
      </c>
      <c r="I3" s="19"/>
    </row>
    <row r="4" ht="63" customHeight="1" spans="1:9">
      <c r="A4" s="2">
        <v>1</v>
      </c>
      <c r="B4" s="54" t="s">
        <v>126</v>
      </c>
      <c r="C4" s="11" t="s">
        <v>173</v>
      </c>
      <c r="D4" s="47" t="s">
        <v>174</v>
      </c>
      <c r="E4" s="11">
        <v>2170</v>
      </c>
      <c r="F4" s="11">
        <v>2340</v>
      </c>
      <c r="G4" s="11">
        <f>1*2*3*8</f>
        <v>48</v>
      </c>
      <c r="H4" s="12">
        <f t="shared" ref="H4:H10" si="0">E4*F4*G4/1000000</f>
        <v>243.7344</v>
      </c>
      <c r="I4" s="17" t="s">
        <v>128</v>
      </c>
    </row>
    <row r="5" ht="45" customHeight="1" spans="1:9">
      <c r="A5" s="2">
        <v>2</v>
      </c>
      <c r="B5" s="54" t="s">
        <v>122</v>
      </c>
      <c r="C5" s="11" t="s">
        <v>175</v>
      </c>
      <c r="D5" s="47" t="s">
        <v>174</v>
      </c>
      <c r="E5" s="11">
        <v>1370</v>
      </c>
      <c r="F5" s="11">
        <v>2340</v>
      </c>
      <c r="G5" s="11">
        <f>1*2*3*8</f>
        <v>48</v>
      </c>
      <c r="H5" s="12">
        <f t="shared" si="0"/>
        <v>153.8784</v>
      </c>
      <c r="I5" s="17" t="s">
        <v>125</v>
      </c>
    </row>
    <row r="6" ht="45" customHeight="1" spans="1:9">
      <c r="A6" s="2">
        <v>3</v>
      </c>
      <c r="B6" s="72" t="s">
        <v>171</v>
      </c>
      <c r="C6" s="11" t="s">
        <v>176</v>
      </c>
      <c r="D6" s="47" t="s">
        <v>174</v>
      </c>
      <c r="E6" s="11">
        <v>1570</v>
      </c>
      <c r="F6" s="11">
        <v>2340</v>
      </c>
      <c r="G6" s="11">
        <f>1*2*3*8</f>
        <v>48</v>
      </c>
      <c r="H6" s="12">
        <f t="shared" si="0"/>
        <v>176.3424</v>
      </c>
      <c r="I6" s="17" t="s">
        <v>177</v>
      </c>
    </row>
    <row r="7" ht="45" customHeight="1" spans="1:9">
      <c r="A7" s="2">
        <v>4</v>
      </c>
      <c r="B7" s="54" t="s">
        <v>132</v>
      </c>
      <c r="C7" s="11" t="s">
        <v>178</v>
      </c>
      <c r="D7" s="47" t="s">
        <v>179</v>
      </c>
      <c r="E7" s="11">
        <v>420</v>
      </c>
      <c r="F7" s="11">
        <v>1430</v>
      </c>
      <c r="G7" s="11">
        <f>4*6</f>
        <v>24</v>
      </c>
      <c r="H7" s="12">
        <f t="shared" si="0"/>
        <v>14.4144</v>
      </c>
      <c r="I7" s="17" t="s">
        <v>154</v>
      </c>
    </row>
    <row r="8" ht="45" customHeight="1" spans="1:9">
      <c r="A8" s="2">
        <v>4.1</v>
      </c>
      <c r="B8" s="54" t="s">
        <v>136</v>
      </c>
      <c r="C8" s="11" t="s">
        <v>178</v>
      </c>
      <c r="D8" s="47" t="s">
        <v>180</v>
      </c>
      <c r="E8" s="11">
        <v>420</v>
      </c>
      <c r="F8" s="11">
        <v>1430</v>
      </c>
      <c r="G8" s="11">
        <f>4*2</f>
        <v>8</v>
      </c>
      <c r="H8" s="12">
        <f t="shared" si="0"/>
        <v>4.8048</v>
      </c>
      <c r="I8" s="17" t="s">
        <v>154</v>
      </c>
    </row>
    <row r="9" ht="45" customHeight="1" spans="1:9">
      <c r="A9" s="2">
        <v>5</v>
      </c>
      <c r="B9" s="54" t="s">
        <v>132</v>
      </c>
      <c r="C9" s="11" t="s">
        <v>181</v>
      </c>
      <c r="D9" s="47" t="s">
        <v>179</v>
      </c>
      <c r="E9" s="11">
        <v>570</v>
      </c>
      <c r="F9" s="11">
        <v>1430</v>
      </c>
      <c r="G9" s="11">
        <f>14*6</f>
        <v>84</v>
      </c>
      <c r="H9" s="12">
        <f t="shared" si="0"/>
        <v>68.4684</v>
      </c>
      <c r="I9" s="17" t="s">
        <v>182</v>
      </c>
    </row>
    <row r="10" ht="45" customHeight="1" spans="1:9">
      <c r="A10" s="2">
        <v>5.1</v>
      </c>
      <c r="B10" s="54" t="s">
        <v>136</v>
      </c>
      <c r="C10" s="11" t="s">
        <v>181</v>
      </c>
      <c r="D10" s="47" t="s">
        <v>180</v>
      </c>
      <c r="E10" s="11">
        <v>570</v>
      </c>
      <c r="F10" s="11">
        <v>1430</v>
      </c>
      <c r="G10" s="11">
        <f>14*2</f>
        <v>28</v>
      </c>
      <c r="H10" s="12">
        <f t="shared" si="0"/>
        <v>22.8228</v>
      </c>
      <c r="I10" s="17" t="s">
        <v>182</v>
      </c>
    </row>
    <row r="11" ht="39.95" customHeight="1" spans="1:9">
      <c r="A11" s="2">
        <v>6</v>
      </c>
      <c r="B11" s="72" t="s">
        <v>147</v>
      </c>
      <c r="C11" s="11" t="s">
        <v>145</v>
      </c>
      <c r="D11" s="11" t="s">
        <v>151</v>
      </c>
      <c r="E11" s="11">
        <v>1170</v>
      </c>
      <c r="F11" s="11">
        <v>980</v>
      </c>
      <c r="G11" s="11">
        <f>3*5</f>
        <v>15</v>
      </c>
      <c r="H11" s="12">
        <f t="shared" ref="H11:H21" si="1">E11*F11*G11/1000000</f>
        <v>17.199</v>
      </c>
      <c r="I11" s="17" t="s">
        <v>152</v>
      </c>
    </row>
    <row r="12" ht="42" customHeight="1" spans="1:9">
      <c r="A12" s="2">
        <v>7</v>
      </c>
      <c r="B12" s="54" t="s">
        <v>155</v>
      </c>
      <c r="C12" s="11" t="s">
        <v>183</v>
      </c>
      <c r="D12" s="47" t="s">
        <v>184</v>
      </c>
      <c r="E12" s="12">
        <v>770</v>
      </c>
      <c r="F12" s="12">
        <v>2580</v>
      </c>
      <c r="G12" s="67">
        <v>3</v>
      </c>
      <c r="H12" s="12">
        <f t="shared" si="1"/>
        <v>5.9598</v>
      </c>
      <c r="I12" s="17" t="s">
        <v>185</v>
      </c>
    </row>
    <row r="13" ht="48" customHeight="1" spans="1:9">
      <c r="A13" s="2">
        <v>8</v>
      </c>
      <c r="B13" s="54" t="s">
        <v>144</v>
      </c>
      <c r="C13" s="11" t="s">
        <v>145</v>
      </c>
      <c r="D13" s="11" t="s">
        <v>186</v>
      </c>
      <c r="E13" s="11">
        <v>1170</v>
      </c>
      <c r="F13" s="11">
        <v>980</v>
      </c>
      <c r="G13" s="11">
        <f>3</f>
        <v>3</v>
      </c>
      <c r="H13" s="12">
        <f t="shared" si="1"/>
        <v>3.4398</v>
      </c>
      <c r="I13" s="17" t="s">
        <v>152</v>
      </c>
    </row>
    <row r="14" ht="41.1" customHeight="1" spans="1:9">
      <c r="A14" s="2">
        <v>9</v>
      </c>
      <c r="B14" s="68" t="s">
        <v>170</v>
      </c>
      <c r="C14" s="16" t="s">
        <v>187</v>
      </c>
      <c r="D14" s="47" t="s">
        <v>174</v>
      </c>
      <c r="E14" s="11">
        <v>1770</v>
      </c>
      <c r="F14" s="11">
        <v>1730</v>
      </c>
      <c r="G14" s="11">
        <f>2*3*8</f>
        <v>48</v>
      </c>
      <c r="H14" s="12">
        <f t="shared" si="1"/>
        <v>146.9808</v>
      </c>
      <c r="I14" s="17" t="s">
        <v>143</v>
      </c>
    </row>
    <row r="15" ht="32.1" customHeight="1" spans="1:9">
      <c r="A15" s="2">
        <v>10</v>
      </c>
      <c r="B15" s="54" t="s">
        <v>138</v>
      </c>
      <c r="C15" s="11" t="s">
        <v>188</v>
      </c>
      <c r="D15" s="47" t="s">
        <v>174</v>
      </c>
      <c r="E15" s="11">
        <v>1470</v>
      </c>
      <c r="F15" s="11">
        <v>1430</v>
      </c>
      <c r="G15" s="11">
        <f>1*2*3*8</f>
        <v>48</v>
      </c>
      <c r="H15" s="12">
        <f t="shared" si="1"/>
        <v>100.9008</v>
      </c>
      <c r="I15" s="17" t="s">
        <v>140</v>
      </c>
    </row>
    <row r="16" ht="42.95" customHeight="1" spans="1:9">
      <c r="A16" s="2">
        <v>11</v>
      </c>
      <c r="B16" s="68" t="s">
        <v>138</v>
      </c>
      <c r="C16" s="16" t="s">
        <v>189</v>
      </c>
      <c r="D16" s="16" t="s">
        <v>159</v>
      </c>
      <c r="E16" s="11">
        <v>1770</v>
      </c>
      <c r="F16" s="11">
        <v>980</v>
      </c>
      <c r="G16" s="11">
        <v>6</v>
      </c>
      <c r="H16" s="12">
        <f t="shared" si="1"/>
        <v>10.4076</v>
      </c>
      <c r="I16" s="17"/>
    </row>
    <row r="17" ht="30.75" customHeight="1" spans="1:9">
      <c r="A17" s="2">
        <v>12</v>
      </c>
      <c r="B17" s="68" t="s">
        <v>160</v>
      </c>
      <c r="C17" s="16" t="s">
        <v>190</v>
      </c>
      <c r="D17" s="16" t="s">
        <v>159</v>
      </c>
      <c r="E17" s="11">
        <v>2170</v>
      </c>
      <c r="F17" s="11">
        <v>980</v>
      </c>
      <c r="G17" s="11">
        <v>6</v>
      </c>
      <c r="H17" s="12">
        <f t="shared" si="1"/>
        <v>12.7596</v>
      </c>
      <c r="I17" s="17"/>
    </row>
    <row r="18" ht="45.95" customHeight="1" spans="1:9">
      <c r="A18" s="2">
        <v>13</v>
      </c>
      <c r="B18" s="54" t="s">
        <v>138</v>
      </c>
      <c r="C18" s="16" t="s">
        <v>191</v>
      </c>
      <c r="D18" s="16" t="s">
        <v>159</v>
      </c>
      <c r="E18" s="11">
        <v>1370</v>
      </c>
      <c r="F18" s="11">
        <v>980</v>
      </c>
      <c r="G18" s="11">
        <v>6</v>
      </c>
      <c r="H18" s="12">
        <f t="shared" si="1"/>
        <v>8.0556</v>
      </c>
      <c r="I18" s="17"/>
    </row>
    <row r="19" ht="30.75" customHeight="1" spans="1:9">
      <c r="A19" s="2">
        <v>14</v>
      </c>
      <c r="B19" s="68" t="s">
        <v>167</v>
      </c>
      <c r="C19" s="16" t="s">
        <v>192</v>
      </c>
      <c r="D19" s="16" t="s">
        <v>159</v>
      </c>
      <c r="E19" s="11">
        <v>1770</v>
      </c>
      <c r="F19" s="11">
        <v>1730</v>
      </c>
      <c r="G19" s="11">
        <v>6</v>
      </c>
      <c r="H19" s="12">
        <f t="shared" si="1"/>
        <v>18.3726</v>
      </c>
      <c r="I19" s="17"/>
    </row>
    <row r="20" ht="53.1" customHeight="1" spans="1:9">
      <c r="A20" s="2">
        <v>15</v>
      </c>
      <c r="B20" s="68" t="s">
        <v>165</v>
      </c>
      <c r="C20" s="11" t="s">
        <v>193</v>
      </c>
      <c r="D20" s="16" t="s">
        <v>159</v>
      </c>
      <c r="E20" s="11">
        <v>2170</v>
      </c>
      <c r="F20" s="11">
        <v>1730</v>
      </c>
      <c r="G20" s="11">
        <v>6</v>
      </c>
      <c r="H20" s="12">
        <f t="shared" si="1"/>
        <v>22.5246</v>
      </c>
      <c r="I20" s="17"/>
    </row>
    <row r="21" s="1" customFormat="1" ht="39.95" customHeight="1" spans="1:9">
      <c r="A21" s="2">
        <v>16</v>
      </c>
      <c r="B21" s="68" t="s">
        <v>167</v>
      </c>
      <c r="C21" s="16" t="s">
        <v>194</v>
      </c>
      <c r="D21" s="16" t="s">
        <v>159</v>
      </c>
      <c r="E21" s="11">
        <v>1370</v>
      </c>
      <c r="F21" s="11">
        <v>1730</v>
      </c>
      <c r="G21" s="11">
        <v>6</v>
      </c>
      <c r="H21" s="12">
        <f t="shared" si="1"/>
        <v>14.2206</v>
      </c>
      <c r="I21" s="17"/>
    </row>
    <row r="22" ht="27.75" customHeight="1" spans="1:9">
      <c r="A22" s="2">
        <v>17</v>
      </c>
      <c r="B22" s="11"/>
      <c r="C22" s="11"/>
      <c r="D22" s="11"/>
      <c r="E22" s="11"/>
      <c r="F22" s="11"/>
      <c r="G22" s="11"/>
      <c r="H22" s="12">
        <f>SUM(H4:H21)</f>
        <v>1045.2864</v>
      </c>
      <c r="I22" s="17"/>
    </row>
  </sheetData>
  <autoFilter ref="A3:L22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6"/>
  <sheetViews>
    <sheetView topLeftCell="A13" workbookViewId="0">
      <selection activeCell="H18" sqref="H18"/>
    </sheetView>
  </sheetViews>
  <sheetFormatPr defaultColWidth="8.75" defaultRowHeight="14.25" outlineLevelCol="7"/>
  <cols>
    <col min="1" max="1" width="5.25" style="23" customWidth="1"/>
    <col min="2" max="2" width="35.75" style="24" customWidth="1"/>
    <col min="3" max="3" width="16.375" style="24" customWidth="1"/>
    <col min="4" max="4" width="12.75" style="24" customWidth="1"/>
    <col min="5" max="5" width="14.25" style="24" customWidth="1"/>
    <col min="6" max="6" width="6.875" style="24" customWidth="1"/>
    <col min="7" max="7" width="8.75" style="24"/>
    <col min="8" max="8" width="11.5" style="24"/>
    <col min="9" max="16384" width="8.75" style="24"/>
  </cols>
  <sheetData>
    <row r="1" s="21" customFormat="1" ht="40.5" customHeight="1" spans="1:6">
      <c r="A1" s="25" t="s">
        <v>195</v>
      </c>
      <c r="B1" s="25"/>
      <c r="C1" s="25"/>
      <c r="D1" s="25"/>
      <c r="E1" s="25"/>
      <c r="F1" s="25"/>
    </row>
    <row r="2" s="22" customFormat="1" ht="44.25" customHeight="1" spans="1:6">
      <c r="A2" s="26" t="s">
        <v>1</v>
      </c>
      <c r="B2" s="27" t="s">
        <v>2</v>
      </c>
      <c r="C2" s="28" t="s">
        <v>3</v>
      </c>
      <c r="D2" s="27" t="s">
        <v>4</v>
      </c>
      <c r="E2" s="28" t="s">
        <v>5</v>
      </c>
      <c r="F2" s="29" t="s">
        <v>6</v>
      </c>
    </row>
    <row r="3" s="21" customFormat="1" ht="51.95" customHeight="1" spans="1:6">
      <c r="A3" s="30">
        <v>1</v>
      </c>
      <c r="B3" s="70" t="s">
        <v>170</v>
      </c>
      <c r="C3" s="31">
        <f>'3#楼明细(表2.1)'!H14</f>
        <v>146.9808</v>
      </c>
      <c r="D3" s="31">
        <f>'[9]55系列隔热内平开窗（5+12+5LOW钢化'!D$84</f>
        <v>496.914052510667</v>
      </c>
      <c r="E3" s="31">
        <f>C3*D3</f>
        <v>73036.8249692598</v>
      </c>
      <c r="F3" s="32"/>
    </row>
    <row r="4" s="21" customFormat="1" ht="51.95" customHeight="1" spans="1:6">
      <c r="A4" s="30">
        <v>2</v>
      </c>
      <c r="B4" s="17" t="s">
        <v>138</v>
      </c>
      <c r="C4" s="31">
        <f>'3#楼明细(表2.1)'!H15+'3#楼明细(表2.1)'!H16+'3#楼明细(表2.1)'!H18</f>
        <v>119.364</v>
      </c>
      <c r="D4" s="31">
        <f>'[9]55系列隔热内平开窗（5+12+5LOW-E'!D$84</f>
        <v>557.367836090127</v>
      </c>
      <c r="E4" s="31">
        <f t="shared" ref="E4:E15" si="0">C4*D4</f>
        <v>66529.6543870619</v>
      </c>
      <c r="F4" s="33"/>
    </row>
    <row r="5" s="21" customFormat="1" ht="51.95" customHeight="1" spans="1:6">
      <c r="A5" s="30">
        <v>3</v>
      </c>
      <c r="B5" s="17" t="s">
        <v>144</v>
      </c>
      <c r="C5" s="31">
        <f>'3#楼明细(表2.1)'!H13</f>
        <v>3.4398</v>
      </c>
      <c r="D5" s="31">
        <f>'[9]55系列隔热内平开窗（5+12+5）'!D$83</f>
        <v>878.391453850047</v>
      </c>
      <c r="E5" s="31">
        <f t="shared" si="0"/>
        <v>3021.49092295339</v>
      </c>
      <c r="F5" s="33"/>
    </row>
    <row r="6" s="21" customFormat="1" ht="43.15" customHeight="1" spans="1:6">
      <c r="A6" s="30">
        <v>4</v>
      </c>
      <c r="B6" s="70" t="s">
        <v>167</v>
      </c>
      <c r="C6" s="31">
        <f>'3#楼明细(表2.1)'!H19+'3#楼明细(表2.1)'!H21</f>
        <v>32.5932</v>
      </c>
      <c r="D6" s="31">
        <f>'[9]55系列普铝内平开窗（5+12+5）'!D$84</f>
        <v>452.316417630706</v>
      </c>
      <c r="E6" s="31">
        <f t="shared" si="0"/>
        <v>14742.4394631211</v>
      </c>
      <c r="F6" s="33"/>
    </row>
    <row r="7" s="21" customFormat="1" ht="56.1" customHeight="1" spans="1:7">
      <c r="A7" s="30">
        <v>5</v>
      </c>
      <c r="B7" s="17" t="s">
        <v>122</v>
      </c>
      <c r="C7" s="31">
        <f>'3#楼明细(表2.1)'!H5</f>
        <v>153.8784</v>
      </c>
      <c r="D7" s="31">
        <f>'[9]55隔热平开门钢化'!D$82</f>
        <v>654.014090188512</v>
      </c>
      <c r="E7" s="31">
        <f t="shared" si="0"/>
        <v>100638.641775664</v>
      </c>
      <c r="F7" s="32"/>
      <c r="G7" s="4"/>
    </row>
    <row r="8" s="21" customFormat="1" ht="51.95" customHeight="1" spans="1:6">
      <c r="A8" s="30">
        <v>6</v>
      </c>
      <c r="B8" s="17" t="s">
        <v>132</v>
      </c>
      <c r="C8" s="31">
        <f>'3#楼明细(表2.1)'!H7+'3#楼明细(表2.1)'!H9</f>
        <v>82.8828</v>
      </c>
      <c r="D8" s="31">
        <f>'[9]55系列上悬窗（5+12+5LOW-E 非钢'!D$84</f>
        <v>929.110904721715</v>
      </c>
      <c r="E8" s="31">
        <f t="shared" si="0"/>
        <v>77007.313293869</v>
      </c>
      <c r="F8" s="32"/>
    </row>
    <row r="9" s="21" customFormat="1" ht="65.1" customHeight="1" spans="1:6">
      <c r="A9" s="30">
        <v>7</v>
      </c>
      <c r="B9" s="17" t="s">
        <v>136</v>
      </c>
      <c r="C9" s="31">
        <f>'3#楼明细(表2.1)'!H8+'3#楼明细(表2.1)'!H10</f>
        <v>27.6276</v>
      </c>
      <c r="D9" s="31">
        <f>'[9]55系列上悬窗（5+12+5LOW-E钢化'!D$84</f>
        <v>942.768313571272</v>
      </c>
      <c r="E9" s="31">
        <f t="shared" si="0"/>
        <v>26046.4258600217</v>
      </c>
      <c r="F9" s="34"/>
    </row>
    <row r="10" s="21" customFormat="1" ht="51.95" customHeight="1" spans="1:6">
      <c r="A10" s="30">
        <v>8</v>
      </c>
      <c r="B10" s="70" t="s">
        <v>160</v>
      </c>
      <c r="C10" s="31">
        <f>'3#楼明细(表2.1)'!H17</f>
        <v>12.7596</v>
      </c>
      <c r="D10" s="31">
        <f>'[9]80系列隔热推拉窗5+12+5low-e'!D$79</f>
        <v>563.957718038849</v>
      </c>
      <c r="E10" s="31">
        <f t="shared" si="0"/>
        <v>7195.8748990885</v>
      </c>
      <c r="F10" s="35"/>
    </row>
    <row r="11" s="21" customFormat="1" ht="51.95" customHeight="1" spans="1:6">
      <c r="A11" s="30">
        <v>9</v>
      </c>
      <c r="B11" s="17" t="s">
        <v>147</v>
      </c>
      <c r="C11" s="31">
        <f>'3#楼明细(表2.1)'!H11</f>
        <v>17.199</v>
      </c>
      <c r="D11" s="31">
        <f>'[9]80系列隔热推拉窗5+12+5'!D$79</f>
        <v>675.882435857685</v>
      </c>
      <c r="E11" s="31">
        <f t="shared" si="0"/>
        <v>11624.5020143163</v>
      </c>
      <c r="F11" s="35"/>
    </row>
    <row r="12" s="21" customFormat="1" ht="51.95" customHeight="1" spans="1:6">
      <c r="A12" s="30">
        <v>10</v>
      </c>
      <c r="B12" s="70" t="s">
        <v>165</v>
      </c>
      <c r="C12" s="31">
        <f>'3#楼明细(表2.1)'!H20</f>
        <v>22.5246</v>
      </c>
      <c r="D12" s="31">
        <f>'[9]80系列普铝推拉窗'!D$79</f>
        <v>406.883870150735</v>
      </c>
      <c r="E12" s="31">
        <f t="shared" si="0"/>
        <v>9164.89642159724</v>
      </c>
      <c r="F12" s="35"/>
    </row>
    <row r="13" s="21" customFormat="1" ht="51.95" customHeight="1" spans="1:6">
      <c r="A13" s="30">
        <v>11</v>
      </c>
      <c r="B13" s="17" t="s">
        <v>171</v>
      </c>
      <c r="C13" s="31">
        <f>'3#楼明细(表2.1)'!H6</f>
        <v>176.3424</v>
      </c>
      <c r="D13" s="31">
        <f>'[9]80系列普铝推拉门5+12+5钢化'!D$79</f>
        <v>431.669641812807</v>
      </c>
      <c r="E13" s="31">
        <f t="shared" si="0"/>
        <v>76121.6606444107</v>
      </c>
      <c r="F13" s="35"/>
    </row>
    <row r="14" s="21" customFormat="1" ht="51.95" customHeight="1" spans="1:6">
      <c r="A14" s="30">
        <v>12</v>
      </c>
      <c r="B14" s="17" t="s">
        <v>126</v>
      </c>
      <c r="C14" s="31">
        <f>'3#楼明细(表2.1)'!H4</f>
        <v>243.7344</v>
      </c>
      <c r="D14" s="31">
        <f>'[9]80系列普铝推拉门6+12+6钢化'!D$79</f>
        <v>403.095332864856</v>
      </c>
      <c r="E14" s="31">
        <f t="shared" si="0"/>
        <v>98248.199098616</v>
      </c>
      <c r="F14" s="71"/>
    </row>
    <row r="15" s="21" customFormat="1" ht="51.95" customHeight="1" spans="1:6">
      <c r="A15" s="30">
        <v>13</v>
      </c>
      <c r="B15" s="17" t="s">
        <v>155</v>
      </c>
      <c r="C15" s="36">
        <f>'3#楼明细(表2.1)'!H12</f>
        <v>5.9598</v>
      </c>
      <c r="D15" s="36">
        <f>'[9]55系列外平开窗（5+12+5非钢'!D$83</f>
        <v>740.875625165467</v>
      </c>
      <c r="E15" s="31">
        <f t="shared" si="0"/>
        <v>4415.47055086115</v>
      </c>
      <c r="F15" s="35"/>
    </row>
    <row r="16" s="21" customFormat="1" ht="42" customHeight="1" spans="1:6">
      <c r="A16" s="38" t="s">
        <v>7</v>
      </c>
      <c r="B16" s="39"/>
      <c r="C16" s="40">
        <f>SUM(C3:C15)</f>
        <v>1045.2864</v>
      </c>
      <c r="D16" s="41">
        <f>E16/C16</f>
        <v>543.19408948671</v>
      </c>
      <c r="E16" s="40">
        <f>SUM(E3:E15)</f>
        <v>567793.394300841</v>
      </c>
      <c r="F16" s="42"/>
    </row>
    <row r="17" s="21" customFormat="1" ht="55.5" customHeight="1" spans="1:8">
      <c r="A17" s="43" t="s">
        <v>113</v>
      </c>
      <c r="B17" s="43"/>
      <c r="C17" s="43"/>
      <c r="D17" s="43"/>
      <c r="E17" s="43"/>
      <c r="H17" s="21">
        <f>'6#楼汇总表（表2）'!J16</f>
        <v>0.983163249713124</v>
      </c>
    </row>
    <row r="18" spans="1:5">
      <c r="A18" s="44"/>
      <c r="B18" s="45"/>
      <c r="C18" s="46"/>
      <c r="D18" s="46"/>
      <c r="E18" s="46"/>
    </row>
    <row r="24" spans="2:2">
      <c r="B24" s="5"/>
    </row>
    <row r="25" spans="2:2">
      <c r="B25" s="5"/>
    </row>
    <row r="26" spans="2:2">
      <c r="B26" s="5"/>
    </row>
  </sheetData>
  <mergeCells count="3">
    <mergeCell ref="A1:F1"/>
    <mergeCell ref="A17:E17"/>
    <mergeCell ref="F9:F14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汇总表</vt:lpstr>
      <vt:lpstr>Sheet1</vt:lpstr>
      <vt:lpstr>综合单价分析表</vt:lpstr>
      <vt:lpstr>汇总</vt:lpstr>
      <vt:lpstr>1#楼汇总表（表2）</vt:lpstr>
      <vt:lpstr>1#楼明细(表2.1) </vt:lpstr>
      <vt:lpstr>2#楼汇总表（表2）</vt:lpstr>
      <vt:lpstr>2#楼明细(表2.1) </vt:lpstr>
      <vt:lpstr>3#楼汇总表（表2）</vt:lpstr>
      <vt:lpstr>3#楼明细(表2.1)</vt:lpstr>
      <vt:lpstr>5#楼汇总表（表2）</vt:lpstr>
      <vt:lpstr>5#楼明细(表2.1) </vt:lpstr>
      <vt:lpstr>6#楼汇总表（表2）</vt:lpstr>
      <vt:lpstr>6#楼明细(表2.1)  </vt:lpstr>
      <vt:lpstr>7#楼汇总表（表2）</vt:lpstr>
      <vt:lpstr>7#楼明细(表2.1)</vt:lpstr>
      <vt:lpstr>8#楼汇总表（表2）</vt:lpstr>
      <vt:lpstr>8#楼明细(表2.1) </vt:lpstr>
      <vt:lpstr>9#楼汇总表（表2）</vt:lpstr>
      <vt:lpstr>9#楼明细(表2.1) </vt:lpstr>
      <vt:lpstr>10#楼汇总表（表2）</vt:lpstr>
      <vt:lpstr>10#楼明细(表2.1) </vt:lpstr>
      <vt:lpstr>11#楼汇总表（表2）</vt:lpstr>
      <vt:lpstr>11#楼明细(表2.1)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dcterms:created xsi:type="dcterms:W3CDTF">2009-08-21T07:16:00Z</dcterms:created>
  <cp:lastPrinted>2019-01-14T01:01:00Z</cp:lastPrinted>
  <dcterms:modified xsi:type="dcterms:W3CDTF">2023-07-03T01:49:03Z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2F7A9694C31B4DBEB565B8AC3BCB083D_13</vt:lpwstr>
  </property>
</Properties>
</file>