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清单报价说明" sheetId="6" r:id="rId1"/>
    <sheet name="汇总表" sheetId="4" r:id="rId2"/>
    <sheet name="户内精装修" sheetId="3" r:id="rId3"/>
    <sheet name="安装" sheetId="5" r:id="rId4"/>
  </sheets>
  <externalReferences>
    <externalReference r:id="rId5"/>
  </externalReferences>
  <definedNames>
    <definedName name="_xlnm._FilterDatabase" localSheetId="2" hidden="1">户内精装修!$A$4:$S$231</definedName>
    <definedName name="_xlnm._FilterDatabase" localSheetId="3" hidden="1">安装!$A$3:$O$288</definedName>
    <definedName name="_xlnm.Print_Area" localSheetId="0">清单报价说明!$A$1:$B$23</definedName>
    <definedName name="a">EVALUATE('[1]3一层售楼部硬装'!XFD1)</definedName>
    <definedName name="aa">EVALUATE(#REF!)</definedName>
    <definedName name="as">EVALUATE(#REF!)</definedName>
    <definedName name="ad">EVALUATE('[1]4二层办公司硬装'!XFD1)</definedName>
    <definedName name="_xlnm.Print_Area" localSheetId="2">户内精装修!$A$1:$M$232</definedName>
  </definedNames>
  <calcPr calcId="144525"/>
</workbook>
</file>

<file path=xl/sharedStrings.xml><?xml version="1.0" encoding="utf-8"?>
<sst xmlns="http://schemas.openxmlformats.org/spreadsheetml/2006/main" count="1871" uniqueCount="305">
  <si>
    <t>工程量清单报价说明</t>
  </si>
  <si>
    <t>一、工程概况:</t>
  </si>
  <si>
    <t>工程概况:</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</si>
  <si>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</si>
  <si>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</si>
  <si>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</si>
  <si>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</si>
  <si>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</si>
  <si>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</si>
  <si>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</si>
  <si>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</si>
  <si>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</si>
  <si>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</si>
  <si>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</si>
  <si>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</si>
  <si>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固定总价包干，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</si>
  <si>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</si>
  <si>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</si>
  <si>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</si>
  <si>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16#楼精装户型给水系统从入户50cm开始施工至给水末端（含热水系统），含卫生洁具、厨房用具及地漏等安装，含精装施工范围内的管道、卫生洁具、厨房用具的封堵工作，含管道试压等调试工作，含与总包的对接工作。</t>
  </si>
  <si>
    <t>16#楼精装户型强弱电系统图示配线、灯具、开关、插座、弱电插座等的安装及调试工作，含与总包的对接工作。</t>
  </si>
  <si>
    <t>灯具选样按图纸后附主材表计入。</t>
  </si>
  <si>
    <t>以下内容为空白。</t>
  </si>
  <si>
    <t>16#楼精装房工程-装饰</t>
  </si>
  <si>
    <t>序号</t>
  </si>
  <si>
    <t>户型名称</t>
  </si>
  <si>
    <t>项目名称</t>
  </si>
  <si>
    <t>单户型造价（元/个）</t>
  </si>
  <si>
    <t>户型数量（个）</t>
  </si>
  <si>
    <t>合计（元）</t>
  </si>
  <si>
    <t>备注</t>
  </si>
  <si>
    <t>H1户型</t>
  </si>
  <si>
    <t>小计</t>
  </si>
  <si>
    <t>安装部分</t>
  </si>
  <si>
    <t>H2户型</t>
  </si>
  <si>
    <t>H3户型</t>
  </si>
  <si>
    <t>H4户型</t>
  </si>
  <si>
    <t>H5户型</t>
  </si>
  <si>
    <t>合计</t>
  </si>
  <si>
    <t>工程项目名称</t>
  </si>
  <si>
    <t>工程内容</t>
  </si>
  <si>
    <t>单位</t>
  </si>
  <si>
    <t>工程量
g</t>
  </si>
  <si>
    <t>其中：各子项构成（元）</t>
  </si>
  <si>
    <t>含税综合单价(元)
f=(a+b+c+d+e)</t>
  </si>
  <si>
    <t>合价(元)=g*f</t>
  </si>
  <si>
    <t>人工费
a</t>
  </si>
  <si>
    <t>主材费
b</t>
  </si>
  <si>
    <t>机械、辅材及其他c</t>
  </si>
  <si>
    <t>管理费及利润
d=(a+b+c)*费率</t>
  </si>
  <si>
    <t>税金
e=(a+b+c+d)*费率</t>
  </si>
  <si>
    <t>一</t>
  </si>
  <si>
    <t>H1硬质装修部分</t>
  </si>
  <si>
    <t>一个户型工程量清单，</t>
  </si>
  <si>
    <t>地面</t>
  </si>
  <si>
    <t>木地板</t>
  </si>
  <si>
    <t>1、10mm厚强化复合木地板
2、地板与过门石接口处采用5mm不锈钢收口详见地面大样图.
3、3mm防潮薄膜层                                                                                                                                                                  4、其他未尽事宜:依据图纸、规范并结合实际情况，完成此项工作内容的所有工序、所有内容</t>
  </si>
  <si>
    <t>m2</t>
  </si>
  <si>
    <t>大自然</t>
  </si>
  <si>
    <t>PVC踢脚(80mm高)</t>
  </si>
  <si>
    <t>1、PVC踢脚(80mm高)
2、装饰墙面(见墙面装饰做法)</t>
  </si>
  <si>
    <t>m</t>
  </si>
  <si>
    <t>地面防水</t>
  </si>
  <si>
    <t>1、最薄处30厚C15细石混凝土找坡层抹平(1%坡度向地漏)表面抹光
2.1.5mmJS-I聚合物防水层刷3遍
3、部位：阳台
4.其他：未尽事宜参见施工图说明及相关规范图集。。</t>
  </si>
  <si>
    <t>1、20mm厚水泥砂浆找平层
2.卫生间地面1.5mmJS-I聚合物防水层刷3遍(仅湿区有此道工序)
3、部位：卫生间
4.其他：未尽事宜参见施工图说明及相关规范图集。。</t>
  </si>
  <si>
    <t xml:space="preserve">
1、1.5mmJS-I聚合物防水层刷3遍（回填料上施工）
2、部位：卫生间湿区
3、其他未尽事宜:依据图纸、规范并结合实际情况，完成此项工作内容的所有工序、所有内容</t>
  </si>
  <si>
    <t xml:space="preserve">瓷砖地面 </t>
  </si>
  <si>
    <t>1、10mm厚CT02地砖(同色美缝剂美缝)
2、5mm厚DTA砂浆结合层
3、20mm厚DS砂浆(或1:2.5水泥砂浆)找平层
4、满足施工规范及设计图纸要求；
5、部位：卫生间（湿）
6、其他未尽事宜:依据图纸、规范并结合实际情况，完成此项工作内容的所有工序、所有内容</t>
  </si>
  <si>
    <t>东鹏</t>
  </si>
  <si>
    <t>1、10mm厚CT01地砖(同色美缝剂美缝)
2、5mm厚DTA砂浆结合层
3、20mm厚DS砂浆(或1:2.5水泥砂浆)找平层
4、满足施工规范及设计图纸要求；
5、部位：卫生间（干）、厨房
6、其他未尽事宜:依据图纸、规范并结合实际情况，完成此项工作内容的所有工序、所有内容</t>
  </si>
  <si>
    <t>水泥砂浆地面</t>
  </si>
  <si>
    <t>1、1:2.5水泥砂浆找平层35mm厚
2、满足施工规范及设计图纸要求；
3、部位：厨房橱柜下
4、其他未尽事宜:依据图纸、规范并结合实际情况，完成此项工作内容的所有工序、所有内容</t>
  </si>
  <si>
    <t>1、10mm厚CT04地砖(同色美缝剂美缝)
2、5mm厚DTA砂浆结合层
3、20mm厚DS砂浆(或1:2.5水泥砂浆)找平层
4、满足施工规范及设计图纸要求；
5、部位：阳台
6、其他未尽事宜:依据图纸、规范并结合实际情况，完成此项工作内容的所有工序、所有内容</t>
  </si>
  <si>
    <t>过门石</t>
  </si>
  <si>
    <t>1、18mm厚st0天然石材
2、结构胶粘接层
3、20mm厚DS砂浆(或1:2.5水泥砂浆)找平层
4、c20混凝土挡墙
5、满足施工规范及设计图纸要求；
6、部位：过门石
7、其他未尽事宜:依据图纸、规范并结合实际情况，完成此项工作内容的所有工序、所有内容</t>
  </si>
  <si>
    <t>飘窗窗台板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</si>
  <si>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t>
  </si>
  <si>
    <t>地暖</t>
  </si>
  <si>
    <t>1、木地板房间地面抹光处理、其他房间磋毛处理
2、50厚C15豆石混凝土（厚度根据现场实际情况调整厚度，卫生间最薄处30厚）（内铺设φ20耐热聚乙烯(PE-RT)管，直径3 钢丝网片）
3、0.2厚真空镀铝聚酯薄膜
4、20厚挤塑聚苯板乙烯泡沫塑料板
5、含集、分水器及配套附件阀门。
6、含套管及配套500mm保护台等，供暖回暖管道链接施压等全部工序。
7、未尽事宜详见参暖图</t>
  </si>
  <si>
    <t>卫生间取消小背篓按地暖铺设</t>
  </si>
  <si>
    <t>墙面</t>
  </si>
  <si>
    <t>壁布墙面</t>
  </si>
  <si>
    <t>1、贴壁布wc01面层
2、环保壁纸基膜二道
3、满刮腻子二道,砂纸磨平
4、墙面满涂墙固
5、其他未尽事宜:依据图纸、规范并结合实际情况，完成此项工作内容的所有工序、所有内容</t>
  </si>
  <si>
    <t>施工范围：玄关柜后未考虑</t>
  </si>
  <si>
    <t>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</si>
  <si>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
5、：宽度约10cm含下挂石材，具体安现场实际尺寸调整
6、其他未尽事宜:依据图纸、规范并结合实际情况，完成此项工作内容的所有工序、所有内容</t>
  </si>
  <si>
    <t>卧室门</t>
  </si>
  <si>
    <t>1、规格：900*2100
2、含门套线
3、详见图纸MT-01</t>
  </si>
  <si>
    <t>樘</t>
  </si>
  <si>
    <t>玄关柜</t>
  </si>
  <si>
    <t>1、规格：800*2280mm，含台面、镜面、五金件、柜体内暗藏灯带、柜体等成品
2、计算规则：垂直投影面积计算
3、详见图纸柜子图纸G-01、其他未尽事宜:依据图纸、规范并结合实际情况，完成此项工作内容的所有工序、所有内容</t>
  </si>
  <si>
    <t>仿大理石岩板墙面</t>
  </si>
  <si>
    <t>1、仿大理石岩板厚度9mm
2、石材粘接剂
3、18厚阻燃板
4.其他未尽事宜:依据图纸、规范并结合实际情况，完成此项工作内容的所有工序、所有内容。</t>
  </si>
  <si>
    <t>成品不锈钢收口</t>
  </si>
  <si>
    <t>1、锈钢收口壁纸与岩板收口
2、1mm厚不锈钢MT-01
3、其他未尽事宜:依据图纸、规范并结合实际情况，完成此项工作内容的所有工序、所有内容</t>
  </si>
  <si>
    <t>瓷砖墙面</t>
  </si>
  <si>
    <t>1、墙砖CT03瓷砖(同色美缝剂美缝)
2、瓷砖粘结剂
3、排水管理包管处理、
4、其他未尽事宜:依据图纸、规范并结合实际情况，完成此项工作内容的所有工序、所有内容。</t>
  </si>
  <si>
    <t>施工范围：镜子后未考虑</t>
  </si>
  <si>
    <t>墙面防水</t>
  </si>
  <si>
    <t>1.刷1.0mmJS-II聚合物防水层刷2遍
2、部位：卫生间湿区墙面高1m范围内、干区墙面0.3m高范围内、阳台墙面0.5m范围内
3、其他未尽事宜:依据图纸、规范并结合实际情况，完成此项工作内容的所有工序、所有内容。</t>
  </si>
  <si>
    <t>1、锈钢收口壁纸与瓷砖收口
2、1mm厚不锈钢MT-02
3、其他未尽事宜:依据图纸、规范并结合实际情况，完成此项工作内容的所有工序、所有内容</t>
  </si>
  <si>
    <t>卫生间门</t>
  </si>
  <si>
    <t>1、规格：800*2100
2、含门套线、含门套ST01石材基座等成活价格
3、详见图纸MT-02、其他未尽事宜:依据图纸、规范并结合实际情况，完成此项工作内容的所有工序、所有内容</t>
  </si>
  <si>
    <t>厨房门</t>
  </si>
  <si>
    <t>1、规格：800*2100
2、含门套线等成活价格
3、详见图纸MT-03、其他未尽事宜:依据图纸、规范并结合实际情况，完成此项工作内容的所有工序、所有内容</t>
  </si>
  <si>
    <t>阳台瓷砖墙</t>
  </si>
  <si>
    <t>1、墙砖CT04瓷砖
2、瓷砖粘结剂
3、其他未尽事宜:依据图纸、规范并结合实际情况，完成此项工作内容的所有工序、所有内容。</t>
  </si>
  <si>
    <t>阳台防水乳胶漆涂料</t>
  </si>
  <si>
    <t>1、白色防水乳胶漆面层两道
2、封闭底漆涂料一道
3、满刮耐水腻子两遍
4、刷涂界面剂一道
5、部位：阳台
6、其他未尽事宜:依据图纸、规范并结合实际情况，完成此项工作内容的所有工序、所有内容</t>
  </si>
  <si>
    <t>橱柜</t>
  </si>
  <si>
    <t>1、含柜体、面板、五金、台面、烟机水盆的开洞等所有成活工序
2、其他未尽事宜:依据图纸、规范并结合实际情况，完成此项工作内容的所有工序、所有内容</t>
  </si>
  <si>
    <t>吊柜</t>
  </si>
  <si>
    <t>1、含柜体、面板、五金件、暗藏灯带等所有成活工序
2、其他未尽事宜:依据图纸、规范并结合实际情况，完成此项工作内容的所有工序、所有内容</t>
  </si>
  <si>
    <t>纸巾盒</t>
  </si>
  <si>
    <t xml:space="preserve">1、详见图纸
2、投标是报送图册
</t>
  </si>
  <si>
    <t>个</t>
  </si>
  <si>
    <t>九牧</t>
  </si>
  <si>
    <t>毛巾架</t>
  </si>
  <si>
    <t>标准层天花</t>
  </si>
  <si>
    <t>300x300铝扣板</t>
  </si>
  <si>
    <t xml:space="preserve">
1、300x300铝扣板(铝板与墙面交接处采用L型收边龙骨固定)厚度采用0.8mm
2、下层暗架镀锌天花龙骨(@=300mm)
3、上层暗架镀锌天花龙骨@≤1200mm 
4、φ6钢筋吊杆,中距横向≤1200纵向≤1200,吊杆上部与顶板固定件连接
5、原有结构顶板
6、部位：厨房、卫生间（湿）
7、其他未尽事宜:依据图纸、规范并结合实际情况，完成此项工作内容的所有工序、所有内容</t>
  </si>
  <si>
    <t>M2</t>
  </si>
  <si>
    <t>石膏板吊顶</t>
  </si>
  <si>
    <t xml:space="preserve">
1、白色乳胶漆面层两道;
2、封闭底漆涂料一道
3、满刮耐水腻子两遍
5、9.5厚双层石膏板,用自攻螺丝与基层板固定
6、18厚防火阻燃板,用自攻螺丝与龙骨固定
7、轻钢龙骨双层骨架:50系轻钢主龙骨中距≤1200,次龙骨中距≤400,横撑龙骨中距900
8、φ6钢筋吊杆,中距横向≤1200纵向≤1200,吊杆上部与顶板固定件连接
9、原有结构顶板
10、部位：客厅周边、卫生间（干）、入户玄关
11、其他未尽事宜:依据图纸、规范并结合实际情况，完成此项工作内容的所有工序、所有内容。
12、计算规则：按水平投影面积计算</t>
  </si>
  <si>
    <t>原顶天棚（室外）</t>
  </si>
  <si>
    <t>1、白色防水乳胶漆面层两道
2、封闭底漆涂料一道
3、满刮耐水腻子两遍（局部不平处粉刷石膏找平层）
4、刷涂界面剂一道
5、原有结构顶板
6、部位：阳台
7、其他未尽事宜:依据图纸、规范并结合实际情况，完成此项工作内容的所有工序、所有内容</t>
  </si>
  <si>
    <t>原顶天棚（室内）</t>
  </si>
  <si>
    <t>1、白色乳胶漆面层两道
2、封闭底漆涂料一道
3、满刮耐水腻子两遍（局部不平处粉刷石膏找平层）
4、刷涂界面剂一道
5、原有结构顶板
7、部位：室内原顶
8、其他未尽事宜:依据图纸、规范并结合实际情况，完成此项工作内容的所有工序、所有内容</t>
  </si>
  <si>
    <t>成品石膏线</t>
  </si>
  <si>
    <t>1、白色乳胶漆
2、成品石膏板造型
3、部位：卧室
4、其他未尽事宜:依据图纸、规范并结合实际情况，完成此项工作内容的所有工序、所有内容</t>
  </si>
  <si>
    <t>窗帘盒</t>
  </si>
  <si>
    <t>1、白色乳胶漆
2、阻燃版
3、9.5mm厚双面石膏板
4、部位：窗户上部
5、详见图纸T-01
6、其他未尽事宜:依据图纸、规范并结合实际情况，完成此项工作内容的所有工序、所有内容</t>
  </si>
  <si>
    <t>顶层天花</t>
  </si>
  <si>
    <t>三</t>
  </si>
  <si>
    <t>H2硬质装修部分</t>
  </si>
  <si>
    <t>1、最薄处30厚C15细石混凝土找坡层抹平(1%坡度向地漏)表面抹光
2.1.5mmJS-I聚合物防水层刷3遍
3、部位：阳台
4.其他：未尽事宜参见施工图说明及相关规范图集。</t>
  </si>
  <si>
    <t>1、20mm厚水泥砂浆找平层
2.卫生间地面1.5mmJS-I聚合物防水层刷3遍
3、部位：卫生间
4.其他：未尽事宜参见施工图说明及相关规范图集。。</t>
  </si>
  <si>
    <t xml:space="preserve">
1、1.5mmJS-I聚合物防水层刷3遍（回填料上施工）
2、部位：卫生间
3、其他未尽事宜:依据图纸、规范并结合实际情况，完成此项工作内容的所有工序、所有内容</t>
  </si>
  <si>
    <t>1、10mm厚CT01地砖(同色美缝剂美缝)
2、5mm厚DTA砂浆结合层
3、20mm厚DS砂浆(或1:2.5水泥砂浆)找平层
4、满足施工规范及设计图纸要求；
5、部位：厨房
6、其他未尽事宜:依据图纸、规范并结合实际情况，完成此项工作内容的所有工序、所有内容</t>
  </si>
  <si>
    <t>1、1:2.5水泥砂浆找平层105mm厚
2、满足施工规范及设计图纸要求；
3、部位：厨房橱柜下
4、其他未尽事宜:依据图纸、规范并结合实际情况，完成此项工作内容的所有工序、所有内容</t>
  </si>
  <si>
    <t>1、18mm厚st0天然石材
2、结构胶粘接层
3、20mm厚DS砂浆(或1:2.5水泥砂浆)找平层
4、c20混凝土挡墙
5、其他未尽事宜:依据图纸、规范并结合实际情况，完成此项工作内容的所有工序、所有内容；
6、部位：过门石
7、其他未尽事宜:依据图纸、规范并结合实际情况，完成此项工作内容的所有工序、所有内容</t>
  </si>
  <si>
    <t>1、木地板房间地面抹光处理、其他房间磋毛处理
2、50厚C15豆石混凝土（厚度根据现场实际情况调整厚度）（内铺设φ20耐热聚乙烯(PE-RT)管，直径3 钢丝网片）。
3、0.2厚真空镀铝聚酯薄膜
4、20厚挤塑聚苯板乙烯泡沫塑料板
5、含集、分水器及配套附件阀门。
6、含套管及配套500mm保护台等，供暖回暖管道链接施压等全部工序。
7、其他未尽事宜:依据图纸、规范并结合实际情况，完成此项工作内容的所有工序、所有内容</t>
  </si>
  <si>
    <t>1、仿大理石岩板板厚度9mm
2、石材粘接剂
3、18厚阻燃板
4.其他未尽事宜:依据图纸、规范并结合实际情况，完成此项工作内容的所有工序、所有内容。</t>
  </si>
  <si>
    <t>1、墙砖CT03瓷砖(同色美缝剂美缝)
2、瓷砖粘结剂
3、排水管理包管处理、
4、其他未尽事宜:依据图纸、规范并结合实际情况，完成此项工作内容的所有工序、所有内容。
5、部位：厨房、卫生间</t>
  </si>
  <si>
    <t>水泥砂浆粉刷</t>
  </si>
  <si>
    <t>1、水泥砂浆粉刷
2、部位：厨房
3、其他未尽事宜:依据图纸、规范并结合实际情况，完成此项工作内容的所有工序、所有内容。
房</t>
  </si>
  <si>
    <t>1.刷1.0mmJS-II聚合物防水层刷2遍
2、部位：卫生间湿区墙面高1m范围内、阳台墙面0.5m范围内
3、其他未尽事宜:依据图纸、规范并结合实际情况，完成此项工作内容的所有工序、所有内容。</t>
  </si>
  <si>
    <t>阳台木门</t>
  </si>
  <si>
    <t xml:space="preserve">1、规格：900*2100
2、含门套线等成活价格
3、成品木夹板门 </t>
  </si>
  <si>
    <t xml:space="preserve">
1、白色乳胶漆面层两道;
2、封闭底漆涂料一道
3、满刮耐水腻子两遍
5、9.5厚双层石膏板,用自攻螺丝与基层板固定
6、18厚防火阻燃板,用自攻螺丝与龙骨固定
7、轻钢龙骨双层骨架:50系轻钢主龙骨中距≤1200,次龙骨中距≤400,横撑龙骨中距900
8、φ6钢筋吊杆,中距横向≤1200纵向≤1200,吊杆上部与顶板固定件连接
9、原有结构顶板
10、部位：客厅周边
11、其他未尽事宜:依据图纸、规范并结合实际情况，完成此项工作内容的所有工序、所有内容。
12、计算规则：按水平投影面积计算</t>
  </si>
  <si>
    <t xml:space="preserve">
1、300x300铝扣板(铝板与墙面交接处采用L型收边龙骨固定)厚度采用0.8mm
2、下层暗架镀锌天花龙骨(@=300mm)
3、上层暗架镀锌天花龙骨@≤1200mm 
4、φ6钢筋吊杆,中距横向≤1200纵向≤1200,吊杆上部与顶板固定件连接
5、原有结构顶板
6、部位：厨房、卫生间
7、其他未尽事宜:依据图纸、规范并结合实际情况，完成此项工作内容的所有工序、所有内容</t>
  </si>
  <si>
    <t>H3硬质装修部分</t>
  </si>
  <si>
    <t>1、10mm厚CT01地砖(同色美缝剂美缝)
2、5mm厚DTA砂浆结合层
3、20mm厚DS砂浆(或1:2.5水泥砂浆)找平层
4、满足施工规范及设计图纸要求；
5、部位：厨房</t>
  </si>
  <si>
    <t>1、规格：800*2100
2、含门套线等成活价格
3、详见图纸MT-03</t>
  </si>
  <si>
    <t>四</t>
  </si>
  <si>
    <t>H4硬质装修部分</t>
  </si>
  <si>
    <t>1、20mm厚水泥砂浆找平层
2.卫生间地面1.5mmJS-I聚合物防水层刷3遍
3、部位：卫生间
4.其他：未尽事宜参见施工图说明及相关规范图集。</t>
  </si>
  <si>
    <t>五</t>
  </si>
  <si>
    <t>H5硬质装修部分</t>
  </si>
  <si>
    <t>1、20mm厚水泥砂浆找平层
2.卫生间地面1.5mmJS-I聚合物防水层刷3遍
3、部位：卫生间（干、湿区）
4.其他：未尽事宜参见施工图说明及相关规范图集。。</t>
  </si>
  <si>
    <t xml:space="preserve">
1、1.5mmJS-I聚合物防水层刷3遍（回填料上施工）
2、部位：卫生间（湿区）
3、其他未尽事宜:依据图纸、规范并结合实际情况，完成此项工作内容的所有工序、所有内容</t>
  </si>
  <si>
    <t>1、10mm厚CT01地砖(同色美缝剂美缝)
2、5mm厚DTA砂浆结合层
3、20mm厚DS砂浆(或1:2.5水泥砂浆)找平层
4、满足施工规范及设计图纸要求；
5、部位：厨房、卫生间（干）
6、其他未尽事宜:依据图纸、规范并结合实际情况，完成此项工作内容的所有工序、所有内容</t>
  </si>
  <si>
    <t>16#楼精装房工程-安装</t>
  </si>
  <si>
    <t>含税综合单价
f=(a+b+c+d+e)</t>
  </si>
  <si>
    <t>备 注
（品牌/厂家）</t>
  </si>
  <si>
    <t>主材费</t>
  </si>
  <si>
    <t>其中主材单价</t>
  </si>
  <si>
    <t>其中主材损耗率</t>
  </si>
  <si>
    <t>b=x*（1+y）</t>
  </si>
  <si>
    <t>x</t>
  </si>
  <si>
    <t xml:space="preserve"> y</t>
  </si>
  <si>
    <t>H1户型-强弱电</t>
  </si>
  <si>
    <t>一户</t>
  </si>
  <si>
    <t>项</t>
  </si>
  <si>
    <t>LED射灯</t>
  </si>
  <si>
    <t xml:space="preserve">1.名称：LED射灯 含开洞费用
2.参数：(暗装)7W 色温3000K Φ85
3.未详尽处满足图纸设计、相关规范要求  </t>
  </si>
  <si>
    <t>雷士</t>
  </si>
  <si>
    <t>LED筒灯</t>
  </si>
  <si>
    <t xml:space="preserve">1.名称：LED筒灯  含开洞费用
2.参数：(暗装)6W 色温4000K Φ85
3.未详尽处满足图纸设计、相关规范要求  </t>
  </si>
  <si>
    <t>LED防雾射灯</t>
  </si>
  <si>
    <t xml:space="preserve">1.名称：LED防雾射灯  含开洞费用
2.参数：7W 色温3000K Φ85
3.未详尽处满足图纸设计、相关规范要求   </t>
  </si>
  <si>
    <t>阳台吸顶灯</t>
  </si>
  <si>
    <t xml:space="preserve">1.名称：阳台吸顶灯
2.参数：12w 色温3000K
3.未详尽处满足图纸设计、相关规范要求  </t>
  </si>
  <si>
    <t>卧室吸顶灯</t>
  </si>
  <si>
    <t xml:space="preserve">1.名称：卧室吸顶灯
2.参数：15w 色温3000K
3.未详尽处满足图纸设计、相关规范要求  </t>
  </si>
  <si>
    <t>平板灯</t>
  </si>
  <si>
    <t xml:space="preserve">1.名称：平板灯
2.参数：300*600 3000K
3.未详尽处满足图纸设计、相关规范要求  </t>
  </si>
  <si>
    <t>暖风机</t>
  </si>
  <si>
    <t xml:space="preserve">1.名称：暖风机
2.参数：(300*600)
3.未详尽处满足图纸设计、相关规范要求  </t>
  </si>
  <si>
    <t>集成灯</t>
  </si>
  <si>
    <t xml:space="preserve">1.名称：集成灯
2.参数：(300*300)暖光（3300K以下）
3.未详尽处满足图纸设计、相关规范要求  </t>
  </si>
  <si>
    <t>感应夜灯</t>
  </si>
  <si>
    <t xml:space="preserve">1.名称：感应夜灯
2.未详尽处满足图纸设计、相关规范要求  </t>
  </si>
  <si>
    <t>灯具红外感应器</t>
  </si>
  <si>
    <t xml:space="preserve">1.名称：灯具红外感应器
2.未详尽处满足图纸设计、相关规范要求  </t>
  </si>
  <si>
    <t>五孔插座</t>
  </si>
  <si>
    <t xml:space="preserve">1.名称：五孔插座
2.规格:10A
3.未详尽处满足图纸设计、相关规范要求  </t>
  </si>
  <si>
    <t>西蒙M3灰</t>
  </si>
  <si>
    <t>冰箱三孔插座</t>
  </si>
  <si>
    <t xml:space="preserve">1.名称：冰箱三孔插座
2.规格:10A
3.未详尽处满足图纸设计、相关规范要求  </t>
  </si>
  <si>
    <t>抽油烟机三孔插座</t>
  </si>
  <si>
    <t xml:space="preserve">1.名称：抽油烟机三孔插座
2.规格:10A
3.未详尽处满足图纸设计、相关规范要求  </t>
  </si>
  <si>
    <t>净水器防溅五孔插座</t>
  </si>
  <si>
    <t xml:space="preserve">1.名称：净水器防溅五孔插座
2.规格:10A
3.未详尽处满足图纸设计、相关规范要求  </t>
  </si>
  <si>
    <t>垃圾处理器防溅五孔插座</t>
  </si>
  <si>
    <t xml:space="preserve">1.名称：垃圾处理器防溅五孔插座
2.规格:10A
3.未详尽处满足图纸设计、相关规范要求  </t>
  </si>
  <si>
    <t>热水器防溅五孔插座带开关</t>
  </si>
  <si>
    <t xml:space="preserve">1.名称：热水器防溅五孔插座带开关
2.规格:10A
3.未详尽处满足图纸设计、相关规范要求  </t>
  </si>
  <si>
    <t>洗衣机防溅五孔插座</t>
  </si>
  <si>
    <t xml:space="preserve">1.名称：洗衣机防溅五孔插座
2.规格:10A
3.未详尽处满足图纸设计、相关规范要求  </t>
  </si>
  <si>
    <t>消毒柜三孔插座</t>
  </si>
  <si>
    <t xml:space="preserve">1.名称：消毒柜三孔插座
2.规格:10A
3.未详尽处满足图纸设计、相关规范要求  </t>
  </si>
  <si>
    <t>空调三孔插座带开关</t>
  </si>
  <si>
    <t xml:space="preserve">1.名称：空调三孔插座带开关
2.规格:16A
3.未详尽处满足图纸设计、相关规范要求  </t>
  </si>
  <si>
    <t>厨房五孔带开关插座</t>
  </si>
  <si>
    <t xml:space="preserve">1.名称：厨房五孔带开关插座
2.规格:10A
3.未详尽处满足图纸设计、相关规范要求  </t>
  </si>
  <si>
    <t>卫生间防溅五孔插座</t>
  </si>
  <si>
    <t xml:space="preserve">1.名称：卫生间防溅五孔插座
2.规格:10A
3.未详尽处满足图纸设计、相关规范要求  </t>
  </si>
  <si>
    <t>集分水器F防溅五孔插座</t>
  </si>
  <si>
    <t xml:space="preserve">1.名称：集分水器F防溅五孔插座
2.规格:10A
3.未详尽处满足图纸设计、相关规范要求  </t>
  </si>
  <si>
    <t>单联单控开关</t>
  </si>
  <si>
    <t xml:space="preserve">1.名称：单联单控开关
2.底边距地h:1300mm
3.未详尽处满足图纸设计、相关规范要求  </t>
  </si>
  <si>
    <t>单联双控开关</t>
  </si>
  <si>
    <t xml:space="preserve">1.名称：单联双控开关
2.底边距地h:1300mm
3.未详尽处满足图纸设计、相关规范要求  </t>
  </si>
  <si>
    <t>三联双控开关</t>
  </si>
  <si>
    <t xml:space="preserve">1.名称：三联双控开关
2.底边距地h:1300mm
3.未详尽处满足图纸设计、相关规范要求  </t>
  </si>
  <si>
    <t>地暖温控开关</t>
  </si>
  <si>
    <t xml:space="preserve">1.名称：地暖温控开关
2.底边距地h:1300mm
3.未详尽处满足图纸设计、相关规范要求  </t>
  </si>
  <si>
    <t>伊莱科</t>
  </si>
  <si>
    <t>一键离家开关(10A)
(只控制灯具)</t>
  </si>
  <si>
    <t xml:space="preserve">1.名称：一键离家开关(10A)
(只控制灯具)
2.底边距地h:1300mm
3.未详尽处满足图纸设计、相关规范要求  </t>
  </si>
  <si>
    <t>松下</t>
  </si>
  <si>
    <t>浴霸开关面板</t>
  </si>
  <si>
    <t xml:space="preserve">1.名称：浴霸开关面板
2.底边距地h:1300mm
3.未详尽处满足图纸设计、相关规范要求  </t>
  </si>
  <si>
    <t>接线盒面板</t>
  </si>
  <si>
    <t xml:space="preserve">1.名称：接线盒面板
2.未详尽处满足图纸设计、相关规范要求  </t>
  </si>
  <si>
    <t>电话信号插座</t>
  </si>
  <si>
    <t xml:space="preserve">1.名称：网络/电话信号插座
2.未详尽处满足图纸设计、相关规范要求  </t>
  </si>
  <si>
    <t>电视信号插座</t>
  </si>
  <si>
    <t xml:space="preserve">1.名称：网络/电视信号插座
2.未详尽处满足图纸设计、相关规范要求  </t>
  </si>
  <si>
    <t>网络信号插座</t>
  </si>
  <si>
    <t xml:space="preserve">1.名称：网络信号插座
2.未详尽处满足图纸设计、相关规范要求  </t>
  </si>
  <si>
    <t>电线</t>
  </si>
  <si>
    <t xml:space="preserve">1、名称:电线BV-2.5
2、管内敷设
3、未详尽处满足图纸设计、相关规范要求                    </t>
  </si>
  <si>
    <t>郑星</t>
  </si>
  <si>
    <t xml:space="preserve">1、名称:电线BV-4
2、管内敷设
3、未详尽处满足图纸设计、相关规范要求                    </t>
  </si>
  <si>
    <t>网线</t>
  </si>
  <si>
    <t xml:space="preserve">1、名称:UTPCAT5e
2、管内敷设
3、未详尽处满足图纸设计、相关规范要求                    </t>
  </si>
  <si>
    <t>超六类</t>
  </si>
  <si>
    <t>电话线</t>
  </si>
  <si>
    <t xml:space="preserve">1、名称:RVS-2x0.5
2、管内敷设
3、未详尽处满足图纸设计、相关规范要求                    </t>
  </si>
  <si>
    <t>电视线</t>
  </si>
  <si>
    <t xml:space="preserve">1、名称:SYWV-75-5
2、管内敷设
3、未详尽处满足图纸设计、相关规范要求                    </t>
  </si>
  <si>
    <t>元</t>
  </si>
  <si>
    <t>二</t>
  </si>
  <si>
    <t>H1户型-给排水</t>
  </si>
  <si>
    <t>坐便器</t>
  </si>
  <si>
    <t xml:space="preserve">1.名称：坐便器含角阀
2.含所有配件安装
3.未详尽处满足图纸设计、相关规范要求   </t>
  </si>
  <si>
    <t>套</t>
  </si>
  <si>
    <t>热水器</t>
  </si>
  <si>
    <t xml:space="preserve">1.名称：热水器含角阀
2.含所有配件安装
3.未详尽处满足图纸设计、相关规范要求 </t>
  </si>
  <si>
    <t>万家乐DP2-12</t>
  </si>
  <si>
    <t>淋浴花洒</t>
  </si>
  <si>
    <t xml:space="preserve">1.名称：淋浴花洒
2.含所有配件安装；
3.未详尽处满足图纸设计、相关规范要求 </t>
  </si>
  <si>
    <t>洗脸盆</t>
  </si>
  <si>
    <t xml:space="preserve">1.名称：洗脸盆含水龙头、柜体、镜子
2.含所有配件安装（包含洗脸盆下水管安装）
3.未详尽处满足图纸设计、相关规范要求 </t>
  </si>
  <si>
    <t>洗衣机龙头</t>
  </si>
  <si>
    <t xml:space="preserve">1.名称:洗衣机龙头
2.型号、规格:DN15
3.未详尽处满足图纸设计、相关规范要求 </t>
  </si>
  <si>
    <t>洗衣机地漏</t>
  </si>
  <si>
    <t xml:space="preserve">1.名称:洗衣机地漏
2.型号、规格:DN50
3.未详尽处满足图纸设计、相关规范要求 </t>
  </si>
  <si>
    <t>地漏</t>
  </si>
  <si>
    <t xml:space="preserve">1.名称:地漏
2.型号、规格:DN50
3.未详尽处满足图纸设计、相关规范要求 </t>
  </si>
  <si>
    <t>抽油烟机</t>
  </si>
  <si>
    <t xml:space="preserve">1.名称：抽油烟机
2.未详尽处满足图纸设计、相关规范要求 </t>
  </si>
  <si>
    <t>方太</t>
  </si>
  <si>
    <t>燃气灶</t>
  </si>
  <si>
    <t xml:space="preserve">1.燃气灶
2.未详尽处满足图纸设计、相关规范要求 </t>
  </si>
  <si>
    <t>洗菜盆</t>
  </si>
  <si>
    <t xml:space="preserve">1.名称：洗菜盆含水龙头
2.含所有配件安装（包含洗菜盆下水管安装）
3.未详尽处满足图纸设计、相关规范要求 </t>
  </si>
  <si>
    <t>截止阀</t>
  </si>
  <si>
    <t xml:space="preserve">1.名称：截止阀
2.规格：DN20
3.未详尽处满足图纸设计、相关规范要求 </t>
  </si>
  <si>
    <t>联塑</t>
  </si>
  <si>
    <t xml:space="preserve">1.名称：截止阀
2.规格：DN15
3.未详尽处满足图纸设计、相关规范要求 </t>
  </si>
  <si>
    <t>真空破坏器</t>
  </si>
  <si>
    <t>1.名称：真空破坏器
2.规格：DN15
3.含预留DN15消防软管接口</t>
  </si>
  <si>
    <t>给水管</t>
  </si>
  <si>
    <t>1. PP-R De25（冷水）
2.含角阀、配件、管帽、堵头及其他相关配件
3.管道试压,消毒、冲洗</t>
  </si>
  <si>
    <t>1. PP-R De20（冷水）
2.含角阀、配件、管帽、堵头及其他相关配件
3.管道试压,消毒、冲洗</t>
  </si>
  <si>
    <t>1. PP-R De25（热水）
2.含角阀、配件、管帽、堵头及其他相关配件
3.管道试压,消毒、冲洗</t>
  </si>
  <si>
    <t>1. PP-R De20（热水）
2.含角阀、配件、管帽、堵头及其他相关配件
3.管道试压,消毒、冲洗</t>
  </si>
  <si>
    <t>H1户型合计</t>
  </si>
  <si>
    <t>H2户型-强弱电</t>
  </si>
  <si>
    <t>H2户型-给排水</t>
  </si>
  <si>
    <t xml:space="preserve">1.名称：热水器
2.含所有配件安装
3.未详尽处满足图纸设计、相关规范要求 </t>
  </si>
  <si>
    <t>H2户型合计</t>
  </si>
  <si>
    <t>H3户型-强弱电</t>
  </si>
  <si>
    <t>H3户型-给排水</t>
  </si>
  <si>
    <t>H3户型合计</t>
  </si>
  <si>
    <t>H4户型-强弱电</t>
  </si>
  <si>
    <t>H4户型-给排水</t>
  </si>
  <si>
    <t>H4户型合计</t>
  </si>
  <si>
    <t>H5户型-强弱电</t>
  </si>
  <si>
    <t>H5户型-给排水</t>
  </si>
  <si>
    <t xml:space="preserve">1.名称：洗脸盆含水龙头
2.含所有配件安装（包含洗脸盆下水管安装）
3.未详尽处满足图纸设计、相关规范要求 </t>
  </si>
  <si>
    <t>H5户型合计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</si>
</sst>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42">
    <font>
      <sz val="11"/>
      <color theme="1"/>
      <name val="宋体"/>
      <charset val="134"/>
      <scheme val="minor"/>
    </font>
    <font>
      <sz val="12"/>
      <name val="宋体"/>
      <charset val="134"/>
    </font>
    <font>
      <sz val="10"/>
      <color theme="1"/>
      <name val="宋体"/>
      <charset val="134"/>
      <scheme val="minor"/>
    </font>
    <font>
      <b/>
      <sz val="14"/>
      <color theme="1"/>
      <name val="宋体"/>
      <charset val="134"/>
      <scheme val="minor"/>
    </font>
    <font>
      <b/>
      <sz val="10"/>
      <color theme="1"/>
      <name val="宋体"/>
      <charset val="134"/>
      <scheme val="minor"/>
    </font>
    <font>
      <sz val="9"/>
      <name val="宋体"/>
      <charset val="134"/>
    </font>
    <font>
      <sz val="10"/>
      <name val="宋体"/>
      <charset val="134"/>
    </font>
    <font>
      <sz val="10"/>
      <name val="宋体"/>
      <charset val="134"/>
      <scheme val="minor"/>
    </font>
    <font>
      <sz val="9"/>
      <name val="宋体"/>
      <charset val="134"/>
      <scheme val="minor"/>
    </font>
    <font>
      <sz val="10"/>
      <color theme="1"/>
      <name val="宋体"/>
      <charset val="134"/>
    </font>
    <font>
      <sz val="11"/>
      <name val="宋体"/>
      <charset val="134"/>
    </font>
    <font>
      <b/>
      <sz val="18"/>
      <name val="宋体"/>
      <charset val="134"/>
    </font>
    <font>
      <sz val="9"/>
      <name val="微软雅黑"/>
      <charset val="134"/>
    </font>
    <font>
      <sz val="9"/>
      <color theme="1"/>
      <name val="宋体"/>
      <charset val="134"/>
    </font>
    <font>
      <sz val="12"/>
      <color rgb="FF000000"/>
      <name val="微软雅黑"/>
      <charset val="134"/>
    </font>
    <font>
      <b/>
      <sz val="16"/>
      <name val="楷体_GB2312"/>
      <charset val="134"/>
    </font>
    <font>
      <b/>
      <sz val="11"/>
      <name val="宋体"/>
      <charset val="134"/>
    </font>
    <font>
      <sz val="10.5"/>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0"/>
      <name val="Arial"/>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2" applyNumberFormat="0" applyFont="0" applyAlignment="0" applyProtection="0">
      <alignment vertical="center"/>
    </xf>
    <xf numFmtId="0" fontId="24" fillId="0" borderId="0"/>
    <xf numFmtId="0" fontId="21"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1" fillId="0" borderId="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1" fillId="10" borderId="0" applyNumberFormat="0" applyBorder="0" applyAlignment="0" applyProtection="0">
      <alignment vertical="center"/>
    </xf>
    <xf numFmtId="0" fontId="25" fillId="0" borderId="14" applyNumberFormat="0" applyFill="0" applyAlignment="0" applyProtection="0">
      <alignment vertical="center"/>
    </xf>
    <xf numFmtId="0" fontId="21" fillId="11" borderId="0" applyNumberFormat="0" applyBorder="0" applyAlignment="0" applyProtection="0">
      <alignment vertical="center"/>
    </xf>
    <xf numFmtId="0" fontId="31" fillId="12" borderId="15" applyNumberFormat="0" applyAlignment="0" applyProtection="0">
      <alignment vertical="center"/>
    </xf>
    <xf numFmtId="0" fontId="1" fillId="0" borderId="0">
      <alignment vertical="center"/>
    </xf>
    <xf numFmtId="0" fontId="32" fillId="12" borderId="11" applyNumberFormat="0" applyAlignment="0" applyProtection="0">
      <alignment vertical="center"/>
    </xf>
    <xf numFmtId="0" fontId="33" fillId="13" borderId="16"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 fillId="0" borderId="0">
      <alignment vertical="center"/>
    </xf>
    <xf numFmtId="0" fontId="18" fillId="23" borderId="0" applyNumberFormat="0" applyBorder="0" applyAlignment="0" applyProtection="0">
      <alignment vertical="center"/>
    </xf>
    <xf numFmtId="0" fontId="1" fillId="0" borderId="0">
      <alignment vertical="center"/>
    </xf>
    <xf numFmtId="0" fontId="21" fillId="24" borderId="0" applyNumberFormat="0" applyBorder="0" applyAlignment="0" applyProtection="0">
      <alignment vertical="center"/>
    </xf>
    <xf numFmtId="0" fontId="1" fillId="0" borderId="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 fillId="0" borderId="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1" fillId="0" borderId="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1" fillId="0" borderId="0">
      <alignment vertical="center"/>
    </xf>
    <xf numFmtId="0" fontId="38" fillId="0" borderId="0">
      <alignment vertical="center"/>
    </xf>
    <xf numFmtId="176" fontId="39" fillId="0" borderId="7">
      <alignment horizontal="right" vertical="center" wrapText="1"/>
    </xf>
    <xf numFmtId="0" fontId="1" fillId="0" borderId="0">
      <alignment vertical="center"/>
    </xf>
    <xf numFmtId="0" fontId="40" fillId="0" borderId="0"/>
    <xf numFmtId="0" fontId="0" fillId="0" borderId="0">
      <alignment vertical="center"/>
    </xf>
    <xf numFmtId="0" fontId="1" fillId="0" borderId="0">
      <alignment vertical="center"/>
    </xf>
    <xf numFmtId="0" fontId="41" fillId="0" borderId="0"/>
    <xf numFmtId="0" fontId="1" fillId="0" borderId="0">
      <alignment vertical="center"/>
    </xf>
    <xf numFmtId="176" fontId="39" fillId="0" borderId="7">
      <alignment horizontal="right" vertical="center" wrapText="1"/>
    </xf>
    <xf numFmtId="0" fontId="0" fillId="0" borderId="0">
      <alignment vertical="center"/>
    </xf>
    <xf numFmtId="0" fontId="38" fillId="0" borderId="0">
      <alignment vertical="center"/>
    </xf>
    <xf numFmtId="0" fontId="39" fillId="0" borderId="0" applyProtection="0">
      <alignment vertical="center"/>
    </xf>
    <xf numFmtId="0" fontId="1" fillId="0" borderId="0"/>
  </cellStyleXfs>
  <cellXfs count="109">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9" fontId="2" fillId="0" borderId="0" xfId="0" applyNumberFormat="1" applyFont="1" applyFill="1" applyAlignment="1">
      <alignment vertical="center"/>
    </xf>
    <xf numFmtId="176" fontId="2" fillId="0" borderId="0" xfId="0" applyNumberFormat="1" applyFont="1" applyFill="1" applyAlignment="1">
      <alignment vertical="center"/>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176" fontId="6" fillId="0" borderId="6" xfId="0" applyNumberFormat="1" applyFont="1" applyFill="1" applyBorder="1" applyAlignment="1" applyProtection="1">
      <alignment horizontal="center" vertical="center" wrapText="1"/>
    </xf>
    <xf numFmtId="176" fontId="6" fillId="0" borderId="7" xfId="0" applyNumberFormat="1" applyFont="1" applyFill="1" applyBorder="1" applyAlignment="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176" fontId="6" fillId="0" borderId="9" xfId="0" applyNumberFormat="1" applyFont="1" applyFill="1" applyBorder="1" applyAlignment="1" applyProtection="1">
      <alignment horizontal="center" vertical="center" wrapText="1"/>
    </xf>
    <xf numFmtId="176" fontId="6" fillId="0" borderId="7" xfId="0" applyNumberFormat="1" applyFont="1" applyFill="1" applyBorder="1" applyAlignment="1">
      <alignment vertical="center" wrapText="1"/>
    </xf>
    <xf numFmtId="0" fontId="5" fillId="0" borderId="7" xfId="0" applyNumberFormat="1" applyFont="1" applyFill="1" applyBorder="1" applyAlignment="1" applyProtection="1">
      <alignment horizontal="center" vertical="center" wrapText="1"/>
    </xf>
    <xf numFmtId="176" fontId="6" fillId="0" borderId="7"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xf>
    <xf numFmtId="177" fontId="7" fillId="0" borderId="7" xfId="65" applyNumberFormat="1" applyFont="1" applyFill="1" applyBorder="1" applyAlignment="1">
      <alignment horizontal="center" vertical="center" wrapText="1"/>
    </xf>
    <xf numFmtId="177" fontId="7" fillId="0" borderId="7" xfId="65" applyNumberFormat="1" applyFont="1" applyFill="1" applyBorder="1" applyAlignment="1">
      <alignment horizontal="left" vertical="center" wrapText="1"/>
    </xf>
    <xf numFmtId="178" fontId="7"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wrapText="1"/>
    </xf>
    <xf numFmtId="177" fontId="7" fillId="0" borderId="7" xfId="59"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176" fontId="7" fillId="0" borderId="7"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2" fillId="0" borderId="7" xfId="0" applyFont="1" applyFill="1" applyBorder="1" applyAlignment="1">
      <alignment vertical="center"/>
    </xf>
    <xf numFmtId="177" fontId="8" fillId="0" borderId="7" xfId="65" applyNumberFormat="1" applyFont="1" applyFill="1" applyBorder="1" applyAlignment="1">
      <alignment horizontal="center" vertical="center" wrapText="1"/>
    </xf>
    <xf numFmtId="177" fontId="8" fillId="0" borderId="7" xfId="65" applyNumberFormat="1" applyFont="1" applyFill="1" applyBorder="1" applyAlignment="1">
      <alignment horizontal="left" vertical="center" wrapText="1"/>
    </xf>
    <xf numFmtId="43" fontId="7" fillId="0" borderId="7" xfId="8" applyFont="1" applyFill="1" applyBorder="1" applyAlignment="1">
      <alignment horizontal="left" vertical="center" wrapText="1"/>
    </xf>
    <xf numFmtId="176" fontId="2" fillId="0" borderId="7" xfId="0" applyNumberFormat="1" applyFont="1" applyFill="1" applyBorder="1" applyAlignment="1">
      <alignment vertical="center"/>
    </xf>
    <xf numFmtId="9" fontId="4" fillId="0" borderId="0" xfId="0" applyNumberFormat="1" applyFont="1" applyFill="1" applyAlignment="1">
      <alignment horizontal="center" vertical="center" wrapText="1"/>
    </xf>
    <xf numFmtId="9" fontId="6" fillId="0" borderId="4"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shrinkToFit="1"/>
    </xf>
    <xf numFmtId="9" fontId="2" fillId="0" borderId="7" xfId="0" applyNumberFormat="1" applyFont="1" applyFill="1" applyBorder="1" applyAlignment="1">
      <alignment vertical="center"/>
    </xf>
    <xf numFmtId="9" fontId="2" fillId="0" borderId="7" xfId="0" applyNumberFormat="1" applyFont="1" applyFill="1" applyBorder="1" applyAlignment="1">
      <alignment horizontal="center" vertical="center"/>
    </xf>
    <xf numFmtId="0" fontId="0" fillId="0" borderId="0" xfId="0" applyFont="1" applyFill="1" applyBorder="1" applyAlignment="1">
      <alignment vertical="center"/>
    </xf>
    <xf numFmtId="177" fontId="7" fillId="0" borderId="0" xfId="65"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176" fontId="10" fillId="0" borderId="0" xfId="0" applyNumberFormat="1" applyFont="1" applyFill="1" applyAlignment="1">
      <alignment horizontal="center" vertical="center"/>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left" vertical="center" wrapText="1"/>
    </xf>
    <xf numFmtId="176" fontId="11" fillId="0" borderId="0"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wrapText="1"/>
    </xf>
    <xf numFmtId="177" fontId="12" fillId="0" borderId="7" xfId="65" applyNumberFormat="1" applyFont="1" applyFill="1" applyBorder="1" applyAlignment="1">
      <alignment horizontal="left" vertical="center" wrapText="1"/>
    </xf>
    <xf numFmtId="177" fontId="12" fillId="0" borderId="7" xfId="65" applyNumberFormat="1" applyFont="1" applyFill="1" applyBorder="1" applyAlignment="1">
      <alignment horizontal="center" vertical="center" wrapText="1"/>
    </xf>
    <xf numFmtId="0" fontId="12" fillId="0" borderId="7" xfId="66" applyFont="1" applyFill="1" applyBorder="1" applyAlignment="1">
      <alignment horizontal="left" vertical="center" wrapText="1"/>
    </xf>
    <xf numFmtId="2" fontId="13" fillId="0" borderId="7" xfId="0" applyNumberFormat="1" applyFont="1" applyFill="1" applyBorder="1" applyAlignment="1">
      <alignment horizontal="center" vertical="center" shrinkToFit="1"/>
    </xf>
    <xf numFmtId="0" fontId="5" fillId="0" borderId="7" xfId="0" applyNumberFormat="1" applyFont="1" applyFill="1" applyBorder="1" applyAlignment="1" applyProtection="1">
      <alignment horizontal="left"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wrapText="1"/>
    </xf>
    <xf numFmtId="176" fontId="6" fillId="0" borderId="7" xfId="0" applyNumberFormat="1" applyFont="1" applyFill="1" applyBorder="1" applyAlignment="1" applyProtection="1">
      <alignment horizontal="center" vertical="center"/>
    </xf>
    <xf numFmtId="176" fontId="13" fillId="0" borderId="7" xfId="0" applyNumberFormat="1" applyFont="1" applyFill="1" applyBorder="1" applyAlignment="1">
      <alignment horizontal="center" vertical="center" shrinkToFit="1"/>
    </xf>
    <xf numFmtId="9" fontId="5" fillId="0" borderId="7" xfId="0" applyNumberFormat="1" applyFont="1" applyFill="1" applyBorder="1" applyAlignment="1">
      <alignment horizontal="center" vertical="center" wrapText="1"/>
    </xf>
    <xf numFmtId="0" fontId="0" fillId="0" borderId="7" xfId="0" applyFill="1" applyBorder="1" applyAlignment="1">
      <alignment vertical="center"/>
    </xf>
    <xf numFmtId="0" fontId="14" fillId="0" borderId="7" xfId="0" applyFont="1" applyFill="1" applyBorder="1" applyAlignment="1">
      <alignment vertical="center" wrapText="1"/>
    </xf>
    <xf numFmtId="176" fontId="5" fillId="0" borderId="10" xfId="0" applyNumberFormat="1" applyFont="1" applyFill="1" applyBorder="1" applyAlignment="1">
      <alignment horizontal="center" vertical="center" wrapText="1"/>
    </xf>
    <xf numFmtId="2" fontId="13" fillId="0" borderId="7" xfId="0" applyNumberFormat="1" applyFont="1" applyFill="1" applyBorder="1" applyAlignment="1">
      <alignment horizontal="center" vertical="center" wrapText="1" shrinkToFit="1"/>
    </xf>
    <xf numFmtId="0" fontId="10" fillId="0" borderId="0" xfId="0" applyFont="1" applyFill="1" applyAlignment="1">
      <alignment horizontal="center" vertical="center" wrapText="1"/>
    </xf>
    <xf numFmtId="176" fontId="0" fillId="0" borderId="0" xfId="0" applyNumberFormat="1" applyFill="1">
      <alignment vertical="center"/>
    </xf>
    <xf numFmtId="0" fontId="11" fillId="0" borderId="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left" vertical="center" wrapText="1"/>
    </xf>
    <xf numFmtId="176" fontId="11" fillId="0" borderId="7" xfId="0" applyNumberFormat="1" applyFont="1" applyFill="1" applyBorder="1" applyAlignment="1" applyProtection="1">
      <alignment horizontal="center" vertical="center" wrapText="1"/>
    </xf>
    <xf numFmtId="0" fontId="0" fillId="0" borderId="7" xfId="0" applyFill="1" applyBorder="1" applyAlignment="1">
      <alignment horizontal="center" vertical="center"/>
    </xf>
    <xf numFmtId="176" fontId="0" fillId="0" borderId="7" xfId="0" applyNumberFormat="1" applyFill="1" applyBorder="1" applyAlignment="1">
      <alignment horizontal="center" vertical="center"/>
    </xf>
    <xf numFmtId="0" fontId="0" fillId="0" borderId="2" xfId="0" applyFill="1" applyBorder="1" applyAlignment="1">
      <alignment horizontal="center" vertical="center"/>
    </xf>
    <xf numFmtId="176" fontId="10" fillId="2" borderId="7" xfId="0" applyNumberFormat="1" applyFont="1" applyFill="1" applyBorder="1" applyAlignment="1">
      <alignment horizontal="center" vertical="center" wrapText="1"/>
    </xf>
    <xf numFmtId="176" fontId="0" fillId="0" borderId="7" xfId="0" applyNumberFormat="1" applyFont="1" applyFill="1" applyBorder="1" applyAlignment="1">
      <alignment horizontal="right" vertical="center" wrapText="1"/>
    </xf>
    <xf numFmtId="0" fontId="0" fillId="0" borderId="7" xfId="0" applyFill="1" applyBorder="1">
      <alignment vertical="center"/>
    </xf>
    <xf numFmtId="0" fontId="0" fillId="0" borderId="6" xfId="0" applyFill="1" applyBorder="1" applyAlignment="1">
      <alignment horizontal="center" vertical="center"/>
    </xf>
    <xf numFmtId="176" fontId="0" fillId="0" borderId="7" xfId="0" applyNumberFormat="1" applyFont="1" applyFill="1" applyBorder="1" applyAlignment="1">
      <alignment horizontal="center" vertical="center"/>
    </xf>
    <xf numFmtId="176" fontId="0" fillId="0" borderId="7" xfId="0" applyNumberFormat="1" applyFont="1" applyFill="1" applyBorder="1">
      <alignment vertical="center"/>
    </xf>
    <xf numFmtId="0" fontId="0" fillId="0" borderId="9" xfId="0" applyFill="1" applyBorder="1" applyAlignment="1">
      <alignment horizontal="center" vertical="center"/>
    </xf>
    <xf numFmtId="0" fontId="0" fillId="0" borderId="3" xfId="0" applyFill="1" applyBorder="1">
      <alignment vertical="center"/>
    </xf>
    <xf numFmtId="176" fontId="0" fillId="0" borderId="7" xfId="0" applyNumberFormat="1" applyFill="1" applyBorder="1">
      <alignment vertical="center"/>
    </xf>
    <xf numFmtId="0" fontId="1" fillId="0" borderId="0" xfId="0" applyNumberFormat="1" applyFont="1" applyFill="1" applyBorder="1" applyAlignment="1">
      <alignment vertical="center" wrapText="1"/>
    </xf>
    <xf numFmtId="0" fontId="1" fillId="0" borderId="0" xfId="0" applyFont="1" applyFill="1" applyBorder="1" applyAlignment="1">
      <alignment vertical="center"/>
    </xf>
    <xf numFmtId="0" fontId="15" fillId="0" borderId="0" xfId="0" applyFont="1" applyFill="1" applyAlignment="1">
      <alignment horizontal="center" vertical="center"/>
    </xf>
    <xf numFmtId="49" fontId="16" fillId="0" borderId="7" xfId="67" applyNumberFormat="1" applyFont="1" applyFill="1" applyBorder="1" applyAlignment="1" applyProtection="1">
      <alignment horizontal="left" vertical="center"/>
    </xf>
    <xf numFmtId="49" fontId="16" fillId="0" borderId="7" xfId="67" applyNumberFormat="1" applyFont="1" applyFill="1" applyBorder="1" applyAlignment="1" applyProtection="1">
      <alignment horizontal="left" vertical="center" wrapText="1"/>
    </xf>
    <xf numFmtId="0" fontId="15" fillId="0" borderId="0" xfId="0" applyFont="1" applyFill="1" applyBorder="1" applyAlignment="1">
      <alignment horizontal="center" vertical="center"/>
    </xf>
    <xf numFmtId="0" fontId="6" fillId="0" borderId="7" xfId="68" applyFont="1" applyFill="1" applyBorder="1" applyAlignment="1" applyProtection="1">
      <alignment horizontal="center" vertical="center"/>
    </xf>
    <xf numFmtId="0" fontId="6" fillId="0" borderId="7" xfId="67" applyNumberFormat="1" applyFont="1" applyFill="1" applyBorder="1" applyAlignment="1" applyProtection="1">
      <alignment horizontal="left" vertical="center" wrapText="1"/>
    </xf>
    <xf numFmtId="0" fontId="17" fillId="0" borderId="0" xfId="0" applyNumberFormat="1" applyFont="1" applyFill="1" applyBorder="1" applyAlignment="1">
      <alignment horizontal="justify" vertical="center" wrapText="1"/>
    </xf>
    <xf numFmtId="0" fontId="7" fillId="0" borderId="7" xfId="71" applyNumberFormat="1" applyFont="1" applyFill="1" applyBorder="1" applyAlignment="1" applyProtection="1">
      <alignment horizontal="justify" vertical="center" wrapText="1"/>
    </xf>
    <xf numFmtId="0" fontId="6" fillId="0" borderId="7" xfId="70" applyNumberFormat="1" applyFont="1" applyFill="1" applyBorder="1" applyAlignment="1" applyProtection="1">
      <alignment horizontal="center" vertical="center"/>
    </xf>
    <xf numFmtId="0" fontId="6" fillId="0" borderId="7" xfId="69" applyNumberFormat="1" applyFont="1" applyFill="1" applyBorder="1" applyAlignment="1" applyProtection="1">
      <alignment vertical="center" wrapText="1"/>
    </xf>
    <xf numFmtId="0" fontId="17" fillId="0" borderId="0" xfId="0" applyNumberFormat="1" applyFont="1" applyFill="1" applyBorder="1" applyAlignment="1">
      <alignment horizontal="left" vertical="center" wrapText="1"/>
    </xf>
    <xf numFmtId="0" fontId="6" fillId="0" borderId="7" xfId="60" applyNumberFormat="1" applyFont="1" applyFill="1" applyBorder="1" applyAlignment="1" applyProtection="1">
      <alignment horizontal="left" vertical="center" wrapText="1"/>
    </xf>
    <xf numFmtId="0" fontId="6" fillId="0" borderId="7" xfId="69" applyNumberFormat="1" applyFont="1" applyFill="1" applyBorder="1" applyAlignment="1" applyProtection="1">
      <alignment horizontal="left" vertical="center" wrapText="1"/>
    </xf>
    <xf numFmtId="0" fontId="16" fillId="0" borderId="0" xfId="0" applyFont="1" applyFill="1" applyAlignment="1">
      <alignment horizontal="left" vertical="center"/>
    </xf>
  </cellXfs>
  <cellStyles count="7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3 2 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3232 2"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常规 53" xfId="44"/>
    <cellStyle name="强调文字颜色 3" xfId="45" builtinId="37"/>
    <cellStyle name="常规 3 2" xfId="46"/>
    <cellStyle name="强调文字颜色 4" xfId="47" builtinId="41"/>
    <cellStyle name="20% - 强调文字颜色 4" xfId="48" builtinId="42"/>
    <cellStyle name="40% - 强调文字颜色 4" xfId="49" builtinId="43"/>
    <cellStyle name="常规 3 3" xfId="50"/>
    <cellStyle name="强调文字颜色 5" xfId="51" builtinId="45"/>
    <cellStyle name="40% - 强调文字颜色 5" xfId="52" builtinId="47"/>
    <cellStyle name="60% - 强调文字颜色 5" xfId="53" builtinId="48"/>
    <cellStyle name="常规 53 2" xfId="54"/>
    <cellStyle name="强调文字颜色 6" xfId="55" builtinId="49"/>
    <cellStyle name="40% - 强调文字颜色 6" xfId="56" builtinId="51"/>
    <cellStyle name="60% - 强调文字颜色 6" xfId="57" builtinId="52"/>
    <cellStyle name="3232" xfId="58"/>
    <cellStyle name="常规 2" xfId="59"/>
    <cellStyle name="表体数字 3 2 6 5 3 2" xfId="60"/>
    <cellStyle name="常规 3" xfId="61"/>
    <cellStyle name="常规 4" xfId="62"/>
    <cellStyle name="常规 5" xfId="63"/>
    <cellStyle name="常规 7" xfId="64"/>
    <cellStyle name="常规_金域蓝湾二期B6交楼标准测算500标准（090401唐文调整版）" xfId="65"/>
    <cellStyle name="常规_金色B8西户型装修费用080616" xfId="66"/>
    <cellStyle name="表体数字 3 2 6 6" xfId="67"/>
    <cellStyle name="常规 144 4" xfId="68"/>
    <cellStyle name="常规 10" xfId="69"/>
    <cellStyle name="?餑_x005f_x005f_x005f_x000c_睨_x005f_x005f_x005f_x0017__x005f_x005f_x005f_x000d_帼U_x005f_x005f_x005f_x0001_0_x005f_x005f_x005f_x0005_j'_x005f_x005f_x005f_x0007__x005f_x005f_x005f_x0001__x005f_x005f_x005f_x0001_ 3" xfId="70"/>
    <cellStyle name="常规 11" xfId="7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947;&#21457;\16#\16#&#21806;&#27004;&#37096;&#38472;&#38745;&#38686;&#20132;&#25509;\2.&#30333;&#40557;&#22253;16&#21495;&#38498;&#39033;&#30446;&#21806;&#27004;&#37096;+&#26679;&#26495;&#38388;\1.&#21512;&#21516;&#21450;&#21512;&#21516;&#28165;&#21333;\1&#12289;&#23460;&#20869;&#30828;&#35013;\&#28207;&#21306;16&#21495;&#22320;&#22359;&#30333;&#40557;&#22253;&#26149;&#26195;&#21806;&#27004;&#37096;&#35013;&#39280;&#35013;&#20462;&#24037;&#31243;-&#25307;&#26631;&#28165;&#21333;2015-5-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封面"/>
      <sheetName val="1编制说明"/>
      <sheetName val="2工程造价汇总表"/>
      <sheetName val="3一层售楼部硬装"/>
      <sheetName val="4二层办公司硬装"/>
      <sheetName val="5主要材料清单"/>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3"/>
  <sheetViews>
    <sheetView workbookViewId="0">
      <selection activeCell="E10" sqref="E10"/>
    </sheetView>
  </sheetViews>
  <sheetFormatPr defaultColWidth="8.75" defaultRowHeight="14.25" outlineLevelCol="3"/>
  <cols>
    <col min="1" max="1" width="5.625" style="94" customWidth="1"/>
    <col min="2" max="2" width="130.25" style="94" customWidth="1"/>
    <col min="3" max="3" width="9" style="94"/>
    <col min="4" max="4" width="9" style="94" customWidth="1"/>
    <col min="5" max="31" width="9" style="94"/>
    <col min="32" max="16384" width="8.75" style="94"/>
  </cols>
  <sheetData>
    <row r="1" ht="25" customHeight="1" spans="1:2">
      <c r="A1" s="95" t="s">
        <v>0</v>
      </c>
      <c r="B1" s="95"/>
    </row>
    <row r="2" s="93" customFormat="1" ht="23" customHeight="1" spans="1:4">
      <c r="A2" s="96" t="s">
        <v>1</v>
      </c>
      <c r="B2" s="97"/>
      <c r="D2" s="98"/>
    </row>
    <row r="3" s="93" customFormat="1" ht="23" customHeight="1" spans="1:4">
      <c r="A3" s="99">
        <v>1</v>
      </c>
      <c r="B3" s="100" t="s">
        <v>2</v>
      </c>
      <c r="D3" s="101"/>
    </row>
    <row r="4" s="93" customFormat="1" ht="73" customHeight="1" spans="1:4">
      <c r="A4" s="99">
        <v>2</v>
      </c>
      <c r="B4" s="102" t="s">
        <v>3</v>
      </c>
      <c r="D4" s="101"/>
    </row>
    <row r="5" s="93" customFormat="1" ht="28" customHeight="1" spans="1:4">
      <c r="A5" s="96" t="s">
        <v>4</v>
      </c>
      <c r="B5" s="97"/>
      <c r="D5" s="101"/>
    </row>
    <row r="6" s="93" customFormat="1" ht="71" customHeight="1" spans="1:4">
      <c r="A6" s="103">
        <v>1</v>
      </c>
      <c r="B6" s="104" t="s">
        <v>5</v>
      </c>
      <c r="D6" s="101"/>
    </row>
    <row r="7" s="93" customFormat="1" ht="57" customHeight="1" spans="1:4">
      <c r="A7" s="103">
        <v>2</v>
      </c>
      <c r="B7" s="104" t="s">
        <v>6</v>
      </c>
      <c r="D7" s="101"/>
    </row>
    <row r="8" s="93" customFormat="1" ht="45" customHeight="1" spans="1:4">
      <c r="A8" s="103">
        <v>3</v>
      </c>
      <c r="B8" s="104" t="s">
        <v>7</v>
      </c>
      <c r="D8" s="101"/>
    </row>
    <row r="9" s="93" customFormat="1" ht="66" customHeight="1" spans="1:4">
      <c r="A9" s="103">
        <v>4</v>
      </c>
      <c r="B9" s="104" t="s">
        <v>8</v>
      </c>
      <c r="D9" s="105"/>
    </row>
    <row r="10" ht="39" customHeight="1" spans="1:4">
      <c r="A10" s="103">
        <v>5</v>
      </c>
      <c r="B10" s="106" t="s">
        <v>9</v>
      </c>
      <c r="D10" s="105"/>
    </row>
    <row r="11" ht="54" customHeight="1" spans="1:4">
      <c r="A11" s="103">
        <v>6</v>
      </c>
      <c r="B11" s="107" t="s">
        <v>10</v>
      </c>
      <c r="D11" s="105"/>
    </row>
    <row r="12" ht="47" customHeight="1" spans="1:2">
      <c r="A12" s="103">
        <v>7</v>
      </c>
      <c r="B12" s="107" t="s">
        <v>11</v>
      </c>
    </row>
    <row r="13" ht="44" customHeight="1" spans="1:2">
      <c r="A13" s="103">
        <v>8</v>
      </c>
      <c r="B13" s="107" t="s">
        <v>12</v>
      </c>
    </row>
    <row r="14" ht="24" customHeight="1" spans="1:2">
      <c r="A14" s="103">
        <v>9</v>
      </c>
      <c r="B14" s="107" t="s">
        <v>13</v>
      </c>
    </row>
    <row r="15" ht="13.5" spans="1:2">
      <c r="A15" s="96" t="s">
        <v>14</v>
      </c>
      <c r="B15" s="97"/>
    </row>
    <row r="16" ht="50" customHeight="1" spans="1:2">
      <c r="A16" s="103">
        <v>1</v>
      </c>
      <c r="B16" s="100" t="s">
        <v>15</v>
      </c>
    </row>
    <row r="17" ht="22" customHeight="1" spans="1:2">
      <c r="A17" s="103">
        <v>2</v>
      </c>
      <c r="B17" s="100" t="s">
        <v>16</v>
      </c>
    </row>
    <row r="18" ht="13.5" spans="1:2">
      <c r="A18" s="103">
        <v>3</v>
      </c>
      <c r="B18" s="100" t="s">
        <v>17</v>
      </c>
    </row>
    <row r="19" ht="13.5" spans="1:2">
      <c r="A19" s="96" t="s">
        <v>18</v>
      </c>
      <c r="B19" s="97"/>
    </row>
    <row r="20" ht="35" customHeight="1" spans="1:2">
      <c r="A20" s="103">
        <v>1</v>
      </c>
      <c r="B20" s="100" t="s">
        <v>19</v>
      </c>
    </row>
    <row r="21" ht="24" customHeight="1" spans="1:2">
      <c r="A21" s="103">
        <v>2</v>
      </c>
      <c r="B21" s="100" t="s">
        <v>20</v>
      </c>
    </row>
    <row r="22" ht="24" customHeight="1" spans="1:2">
      <c r="A22" s="103">
        <v>3</v>
      </c>
      <c r="B22" s="100" t="s">
        <v>21</v>
      </c>
    </row>
    <row r="23" ht="13.5" spans="1:2">
      <c r="A23" s="108" t="s">
        <v>22</v>
      </c>
      <c r="B23" s="108"/>
    </row>
  </sheetData>
  <mergeCells count="6">
    <mergeCell ref="A1:B1"/>
    <mergeCell ref="A2:B2"/>
    <mergeCell ref="A5:B5"/>
    <mergeCell ref="A15:B15"/>
    <mergeCell ref="A19:B19"/>
    <mergeCell ref="A23:B23"/>
  </mergeCells>
  <printOptions horizontalCentered="1"/>
  <pageMargins left="0.196527777777778" right="0.196527777777778" top="0.590277777777778" bottom="0.590277777777778"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view="pageBreakPreview" zoomScaleNormal="100" topLeftCell="A12" workbookViewId="0">
      <selection activeCell="E37" sqref="E37"/>
    </sheetView>
  </sheetViews>
  <sheetFormatPr defaultColWidth="9" defaultRowHeight="13.5" outlineLevelCol="6"/>
  <cols>
    <col min="1" max="1" width="9" style="54"/>
    <col min="2" max="2" width="18.875" style="54" customWidth="1"/>
    <col min="3" max="3" width="19.375" style="54" customWidth="1"/>
    <col min="4" max="4" width="19.125" style="77" customWidth="1"/>
    <col min="5" max="5" width="19.875" style="54" customWidth="1"/>
    <col min="6" max="6" width="21.375" style="77" customWidth="1"/>
    <col min="7" max="7" width="18.125" style="54" customWidth="1"/>
    <col min="8" max="16384" width="9" style="54"/>
  </cols>
  <sheetData>
    <row r="1" ht="50" customHeight="1" spans="1:7">
      <c r="A1" s="78" t="s">
        <v>23</v>
      </c>
      <c r="B1" s="79"/>
      <c r="C1" s="78"/>
      <c r="D1" s="80"/>
      <c r="E1" s="80"/>
      <c r="F1" s="80"/>
      <c r="G1" s="80"/>
    </row>
    <row r="2" ht="42" customHeight="1" spans="1:7">
      <c r="A2" s="81" t="s">
        <v>24</v>
      </c>
      <c r="B2" s="81" t="s">
        <v>25</v>
      </c>
      <c r="C2" s="81" t="s">
        <v>26</v>
      </c>
      <c r="D2" s="82" t="s">
        <v>27</v>
      </c>
      <c r="E2" s="81" t="s">
        <v>28</v>
      </c>
      <c r="F2" s="82" t="s">
        <v>29</v>
      </c>
      <c r="G2" s="81" t="s">
        <v>30</v>
      </c>
    </row>
    <row r="3" ht="21" customHeight="1" spans="1:7">
      <c r="A3" s="83">
        <v>1</v>
      </c>
      <c r="B3" s="83" t="s">
        <v>31</v>
      </c>
      <c r="C3" s="54" t="s">
        <v>32</v>
      </c>
      <c r="D3" s="84">
        <f>SUM(D4:D9)</f>
        <v>20076.73983003</v>
      </c>
      <c r="E3" s="81"/>
      <c r="F3" s="85">
        <f>F4+F5+F6+F7+F8+F9</f>
        <v>260997.61779039</v>
      </c>
      <c r="G3" s="86"/>
    </row>
    <row r="4" ht="21" customHeight="1" spans="1:7">
      <c r="A4" s="87"/>
      <c r="B4" s="87"/>
      <c r="C4" s="86" t="str">
        <f>户内精装修!B6</f>
        <v>地面</v>
      </c>
      <c r="D4" s="88">
        <f>户内精装修!L6</f>
        <v>486.943875</v>
      </c>
      <c r="E4" s="81">
        <f>1*13</f>
        <v>13</v>
      </c>
      <c r="F4" s="89">
        <f>D4*E4</f>
        <v>6330.270375</v>
      </c>
      <c r="G4" s="86"/>
    </row>
    <row r="5" ht="21" customHeight="1" spans="1:7">
      <c r="A5" s="87"/>
      <c r="B5" s="87"/>
      <c r="C5" s="86" t="str">
        <f>户内精装修!B18</f>
        <v>地暖</v>
      </c>
      <c r="D5" s="88">
        <f>户内精装修!L19</f>
        <v>0</v>
      </c>
      <c r="E5" s="81">
        <f>1*13</f>
        <v>13</v>
      </c>
      <c r="F5" s="89">
        <f t="shared" ref="F5:F37" si="0">D5*E5</f>
        <v>0</v>
      </c>
      <c r="G5" s="86"/>
    </row>
    <row r="6" ht="21" customHeight="1" spans="1:7">
      <c r="A6" s="87"/>
      <c r="B6" s="87"/>
      <c r="C6" s="86" t="str">
        <f>户内精装修!B20</f>
        <v>墙面</v>
      </c>
      <c r="D6" s="88">
        <f>户内精装修!L20</f>
        <v>0</v>
      </c>
      <c r="E6" s="81">
        <f>1*13</f>
        <v>13</v>
      </c>
      <c r="F6" s="89">
        <f t="shared" si="0"/>
        <v>0</v>
      </c>
      <c r="G6" s="86"/>
    </row>
    <row r="7" ht="21" customHeight="1" spans="1:7">
      <c r="A7" s="87"/>
      <c r="B7" s="87"/>
      <c r="C7" s="86" t="str">
        <f>户内精装修!B38</f>
        <v>标准层天花</v>
      </c>
      <c r="D7" s="88">
        <f>户内精装修!L38</f>
        <v>0</v>
      </c>
      <c r="E7" s="81">
        <f>1*12</f>
        <v>12</v>
      </c>
      <c r="F7" s="89">
        <f t="shared" si="0"/>
        <v>0</v>
      </c>
      <c r="G7" s="86"/>
    </row>
    <row r="8" ht="21" customHeight="1" spans="1:7">
      <c r="A8" s="87"/>
      <c r="B8" s="87"/>
      <c r="C8" s="86" t="str">
        <f>户内精装修!B45</f>
        <v>顶层天花</v>
      </c>
      <c r="D8" s="88">
        <f>户内精装修!L45</f>
        <v>0</v>
      </c>
      <c r="E8" s="81">
        <f>1*1</f>
        <v>1</v>
      </c>
      <c r="F8" s="89">
        <f t="shared" si="0"/>
        <v>0</v>
      </c>
      <c r="G8" s="86"/>
    </row>
    <row r="9" ht="21" customHeight="1" spans="1:7">
      <c r="A9" s="90"/>
      <c r="B9" s="90"/>
      <c r="C9" s="86" t="s">
        <v>33</v>
      </c>
      <c r="D9" s="88">
        <f>安装!N63</f>
        <v>19589.79595503</v>
      </c>
      <c r="E9" s="81">
        <v>13</v>
      </c>
      <c r="F9" s="89">
        <f t="shared" si="0"/>
        <v>254667.34741539</v>
      </c>
      <c r="G9" s="86"/>
    </row>
    <row r="10" ht="21" customHeight="1" spans="1:7">
      <c r="A10" s="83">
        <v>2</v>
      </c>
      <c r="B10" s="83" t="s">
        <v>34</v>
      </c>
      <c r="C10" s="54" t="s">
        <v>32</v>
      </c>
      <c r="D10" s="84">
        <f>SUM(D11:D16)</f>
        <v>18248.50008909</v>
      </c>
      <c r="E10" s="86"/>
      <c r="F10" s="89">
        <f>F11+F12+F13+F14+F15+F16</f>
        <v>237230.50115817</v>
      </c>
      <c r="G10" s="86"/>
    </row>
    <row r="11" ht="21" customHeight="1" spans="1:7">
      <c r="A11" s="87"/>
      <c r="B11" s="87"/>
      <c r="C11" s="86" t="str">
        <f>户内精装修!B52</f>
        <v>地面</v>
      </c>
      <c r="D11" s="88">
        <f>户内精装修!L52</f>
        <v>370.077345</v>
      </c>
      <c r="E11" s="81">
        <f t="shared" ref="E11:E13" si="1">1*13</f>
        <v>13</v>
      </c>
      <c r="F11" s="89">
        <f t="shared" si="0"/>
        <v>4811.005485</v>
      </c>
      <c r="G11" s="86"/>
    </row>
    <row r="12" ht="21" customHeight="1" spans="1:7">
      <c r="A12" s="87"/>
      <c r="B12" s="87"/>
      <c r="C12" s="86" t="str">
        <f>户内精装修!B64</f>
        <v>地暖</v>
      </c>
      <c r="D12" s="88">
        <f>户内精装修!L64</f>
        <v>0</v>
      </c>
      <c r="E12" s="81">
        <f t="shared" si="1"/>
        <v>13</v>
      </c>
      <c r="F12" s="89">
        <f t="shared" si="0"/>
        <v>0</v>
      </c>
      <c r="G12" s="86"/>
    </row>
    <row r="13" ht="21" customHeight="1" spans="1:7">
      <c r="A13" s="87"/>
      <c r="B13" s="87"/>
      <c r="C13" s="86" t="str">
        <f>户内精装修!B66</f>
        <v>墙面</v>
      </c>
      <c r="D13" s="88">
        <f>户内精装修!L66</f>
        <v>0</v>
      </c>
      <c r="E13" s="81">
        <f t="shared" si="1"/>
        <v>13</v>
      </c>
      <c r="F13" s="89">
        <f t="shared" si="0"/>
        <v>0</v>
      </c>
      <c r="G13" s="86"/>
    </row>
    <row r="14" ht="21" customHeight="1" spans="1:7">
      <c r="A14" s="87"/>
      <c r="B14" s="87"/>
      <c r="C14" s="86" t="str">
        <f>户内精装修!B85</f>
        <v>标准层天花</v>
      </c>
      <c r="D14" s="88">
        <f>户内精装修!L85</f>
        <v>0</v>
      </c>
      <c r="E14" s="81">
        <f>1*12</f>
        <v>12</v>
      </c>
      <c r="F14" s="89">
        <f t="shared" si="0"/>
        <v>0</v>
      </c>
      <c r="G14" s="86"/>
    </row>
    <row r="15" ht="21" customHeight="1" spans="1:7">
      <c r="A15" s="87"/>
      <c r="B15" s="87"/>
      <c r="C15" s="86" t="str">
        <f>户内精装修!B92</f>
        <v>顶层天花</v>
      </c>
      <c r="D15" s="88">
        <f>户内精装修!L92</f>
        <v>0</v>
      </c>
      <c r="E15" s="81">
        <f>1*1</f>
        <v>1</v>
      </c>
      <c r="F15" s="89">
        <f t="shared" si="0"/>
        <v>0</v>
      </c>
      <c r="G15" s="86"/>
    </row>
    <row r="16" ht="21" customHeight="1" spans="1:7">
      <c r="A16" s="90"/>
      <c r="B16" s="90"/>
      <c r="C16" s="86" t="s">
        <v>33</v>
      </c>
      <c r="D16" s="88">
        <f>安装!N119</f>
        <v>17878.42274409</v>
      </c>
      <c r="E16" s="81">
        <v>13</v>
      </c>
      <c r="F16" s="89">
        <f t="shared" si="0"/>
        <v>232419.49567317</v>
      </c>
      <c r="G16" s="86"/>
    </row>
    <row r="17" ht="21" customHeight="1" spans="1:7">
      <c r="A17" s="83">
        <v>3</v>
      </c>
      <c r="B17" s="83" t="s">
        <v>35</v>
      </c>
      <c r="C17" s="54" t="s">
        <v>32</v>
      </c>
      <c r="D17" s="84">
        <f>SUM(D18:D23)</f>
        <v>18248.50008909</v>
      </c>
      <c r="E17" s="86"/>
      <c r="F17" s="89">
        <f>F18+F19+F20+F21+F22+F23</f>
        <v>474461.00231634</v>
      </c>
      <c r="G17" s="86"/>
    </row>
    <row r="18" ht="21" customHeight="1" spans="1:7">
      <c r="A18" s="87"/>
      <c r="B18" s="87"/>
      <c r="C18" s="86" t="str">
        <f>户内精装修!B99</f>
        <v>地面</v>
      </c>
      <c r="D18" s="88">
        <f>户内精装修!L99</f>
        <v>370.077345</v>
      </c>
      <c r="E18" s="81">
        <f>2*13</f>
        <v>26</v>
      </c>
      <c r="F18" s="89">
        <f t="shared" si="0"/>
        <v>9622.01097</v>
      </c>
      <c r="G18" s="86"/>
    </row>
    <row r="19" ht="21" customHeight="1" spans="1:7">
      <c r="A19" s="87"/>
      <c r="B19" s="87"/>
      <c r="C19" s="86" t="str">
        <f>户内精装修!B111</f>
        <v>地暖</v>
      </c>
      <c r="D19" s="88">
        <f>户内精装修!L111</f>
        <v>0</v>
      </c>
      <c r="E19" s="81">
        <f>2*13</f>
        <v>26</v>
      </c>
      <c r="F19" s="89">
        <f t="shared" si="0"/>
        <v>0</v>
      </c>
      <c r="G19" s="86"/>
    </row>
    <row r="20" ht="21" customHeight="1" spans="1:7">
      <c r="A20" s="87"/>
      <c r="B20" s="87"/>
      <c r="C20" s="86" t="str">
        <f>户内精装修!B113</f>
        <v>墙面</v>
      </c>
      <c r="D20" s="88">
        <f>户内精装修!L113</f>
        <v>0</v>
      </c>
      <c r="E20" s="81">
        <f>2*13</f>
        <v>26</v>
      </c>
      <c r="F20" s="89">
        <f t="shared" si="0"/>
        <v>0</v>
      </c>
      <c r="G20" s="86"/>
    </row>
    <row r="21" ht="21" customHeight="1" spans="1:7">
      <c r="A21" s="87"/>
      <c r="B21" s="87"/>
      <c r="C21" s="86" t="str">
        <f>户内精装修!B131</f>
        <v>标准层天花</v>
      </c>
      <c r="D21" s="88">
        <f>户内精装修!L131</f>
        <v>0</v>
      </c>
      <c r="E21" s="81">
        <f>2*12</f>
        <v>24</v>
      </c>
      <c r="F21" s="89">
        <f t="shared" si="0"/>
        <v>0</v>
      </c>
      <c r="G21" s="86"/>
    </row>
    <row r="22" ht="21" customHeight="1" spans="1:7">
      <c r="A22" s="87"/>
      <c r="B22" s="87"/>
      <c r="C22" s="86" t="str">
        <f>户内精装修!B138</f>
        <v>顶层天花</v>
      </c>
      <c r="D22" s="88">
        <f>户内精装修!L138</f>
        <v>0</v>
      </c>
      <c r="E22" s="81">
        <f>2*1</f>
        <v>2</v>
      </c>
      <c r="F22" s="89">
        <f t="shared" si="0"/>
        <v>0</v>
      </c>
      <c r="G22" s="86"/>
    </row>
    <row r="23" ht="21" customHeight="1" spans="1:7">
      <c r="A23" s="90"/>
      <c r="B23" s="90"/>
      <c r="C23" s="91" t="s">
        <v>33</v>
      </c>
      <c r="D23" s="88">
        <f>安装!N175</f>
        <v>17878.42274409</v>
      </c>
      <c r="E23" s="81">
        <v>26</v>
      </c>
      <c r="F23" s="89">
        <f t="shared" si="0"/>
        <v>464838.99134634</v>
      </c>
      <c r="G23" s="86"/>
    </row>
    <row r="24" ht="21" customHeight="1" spans="1:7">
      <c r="A24" s="83">
        <v>4</v>
      </c>
      <c r="B24" s="83" t="s">
        <v>36</v>
      </c>
      <c r="C24" s="54" t="s">
        <v>32</v>
      </c>
      <c r="D24" s="84">
        <f>SUM(D25:D30)</f>
        <v>18248.50008909</v>
      </c>
      <c r="E24" s="86"/>
      <c r="F24" s="89">
        <f>F25+F26+F27+F28+F29+F30</f>
        <v>237230.50115817</v>
      </c>
      <c r="G24" s="86"/>
    </row>
    <row r="25" ht="21" customHeight="1" spans="1:7">
      <c r="A25" s="87"/>
      <c r="B25" s="87"/>
      <c r="C25" s="91" t="str">
        <f>户内精装修!B145</f>
        <v>地面</v>
      </c>
      <c r="D25" s="88">
        <f>户内精装修!L145</f>
        <v>370.077345</v>
      </c>
      <c r="E25" s="81">
        <f t="shared" ref="E25:E27" si="2">1*13</f>
        <v>13</v>
      </c>
      <c r="F25" s="89">
        <f t="shared" si="0"/>
        <v>4811.005485</v>
      </c>
      <c r="G25" s="86"/>
    </row>
    <row r="26" ht="21" customHeight="1" spans="1:7">
      <c r="A26" s="87"/>
      <c r="B26" s="87"/>
      <c r="C26" s="91" t="str">
        <f>户内精装修!B157</f>
        <v>地暖</v>
      </c>
      <c r="D26" s="88">
        <f>户内精装修!L157</f>
        <v>0</v>
      </c>
      <c r="E26" s="81">
        <f t="shared" si="2"/>
        <v>13</v>
      </c>
      <c r="F26" s="89">
        <f t="shared" si="0"/>
        <v>0</v>
      </c>
      <c r="G26" s="86"/>
    </row>
    <row r="27" ht="21" customHeight="1" spans="1:7">
      <c r="A27" s="87"/>
      <c r="B27" s="87"/>
      <c r="C27" s="91" t="str">
        <f>户内精装修!B159</f>
        <v>墙面</v>
      </c>
      <c r="D27" s="88">
        <f>户内精装修!L159</f>
        <v>0</v>
      </c>
      <c r="E27" s="81">
        <f t="shared" si="2"/>
        <v>13</v>
      </c>
      <c r="F27" s="89">
        <f t="shared" si="0"/>
        <v>0</v>
      </c>
      <c r="G27" s="86"/>
    </row>
    <row r="28" ht="21" customHeight="1" spans="1:7">
      <c r="A28" s="87"/>
      <c r="B28" s="87"/>
      <c r="C28" s="91" t="str">
        <f>户内精装修!B177</f>
        <v>标准层天花</v>
      </c>
      <c r="D28" s="88">
        <f>户内精装修!L177</f>
        <v>0</v>
      </c>
      <c r="E28" s="81">
        <f>1*12</f>
        <v>12</v>
      </c>
      <c r="F28" s="89">
        <f t="shared" si="0"/>
        <v>0</v>
      </c>
      <c r="G28" s="86"/>
    </row>
    <row r="29" ht="21" customHeight="1" spans="1:7">
      <c r="A29" s="87"/>
      <c r="B29" s="87"/>
      <c r="C29" s="91" t="str">
        <f>户内精装修!B184</f>
        <v>顶层天花</v>
      </c>
      <c r="D29" s="88">
        <f>户内精装修!L184</f>
        <v>0</v>
      </c>
      <c r="E29" s="81">
        <f>1*1</f>
        <v>1</v>
      </c>
      <c r="F29" s="89">
        <f t="shared" si="0"/>
        <v>0</v>
      </c>
      <c r="G29" s="86"/>
    </row>
    <row r="30" ht="21" customHeight="1" spans="1:7">
      <c r="A30" s="90"/>
      <c r="B30" s="90"/>
      <c r="C30" s="91" t="s">
        <v>33</v>
      </c>
      <c r="D30" s="88">
        <f>安装!N231</f>
        <v>17878.42274409</v>
      </c>
      <c r="E30" s="81">
        <v>13</v>
      </c>
      <c r="F30" s="89">
        <f t="shared" si="0"/>
        <v>232419.49567317</v>
      </c>
      <c r="G30" s="86"/>
    </row>
    <row r="31" ht="21" customHeight="1" spans="1:7">
      <c r="A31" s="83">
        <v>5</v>
      </c>
      <c r="B31" s="83" t="s">
        <v>37</v>
      </c>
      <c r="C31" s="54" t="s">
        <v>32</v>
      </c>
      <c r="D31" s="84">
        <f>SUM(D32:D37)</f>
        <v>20561.65522266</v>
      </c>
      <c r="E31" s="86"/>
      <c r="F31" s="89">
        <f>F32+F33+F34+F35+F36+F37</f>
        <v>253911.55851858</v>
      </c>
      <c r="G31" s="86"/>
    </row>
    <row r="32" ht="21" customHeight="1" spans="1:7">
      <c r="A32" s="87"/>
      <c r="B32" s="87"/>
      <c r="C32" s="91" t="str">
        <f>户内精装修!B191</f>
        <v>地面</v>
      </c>
      <c r="D32" s="88">
        <f>户内精装修!L191</f>
        <v>323.44878</v>
      </c>
      <c r="E32" s="81">
        <f t="shared" ref="E32:E34" si="3">1*13</f>
        <v>13</v>
      </c>
      <c r="F32" s="89">
        <f t="shared" si="0"/>
        <v>4204.83414</v>
      </c>
      <c r="G32" s="86"/>
    </row>
    <row r="33" ht="21" customHeight="1" spans="1:7">
      <c r="A33" s="87"/>
      <c r="B33" s="87"/>
      <c r="C33" s="91" t="str">
        <f>户内精装修!B203</f>
        <v>地暖</v>
      </c>
      <c r="D33" s="88">
        <f>户内精装修!L203</f>
        <v>0</v>
      </c>
      <c r="E33" s="81">
        <f t="shared" si="3"/>
        <v>13</v>
      </c>
      <c r="F33" s="89">
        <f t="shared" si="0"/>
        <v>0</v>
      </c>
      <c r="G33" s="86"/>
    </row>
    <row r="34" ht="21" customHeight="1" spans="1:7">
      <c r="A34" s="87"/>
      <c r="B34" s="87"/>
      <c r="C34" s="91" t="str">
        <f>户内精装修!B205</f>
        <v>墙面</v>
      </c>
      <c r="D34" s="88">
        <f>户内精装修!L205</f>
        <v>0</v>
      </c>
      <c r="E34" s="81">
        <f t="shared" si="3"/>
        <v>13</v>
      </c>
      <c r="F34" s="89">
        <f t="shared" si="0"/>
        <v>0</v>
      </c>
      <c r="G34" s="86"/>
    </row>
    <row r="35" ht="21" customHeight="1" spans="1:7">
      <c r="A35" s="87"/>
      <c r="B35" s="87"/>
      <c r="C35" s="91" t="str">
        <f>户内精装修!B222</f>
        <v>标准层天花</v>
      </c>
      <c r="D35" s="88">
        <f>户内精装修!L222</f>
        <v>0</v>
      </c>
      <c r="E35" s="81">
        <f>1*12</f>
        <v>12</v>
      </c>
      <c r="F35" s="89">
        <f t="shared" si="0"/>
        <v>0</v>
      </c>
      <c r="G35" s="86"/>
    </row>
    <row r="36" ht="21" customHeight="1" spans="1:7">
      <c r="A36" s="87"/>
      <c r="B36" s="87"/>
      <c r="C36" s="91" t="str">
        <f>户内精装修!B228</f>
        <v>顶层天花</v>
      </c>
      <c r="D36" s="88">
        <f>户内精装修!L228</f>
        <v>1115.829948</v>
      </c>
      <c r="E36" s="81">
        <f>1*1</f>
        <v>1</v>
      </c>
      <c r="F36" s="89">
        <f t="shared" si="0"/>
        <v>1115.829948</v>
      </c>
      <c r="G36" s="86"/>
    </row>
    <row r="37" ht="21" customHeight="1" spans="1:7">
      <c r="A37" s="90"/>
      <c r="B37" s="90"/>
      <c r="C37" s="91" t="s">
        <v>33</v>
      </c>
      <c r="D37" s="88">
        <f>安装!N288</f>
        <v>19122.37649466</v>
      </c>
      <c r="E37" s="81">
        <v>13</v>
      </c>
      <c r="F37" s="89">
        <f t="shared" si="0"/>
        <v>248590.89443058</v>
      </c>
      <c r="G37" s="86">
        <v>4200</v>
      </c>
    </row>
    <row r="38" ht="21" customHeight="1" spans="1:7">
      <c r="A38" s="81">
        <v>6</v>
      </c>
      <c r="B38" s="86" t="s">
        <v>38</v>
      </c>
      <c r="C38" s="86"/>
      <c r="D38" s="88">
        <f>D3+D10+D17+D24+D31</f>
        <v>95383.89531996</v>
      </c>
      <c r="E38" s="86"/>
      <c r="F38" s="89">
        <f>F31+F24+F17+F10+F3</f>
        <v>1463831.18094165</v>
      </c>
      <c r="G38" s="92">
        <f>F38/G37</f>
        <v>348.531233557536</v>
      </c>
    </row>
  </sheetData>
  <mergeCells count="11">
    <mergeCell ref="A1:G1"/>
    <mergeCell ref="A3:A9"/>
    <mergeCell ref="A10:A16"/>
    <mergeCell ref="A17:A23"/>
    <mergeCell ref="A24:A30"/>
    <mergeCell ref="A31:A37"/>
    <mergeCell ref="B3:B9"/>
    <mergeCell ref="B10:B16"/>
    <mergeCell ref="B17:B23"/>
    <mergeCell ref="B24:B30"/>
    <mergeCell ref="B31:B37"/>
  </mergeCells>
  <pageMargins left="0.75"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S232"/>
  <sheetViews>
    <sheetView tabSelected="1" view="pageBreakPreview" zoomScaleNormal="100" topLeftCell="A16" workbookViewId="0">
      <selection activeCell="C201" sqref="C201"/>
    </sheetView>
  </sheetViews>
  <sheetFormatPr defaultColWidth="9" defaultRowHeight="13.5"/>
  <cols>
    <col min="1" max="1" width="7.125" style="56" customWidth="1"/>
    <col min="2" max="2" width="15.875" style="53" customWidth="1"/>
    <col min="3" max="3" width="38.125" style="53" customWidth="1"/>
    <col min="4" max="4" width="6.375" style="56" customWidth="1"/>
    <col min="5" max="5" width="9" style="57"/>
    <col min="6" max="6" width="6.5" style="57" customWidth="1"/>
    <col min="7" max="7" width="7.375" style="57" customWidth="1"/>
    <col min="8" max="8" width="10.75" style="57" customWidth="1"/>
    <col min="9" max="9" width="11" style="57" customWidth="1"/>
    <col min="10" max="11" width="9" style="57" customWidth="1"/>
    <col min="12" max="12" width="12.125" style="57" customWidth="1"/>
    <col min="13" max="13" width="15.625" style="56" customWidth="1"/>
    <col min="14" max="14" width="21.5" style="53" customWidth="1"/>
    <col min="15" max="15" width="13" style="56" customWidth="1"/>
    <col min="16" max="19" width="12.625" style="53"/>
    <col min="20" max="16384" width="9" style="53"/>
  </cols>
  <sheetData>
    <row r="1" s="53" customFormat="1" ht="35.1" customHeight="1" spans="1:15">
      <c r="A1" s="58" t="s">
        <v>23</v>
      </c>
      <c r="B1" s="59"/>
      <c r="C1" s="58"/>
      <c r="D1" s="58"/>
      <c r="E1" s="60"/>
      <c r="F1" s="60"/>
      <c r="G1" s="60"/>
      <c r="H1" s="60"/>
      <c r="I1" s="60"/>
      <c r="J1" s="60"/>
      <c r="K1" s="60"/>
      <c r="L1" s="60"/>
      <c r="M1" s="58"/>
      <c r="O1" s="56"/>
    </row>
    <row r="2" s="2" customFormat="1" ht="33.95" customHeight="1" spans="1:13">
      <c r="A2" s="22" t="s">
        <v>24</v>
      </c>
      <c r="B2" s="22" t="s">
        <v>39</v>
      </c>
      <c r="C2" s="22" t="s">
        <v>40</v>
      </c>
      <c r="D2" s="22" t="s">
        <v>41</v>
      </c>
      <c r="E2" s="61" t="s">
        <v>42</v>
      </c>
      <c r="F2" s="46" t="s">
        <v>43</v>
      </c>
      <c r="G2" s="46"/>
      <c r="H2" s="46"/>
      <c r="I2" s="46"/>
      <c r="J2" s="46"/>
      <c r="K2" s="46" t="s">
        <v>44</v>
      </c>
      <c r="L2" s="46" t="s">
        <v>45</v>
      </c>
      <c r="M2" s="46" t="s">
        <v>30</v>
      </c>
    </row>
    <row r="3" s="2" customFormat="1" ht="33.95" customHeight="1" spans="1:13">
      <c r="A3" s="22"/>
      <c r="B3" s="22"/>
      <c r="C3" s="22"/>
      <c r="D3" s="22"/>
      <c r="E3" s="61"/>
      <c r="F3" s="46" t="s">
        <v>46</v>
      </c>
      <c r="G3" s="46" t="s">
        <v>47</v>
      </c>
      <c r="H3" s="46" t="s">
        <v>48</v>
      </c>
      <c r="I3" s="46" t="s">
        <v>49</v>
      </c>
      <c r="J3" s="46" t="s">
        <v>50</v>
      </c>
      <c r="K3" s="46"/>
      <c r="L3" s="46"/>
      <c r="M3" s="46"/>
    </row>
    <row r="4" s="2" customFormat="1" ht="21.95" customHeight="1" spans="1:13">
      <c r="A4" s="22"/>
      <c r="B4" s="22"/>
      <c r="C4" s="22"/>
      <c r="D4" s="22"/>
      <c r="E4" s="61"/>
      <c r="F4" s="46"/>
      <c r="G4" s="46"/>
      <c r="H4" s="46"/>
      <c r="I4" s="71">
        <v>0.14</v>
      </c>
      <c r="J4" s="71">
        <v>0.09</v>
      </c>
      <c r="K4" s="46"/>
      <c r="L4" s="46"/>
      <c r="M4" s="46"/>
    </row>
    <row r="5" s="2" customFormat="1" ht="18" hidden="1" customHeight="1" spans="1:13">
      <c r="A5" s="22" t="s">
        <v>51</v>
      </c>
      <c r="B5" s="22" t="s">
        <v>52</v>
      </c>
      <c r="C5" s="22" t="s">
        <v>53</v>
      </c>
      <c r="D5" s="22"/>
      <c r="E5" s="61"/>
      <c r="F5" s="46"/>
      <c r="G5" s="46"/>
      <c r="H5" s="46"/>
      <c r="I5" s="46"/>
      <c r="J5" s="46"/>
      <c r="K5" s="46"/>
      <c r="L5" s="46"/>
      <c r="M5" s="46"/>
    </row>
    <row r="6" s="1" customFormat="1" hidden="1" spans="1:19">
      <c r="A6" s="22">
        <v>1</v>
      </c>
      <c r="B6" s="22" t="s">
        <v>54</v>
      </c>
      <c r="C6" s="22"/>
      <c r="D6" s="22"/>
      <c r="E6" s="61"/>
      <c r="F6" s="46"/>
      <c r="G6" s="46"/>
      <c r="H6" s="46"/>
      <c r="I6" s="46"/>
      <c r="J6" s="46"/>
      <c r="K6" s="46"/>
      <c r="L6" s="46">
        <f>SUM(L7:L17)</f>
        <v>486.943875</v>
      </c>
      <c r="M6" s="46"/>
      <c r="O6" s="56"/>
      <c r="P6" s="53"/>
      <c r="Q6" s="53"/>
      <c r="R6" s="53"/>
      <c r="S6" s="53"/>
    </row>
    <row r="7" s="1" customFormat="1" ht="95" hidden="1" customHeight="1" outlineLevel="1" spans="1:19">
      <c r="A7" s="22">
        <v>1.1</v>
      </c>
      <c r="B7" s="22" t="s">
        <v>55</v>
      </c>
      <c r="C7" s="62" t="s">
        <v>56</v>
      </c>
      <c r="D7" s="63" t="s">
        <v>57</v>
      </c>
      <c r="E7" s="61">
        <v>37.27</v>
      </c>
      <c r="F7" s="46">
        <v>12</v>
      </c>
      <c r="G7" s="46">
        <v>60</v>
      </c>
      <c r="H7" s="46">
        <v>10</v>
      </c>
      <c r="I7" s="65">
        <f>(F7+G7+H7)*$I$4</f>
        <v>11.48</v>
      </c>
      <c r="J7" s="46">
        <f>(F7+G7+H7+I7)*$J$4</f>
        <v>8.4132</v>
      </c>
      <c r="K7" s="46">
        <f>SUBTOTAL(9,F7:J7)</f>
        <v>0</v>
      </c>
      <c r="L7" s="46">
        <f>E7*K7</f>
        <v>0</v>
      </c>
      <c r="M7" s="72" t="s">
        <v>58</v>
      </c>
      <c r="O7" s="56"/>
      <c r="P7" s="53"/>
      <c r="Q7" s="53"/>
      <c r="R7" s="53"/>
      <c r="S7" s="53"/>
    </row>
    <row r="8" s="1" customFormat="1" ht="28.5" hidden="1" outlineLevel="1" spans="1:19">
      <c r="A8" s="22">
        <v>1.2</v>
      </c>
      <c r="B8" s="62" t="s">
        <v>59</v>
      </c>
      <c r="C8" s="62" t="s">
        <v>60</v>
      </c>
      <c r="D8" s="63" t="s">
        <v>61</v>
      </c>
      <c r="E8" s="61">
        <f>40.9-1.09-0.2*2*2-1.19-0.9</f>
        <v>36.92</v>
      </c>
      <c r="F8" s="46">
        <v>4</v>
      </c>
      <c r="G8" s="46">
        <v>4</v>
      </c>
      <c r="H8" s="46">
        <v>1</v>
      </c>
      <c r="I8" s="65">
        <f t="shared" ref="I8:I71" si="0">(F8+G8+H8)*$I$4</f>
        <v>1.26</v>
      </c>
      <c r="J8" s="46">
        <f t="shared" ref="J8:J71" si="1">(F8+G8+H8+I8)*$J$4</f>
        <v>0.9234</v>
      </c>
      <c r="K8" s="46">
        <f t="shared" ref="K8:K71" si="2">SUBTOTAL(9,F8:J8)</f>
        <v>0</v>
      </c>
      <c r="L8" s="46">
        <f t="shared" ref="L8:L71" si="3">E8*K8</f>
        <v>0</v>
      </c>
      <c r="M8" s="46"/>
      <c r="O8" s="56"/>
      <c r="P8" s="53"/>
      <c r="Q8" s="53"/>
      <c r="R8" s="53"/>
      <c r="S8" s="53"/>
    </row>
    <row r="9" s="1" customFormat="1" ht="71.25" hidden="1" outlineLevel="1" spans="1:19">
      <c r="A9" s="22">
        <v>1.3</v>
      </c>
      <c r="B9" s="63" t="s">
        <v>62</v>
      </c>
      <c r="C9" s="64" t="s">
        <v>63</v>
      </c>
      <c r="D9" s="63" t="s">
        <v>57</v>
      </c>
      <c r="E9" s="61">
        <f>3.52</f>
        <v>3.52</v>
      </c>
      <c r="F9" s="65">
        <v>20</v>
      </c>
      <c r="G9" s="65">
        <v>25</v>
      </c>
      <c r="H9" s="65">
        <v>15</v>
      </c>
      <c r="I9" s="65">
        <f t="shared" si="0"/>
        <v>8.4</v>
      </c>
      <c r="J9" s="46">
        <f t="shared" si="1"/>
        <v>6.156</v>
      </c>
      <c r="K9" s="46">
        <f t="shared" si="2"/>
        <v>0</v>
      </c>
      <c r="L9" s="46">
        <f t="shared" si="3"/>
        <v>0</v>
      </c>
      <c r="M9" s="46"/>
      <c r="O9" s="56"/>
      <c r="P9" s="53"/>
      <c r="Q9" s="53"/>
      <c r="R9" s="53"/>
      <c r="S9" s="53"/>
    </row>
    <row r="10" s="1" customFormat="1" ht="71.25" hidden="1" outlineLevel="1" spans="1:19">
      <c r="A10" s="22">
        <v>1.4</v>
      </c>
      <c r="B10" s="63" t="s">
        <v>62</v>
      </c>
      <c r="C10" s="64" t="s">
        <v>64</v>
      </c>
      <c r="D10" s="63" t="s">
        <v>57</v>
      </c>
      <c r="E10" s="61">
        <f>2.96+0.108+1.28+0.9*0.5</f>
        <v>4.798</v>
      </c>
      <c r="F10" s="65">
        <v>20</v>
      </c>
      <c r="G10" s="65">
        <v>25</v>
      </c>
      <c r="H10" s="65">
        <v>15</v>
      </c>
      <c r="I10" s="65">
        <f t="shared" si="0"/>
        <v>8.4</v>
      </c>
      <c r="J10" s="46">
        <f t="shared" si="1"/>
        <v>6.156</v>
      </c>
      <c r="K10" s="46">
        <f t="shared" si="2"/>
        <v>0</v>
      </c>
      <c r="L10" s="46">
        <f t="shared" si="3"/>
        <v>0</v>
      </c>
      <c r="M10" s="46"/>
      <c r="O10" s="56"/>
      <c r="P10" s="53"/>
      <c r="Q10" s="53"/>
      <c r="R10" s="53"/>
      <c r="S10" s="53"/>
    </row>
    <row r="11" s="1" customFormat="1" ht="71.25" hidden="1" outlineLevel="1" spans="1:19">
      <c r="A11" s="22">
        <v>1.5</v>
      </c>
      <c r="B11" s="63" t="s">
        <v>62</v>
      </c>
      <c r="C11" s="64" t="s">
        <v>65</v>
      </c>
      <c r="D11" s="63" t="s">
        <v>57</v>
      </c>
      <c r="E11" s="61">
        <v>2.95</v>
      </c>
      <c r="F11" s="65">
        <v>20</v>
      </c>
      <c r="G11" s="65">
        <v>25</v>
      </c>
      <c r="H11" s="65">
        <v>15</v>
      </c>
      <c r="I11" s="65">
        <f t="shared" si="0"/>
        <v>8.4</v>
      </c>
      <c r="J11" s="46">
        <f t="shared" si="1"/>
        <v>6.156</v>
      </c>
      <c r="K11" s="46">
        <f t="shared" si="2"/>
        <v>0</v>
      </c>
      <c r="L11" s="46">
        <f t="shared" si="3"/>
        <v>0</v>
      </c>
      <c r="M11" s="46"/>
      <c r="O11" s="56"/>
      <c r="P11" s="53"/>
      <c r="Q11" s="53"/>
      <c r="R11" s="53"/>
      <c r="S11" s="53"/>
    </row>
    <row r="12" s="1" customFormat="1" ht="90" hidden="1" customHeight="1" outlineLevel="1" spans="1:19">
      <c r="A12" s="22">
        <v>1.6</v>
      </c>
      <c r="B12" s="22" t="s">
        <v>66</v>
      </c>
      <c r="C12" s="66" t="s">
        <v>67</v>
      </c>
      <c r="D12" s="22" t="s">
        <v>57</v>
      </c>
      <c r="E12" s="61">
        <v>2.96</v>
      </c>
      <c r="F12" s="65">
        <v>55</v>
      </c>
      <c r="G12" s="65">
        <v>72</v>
      </c>
      <c r="H12" s="46">
        <v>23</v>
      </c>
      <c r="I12" s="65">
        <f t="shared" si="0"/>
        <v>21</v>
      </c>
      <c r="J12" s="46">
        <f t="shared" si="1"/>
        <v>15.39</v>
      </c>
      <c r="K12" s="46">
        <f t="shared" si="2"/>
        <v>0</v>
      </c>
      <c r="L12" s="46">
        <f t="shared" si="3"/>
        <v>0</v>
      </c>
      <c r="M12" s="73" t="s">
        <v>68</v>
      </c>
      <c r="O12" s="56"/>
      <c r="P12" s="53"/>
      <c r="Q12" s="53"/>
      <c r="R12" s="53"/>
      <c r="S12" s="53"/>
    </row>
    <row r="13" s="1" customFormat="1" ht="102" hidden="1" customHeight="1" outlineLevel="1" spans="1:19">
      <c r="A13" s="22">
        <v>1.7</v>
      </c>
      <c r="B13" s="22" t="s">
        <v>66</v>
      </c>
      <c r="C13" s="66" t="s">
        <v>69</v>
      </c>
      <c r="D13" s="22" t="s">
        <v>57</v>
      </c>
      <c r="E13" s="61">
        <f>1.28+3.77</f>
        <v>5.05</v>
      </c>
      <c r="F13" s="65">
        <v>55</v>
      </c>
      <c r="G13" s="65">
        <v>72</v>
      </c>
      <c r="H13" s="46">
        <v>23</v>
      </c>
      <c r="I13" s="65">
        <f t="shared" si="0"/>
        <v>21</v>
      </c>
      <c r="J13" s="46">
        <f t="shared" si="1"/>
        <v>15.39</v>
      </c>
      <c r="K13" s="46">
        <f t="shared" si="2"/>
        <v>0</v>
      </c>
      <c r="L13" s="46">
        <f t="shared" si="3"/>
        <v>0</v>
      </c>
      <c r="M13" s="73" t="s">
        <v>68</v>
      </c>
      <c r="O13" s="56"/>
      <c r="P13" s="53"/>
      <c r="Q13" s="53"/>
      <c r="R13" s="53"/>
      <c r="S13" s="53"/>
    </row>
    <row r="14" s="1" customFormat="1" ht="69" hidden="1" customHeight="1" outlineLevel="1" spans="1:19">
      <c r="A14" s="22">
        <v>1.8</v>
      </c>
      <c r="B14" s="22" t="s">
        <v>70</v>
      </c>
      <c r="C14" s="66" t="s">
        <v>71</v>
      </c>
      <c r="D14" s="22" t="s">
        <v>57</v>
      </c>
      <c r="E14" s="61">
        <v>1.52</v>
      </c>
      <c r="F14" s="46">
        <v>20</v>
      </c>
      <c r="G14" s="46">
        <v>15</v>
      </c>
      <c r="H14" s="46">
        <v>5</v>
      </c>
      <c r="I14" s="65">
        <f t="shared" si="0"/>
        <v>5.6</v>
      </c>
      <c r="J14" s="46">
        <f t="shared" si="1"/>
        <v>4.104</v>
      </c>
      <c r="K14" s="46">
        <f t="shared" si="2"/>
        <v>0</v>
      </c>
      <c r="L14" s="46">
        <f t="shared" si="3"/>
        <v>0</v>
      </c>
      <c r="M14" s="73"/>
      <c r="O14" s="56"/>
      <c r="P14" s="53"/>
      <c r="Q14" s="53"/>
      <c r="R14" s="53"/>
      <c r="S14" s="53"/>
    </row>
    <row r="15" s="1" customFormat="1" ht="85" hidden="1" customHeight="1" outlineLevel="1" spans="1:19">
      <c r="A15" s="22">
        <v>1.9</v>
      </c>
      <c r="B15" s="22" t="s">
        <v>66</v>
      </c>
      <c r="C15" s="66" t="s">
        <v>72</v>
      </c>
      <c r="D15" s="22" t="s">
        <v>57</v>
      </c>
      <c r="E15" s="61">
        <v>3.52</v>
      </c>
      <c r="F15" s="65">
        <v>55</v>
      </c>
      <c r="G15" s="65">
        <v>72</v>
      </c>
      <c r="H15" s="46">
        <v>23</v>
      </c>
      <c r="I15" s="65">
        <f t="shared" si="0"/>
        <v>21</v>
      </c>
      <c r="J15" s="46">
        <f t="shared" si="1"/>
        <v>15.39</v>
      </c>
      <c r="K15" s="46">
        <f t="shared" si="2"/>
        <v>0</v>
      </c>
      <c r="L15" s="46">
        <f t="shared" si="3"/>
        <v>0</v>
      </c>
      <c r="M15" s="73" t="s">
        <v>68</v>
      </c>
      <c r="O15" s="56"/>
      <c r="P15" s="53"/>
      <c r="Q15" s="53"/>
      <c r="R15" s="53"/>
      <c r="S15" s="53"/>
    </row>
    <row r="16" s="1" customFormat="1" ht="98" customHeight="1" outlineLevel="1" spans="1:19">
      <c r="A16" s="61">
        <v>1.1</v>
      </c>
      <c r="B16" s="22" t="s">
        <v>73</v>
      </c>
      <c r="C16" s="66" t="s">
        <v>74</v>
      </c>
      <c r="D16" s="22" t="s">
        <v>57</v>
      </c>
      <c r="E16" s="61">
        <f>0.22+0.112+0.105+0.108+0.28</f>
        <v>0.825</v>
      </c>
      <c r="F16" s="46">
        <v>100</v>
      </c>
      <c r="G16" s="46">
        <v>350</v>
      </c>
      <c r="H16" s="46">
        <v>25</v>
      </c>
      <c r="I16" s="65">
        <f t="shared" si="0"/>
        <v>66.5</v>
      </c>
      <c r="J16" s="46">
        <f t="shared" si="1"/>
        <v>48.735</v>
      </c>
      <c r="K16" s="46">
        <f t="shared" si="2"/>
        <v>590.235</v>
      </c>
      <c r="L16" s="46">
        <f t="shared" si="3"/>
        <v>486.943875</v>
      </c>
      <c r="M16" s="73"/>
      <c r="O16" s="56"/>
      <c r="P16" s="53"/>
      <c r="Q16" s="53"/>
      <c r="R16" s="53"/>
      <c r="S16" s="53"/>
    </row>
    <row r="17" s="1" customFormat="1" ht="129" hidden="1" customHeight="1" outlineLevel="1" spans="1:19">
      <c r="A17" s="22">
        <v>1.11</v>
      </c>
      <c r="B17" s="62" t="s">
        <v>75</v>
      </c>
      <c r="C17" s="64" t="s">
        <v>76</v>
      </c>
      <c r="D17" s="63" t="s">
        <v>57</v>
      </c>
      <c r="E17" s="61">
        <v>1.77</v>
      </c>
      <c r="F17" s="46">
        <v>80</v>
      </c>
      <c r="G17" s="46">
        <v>150</v>
      </c>
      <c r="H17" s="46">
        <v>45</v>
      </c>
      <c r="I17" s="65">
        <f t="shared" si="0"/>
        <v>38.5</v>
      </c>
      <c r="J17" s="46">
        <f t="shared" si="1"/>
        <v>28.215</v>
      </c>
      <c r="K17" s="46">
        <f t="shared" si="2"/>
        <v>0</v>
      </c>
      <c r="L17" s="46">
        <f t="shared" si="3"/>
        <v>0</v>
      </c>
      <c r="M17" s="73"/>
      <c r="O17" s="56"/>
      <c r="P17" s="53"/>
      <c r="Q17" s="53"/>
      <c r="R17" s="53"/>
      <c r="S17" s="53"/>
    </row>
    <row r="18" s="1" customFormat="1" ht="27" hidden="1" customHeight="1" spans="1:19">
      <c r="A18" s="22">
        <v>2</v>
      </c>
      <c r="B18" s="63" t="s">
        <v>77</v>
      </c>
      <c r="C18" s="64"/>
      <c r="D18" s="63"/>
      <c r="E18" s="61"/>
      <c r="F18" s="46"/>
      <c r="G18" s="46"/>
      <c r="H18" s="46"/>
      <c r="I18" s="65"/>
      <c r="J18" s="46"/>
      <c r="K18" s="46"/>
      <c r="L18" s="46">
        <f>L19</f>
        <v>0</v>
      </c>
      <c r="M18" s="73"/>
      <c r="O18" s="56"/>
      <c r="P18" s="53"/>
      <c r="Q18" s="53"/>
      <c r="R18" s="53"/>
      <c r="S18" s="53"/>
    </row>
    <row r="19" s="1" customFormat="1" ht="149" hidden="1" customHeight="1" outlineLevel="1" spans="1:19">
      <c r="A19" s="22">
        <v>2.1</v>
      </c>
      <c r="B19" s="62" t="s">
        <v>77</v>
      </c>
      <c r="C19" s="64" t="s">
        <v>78</v>
      </c>
      <c r="D19" s="63" t="s">
        <v>57</v>
      </c>
      <c r="E19" s="61">
        <f>3.5+37.27+2.955+1.27+0.1+1.08+1.12</f>
        <v>47.295</v>
      </c>
      <c r="F19" s="46">
        <v>30</v>
      </c>
      <c r="G19" s="46">
        <v>40</v>
      </c>
      <c r="H19" s="46">
        <v>12</v>
      </c>
      <c r="I19" s="65">
        <f t="shared" si="0"/>
        <v>11.48</v>
      </c>
      <c r="J19" s="46">
        <f t="shared" si="1"/>
        <v>8.4132</v>
      </c>
      <c r="K19" s="46">
        <f t="shared" si="2"/>
        <v>0</v>
      </c>
      <c r="L19" s="46">
        <f t="shared" si="3"/>
        <v>0</v>
      </c>
      <c r="M19" s="73" t="s">
        <v>79</v>
      </c>
      <c r="O19" s="56"/>
      <c r="P19" s="53"/>
      <c r="Q19" s="53"/>
      <c r="R19" s="53"/>
      <c r="S19" s="53"/>
    </row>
    <row r="20" s="1" customFormat="1" ht="26.1" hidden="1" customHeight="1" collapsed="1" spans="1:19">
      <c r="A20" s="22">
        <v>3</v>
      </c>
      <c r="B20" s="22" t="s">
        <v>80</v>
      </c>
      <c r="C20" s="22"/>
      <c r="D20" s="22"/>
      <c r="E20" s="61"/>
      <c r="F20" s="46"/>
      <c r="G20" s="46"/>
      <c r="H20" s="46"/>
      <c r="I20" s="65"/>
      <c r="J20" s="46"/>
      <c r="K20" s="46"/>
      <c r="L20" s="46">
        <f>SUM(L21:L37)</f>
        <v>0</v>
      </c>
      <c r="M20" s="46"/>
      <c r="O20" s="56"/>
      <c r="P20" s="53"/>
      <c r="Q20" s="53"/>
      <c r="R20" s="53"/>
      <c r="S20" s="53"/>
    </row>
    <row r="21" s="53" customFormat="1" ht="90" hidden="1" customHeight="1" outlineLevel="1" spans="1:15">
      <c r="A21" s="22">
        <v>3.1</v>
      </c>
      <c r="B21" s="67" t="s">
        <v>81</v>
      </c>
      <c r="C21" s="68" t="s">
        <v>82</v>
      </c>
      <c r="D21" s="22" t="s">
        <v>57</v>
      </c>
      <c r="E21" s="61">
        <f>12.48-1.18-2.06-1.76+0.177+15.07-2.06-0.31+9.6+6.32-1.999+7.34+4.34+7.34+5.44+8.55+7.42-3.53+0.22+8.55+2.485-1.85+1.66+0.46+0.94+0.2*3+3*0.8</f>
        <v>86.643</v>
      </c>
      <c r="F21" s="65">
        <v>15</v>
      </c>
      <c r="G21" s="65">
        <v>20</v>
      </c>
      <c r="H21" s="61">
        <v>5</v>
      </c>
      <c r="I21" s="65">
        <f t="shared" si="0"/>
        <v>5.6</v>
      </c>
      <c r="J21" s="46">
        <f t="shared" si="1"/>
        <v>4.104</v>
      </c>
      <c r="K21" s="46">
        <f t="shared" si="2"/>
        <v>0</v>
      </c>
      <c r="L21" s="46">
        <f t="shared" si="3"/>
        <v>0</v>
      </c>
      <c r="M21" s="22" t="s">
        <v>83</v>
      </c>
      <c r="O21" s="56"/>
    </row>
    <row r="22" s="53" customFormat="1" ht="180" hidden="1" customHeight="1" outlineLevel="1" spans="1:15">
      <c r="A22" s="22">
        <v>3.2</v>
      </c>
      <c r="B22" s="67" t="s">
        <v>84</v>
      </c>
      <c r="C22" s="64" t="s">
        <v>85</v>
      </c>
      <c r="D22" s="22" t="s">
        <v>61</v>
      </c>
      <c r="E22" s="61">
        <f>0.93+1.53+1.825</f>
        <v>4.285</v>
      </c>
      <c r="F22" s="65">
        <v>50</v>
      </c>
      <c r="G22" s="65">
        <v>60</v>
      </c>
      <c r="H22" s="61">
        <v>10</v>
      </c>
      <c r="I22" s="65">
        <f t="shared" si="0"/>
        <v>16.8</v>
      </c>
      <c r="J22" s="46">
        <f t="shared" si="1"/>
        <v>12.312</v>
      </c>
      <c r="K22" s="46">
        <f t="shared" si="2"/>
        <v>0</v>
      </c>
      <c r="L22" s="46">
        <f t="shared" si="3"/>
        <v>0</v>
      </c>
      <c r="M22" s="22"/>
      <c r="O22" s="56"/>
    </row>
    <row r="23" s="53" customFormat="1" ht="83" hidden="1" customHeight="1" outlineLevel="1" spans="1:15">
      <c r="A23" s="22">
        <v>3.3</v>
      </c>
      <c r="B23" s="67" t="s">
        <v>86</v>
      </c>
      <c r="C23" s="68" t="s">
        <v>87</v>
      </c>
      <c r="D23" s="22" t="s">
        <v>88</v>
      </c>
      <c r="E23" s="61">
        <v>2</v>
      </c>
      <c r="F23" s="61">
        <v>100</v>
      </c>
      <c r="G23" s="61">
        <v>600</v>
      </c>
      <c r="H23" s="61">
        <v>50</v>
      </c>
      <c r="I23" s="65">
        <f t="shared" si="0"/>
        <v>105</v>
      </c>
      <c r="J23" s="46">
        <f t="shared" si="1"/>
        <v>76.95</v>
      </c>
      <c r="K23" s="46">
        <f t="shared" si="2"/>
        <v>0</v>
      </c>
      <c r="L23" s="46">
        <f t="shared" si="3"/>
        <v>0</v>
      </c>
      <c r="M23" s="22"/>
      <c r="O23" s="56"/>
    </row>
    <row r="24" s="53" customFormat="1" ht="72.95" hidden="1" customHeight="1" outlineLevel="1" spans="1:15">
      <c r="A24" s="22">
        <v>3.4</v>
      </c>
      <c r="B24" s="67" t="s">
        <v>89</v>
      </c>
      <c r="C24" s="68" t="s">
        <v>90</v>
      </c>
      <c r="D24" s="22" t="s">
        <v>57</v>
      </c>
      <c r="E24" s="61">
        <f>2.28*0.8</f>
        <v>1.824</v>
      </c>
      <c r="F24" s="46">
        <v>150</v>
      </c>
      <c r="G24" s="46">
        <v>380</v>
      </c>
      <c r="H24" s="46">
        <v>50</v>
      </c>
      <c r="I24" s="65">
        <f t="shared" si="0"/>
        <v>81.2</v>
      </c>
      <c r="J24" s="46">
        <f t="shared" si="1"/>
        <v>59.508</v>
      </c>
      <c r="K24" s="46">
        <f t="shared" si="2"/>
        <v>0</v>
      </c>
      <c r="L24" s="46">
        <f t="shared" si="3"/>
        <v>0</v>
      </c>
      <c r="M24" s="22"/>
      <c r="O24" s="56"/>
    </row>
    <row r="25" s="53" customFormat="1" ht="72.95" hidden="1" customHeight="1" outlineLevel="1" spans="1:15">
      <c r="A25" s="22">
        <v>3.5</v>
      </c>
      <c r="B25" s="67" t="s">
        <v>91</v>
      </c>
      <c r="C25" s="68" t="s">
        <v>92</v>
      </c>
      <c r="D25" s="22" t="s">
        <v>57</v>
      </c>
      <c r="E25" s="61">
        <v>6.7</v>
      </c>
      <c r="F25" s="61">
        <v>200</v>
      </c>
      <c r="G25" s="61">
        <v>165</v>
      </c>
      <c r="H25" s="61">
        <v>45</v>
      </c>
      <c r="I25" s="65">
        <f t="shared" si="0"/>
        <v>57.4</v>
      </c>
      <c r="J25" s="46">
        <f t="shared" si="1"/>
        <v>42.066</v>
      </c>
      <c r="K25" s="46">
        <f t="shared" si="2"/>
        <v>0</v>
      </c>
      <c r="L25" s="46">
        <f t="shared" si="3"/>
        <v>0</v>
      </c>
      <c r="M25" s="22"/>
      <c r="O25" s="56"/>
    </row>
    <row r="26" s="1" customFormat="1" ht="59" hidden="1" customHeight="1" outlineLevel="1" spans="1:19">
      <c r="A26" s="22">
        <v>3.6</v>
      </c>
      <c r="B26" s="22" t="s">
        <v>93</v>
      </c>
      <c r="C26" s="66" t="s">
        <v>94</v>
      </c>
      <c r="D26" s="22" t="s">
        <v>61</v>
      </c>
      <c r="E26" s="61">
        <v>2.4</v>
      </c>
      <c r="F26" s="46">
        <v>10</v>
      </c>
      <c r="G26" s="46">
        <v>10</v>
      </c>
      <c r="H26" s="46">
        <v>1</v>
      </c>
      <c r="I26" s="65">
        <f t="shared" si="0"/>
        <v>2.94</v>
      </c>
      <c r="J26" s="46">
        <f t="shared" si="1"/>
        <v>2.1546</v>
      </c>
      <c r="K26" s="46">
        <f t="shared" si="2"/>
        <v>0</v>
      </c>
      <c r="L26" s="46">
        <f t="shared" si="3"/>
        <v>0</v>
      </c>
      <c r="M26" s="46"/>
      <c r="O26" s="56"/>
      <c r="P26" s="53"/>
      <c r="Q26" s="53"/>
      <c r="R26" s="53"/>
      <c r="S26" s="53"/>
    </row>
    <row r="27" s="1" customFormat="1" ht="79" hidden="1" customHeight="1" outlineLevel="1" spans="1:19">
      <c r="A27" s="22">
        <v>3.7</v>
      </c>
      <c r="B27" s="22" t="s">
        <v>95</v>
      </c>
      <c r="C27" s="66" t="s">
        <v>96</v>
      </c>
      <c r="D27" s="22" t="s">
        <v>57</v>
      </c>
      <c r="E27" s="61">
        <f>1.254+1.254+0.776+1.33+3.94-1.085+4.3*0.08+4.42+3.94-1.81+4.42+4.54-1.085+4.3*0.08-0.278+7.056-0.96-1.12+4.54+7.056-1.84</f>
        <v>37.036</v>
      </c>
      <c r="F27" s="65">
        <v>55</v>
      </c>
      <c r="G27" s="65">
        <v>60</v>
      </c>
      <c r="H27" s="46">
        <v>23</v>
      </c>
      <c r="I27" s="65">
        <f t="shared" si="0"/>
        <v>19.32</v>
      </c>
      <c r="J27" s="46">
        <f t="shared" si="1"/>
        <v>14.1588</v>
      </c>
      <c r="K27" s="46">
        <f t="shared" si="2"/>
        <v>0</v>
      </c>
      <c r="L27" s="46">
        <f t="shared" si="3"/>
        <v>0</v>
      </c>
      <c r="M27" s="46" t="s">
        <v>97</v>
      </c>
      <c r="O27" s="56"/>
      <c r="P27" s="53"/>
      <c r="Q27" s="53"/>
      <c r="R27" s="53"/>
      <c r="S27" s="53"/>
    </row>
    <row r="28" s="1" customFormat="1" ht="73" hidden="1" customHeight="1" outlineLevel="1" spans="1:19">
      <c r="A28" s="22">
        <v>3.8</v>
      </c>
      <c r="B28" s="22" t="s">
        <v>98</v>
      </c>
      <c r="C28" s="66" t="s">
        <v>99</v>
      </c>
      <c r="D28" s="22" t="s">
        <v>57</v>
      </c>
      <c r="E28" s="61">
        <f>6.1+2.45*0.3+3.54</f>
        <v>10.375</v>
      </c>
      <c r="F28" s="65">
        <v>20</v>
      </c>
      <c r="G28" s="65">
        <v>25</v>
      </c>
      <c r="H28" s="65">
        <v>4.5</v>
      </c>
      <c r="I28" s="65">
        <f t="shared" si="0"/>
        <v>6.93</v>
      </c>
      <c r="J28" s="46">
        <f t="shared" si="1"/>
        <v>5.0787</v>
      </c>
      <c r="K28" s="46">
        <f t="shared" si="2"/>
        <v>0</v>
      </c>
      <c r="L28" s="46">
        <f t="shared" si="3"/>
        <v>0</v>
      </c>
      <c r="M28" s="46"/>
      <c r="O28" s="56"/>
      <c r="P28" s="53"/>
      <c r="Q28" s="53"/>
      <c r="R28" s="53"/>
      <c r="S28" s="53"/>
    </row>
    <row r="29" s="1" customFormat="1" ht="51" hidden="1" customHeight="1" outlineLevel="1" spans="1:19">
      <c r="A29" s="22">
        <v>3.9</v>
      </c>
      <c r="B29" s="22" t="s">
        <v>93</v>
      </c>
      <c r="C29" s="66" t="s">
        <v>100</v>
      </c>
      <c r="D29" s="22" t="s">
        <v>61</v>
      </c>
      <c r="E29" s="61">
        <f>2.28+2.28</f>
        <v>4.56</v>
      </c>
      <c r="F29" s="46">
        <v>10</v>
      </c>
      <c r="G29" s="46">
        <v>10</v>
      </c>
      <c r="H29" s="46">
        <v>1</v>
      </c>
      <c r="I29" s="65">
        <f t="shared" si="0"/>
        <v>2.94</v>
      </c>
      <c r="J29" s="46">
        <f t="shared" si="1"/>
        <v>2.1546</v>
      </c>
      <c r="K29" s="46">
        <f t="shared" si="2"/>
        <v>0</v>
      </c>
      <c r="L29" s="46">
        <f t="shared" si="3"/>
        <v>0</v>
      </c>
      <c r="M29" s="46"/>
      <c r="O29" s="56"/>
      <c r="P29" s="53"/>
      <c r="Q29" s="53"/>
      <c r="R29" s="53"/>
      <c r="S29" s="53"/>
    </row>
    <row r="30" s="1" customFormat="1" ht="51" hidden="1" customHeight="1" outlineLevel="1" spans="1:19">
      <c r="A30" s="61">
        <v>3.1</v>
      </c>
      <c r="B30" s="22" t="s">
        <v>101</v>
      </c>
      <c r="C30" s="68" t="s">
        <v>102</v>
      </c>
      <c r="D30" s="22" t="s">
        <v>88</v>
      </c>
      <c r="E30" s="61">
        <v>1</v>
      </c>
      <c r="F30" s="61">
        <v>100</v>
      </c>
      <c r="G30" s="61">
        <v>650</v>
      </c>
      <c r="H30" s="46">
        <v>50</v>
      </c>
      <c r="I30" s="65">
        <f t="shared" si="0"/>
        <v>112</v>
      </c>
      <c r="J30" s="46">
        <f t="shared" si="1"/>
        <v>82.08</v>
      </c>
      <c r="K30" s="46">
        <f t="shared" si="2"/>
        <v>0</v>
      </c>
      <c r="L30" s="46">
        <f t="shared" si="3"/>
        <v>0</v>
      </c>
      <c r="M30" s="46"/>
      <c r="O30" s="56"/>
      <c r="P30" s="53"/>
      <c r="Q30" s="53"/>
      <c r="R30" s="53"/>
      <c r="S30" s="53"/>
    </row>
    <row r="31" s="1" customFormat="1" ht="51" hidden="1" customHeight="1" outlineLevel="1" spans="1:19">
      <c r="A31" s="22">
        <v>3.11</v>
      </c>
      <c r="B31" s="22" t="s">
        <v>103</v>
      </c>
      <c r="C31" s="68" t="s">
        <v>104</v>
      </c>
      <c r="D31" s="22" t="s">
        <v>88</v>
      </c>
      <c r="E31" s="61">
        <v>1</v>
      </c>
      <c r="F31" s="61">
        <v>100</v>
      </c>
      <c r="G31" s="61">
        <v>580</v>
      </c>
      <c r="H31" s="61">
        <v>50</v>
      </c>
      <c r="I31" s="65">
        <f t="shared" si="0"/>
        <v>102.2</v>
      </c>
      <c r="J31" s="46">
        <f t="shared" si="1"/>
        <v>74.898</v>
      </c>
      <c r="K31" s="46">
        <f t="shared" si="2"/>
        <v>0</v>
      </c>
      <c r="L31" s="46">
        <f t="shared" si="3"/>
        <v>0</v>
      </c>
      <c r="M31" s="46"/>
      <c r="O31" s="56"/>
      <c r="P31" s="53"/>
      <c r="Q31" s="53"/>
      <c r="R31" s="53"/>
      <c r="S31" s="53"/>
    </row>
    <row r="32" s="1" customFormat="1" ht="81" hidden="1" customHeight="1" outlineLevel="1" spans="1:19">
      <c r="A32" s="22">
        <v>3.12</v>
      </c>
      <c r="B32" s="22" t="s">
        <v>105</v>
      </c>
      <c r="C32" s="66" t="s">
        <v>106</v>
      </c>
      <c r="D32" s="22" t="s">
        <v>57</v>
      </c>
      <c r="E32" s="61">
        <f>0.46+6.67+0.606+6.75+0.52</f>
        <v>15.006</v>
      </c>
      <c r="F32" s="65">
        <v>55</v>
      </c>
      <c r="G32" s="65">
        <v>60</v>
      </c>
      <c r="H32" s="46">
        <v>23</v>
      </c>
      <c r="I32" s="65">
        <f t="shared" si="0"/>
        <v>19.32</v>
      </c>
      <c r="J32" s="46">
        <f t="shared" si="1"/>
        <v>14.1588</v>
      </c>
      <c r="K32" s="46">
        <f t="shared" si="2"/>
        <v>0</v>
      </c>
      <c r="L32" s="46">
        <f t="shared" si="3"/>
        <v>0</v>
      </c>
      <c r="M32" s="46"/>
      <c r="O32" s="56"/>
      <c r="P32" s="53"/>
      <c r="Q32" s="53"/>
      <c r="R32" s="53"/>
      <c r="S32" s="53"/>
    </row>
    <row r="33" s="1" customFormat="1" ht="78" hidden="1" customHeight="1" outlineLevel="1" spans="1:19">
      <c r="A33" s="22">
        <v>3.13</v>
      </c>
      <c r="B33" s="22" t="s">
        <v>107</v>
      </c>
      <c r="C33" s="66" t="s">
        <v>108</v>
      </c>
      <c r="D33" s="22" t="s">
        <v>57</v>
      </c>
      <c r="E33" s="61">
        <f>0.559*2+1.25*2</f>
        <v>3.618</v>
      </c>
      <c r="F33" s="65">
        <v>22</v>
      </c>
      <c r="G33" s="65">
        <v>5</v>
      </c>
      <c r="H33" s="46">
        <v>3</v>
      </c>
      <c r="I33" s="65">
        <f t="shared" si="0"/>
        <v>4.2</v>
      </c>
      <c r="J33" s="46">
        <f t="shared" si="1"/>
        <v>3.078</v>
      </c>
      <c r="K33" s="46">
        <f t="shared" si="2"/>
        <v>0</v>
      </c>
      <c r="L33" s="46">
        <f t="shared" si="3"/>
        <v>0</v>
      </c>
      <c r="M33" s="46"/>
      <c r="O33" s="56"/>
      <c r="P33" s="53"/>
      <c r="Q33" s="53"/>
      <c r="R33" s="53"/>
      <c r="S33" s="53"/>
    </row>
    <row r="34" s="1" customFormat="1" ht="78" hidden="1" customHeight="1" outlineLevel="1" spans="1:19">
      <c r="A34" s="22">
        <v>3.14</v>
      </c>
      <c r="B34" s="22" t="s">
        <v>109</v>
      </c>
      <c r="C34" s="66" t="s">
        <v>110</v>
      </c>
      <c r="D34" s="22" t="s">
        <v>61</v>
      </c>
      <c r="E34" s="61">
        <f>1.75+0.54+1.29</f>
        <v>3.58</v>
      </c>
      <c r="F34" s="69">
        <v>150</v>
      </c>
      <c r="G34" s="69">
        <v>500</v>
      </c>
      <c r="H34" s="46">
        <v>25</v>
      </c>
      <c r="I34" s="65">
        <f t="shared" si="0"/>
        <v>94.5</v>
      </c>
      <c r="J34" s="46">
        <f t="shared" si="1"/>
        <v>69.255</v>
      </c>
      <c r="K34" s="46">
        <f t="shared" si="2"/>
        <v>0</v>
      </c>
      <c r="L34" s="46">
        <f t="shared" si="3"/>
        <v>0</v>
      </c>
      <c r="M34" s="46"/>
      <c r="O34" s="56"/>
      <c r="P34" s="53"/>
      <c r="Q34" s="53"/>
      <c r="R34" s="53"/>
      <c r="S34" s="53"/>
    </row>
    <row r="35" s="1" customFormat="1" ht="78" hidden="1" customHeight="1" outlineLevel="1" spans="1:19">
      <c r="A35" s="22">
        <v>3.15</v>
      </c>
      <c r="B35" s="22" t="s">
        <v>111</v>
      </c>
      <c r="C35" s="66" t="s">
        <v>112</v>
      </c>
      <c r="D35" s="22" t="s">
        <v>61</v>
      </c>
      <c r="E35" s="61">
        <v>1.75</v>
      </c>
      <c r="F35" s="46">
        <v>150</v>
      </c>
      <c r="G35" s="46">
        <v>300</v>
      </c>
      <c r="H35" s="46">
        <v>25</v>
      </c>
      <c r="I35" s="65">
        <f t="shared" si="0"/>
        <v>66.5</v>
      </c>
      <c r="J35" s="46">
        <f t="shared" si="1"/>
        <v>48.735</v>
      </c>
      <c r="K35" s="46">
        <f t="shared" si="2"/>
        <v>0</v>
      </c>
      <c r="L35" s="46">
        <f t="shared" si="3"/>
        <v>0</v>
      </c>
      <c r="M35" s="46"/>
      <c r="O35" s="56"/>
      <c r="P35" s="53"/>
      <c r="Q35" s="53"/>
      <c r="R35" s="53"/>
      <c r="S35" s="53"/>
    </row>
    <row r="36" s="1" customFormat="1" ht="78" hidden="1" customHeight="1" outlineLevel="1" spans="1:19">
      <c r="A36" s="22">
        <v>3.16</v>
      </c>
      <c r="B36" s="22" t="s">
        <v>113</v>
      </c>
      <c r="C36" s="66" t="s">
        <v>114</v>
      </c>
      <c r="D36" s="22" t="s">
        <v>115</v>
      </c>
      <c r="E36" s="61">
        <v>1</v>
      </c>
      <c r="F36" s="46">
        <v>20</v>
      </c>
      <c r="G36" s="46">
        <v>40</v>
      </c>
      <c r="H36" s="46">
        <v>15</v>
      </c>
      <c r="I36" s="65">
        <f t="shared" si="0"/>
        <v>10.5</v>
      </c>
      <c r="J36" s="46">
        <f t="shared" si="1"/>
        <v>7.695</v>
      </c>
      <c r="K36" s="46">
        <f t="shared" si="2"/>
        <v>0</v>
      </c>
      <c r="L36" s="46">
        <f t="shared" si="3"/>
        <v>0</v>
      </c>
      <c r="M36" s="46" t="s">
        <v>116</v>
      </c>
      <c r="O36" s="56"/>
      <c r="P36" s="53"/>
      <c r="Q36" s="53"/>
      <c r="R36" s="53"/>
      <c r="S36" s="53"/>
    </row>
    <row r="37" s="1" customFormat="1" ht="78" hidden="1" customHeight="1" outlineLevel="1" spans="1:19">
      <c r="A37" s="22">
        <v>3.17</v>
      </c>
      <c r="B37" s="22" t="s">
        <v>117</v>
      </c>
      <c r="C37" s="66" t="s">
        <v>114</v>
      </c>
      <c r="D37" s="22" t="s">
        <v>115</v>
      </c>
      <c r="E37" s="61">
        <v>1</v>
      </c>
      <c r="F37" s="46">
        <v>30</v>
      </c>
      <c r="G37" s="46">
        <v>120</v>
      </c>
      <c r="H37" s="46">
        <v>15</v>
      </c>
      <c r="I37" s="65">
        <f t="shared" si="0"/>
        <v>23.1</v>
      </c>
      <c r="J37" s="46">
        <f t="shared" si="1"/>
        <v>16.929</v>
      </c>
      <c r="K37" s="46">
        <f t="shared" si="2"/>
        <v>0</v>
      </c>
      <c r="L37" s="46">
        <f t="shared" si="3"/>
        <v>0</v>
      </c>
      <c r="M37" s="46" t="s">
        <v>116</v>
      </c>
      <c r="O37" s="56"/>
      <c r="P37" s="53"/>
      <c r="Q37" s="53"/>
      <c r="R37" s="53"/>
      <c r="S37" s="53"/>
    </row>
    <row r="38" s="1" customFormat="1" ht="30" hidden="1" customHeight="1" collapsed="1" spans="1:19">
      <c r="A38" s="22">
        <v>4</v>
      </c>
      <c r="B38" s="22" t="s">
        <v>118</v>
      </c>
      <c r="C38" s="22" t="s">
        <v>118</v>
      </c>
      <c r="D38" s="22"/>
      <c r="E38" s="61"/>
      <c r="F38" s="46"/>
      <c r="G38" s="46"/>
      <c r="H38" s="46"/>
      <c r="I38" s="65"/>
      <c r="J38" s="46"/>
      <c r="K38" s="46"/>
      <c r="L38" s="46">
        <f>SUM(L39:L44)</f>
        <v>0</v>
      </c>
      <c r="M38" s="46"/>
      <c r="O38" s="56"/>
      <c r="P38" s="53"/>
      <c r="Q38" s="53"/>
      <c r="R38" s="53"/>
      <c r="S38" s="53"/>
    </row>
    <row r="39" s="1" customFormat="1" ht="124" hidden="1" customHeight="1" outlineLevel="1" spans="1:19">
      <c r="A39" s="22">
        <v>4.1</v>
      </c>
      <c r="B39" s="22" t="s">
        <v>119</v>
      </c>
      <c r="C39" s="66" t="s">
        <v>120</v>
      </c>
      <c r="D39" s="22" t="s">
        <v>121</v>
      </c>
      <c r="E39" s="61">
        <f>2.96+5.28</f>
        <v>8.24</v>
      </c>
      <c r="F39" s="65">
        <v>45</v>
      </c>
      <c r="G39" s="65">
        <v>30</v>
      </c>
      <c r="H39" s="46">
        <v>25</v>
      </c>
      <c r="I39" s="65">
        <f t="shared" si="0"/>
        <v>14</v>
      </c>
      <c r="J39" s="46">
        <f t="shared" si="1"/>
        <v>10.26</v>
      </c>
      <c r="K39" s="46">
        <f t="shared" si="2"/>
        <v>0</v>
      </c>
      <c r="L39" s="46">
        <f t="shared" si="3"/>
        <v>0</v>
      </c>
      <c r="M39" s="46"/>
      <c r="O39" s="56"/>
      <c r="P39" s="53"/>
      <c r="Q39" s="53"/>
      <c r="R39" s="53"/>
      <c r="S39" s="53"/>
    </row>
    <row r="40" s="1" customFormat="1" ht="195" hidden="1" customHeight="1" outlineLevel="1" spans="1:19">
      <c r="A40" s="22">
        <v>4.2</v>
      </c>
      <c r="B40" s="22" t="s">
        <v>122</v>
      </c>
      <c r="C40" s="66" t="s">
        <v>123</v>
      </c>
      <c r="D40" s="22" t="s">
        <v>121</v>
      </c>
      <c r="E40" s="61">
        <f>1.88+19.68-13.81</f>
        <v>7.75</v>
      </c>
      <c r="F40" s="70">
        <v>70</v>
      </c>
      <c r="G40" s="70">
        <v>40</v>
      </c>
      <c r="H40" s="46">
        <v>28</v>
      </c>
      <c r="I40" s="65">
        <f t="shared" si="0"/>
        <v>19.32</v>
      </c>
      <c r="J40" s="46">
        <f t="shared" si="1"/>
        <v>14.1588</v>
      </c>
      <c r="K40" s="46">
        <f t="shared" si="2"/>
        <v>0</v>
      </c>
      <c r="L40" s="46">
        <f t="shared" si="3"/>
        <v>0</v>
      </c>
      <c r="M40" s="46"/>
      <c r="O40" s="56"/>
      <c r="P40" s="53"/>
      <c r="Q40" s="53"/>
      <c r="R40" s="53"/>
      <c r="S40" s="53"/>
    </row>
    <row r="41" s="1" customFormat="1" ht="91" hidden="1" customHeight="1" outlineLevel="1" spans="1:19">
      <c r="A41" s="22">
        <v>4.3</v>
      </c>
      <c r="B41" s="22" t="s">
        <v>124</v>
      </c>
      <c r="C41" s="66" t="s">
        <v>125</v>
      </c>
      <c r="D41" s="22" t="s">
        <v>57</v>
      </c>
      <c r="E41" s="61">
        <v>3.52</v>
      </c>
      <c r="F41" s="65">
        <v>22</v>
      </c>
      <c r="G41" s="65">
        <v>5</v>
      </c>
      <c r="H41" s="46">
        <v>3</v>
      </c>
      <c r="I41" s="65">
        <f t="shared" si="0"/>
        <v>4.2</v>
      </c>
      <c r="J41" s="46">
        <f t="shared" si="1"/>
        <v>3.078</v>
      </c>
      <c r="K41" s="46">
        <f t="shared" si="2"/>
        <v>0</v>
      </c>
      <c r="L41" s="46">
        <f t="shared" si="3"/>
        <v>0</v>
      </c>
      <c r="M41" s="46"/>
      <c r="O41" s="56"/>
      <c r="P41" s="53"/>
      <c r="Q41" s="53"/>
      <c r="R41" s="53"/>
      <c r="S41" s="53"/>
    </row>
    <row r="42" s="1" customFormat="1" ht="90" hidden="1" customHeight="1" outlineLevel="1" spans="1:19">
      <c r="A42" s="22">
        <v>4.4</v>
      </c>
      <c r="B42" s="22" t="s">
        <v>126</v>
      </c>
      <c r="C42" s="66" t="s">
        <v>127</v>
      </c>
      <c r="D42" s="22" t="s">
        <v>57</v>
      </c>
      <c r="E42" s="1">
        <f>6.9+13.8+7.78+0.6</f>
        <v>29.08</v>
      </c>
      <c r="F42" s="65">
        <v>22</v>
      </c>
      <c r="G42" s="65">
        <v>4</v>
      </c>
      <c r="H42" s="46">
        <v>3</v>
      </c>
      <c r="I42" s="65">
        <f t="shared" si="0"/>
        <v>4.06</v>
      </c>
      <c r="J42" s="46">
        <f t="shared" si="1"/>
        <v>2.9754</v>
      </c>
      <c r="K42" s="46">
        <f t="shared" si="2"/>
        <v>0</v>
      </c>
      <c r="L42" s="46">
        <f t="shared" si="3"/>
        <v>0</v>
      </c>
      <c r="M42" s="46"/>
      <c r="O42" s="56"/>
      <c r="P42" s="53"/>
      <c r="Q42" s="53"/>
      <c r="R42" s="53"/>
      <c r="S42" s="53"/>
    </row>
    <row r="43" s="1" customFormat="1" ht="68.1" hidden="1" customHeight="1" outlineLevel="1" spans="1:19">
      <c r="A43" s="22">
        <v>4.5</v>
      </c>
      <c r="B43" s="22" t="s">
        <v>128</v>
      </c>
      <c r="C43" s="66" t="s">
        <v>129</v>
      </c>
      <c r="D43" s="22" t="s">
        <v>61</v>
      </c>
      <c r="E43" s="61">
        <f>10.52+11.17</f>
        <v>21.69</v>
      </c>
      <c r="F43" s="46">
        <v>5</v>
      </c>
      <c r="G43" s="46">
        <v>5</v>
      </c>
      <c r="H43" s="46">
        <v>1</v>
      </c>
      <c r="I43" s="65">
        <f t="shared" si="0"/>
        <v>1.54</v>
      </c>
      <c r="J43" s="46">
        <f t="shared" si="1"/>
        <v>1.1286</v>
      </c>
      <c r="K43" s="46">
        <f t="shared" si="2"/>
        <v>0</v>
      </c>
      <c r="L43" s="46">
        <f t="shared" si="3"/>
        <v>0</v>
      </c>
      <c r="M43" s="74"/>
      <c r="O43" s="56"/>
      <c r="P43" s="53"/>
      <c r="Q43" s="53"/>
      <c r="R43" s="53"/>
      <c r="S43" s="53"/>
    </row>
    <row r="44" s="1" customFormat="1" ht="83" hidden="1" customHeight="1" outlineLevel="1" spans="1:19">
      <c r="A44" s="22">
        <v>4.6</v>
      </c>
      <c r="B44" s="22" t="s">
        <v>130</v>
      </c>
      <c r="C44" s="66" t="s">
        <v>131</v>
      </c>
      <c r="D44" s="22" t="s">
        <v>61</v>
      </c>
      <c r="E44" s="61">
        <f>3+1.49+0.21+2.58</f>
        <v>7.28</v>
      </c>
      <c r="F44" s="65">
        <v>70</v>
      </c>
      <c r="G44" s="65">
        <v>20</v>
      </c>
      <c r="H44" s="46">
        <v>10</v>
      </c>
      <c r="I44" s="65">
        <f t="shared" si="0"/>
        <v>14</v>
      </c>
      <c r="J44" s="46">
        <f t="shared" si="1"/>
        <v>10.26</v>
      </c>
      <c r="K44" s="46">
        <f t="shared" si="2"/>
        <v>0</v>
      </c>
      <c r="L44" s="46">
        <f t="shared" si="3"/>
        <v>0</v>
      </c>
      <c r="M44" s="74"/>
      <c r="O44" s="56"/>
      <c r="P44" s="53"/>
      <c r="Q44" s="53"/>
      <c r="R44" s="53"/>
      <c r="S44" s="53"/>
    </row>
    <row r="45" ht="36" hidden="1" customHeight="1" collapsed="1" spans="1:13">
      <c r="A45" s="22">
        <v>5</v>
      </c>
      <c r="B45" s="22" t="s">
        <v>132</v>
      </c>
      <c r="C45" s="22" t="s">
        <v>132</v>
      </c>
      <c r="D45" s="22"/>
      <c r="E45" s="61"/>
      <c r="F45" s="65"/>
      <c r="G45" s="65"/>
      <c r="H45" s="46"/>
      <c r="I45" s="65"/>
      <c r="J45" s="46"/>
      <c r="K45" s="46"/>
      <c r="L45" s="46">
        <f>SUM(L46:L50)</f>
        <v>0</v>
      </c>
      <c r="M45" s="46"/>
    </row>
    <row r="46" ht="126" hidden="1" customHeight="1" outlineLevel="1" spans="1:13">
      <c r="A46" s="22">
        <v>5.1</v>
      </c>
      <c r="B46" s="22" t="s">
        <v>119</v>
      </c>
      <c r="C46" s="66" t="s">
        <v>120</v>
      </c>
      <c r="D46" s="22" t="s">
        <v>121</v>
      </c>
      <c r="E46" s="61">
        <f>2.96+5.28</f>
        <v>8.24</v>
      </c>
      <c r="F46" s="65">
        <v>45</v>
      </c>
      <c r="G46" s="65">
        <v>30</v>
      </c>
      <c r="H46" s="46">
        <v>25</v>
      </c>
      <c r="I46" s="65">
        <f t="shared" si="0"/>
        <v>14</v>
      </c>
      <c r="J46" s="46">
        <f t="shared" si="1"/>
        <v>10.26</v>
      </c>
      <c r="K46" s="46">
        <f t="shared" si="2"/>
        <v>0</v>
      </c>
      <c r="L46" s="46">
        <f t="shared" si="3"/>
        <v>0</v>
      </c>
      <c r="M46" s="46"/>
    </row>
    <row r="47" ht="200" hidden="1" customHeight="1" outlineLevel="1" spans="1:13">
      <c r="A47" s="22">
        <v>5.2</v>
      </c>
      <c r="B47" s="22" t="s">
        <v>122</v>
      </c>
      <c r="C47" s="66" t="s">
        <v>123</v>
      </c>
      <c r="D47" s="22" t="s">
        <v>121</v>
      </c>
      <c r="E47" s="61">
        <f>1.88+19.68-13.81+6.9+13.8+7.78+0.6</f>
        <v>36.83</v>
      </c>
      <c r="F47" s="70">
        <v>70</v>
      </c>
      <c r="G47" s="70">
        <v>40</v>
      </c>
      <c r="H47" s="46">
        <v>28</v>
      </c>
      <c r="I47" s="65">
        <f t="shared" si="0"/>
        <v>19.32</v>
      </c>
      <c r="J47" s="46">
        <f t="shared" si="1"/>
        <v>14.1588</v>
      </c>
      <c r="K47" s="46">
        <f t="shared" si="2"/>
        <v>0</v>
      </c>
      <c r="L47" s="46">
        <f t="shared" si="3"/>
        <v>0</v>
      </c>
      <c r="M47" s="46"/>
    </row>
    <row r="48" ht="90" hidden="1" outlineLevel="1" spans="1:13">
      <c r="A48" s="22">
        <v>5.3</v>
      </c>
      <c r="B48" s="22" t="s">
        <v>124</v>
      </c>
      <c r="C48" s="66" t="s">
        <v>125</v>
      </c>
      <c r="D48" s="22" t="s">
        <v>57</v>
      </c>
      <c r="E48" s="61">
        <v>3.52</v>
      </c>
      <c r="F48" s="65">
        <v>22</v>
      </c>
      <c r="G48" s="65">
        <v>5</v>
      </c>
      <c r="H48" s="46">
        <v>3</v>
      </c>
      <c r="I48" s="65">
        <f t="shared" si="0"/>
        <v>4.2</v>
      </c>
      <c r="J48" s="46">
        <f t="shared" si="1"/>
        <v>3.078</v>
      </c>
      <c r="K48" s="46">
        <f t="shared" si="2"/>
        <v>0</v>
      </c>
      <c r="L48" s="46">
        <f t="shared" si="3"/>
        <v>0</v>
      </c>
      <c r="M48" s="46"/>
    </row>
    <row r="49" ht="72" hidden="1" customHeight="1" outlineLevel="1" spans="1:13">
      <c r="A49" s="22">
        <v>5.4</v>
      </c>
      <c r="B49" s="22" t="s">
        <v>128</v>
      </c>
      <c r="C49" s="66" t="s">
        <v>129</v>
      </c>
      <c r="D49" s="22" t="s">
        <v>61</v>
      </c>
      <c r="E49" s="61">
        <f>10.52+11.17</f>
        <v>21.69</v>
      </c>
      <c r="F49" s="46">
        <v>5</v>
      </c>
      <c r="G49" s="46">
        <v>5</v>
      </c>
      <c r="H49" s="46">
        <v>1</v>
      </c>
      <c r="I49" s="65">
        <f t="shared" si="0"/>
        <v>1.54</v>
      </c>
      <c r="J49" s="46">
        <f t="shared" si="1"/>
        <v>1.1286</v>
      </c>
      <c r="K49" s="46">
        <f t="shared" si="2"/>
        <v>0</v>
      </c>
      <c r="L49" s="46">
        <f t="shared" si="3"/>
        <v>0</v>
      </c>
      <c r="M49" s="74"/>
    </row>
    <row r="50" ht="96" hidden="1" customHeight="1" outlineLevel="1" spans="1:13">
      <c r="A50" s="22">
        <v>5.5</v>
      </c>
      <c r="B50" s="22" t="s">
        <v>130</v>
      </c>
      <c r="C50" s="66" t="s">
        <v>131</v>
      </c>
      <c r="D50" s="22" t="s">
        <v>61</v>
      </c>
      <c r="E50" s="61">
        <f>3+1.49+0.21+2.58</f>
        <v>7.28</v>
      </c>
      <c r="F50" s="65">
        <v>70</v>
      </c>
      <c r="G50" s="65">
        <v>20</v>
      </c>
      <c r="H50" s="46">
        <v>10</v>
      </c>
      <c r="I50" s="65">
        <f t="shared" si="0"/>
        <v>14</v>
      </c>
      <c r="J50" s="46">
        <f t="shared" si="1"/>
        <v>10.26</v>
      </c>
      <c r="K50" s="46">
        <f t="shared" si="2"/>
        <v>0</v>
      </c>
      <c r="L50" s="46">
        <f t="shared" si="3"/>
        <v>0</v>
      </c>
      <c r="M50" s="74"/>
    </row>
    <row r="51" s="53" customFormat="1" hidden="1" collapsed="1" spans="1:15">
      <c r="A51" s="22" t="s">
        <v>133</v>
      </c>
      <c r="B51" s="22" t="s">
        <v>134</v>
      </c>
      <c r="C51" s="22" t="s">
        <v>53</v>
      </c>
      <c r="D51" s="22"/>
      <c r="E51" s="61"/>
      <c r="F51" s="46"/>
      <c r="G51" s="46"/>
      <c r="H51" s="46"/>
      <c r="I51" s="46"/>
      <c r="J51" s="46"/>
      <c r="K51" s="46"/>
      <c r="L51" s="46"/>
      <c r="M51" s="46"/>
      <c r="O51" s="56"/>
    </row>
    <row r="52" s="1" customFormat="1" ht="24" hidden="1" customHeight="1" spans="1:19">
      <c r="A52" s="22">
        <v>1</v>
      </c>
      <c r="B52" s="22" t="s">
        <v>54</v>
      </c>
      <c r="C52" s="22"/>
      <c r="D52" s="22"/>
      <c r="E52" s="61"/>
      <c r="F52" s="46"/>
      <c r="G52" s="46"/>
      <c r="H52" s="46"/>
      <c r="I52" s="65"/>
      <c r="J52" s="46"/>
      <c r="K52" s="46"/>
      <c r="L52" s="46">
        <f>SUM(L53:L63)</f>
        <v>370.077345</v>
      </c>
      <c r="M52" s="46"/>
      <c r="N52" s="53"/>
      <c r="O52" s="56"/>
      <c r="P52" s="53"/>
      <c r="Q52" s="53"/>
      <c r="R52" s="53"/>
      <c r="S52" s="53"/>
    </row>
    <row r="53" s="1" customFormat="1" ht="85.5" hidden="1" outlineLevel="1" spans="1:19">
      <c r="A53" s="22">
        <v>1.1</v>
      </c>
      <c r="B53" s="22" t="s">
        <v>55</v>
      </c>
      <c r="C53" s="62" t="s">
        <v>56</v>
      </c>
      <c r="D53" s="63" t="s">
        <v>57</v>
      </c>
      <c r="E53" s="61">
        <v>18.8</v>
      </c>
      <c r="F53" s="46">
        <v>12</v>
      </c>
      <c r="G53" s="46">
        <v>60</v>
      </c>
      <c r="H53" s="46">
        <v>10</v>
      </c>
      <c r="I53" s="65">
        <f t="shared" si="0"/>
        <v>11.48</v>
      </c>
      <c r="J53" s="46">
        <f t="shared" si="1"/>
        <v>8.4132</v>
      </c>
      <c r="K53" s="46">
        <f t="shared" si="2"/>
        <v>0</v>
      </c>
      <c r="L53" s="46">
        <f t="shared" si="3"/>
        <v>0</v>
      </c>
      <c r="M53" s="72" t="s">
        <v>58</v>
      </c>
      <c r="N53" s="53"/>
      <c r="O53" s="56"/>
      <c r="P53" s="53"/>
      <c r="Q53" s="53"/>
      <c r="R53" s="53"/>
      <c r="S53" s="53"/>
    </row>
    <row r="54" s="1" customFormat="1" ht="34" hidden="1" customHeight="1" outlineLevel="1" spans="1:19">
      <c r="A54" s="22">
        <v>1.2</v>
      </c>
      <c r="B54" s="62" t="s">
        <v>59</v>
      </c>
      <c r="C54" s="62" t="s">
        <v>60</v>
      </c>
      <c r="D54" s="63" t="s">
        <v>61</v>
      </c>
      <c r="E54" s="61">
        <f>23.3-4.5</f>
        <v>18.8</v>
      </c>
      <c r="F54" s="46">
        <v>4</v>
      </c>
      <c r="G54" s="46">
        <v>4</v>
      </c>
      <c r="H54" s="46">
        <v>1</v>
      </c>
      <c r="I54" s="65">
        <f t="shared" si="0"/>
        <v>1.26</v>
      </c>
      <c r="J54" s="46">
        <f t="shared" si="1"/>
        <v>0.9234</v>
      </c>
      <c r="K54" s="46">
        <f t="shared" si="2"/>
        <v>0</v>
      </c>
      <c r="L54" s="46">
        <f t="shared" si="3"/>
        <v>0</v>
      </c>
      <c r="M54" s="46"/>
      <c r="N54" s="53"/>
      <c r="O54" s="56"/>
      <c r="P54" s="53"/>
      <c r="Q54" s="53"/>
      <c r="R54" s="53"/>
      <c r="S54" s="53"/>
    </row>
    <row r="55" s="1" customFormat="1" ht="78" hidden="1" customHeight="1" outlineLevel="1" spans="1:19">
      <c r="A55" s="22">
        <v>1.3</v>
      </c>
      <c r="B55" s="63" t="s">
        <v>62</v>
      </c>
      <c r="C55" s="64" t="s">
        <v>135</v>
      </c>
      <c r="D55" s="63" t="s">
        <v>57</v>
      </c>
      <c r="E55" s="61">
        <v>3.03</v>
      </c>
      <c r="F55" s="65">
        <v>20</v>
      </c>
      <c r="G55" s="65">
        <v>25</v>
      </c>
      <c r="H55" s="65">
        <v>15</v>
      </c>
      <c r="I55" s="65">
        <f t="shared" si="0"/>
        <v>8.4</v>
      </c>
      <c r="J55" s="46">
        <f t="shared" si="1"/>
        <v>6.156</v>
      </c>
      <c r="K55" s="46">
        <f t="shared" si="2"/>
        <v>0</v>
      </c>
      <c r="L55" s="46">
        <f t="shared" si="3"/>
        <v>0</v>
      </c>
      <c r="M55" s="46"/>
      <c r="N55" s="53"/>
      <c r="O55" s="56"/>
      <c r="P55" s="53"/>
      <c r="Q55" s="53"/>
      <c r="R55" s="53"/>
      <c r="S55" s="53"/>
    </row>
    <row r="56" s="1" customFormat="1" ht="65" hidden="1" customHeight="1" outlineLevel="1" spans="1:19">
      <c r="A56" s="22">
        <v>1.4</v>
      </c>
      <c r="B56" s="63" t="s">
        <v>62</v>
      </c>
      <c r="C56" s="64" t="s">
        <v>136</v>
      </c>
      <c r="D56" s="63" t="s">
        <v>57</v>
      </c>
      <c r="E56" s="61">
        <f>2.59+0.6</f>
        <v>3.19</v>
      </c>
      <c r="F56" s="65">
        <v>20</v>
      </c>
      <c r="G56" s="65">
        <v>25</v>
      </c>
      <c r="H56" s="65">
        <v>15</v>
      </c>
      <c r="I56" s="65">
        <f t="shared" si="0"/>
        <v>8.4</v>
      </c>
      <c r="J56" s="46">
        <f t="shared" si="1"/>
        <v>6.156</v>
      </c>
      <c r="K56" s="46">
        <f t="shared" si="2"/>
        <v>0</v>
      </c>
      <c r="L56" s="46">
        <f t="shared" si="3"/>
        <v>0</v>
      </c>
      <c r="M56" s="46"/>
      <c r="N56" s="53"/>
      <c r="O56" s="56"/>
      <c r="P56" s="53"/>
      <c r="Q56" s="53"/>
      <c r="R56" s="53"/>
      <c r="S56" s="53"/>
    </row>
    <row r="57" s="1" customFormat="1" ht="78" hidden="1" customHeight="1" outlineLevel="1" spans="1:19">
      <c r="A57" s="22">
        <v>1.5</v>
      </c>
      <c r="B57" s="63" t="s">
        <v>62</v>
      </c>
      <c r="C57" s="64" t="s">
        <v>137</v>
      </c>
      <c r="D57" s="63" t="s">
        <v>57</v>
      </c>
      <c r="E57" s="61">
        <v>2.59</v>
      </c>
      <c r="F57" s="65">
        <v>20</v>
      </c>
      <c r="G57" s="65">
        <v>25</v>
      </c>
      <c r="H57" s="65">
        <v>15</v>
      </c>
      <c r="I57" s="65">
        <f t="shared" si="0"/>
        <v>8.4</v>
      </c>
      <c r="J57" s="46">
        <f t="shared" si="1"/>
        <v>6.156</v>
      </c>
      <c r="K57" s="46">
        <f t="shared" si="2"/>
        <v>0</v>
      </c>
      <c r="L57" s="46">
        <f t="shared" si="3"/>
        <v>0</v>
      </c>
      <c r="M57" s="46"/>
      <c r="N57" s="53"/>
      <c r="O57" s="56"/>
      <c r="P57" s="53"/>
      <c r="Q57" s="53"/>
      <c r="R57" s="53"/>
      <c r="S57" s="53"/>
    </row>
    <row r="58" s="1" customFormat="1" ht="91" hidden="1" customHeight="1" outlineLevel="1" spans="1:19">
      <c r="A58" s="22">
        <v>1.6</v>
      </c>
      <c r="B58" s="22" t="s">
        <v>66</v>
      </c>
      <c r="C58" s="66" t="s">
        <v>67</v>
      </c>
      <c r="D58" s="22" t="s">
        <v>57</v>
      </c>
      <c r="E58" s="61">
        <v>2.59</v>
      </c>
      <c r="F58" s="65">
        <v>55</v>
      </c>
      <c r="G58" s="65">
        <v>72</v>
      </c>
      <c r="H58" s="46">
        <v>23</v>
      </c>
      <c r="I58" s="65">
        <f t="shared" si="0"/>
        <v>21</v>
      </c>
      <c r="J58" s="46">
        <f t="shared" si="1"/>
        <v>15.39</v>
      </c>
      <c r="K58" s="46">
        <f t="shared" si="2"/>
        <v>0</v>
      </c>
      <c r="L58" s="46">
        <f t="shared" si="3"/>
        <v>0</v>
      </c>
      <c r="M58" s="73" t="s">
        <v>68</v>
      </c>
      <c r="N58" s="53"/>
      <c r="O58" s="56"/>
      <c r="P58" s="53"/>
      <c r="Q58" s="53"/>
      <c r="R58" s="53"/>
      <c r="S58" s="53"/>
    </row>
    <row r="59" s="1" customFormat="1" ht="68" hidden="1" customHeight="1" outlineLevel="1" spans="1:19">
      <c r="A59" s="22">
        <v>1.7</v>
      </c>
      <c r="B59" s="22" t="s">
        <v>66</v>
      </c>
      <c r="C59" s="66" t="s">
        <v>138</v>
      </c>
      <c r="D59" s="22" t="s">
        <v>57</v>
      </c>
      <c r="E59" s="61">
        <v>2.59</v>
      </c>
      <c r="F59" s="65">
        <v>55</v>
      </c>
      <c r="G59" s="65">
        <v>72</v>
      </c>
      <c r="H59" s="46">
        <v>23</v>
      </c>
      <c r="I59" s="65">
        <f t="shared" si="0"/>
        <v>21</v>
      </c>
      <c r="J59" s="46">
        <f t="shared" si="1"/>
        <v>15.39</v>
      </c>
      <c r="K59" s="46">
        <f t="shared" si="2"/>
        <v>0</v>
      </c>
      <c r="L59" s="46">
        <f t="shared" si="3"/>
        <v>0</v>
      </c>
      <c r="M59" s="73" t="s">
        <v>68</v>
      </c>
      <c r="N59" s="53"/>
      <c r="O59" s="56"/>
      <c r="P59" s="53"/>
      <c r="Q59" s="53"/>
      <c r="R59" s="53"/>
      <c r="S59" s="53"/>
    </row>
    <row r="60" s="1" customFormat="1" ht="51" hidden="1" customHeight="1" outlineLevel="1" spans="1:19">
      <c r="A60" s="22">
        <v>1.8</v>
      </c>
      <c r="B60" s="22" t="s">
        <v>70</v>
      </c>
      <c r="C60" s="66" t="s">
        <v>139</v>
      </c>
      <c r="D60" s="22" t="s">
        <v>57</v>
      </c>
      <c r="E60" s="61">
        <v>1.59</v>
      </c>
      <c r="F60" s="46">
        <v>40</v>
      </c>
      <c r="G60" s="46">
        <v>25</v>
      </c>
      <c r="H60" s="46">
        <v>5</v>
      </c>
      <c r="I60" s="65">
        <f t="shared" si="0"/>
        <v>9.8</v>
      </c>
      <c r="J60" s="46">
        <f t="shared" si="1"/>
        <v>7.182</v>
      </c>
      <c r="K60" s="46">
        <f t="shared" si="2"/>
        <v>0</v>
      </c>
      <c r="L60" s="46">
        <f t="shared" si="3"/>
        <v>0</v>
      </c>
      <c r="M60" s="73"/>
      <c r="N60" s="53"/>
      <c r="O60" s="56"/>
      <c r="P60" s="53"/>
      <c r="Q60" s="53"/>
      <c r="R60" s="53"/>
      <c r="S60" s="53"/>
    </row>
    <row r="61" s="1" customFormat="1" ht="93" hidden="1" customHeight="1" outlineLevel="1" spans="1:19">
      <c r="A61" s="22">
        <v>1.9</v>
      </c>
      <c r="B61" s="22" t="s">
        <v>66</v>
      </c>
      <c r="C61" s="66" t="s">
        <v>72</v>
      </c>
      <c r="D61" s="22" t="s">
        <v>57</v>
      </c>
      <c r="E61" s="61">
        <v>3.03</v>
      </c>
      <c r="F61" s="65">
        <v>55</v>
      </c>
      <c r="G61" s="65">
        <v>72</v>
      </c>
      <c r="H61" s="46">
        <v>23</v>
      </c>
      <c r="I61" s="65">
        <f t="shared" si="0"/>
        <v>21</v>
      </c>
      <c r="J61" s="46">
        <f t="shared" si="1"/>
        <v>15.39</v>
      </c>
      <c r="K61" s="46">
        <f t="shared" si="2"/>
        <v>0</v>
      </c>
      <c r="L61" s="46">
        <f t="shared" si="3"/>
        <v>0</v>
      </c>
      <c r="M61" s="73" t="s">
        <v>68</v>
      </c>
      <c r="N61" s="53"/>
      <c r="O61" s="56"/>
      <c r="P61" s="53"/>
      <c r="Q61" s="53"/>
      <c r="R61" s="53"/>
      <c r="S61" s="53"/>
    </row>
    <row r="62" s="1" customFormat="1" ht="97" customHeight="1" outlineLevel="1" spans="1:19">
      <c r="A62" s="61">
        <v>1.1</v>
      </c>
      <c r="B62" s="22" t="s">
        <v>73</v>
      </c>
      <c r="C62" s="66" t="s">
        <v>140</v>
      </c>
      <c r="D62" s="22" t="s">
        <v>57</v>
      </c>
      <c r="E62" s="61">
        <f>0.22+0.108*2+0.191</f>
        <v>0.627</v>
      </c>
      <c r="F62" s="46">
        <v>100</v>
      </c>
      <c r="G62" s="46">
        <v>350</v>
      </c>
      <c r="H62" s="46">
        <v>25</v>
      </c>
      <c r="I62" s="65">
        <f t="shared" si="0"/>
        <v>66.5</v>
      </c>
      <c r="J62" s="46">
        <f t="shared" si="1"/>
        <v>48.735</v>
      </c>
      <c r="K62" s="46">
        <f t="shared" si="2"/>
        <v>590.235</v>
      </c>
      <c r="L62" s="46">
        <f t="shared" si="3"/>
        <v>370.077345</v>
      </c>
      <c r="M62" s="73"/>
      <c r="N62" s="53"/>
      <c r="O62" s="56"/>
      <c r="P62" s="53"/>
      <c r="Q62" s="53"/>
      <c r="R62" s="53"/>
      <c r="S62" s="53"/>
    </row>
    <row r="63" s="1" customFormat="1" ht="114" hidden="1" outlineLevel="1" spans="1:19">
      <c r="A63" s="22">
        <v>1.11</v>
      </c>
      <c r="B63" s="62" t="s">
        <v>75</v>
      </c>
      <c r="C63" s="64" t="s">
        <v>76</v>
      </c>
      <c r="D63" s="63" t="s">
        <v>57</v>
      </c>
      <c r="E63" s="61">
        <v>2</v>
      </c>
      <c r="F63" s="46">
        <v>80</v>
      </c>
      <c r="G63" s="46">
        <v>150</v>
      </c>
      <c r="H63" s="46">
        <v>45</v>
      </c>
      <c r="I63" s="65">
        <f t="shared" si="0"/>
        <v>38.5</v>
      </c>
      <c r="J63" s="46">
        <f t="shared" si="1"/>
        <v>28.215</v>
      </c>
      <c r="K63" s="46">
        <f t="shared" si="2"/>
        <v>0</v>
      </c>
      <c r="L63" s="46">
        <f t="shared" si="3"/>
        <v>0</v>
      </c>
      <c r="M63" s="73"/>
      <c r="N63" s="53"/>
      <c r="O63" s="56"/>
      <c r="P63" s="53"/>
      <c r="Q63" s="53"/>
      <c r="R63" s="53"/>
      <c r="S63" s="53"/>
    </row>
    <row r="64" s="1" customFormat="1" ht="17.25" hidden="1" spans="1:19">
      <c r="A64" s="22">
        <v>2</v>
      </c>
      <c r="B64" s="63" t="s">
        <v>77</v>
      </c>
      <c r="C64" s="64"/>
      <c r="D64" s="63"/>
      <c r="E64" s="61"/>
      <c r="F64" s="46"/>
      <c r="G64" s="46"/>
      <c r="H64" s="46"/>
      <c r="I64" s="65"/>
      <c r="J64" s="46"/>
      <c r="K64" s="46"/>
      <c r="L64" s="46">
        <f>L65</f>
        <v>0</v>
      </c>
      <c r="M64" s="73"/>
      <c r="N64" s="53"/>
      <c r="O64" s="56"/>
      <c r="P64" s="53"/>
      <c r="Q64" s="53"/>
      <c r="R64" s="53"/>
      <c r="S64" s="53"/>
    </row>
    <row r="65" s="1" customFormat="1" ht="156.75" hidden="1" outlineLevel="1" spans="1:19">
      <c r="A65" s="22">
        <v>2.1</v>
      </c>
      <c r="B65" s="62" t="s">
        <v>77</v>
      </c>
      <c r="C65" s="64" t="s">
        <v>141</v>
      </c>
      <c r="D65" s="63" t="s">
        <v>57</v>
      </c>
      <c r="E65" s="61">
        <f>E53+2.59+2.59</f>
        <v>23.98</v>
      </c>
      <c r="F65" s="46">
        <v>30</v>
      </c>
      <c r="G65" s="46">
        <v>40</v>
      </c>
      <c r="H65" s="46">
        <v>12</v>
      </c>
      <c r="I65" s="65">
        <f t="shared" si="0"/>
        <v>11.48</v>
      </c>
      <c r="J65" s="46">
        <f t="shared" si="1"/>
        <v>8.4132</v>
      </c>
      <c r="K65" s="46">
        <f t="shared" si="2"/>
        <v>0</v>
      </c>
      <c r="L65" s="46">
        <f t="shared" si="3"/>
        <v>0</v>
      </c>
      <c r="M65" s="73" t="s">
        <v>79</v>
      </c>
      <c r="N65" s="53"/>
      <c r="O65" s="56"/>
      <c r="P65" s="53"/>
      <c r="Q65" s="53"/>
      <c r="R65" s="53"/>
      <c r="S65" s="53"/>
    </row>
    <row r="66" s="53" customFormat="1" ht="26" hidden="1" customHeight="1" collapsed="1" spans="1:15">
      <c r="A66" s="22">
        <v>3</v>
      </c>
      <c r="B66" s="22" t="s">
        <v>80</v>
      </c>
      <c r="C66" s="22"/>
      <c r="D66" s="22"/>
      <c r="E66" s="61"/>
      <c r="F66" s="46"/>
      <c r="G66" s="46"/>
      <c r="H66" s="46"/>
      <c r="I66" s="65"/>
      <c r="J66" s="46"/>
      <c r="K66" s="46"/>
      <c r="L66" s="46">
        <f>SUM(L67:L84)</f>
        <v>0</v>
      </c>
      <c r="M66" s="46"/>
      <c r="O66" s="56"/>
    </row>
    <row r="67" s="53" customFormat="1" ht="77" hidden="1" customHeight="1" outlineLevel="1" spans="1:15">
      <c r="A67" s="22">
        <v>3.1</v>
      </c>
      <c r="B67" s="67" t="s">
        <v>81</v>
      </c>
      <c r="C67" s="68" t="s">
        <v>82</v>
      </c>
      <c r="D67" s="22" t="s">
        <v>57</v>
      </c>
      <c r="E67" s="61">
        <f>1.71+2+0.53+4.52-1.44+10.65+4.32+7.59+5.62-2.44+7.59-1.61+0.2*2.5+2.5*0.8</f>
        <v>41.54</v>
      </c>
      <c r="F67" s="65">
        <v>15</v>
      </c>
      <c r="G67" s="65">
        <v>20</v>
      </c>
      <c r="H67" s="61">
        <v>5</v>
      </c>
      <c r="I67" s="65">
        <f t="shared" si="0"/>
        <v>5.6</v>
      </c>
      <c r="J67" s="46">
        <f t="shared" si="1"/>
        <v>4.104</v>
      </c>
      <c r="K67" s="46">
        <f t="shared" si="2"/>
        <v>0</v>
      </c>
      <c r="L67" s="46">
        <f t="shared" si="3"/>
        <v>0</v>
      </c>
      <c r="M67" s="22" t="s">
        <v>83</v>
      </c>
      <c r="O67" s="56"/>
    </row>
    <row r="68" s="53" customFormat="1" ht="171" hidden="1" outlineLevel="1" spans="1:15">
      <c r="A68" s="22">
        <v>3.2</v>
      </c>
      <c r="B68" s="67" t="s">
        <v>84</v>
      </c>
      <c r="C68" s="64" t="s">
        <v>85</v>
      </c>
      <c r="D68" s="22" t="s">
        <v>61</v>
      </c>
      <c r="E68" s="61">
        <f>0.93+1.53</f>
        <v>2.46</v>
      </c>
      <c r="F68" s="65">
        <v>50</v>
      </c>
      <c r="G68" s="65">
        <v>60</v>
      </c>
      <c r="H68" s="61">
        <v>10</v>
      </c>
      <c r="I68" s="65">
        <f t="shared" si="0"/>
        <v>16.8</v>
      </c>
      <c r="J68" s="46">
        <f t="shared" si="1"/>
        <v>12.312</v>
      </c>
      <c r="K68" s="46">
        <f t="shared" si="2"/>
        <v>0</v>
      </c>
      <c r="L68" s="46">
        <f t="shared" si="3"/>
        <v>0</v>
      </c>
      <c r="M68" s="22"/>
      <c r="O68" s="56"/>
    </row>
    <row r="69" s="53" customFormat="1" ht="54" hidden="1" customHeight="1" outlineLevel="1" spans="1:15">
      <c r="A69" s="22">
        <v>3.3</v>
      </c>
      <c r="B69" s="67" t="s">
        <v>86</v>
      </c>
      <c r="C69" s="68" t="s">
        <v>87</v>
      </c>
      <c r="D69" s="22" t="s">
        <v>88</v>
      </c>
      <c r="E69" s="61">
        <v>1</v>
      </c>
      <c r="F69" s="61">
        <v>100</v>
      </c>
      <c r="G69" s="61">
        <v>600</v>
      </c>
      <c r="H69" s="61">
        <v>50</v>
      </c>
      <c r="I69" s="65">
        <f t="shared" si="0"/>
        <v>105</v>
      </c>
      <c r="J69" s="46">
        <f t="shared" si="1"/>
        <v>76.95</v>
      </c>
      <c r="K69" s="46">
        <f t="shared" si="2"/>
        <v>0</v>
      </c>
      <c r="L69" s="46">
        <f t="shared" si="3"/>
        <v>0</v>
      </c>
      <c r="M69" s="22"/>
      <c r="O69" s="56"/>
    </row>
    <row r="70" s="53" customFormat="1" ht="60" hidden="1" customHeight="1" outlineLevel="1" spans="1:15">
      <c r="A70" s="22">
        <v>3.4</v>
      </c>
      <c r="B70" s="67" t="s">
        <v>89</v>
      </c>
      <c r="C70" s="68" t="s">
        <v>90</v>
      </c>
      <c r="D70" s="22" t="s">
        <v>57</v>
      </c>
      <c r="E70" s="61">
        <v>2.53</v>
      </c>
      <c r="F70" s="46">
        <v>150</v>
      </c>
      <c r="G70" s="46">
        <v>380</v>
      </c>
      <c r="H70" s="46">
        <v>50</v>
      </c>
      <c r="I70" s="65">
        <f t="shared" si="0"/>
        <v>81.2</v>
      </c>
      <c r="J70" s="46">
        <f t="shared" si="1"/>
        <v>59.508</v>
      </c>
      <c r="K70" s="46">
        <f t="shared" si="2"/>
        <v>0</v>
      </c>
      <c r="L70" s="46">
        <f t="shared" si="3"/>
        <v>0</v>
      </c>
      <c r="M70" s="22"/>
      <c r="O70" s="56"/>
    </row>
    <row r="71" s="1" customFormat="1" ht="81" hidden="1" customHeight="1" outlineLevel="1" spans="1:19">
      <c r="A71" s="22">
        <v>3.5</v>
      </c>
      <c r="B71" s="67" t="s">
        <v>91</v>
      </c>
      <c r="C71" s="68" t="s">
        <v>142</v>
      </c>
      <c r="D71" s="22" t="s">
        <v>57</v>
      </c>
      <c r="E71" s="61">
        <v>5.72</v>
      </c>
      <c r="F71" s="61">
        <v>200</v>
      </c>
      <c r="G71" s="61">
        <v>165</v>
      </c>
      <c r="H71" s="61">
        <v>45</v>
      </c>
      <c r="I71" s="65">
        <f t="shared" si="0"/>
        <v>57.4</v>
      </c>
      <c r="J71" s="46">
        <f t="shared" si="1"/>
        <v>42.066</v>
      </c>
      <c r="K71" s="46">
        <f t="shared" si="2"/>
        <v>0</v>
      </c>
      <c r="L71" s="46">
        <f t="shared" si="3"/>
        <v>0</v>
      </c>
      <c r="M71" s="22"/>
      <c r="N71" s="53"/>
      <c r="O71" s="56"/>
      <c r="P71" s="53"/>
      <c r="Q71" s="53"/>
      <c r="R71" s="53"/>
      <c r="S71" s="53"/>
    </row>
    <row r="72" s="1" customFormat="1" ht="33" hidden="1" customHeight="1" outlineLevel="1" spans="1:19">
      <c r="A72" s="22">
        <v>3.6</v>
      </c>
      <c r="B72" s="22" t="s">
        <v>93</v>
      </c>
      <c r="C72" s="66" t="s">
        <v>94</v>
      </c>
      <c r="D72" s="22" t="s">
        <v>61</v>
      </c>
      <c r="E72" s="61">
        <f>2.53*2</f>
        <v>5.06</v>
      </c>
      <c r="F72" s="46">
        <v>10</v>
      </c>
      <c r="G72" s="46">
        <v>10</v>
      </c>
      <c r="H72" s="46">
        <v>1</v>
      </c>
      <c r="I72" s="65">
        <f t="shared" ref="I72:I135" si="4">(F72+G72+H72)*$I$4</f>
        <v>2.94</v>
      </c>
      <c r="J72" s="46">
        <f t="shared" ref="J72:J135" si="5">(F72+G72+H72+I72)*$J$4</f>
        <v>2.1546</v>
      </c>
      <c r="K72" s="46">
        <f t="shared" ref="K72:K135" si="6">SUBTOTAL(9,F72:J72)</f>
        <v>0</v>
      </c>
      <c r="L72" s="46">
        <f t="shared" ref="L72:L135" si="7">E72*K72</f>
        <v>0</v>
      </c>
      <c r="M72" s="46"/>
      <c r="N72" s="53"/>
      <c r="O72" s="56"/>
      <c r="P72" s="53"/>
      <c r="Q72" s="53"/>
      <c r="R72" s="53"/>
      <c r="S72" s="53"/>
    </row>
    <row r="73" s="1" customFormat="1" ht="72" hidden="1" customHeight="1" outlineLevel="1" spans="1:19">
      <c r="A73" s="22">
        <v>3.7</v>
      </c>
      <c r="B73" s="22" t="s">
        <v>95</v>
      </c>
      <c r="C73" s="66" t="s">
        <v>143</v>
      </c>
      <c r="D73" s="22" t="s">
        <v>57</v>
      </c>
      <c r="E73" s="61">
        <f>2.891+5.1+4.78-0.55+3.7*0.08+5.375-0.12-0.28-1.76+2.97+5.14-0.786+2.98+5.14-1.76</f>
        <v>29.416</v>
      </c>
      <c r="F73" s="65">
        <v>55</v>
      </c>
      <c r="G73" s="65">
        <v>60</v>
      </c>
      <c r="H73" s="46">
        <v>23</v>
      </c>
      <c r="I73" s="65">
        <f t="shared" si="4"/>
        <v>19.32</v>
      </c>
      <c r="J73" s="46">
        <f t="shared" si="5"/>
        <v>14.1588</v>
      </c>
      <c r="K73" s="46">
        <f t="shared" si="6"/>
        <v>0</v>
      </c>
      <c r="L73" s="46">
        <f t="shared" si="7"/>
        <v>0</v>
      </c>
      <c r="M73" s="46" t="s">
        <v>97</v>
      </c>
      <c r="N73" s="53"/>
      <c r="O73" s="56"/>
      <c r="P73" s="53"/>
      <c r="Q73" s="53"/>
      <c r="R73" s="53"/>
      <c r="S73" s="53"/>
    </row>
    <row r="74" s="1" customFormat="1" ht="72" hidden="1" customHeight="1" outlineLevel="1" spans="1:19">
      <c r="A74" s="22">
        <v>3.8</v>
      </c>
      <c r="B74" s="22" t="s">
        <v>144</v>
      </c>
      <c r="C74" s="66" t="s">
        <v>145</v>
      </c>
      <c r="D74" s="22" t="s">
        <v>57</v>
      </c>
      <c r="E74" s="61">
        <f>0.87+1.02+0.27+0.12+0.12+0.26</f>
        <v>2.66</v>
      </c>
      <c r="F74" s="46">
        <v>20</v>
      </c>
      <c r="G74" s="46">
        <v>15</v>
      </c>
      <c r="H74" s="46">
        <v>5</v>
      </c>
      <c r="I74" s="65">
        <f t="shared" si="4"/>
        <v>5.6</v>
      </c>
      <c r="J74" s="46">
        <f t="shared" si="5"/>
        <v>4.104</v>
      </c>
      <c r="K74" s="46">
        <f t="shared" si="6"/>
        <v>0</v>
      </c>
      <c r="L74" s="46">
        <f t="shared" si="7"/>
        <v>0</v>
      </c>
      <c r="M74" s="46"/>
      <c r="N74" s="53"/>
      <c r="O74" s="56"/>
      <c r="P74" s="53"/>
      <c r="Q74" s="53"/>
      <c r="R74" s="53"/>
      <c r="S74" s="53"/>
    </row>
    <row r="75" s="1" customFormat="1" ht="74" hidden="1" customHeight="1" outlineLevel="1" spans="1:19">
      <c r="A75" s="22">
        <v>3.9</v>
      </c>
      <c r="B75" s="22" t="s">
        <v>98</v>
      </c>
      <c r="C75" s="66" t="s">
        <v>146</v>
      </c>
      <c r="D75" s="22" t="s">
        <v>57</v>
      </c>
      <c r="E75" s="61">
        <f>5.95+3.67</f>
        <v>9.62</v>
      </c>
      <c r="F75" s="65">
        <v>20</v>
      </c>
      <c r="G75" s="65">
        <v>25</v>
      </c>
      <c r="H75" s="65">
        <v>4.5</v>
      </c>
      <c r="I75" s="65">
        <f t="shared" si="4"/>
        <v>6.93</v>
      </c>
      <c r="J75" s="46">
        <f t="shared" si="5"/>
        <v>5.0787</v>
      </c>
      <c r="K75" s="46">
        <f t="shared" si="6"/>
        <v>0</v>
      </c>
      <c r="L75" s="46">
        <f t="shared" si="7"/>
        <v>0</v>
      </c>
      <c r="M75" s="46"/>
      <c r="N75" s="53"/>
      <c r="O75" s="56"/>
      <c r="P75" s="53"/>
      <c r="Q75" s="53"/>
      <c r="R75" s="53"/>
      <c r="S75" s="53"/>
    </row>
    <row r="76" s="1" customFormat="1" ht="54" hidden="1" customHeight="1" outlineLevel="1" spans="1:19">
      <c r="A76" s="22">
        <v>3.11</v>
      </c>
      <c r="B76" s="22" t="s">
        <v>101</v>
      </c>
      <c r="C76" s="68" t="s">
        <v>102</v>
      </c>
      <c r="D76" s="22" t="s">
        <v>88</v>
      </c>
      <c r="E76" s="61">
        <v>1</v>
      </c>
      <c r="F76" s="61">
        <v>100</v>
      </c>
      <c r="G76" s="61">
        <v>650</v>
      </c>
      <c r="H76" s="46">
        <v>50</v>
      </c>
      <c r="I76" s="65">
        <f t="shared" si="4"/>
        <v>112</v>
      </c>
      <c r="J76" s="46">
        <f t="shared" si="5"/>
        <v>82.08</v>
      </c>
      <c r="K76" s="46">
        <f t="shared" si="6"/>
        <v>0</v>
      </c>
      <c r="L76" s="46">
        <f t="shared" si="7"/>
        <v>0</v>
      </c>
      <c r="M76" s="46"/>
      <c r="N76" s="53"/>
      <c r="O76" s="56"/>
      <c r="P76" s="53"/>
      <c r="Q76" s="53"/>
      <c r="R76" s="53"/>
      <c r="S76" s="53"/>
    </row>
    <row r="77" s="1" customFormat="1" ht="45" hidden="1" outlineLevel="1" spans="1:19">
      <c r="A77" s="22">
        <v>3.12</v>
      </c>
      <c r="B77" s="22" t="s">
        <v>103</v>
      </c>
      <c r="C77" s="68" t="s">
        <v>104</v>
      </c>
      <c r="D77" s="22" t="s">
        <v>88</v>
      </c>
      <c r="E77" s="61">
        <v>1</v>
      </c>
      <c r="F77" s="61">
        <v>100</v>
      </c>
      <c r="G77" s="61">
        <v>580</v>
      </c>
      <c r="H77" s="61">
        <v>50</v>
      </c>
      <c r="I77" s="65">
        <f t="shared" si="4"/>
        <v>102.2</v>
      </c>
      <c r="J77" s="46">
        <f t="shared" si="5"/>
        <v>74.898</v>
      </c>
      <c r="K77" s="46">
        <f t="shared" si="6"/>
        <v>0</v>
      </c>
      <c r="L77" s="46">
        <f t="shared" si="7"/>
        <v>0</v>
      </c>
      <c r="M77" s="46"/>
      <c r="N77" s="53"/>
      <c r="O77" s="56"/>
      <c r="P77" s="53"/>
      <c r="Q77" s="53"/>
      <c r="R77" s="53"/>
      <c r="S77" s="53"/>
    </row>
    <row r="78" s="1" customFormat="1" ht="56" hidden="1" customHeight="1" outlineLevel="1" spans="1:19">
      <c r="A78" s="22">
        <v>3.13</v>
      </c>
      <c r="B78" s="22" t="s">
        <v>105</v>
      </c>
      <c r="C78" s="66" t="s">
        <v>106</v>
      </c>
      <c r="D78" s="22" t="s">
        <v>57</v>
      </c>
      <c r="E78" s="61">
        <f>2.852-1.45+5.8*0.08+4.3+0.55+5.97-1.89</f>
        <v>10.796</v>
      </c>
      <c r="F78" s="65">
        <v>55</v>
      </c>
      <c r="G78" s="65">
        <v>60</v>
      </c>
      <c r="H78" s="46">
        <v>23</v>
      </c>
      <c r="I78" s="65">
        <f t="shared" si="4"/>
        <v>19.32</v>
      </c>
      <c r="J78" s="46">
        <f t="shared" si="5"/>
        <v>14.1588</v>
      </c>
      <c r="K78" s="46">
        <f t="shared" si="6"/>
        <v>0</v>
      </c>
      <c r="L78" s="46">
        <f t="shared" si="7"/>
        <v>0</v>
      </c>
      <c r="M78" s="46"/>
      <c r="N78" s="53"/>
      <c r="O78" s="56"/>
      <c r="P78" s="53"/>
      <c r="Q78" s="53"/>
      <c r="R78" s="53"/>
      <c r="S78" s="53"/>
    </row>
    <row r="79" s="1" customFormat="1" ht="96" hidden="1" customHeight="1" outlineLevel="1" spans="1:19">
      <c r="A79" s="22">
        <v>3.14</v>
      </c>
      <c r="B79" s="22" t="s">
        <v>107</v>
      </c>
      <c r="C79" s="66" t="s">
        <v>108</v>
      </c>
      <c r="D79" s="22" t="s">
        <v>57</v>
      </c>
      <c r="E79" s="61">
        <f>0.56+1.08+0.56+1.08</f>
        <v>3.28</v>
      </c>
      <c r="F79" s="65">
        <v>22</v>
      </c>
      <c r="G79" s="65">
        <v>5</v>
      </c>
      <c r="H79" s="46">
        <v>3</v>
      </c>
      <c r="I79" s="65">
        <f t="shared" si="4"/>
        <v>4.2</v>
      </c>
      <c r="J79" s="46">
        <f t="shared" si="5"/>
        <v>3.078</v>
      </c>
      <c r="K79" s="46">
        <f t="shared" si="6"/>
        <v>0</v>
      </c>
      <c r="L79" s="46">
        <f t="shared" si="7"/>
        <v>0</v>
      </c>
      <c r="M79" s="46"/>
      <c r="N79" s="53"/>
      <c r="O79" s="56"/>
      <c r="P79" s="53"/>
      <c r="Q79" s="53"/>
      <c r="R79" s="53"/>
      <c r="S79" s="53"/>
    </row>
    <row r="80" s="1" customFormat="1" ht="49" hidden="1" customHeight="1" outlineLevel="1" spans="1:19">
      <c r="A80" s="22">
        <v>3.15</v>
      </c>
      <c r="B80" s="22" t="s">
        <v>147</v>
      </c>
      <c r="C80" s="68" t="s">
        <v>148</v>
      </c>
      <c r="D80" s="22" t="s">
        <v>88</v>
      </c>
      <c r="E80" s="61">
        <v>1</v>
      </c>
      <c r="F80" s="61">
        <v>100</v>
      </c>
      <c r="G80" s="61">
        <v>550</v>
      </c>
      <c r="H80" s="61">
        <v>50</v>
      </c>
      <c r="I80" s="65">
        <f t="shared" si="4"/>
        <v>98</v>
      </c>
      <c r="J80" s="46">
        <f t="shared" si="5"/>
        <v>71.82</v>
      </c>
      <c r="K80" s="46">
        <f t="shared" si="6"/>
        <v>0</v>
      </c>
      <c r="L80" s="46">
        <f t="shared" si="7"/>
        <v>0</v>
      </c>
      <c r="M80" s="46"/>
      <c r="N80" s="53"/>
      <c r="O80" s="56"/>
      <c r="P80" s="53"/>
      <c r="Q80" s="53"/>
      <c r="R80" s="53"/>
      <c r="S80" s="53"/>
    </row>
    <row r="81" s="1" customFormat="1" ht="49" hidden="1" customHeight="1" outlineLevel="1" spans="1:19">
      <c r="A81" s="22">
        <v>3.16</v>
      </c>
      <c r="B81" s="22" t="s">
        <v>109</v>
      </c>
      <c r="C81" s="66" t="s">
        <v>110</v>
      </c>
      <c r="D81" s="22" t="s">
        <v>61</v>
      </c>
      <c r="E81" s="61">
        <f>1.64+1.39+0.6</f>
        <v>3.63</v>
      </c>
      <c r="F81" s="69">
        <v>150</v>
      </c>
      <c r="G81" s="69">
        <v>500</v>
      </c>
      <c r="H81" s="46">
        <v>25</v>
      </c>
      <c r="I81" s="65">
        <f t="shared" si="4"/>
        <v>94.5</v>
      </c>
      <c r="J81" s="46">
        <f t="shared" si="5"/>
        <v>69.255</v>
      </c>
      <c r="K81" s="46">
        <f t="shared" si="6"/>
        <v>0</v>
      </c>
      <c r="L81" s="46">
        <f t="shared" si="7"/>
        <v>0</v>
      </c>
      <c r="M81" s="46"/>
      <c r="N81" s="53"/>
      <c r="O81" s="56"/>
      <c r="P81" s="53"/>
      <c r="Q81" s="53"/>
      <c r="R81" s="53"/>
      <c r="S81" s="53"/>
    </row>
    <row r="82" s="1" customFormat="1" ht="49" hidden="1" customHeight="1" outlineLevel="1" spans="1:19">
      <c r="A82" s="22">
        <v>3.17</v>
      </c>
      <c r="B82" s="22" t="s">
        <v>111</v>
      </c>
      <c r="C82" s="66" t="s">
        <v>112</v>
      </c>
      <c r="D82" s="22" t="s">
        <v>61</v>
      </c>
      <c r="E82" s="61">
        <f>1.45+0.95</f>
        <v>2.4</v>
      </c>
      <c r="F82" s="46">
        <v>150</v>
      </c>
      <c r="G82" s="46">
        <v>300</v>
      </c>
      <c r="H82" s="46">
        <v>25</v>
      </c>
      <c r="I82" s="65">
        <f t="shared" si="4"/>
        <v>66.5</v>
      </c>
      <c r="J82" s="46">
        <f t="shared" si="5"/>
        <v>48.735</v>
      </c>
      <c r="K82" s="46">
        <f t="shared" si="6"/>
        <v>0</v>
      </c>
      <c r="L82" s="46">
        <f t="shared" si="7"/>
        <v>0</v>
      </c>
      <c r="M82" s="46"/>
      <c r="N82" s="53"/>
      <c r="O82" s="56"/>
      <c r="P82" s="53"/>
      <c r="Q82" s="53"/>
      <c r="R82" s="53"/>
      <c r="S82" s="53"/>
    </row>
    <row r="83" s="1" customFormat="1" ht="49" hidden="1" customHeight="1" outlineLevel="1" spans="1:19">
      <c r="A83" s="22">
        <v>3.18</v>
      </c>
      <c r="B83" s="22" t="s">
        <v>113</v>
      </c>
      <c r="C83" s="66" t="s">
        <v>114</v>
      </c>
      <c r="D83" s="22" t="s">
        <v>115</v>
      </c>
      <c r="E83" s="61">
        <v>1</v>
      </c>
      <c r="F83" s="46">
        <v>20</v>
      </c>
      <c r="G83" s="46">
        <v>40</v>
      </c>
      <c r="H83" s="46">
        <v>15</v>
      </c>
      <c r="I83" s="65">
        <f t="shared" si="4"/>
        <v>10.5</v>
      </c>
      <c r="J83" s="46">
        <f t="shared" si="5"/>
        <v>7.695</v>
      </c>
      <c r="K83" s="46">
        <f t="shared" si="6"/>
        <v>0</v>
      </c>
      <c r="L83" s="46">
        <f t="shared" si="7"/>
        <v>0</v>
      </c>
      <c r="M83" s="46" t="s">
        <v>116</v>
      </c>
      <c r="N83" s="53"/>
      <c r="O83" s="56"/>
      <c r="P83" s="53"/>
      <c r="Q83" s="53"/>
      <c r="R83" s="53"/>
      <c r="S83" s="53"/>
    </row>
    <row r="84" s="1" customFormat="1" ht="49" hidden="1" customHeight="1" outlineLevel="1" spans="1:19">
      <c r="A84" s="22">
        <v>3.19</v>
      </c>
      <c r="B84" s="22" t="s">
        <v>117</v>
      </c>
      <c r="C84" s="66" t="s">
        <v>114</v>
      </c>
      <c r="D84" s="22" t="s">
        <v>115</v>
      </c>
      <c r="E84" s="61">
        <v>1</v>
      </c>
      <c r="F84" s="46">
        <v>30</v>
      </c>
      <c r="G84" s="46">
        <v>120</v>
      </c>
      <c r="H84" s="46">
        <v>15</v>
      </c>
      <c r="I84" s="65">
        <f t="shared" si="4"/>
        <v>23.1</v>
      </c>
      <c r="J84" s="46">
        <f t="shared" si="5"/>
        <v>16.929</v>
      </c>
      <c r="K84" s="46">
        <f t="shared" si="6"/>
        <v>0</v>
      </c>
      <c r="L84" s="46">
        <f t="shared" si="7"/>
        <v>0</v>
      </c>
      <c r="M84" s="46" t="s">
        <v>116</v>
      </c>
      <c r="N84" s="53"/>
      <c r="O84" s="56"/>
      <c r="P84" s="53"/>
      <c r="Q84" s="53"/>
      <c r="R84" s="53"/>
      <c r="S84" s="53"/>
    </row>
    <row r="85" s="1" customFormat="1" hidden="1" collapsed="1" spans="1:19">
      <c r="A85" s="22">
        <v>4</v>
      </c>
      <c r="B85" s="22" t="s">
        <v>118</v>
      </c>
      <c r="C85" s="22" t="s">
        <v>118</v>
      </c>
      <c r="D85" s="22"/>
      <c r="E85" s="61"/>
      <c r="F85" s="46"/>
      <c r="G85" s="46"/>
      <c r="H85" s="46"/>
      <c r="I85" s="65"/>
      <c r="J85" s="46"/>
      <c r="K85" s="46"/>
      <c r="L85" s="46">
        <f>SUM(L86:L91)</f>
        <v>0</v>
      </c>
      <c r="M85" s="46"/>
      <c r="N85" s="53"/>
      <c r="O85" s="56"/>
      <c r="P85" s="53"/>
      <c r="Q85" s="53"/>
      <c r="R85" s="53"/>
      <c r="S85" s="53"/>
    </row>
    <row r="86" s="1" customFormat="1" ht="138" hidden="1" customHeight="1" outlineLevel="1" spans="1:19">
      <c r="A86" s="22">
        <v>4.1</v>
      </c>
      <c r="B86" s="22" t="s">
        <v>119</v>
      </c>
      <c r="C86" s="66" t="s">
        <v>120</v>
      </c>
      <c r="D86" s="22" t="s">
        <v>121</v>
      </c>
      <c r="E86" s="61">
        <f>4.18+2.59</f>
        <v>6.77</v>
      </c>
      <c r="F86" s="65">
        <v>45</v>
      </c>
      <c r="G86" s="65">
        <v>30</v>
      </c>
      <c r="H86" s="46">
        <v>25</v>
      </c>
      <c r="I86" s="65">
        <f t="shared" si="4"/>
        <v>14</v>
      </c>
      <c r="J86" s="46">
        <f t="shared" si="5"/>
        <v>10.26</v>
      </c>
      <c r="K86" s="46">
        <f t="shared" si="6"/>
        <v>0</v>
      </c>
      <c r="L86" s="46">
        <f t="shared" si="7"/>
        <v>0</v>
      </c>
      <c r="M86" s="46"/>
      <c r="N86" s="53"/>
      <c r="O86" s="56"/>
      <c r="P86" s="53"/>
      <c r="Q86" s="53"/>
      <c r="R86" s="53"/>
      <c r="S86" s="53"/>
    </row>
    <row r="87" s="1" customFormat="1" ht="192" hidden="1" customHeight="1" outlineLevel="1" spans="1:19">
      <c r="A87" s="22">
        <v>4.2</v>
      </c>
      <c r="B87" s="22" t="s">
        <v>122</v>
      </c>
      <c r="C87" s="66" t="s">
        <v>149</v>
      </c>
      <c r="D87" s="22" t="s">
        <v>121</v>
      </c>
      <c r="E87" s="61">
        <f>12.02-8.48</f>
        <v>3.54</v>
      </c>
      <c r="F87" s="70">
        <v>70</v>
      </c>
      <c r="G87" s="70">
        <v>40</v>
      </c>
      <c r="H87" s="46">
        <v>28</v>
      </c>
      <c r="I87" s="65">
        <f t="shared" si="4"/>
        <v>19.32</v>
      </c>
      <c r="J87" s="46">
        <f t="shared" si="5"/>
        <v>14.1588</v>
      </c>
      <c r="K87" s="46">
        <f t="shared" si="6"/>
        <v>0</v>
      </c>
      <c r="L87" s="46">
        <f t="shared" si="7"/>
        <v>0</v>
      </c>
      <c r="M87" s="46"/>
      <c r="N87" s="53"/>
      <c r="O87" s="56"/>
      <c r="P87" s="53"/>
      <c r="Q87" s="53"/>
      <c r="R87" s="53"/>
      <c r="S87" s="53"/>
    </row>
    <row r="88" s="1" customFormat="1" ht="88" hidden="1" customHeight="1" outlineLevel="1" spans="1:19">
      <c r="A88" s="22">
        <v>4.3</v>
      </c>
      <c r="B88" s="22" t="s">
        <v>124</v>
      </c>
      <c r="C88" s="66" t="s">
        <v>125</v>
      </c>
      <c r="D88" s="22" t="s">
        <v>57</v>
      </c>
      <c r="E88" s="61">
        <v>3.02</v>
      </c>
      <c r="F88" s="65">
        <v>22</v>
      </c>
      <c r="G88" s="65">
        <v>5</v>
      </c>
      <c r="H88" s="46">
        <v>3</v>
      </c>
      <c r="I88" s="65">
        <f t="shared" si="4"/>
        <v>4.2</v>
      </c>
      <c r="J88" s="46">
        <f t="shared" si="5"/>
        <v>3.078</v>
      </c>
      <c r="K88" s="46">
        <f t="shared" si="6"/>
        <v>0</v>
      </c>
      <c r="L88" s="46">
        <f t="shared" si="7"/>
        <v>0</v>
      </c>
      <c r="M88" s="46"/>
      <c r="N88" s="53"/>
      <c r="O88" s="56"/>
      <c r="P88" s="53"/>
      <c r="Q88" s="53"/>
      <c r="R88" s="53"/>
      <c r="S88" s="53"/>
    </row>
    <row r="89" s="1" customFormat="1" ht="104" hidden="1" customHeight="1" outlineLevel="1" spans="1:19">
      <c r="A89" s="22">
        <v>4.4</v>
      </c>
      <c r="B89" s="22" t="s">
        <v>126</v>
      </c>
      <c r="C89" s="66" t="s">
        <v>127</v>
      </c>
      <c r="D89" s="22" t="s">
        <v>57</v>
      </c>
      <c r="E89" s="1">
        <f>8.48+5.46+0.2*2.5</f>
        <v>14.44</v>
      </c>
      <c r="F89" s="65">
        <v>22</v>
      </c>
      <c r="G89" s="65">
        <v>4</v>
      </c>
      <c r="H89" s="46">
        <v>3</v>
      </c>
      <c r="I89" s="65">
        <f t="shared" si="4"/>
        <v>4.06</v>
      </c>
      <c r="J89" s="46">
        <f t="shared" si="5"/>
        <v>2.9754</v>
      </c>
      <c r="K89" s="46">
        <f t="shared" si="6"/>
        <v>0</v>
      </c>
      <c r="L89" s="46">
        <f t="shared" si="7"/>
        <v>0</v>
      </c>
      <c r="M89" s="46"/>
      <c r="N89" s="53"/>
      <c r="O89" s="56"/>
      <c r="P89" s="53"/>
      <c r="Q89" s="53"/>
      <c r="R89" s="53"/>
      <c r="S89" s="53"/>
    </row>
    <row r="90" s="1" customFormat="1" ht="70" hidden="1" customHeight="1" outlineLevel="1" spans="1:19">
      <c r="A90" s="22">
        <v>4.5</v>
      </c>
      <c r="B90" s="22" t="s">
        <v>128</v>
      </c>
      <c r="C90" s="66" t="s">
        <v>129</v>
      </c>
      <c r="D90" s="22" t="s">
        <v>61</v>
      </c>
      <c r="E90" s="61">
        <v>9.4</v>
      </c>
      <c r="F90" s="46">
        <v>5</v>
      </c>
      <c r="G90" s="46">
        <v>5</v>
      </c>
      <c r="H90" s="46">
        <v>1</v>
      </c>
      <c r="I90" s="65">
        <f t="shared" si="4"/>
        <v>1.54</v>
      </c>
      <c r="J90" s="46">
        <f t="shared" si="5"/>
        <v>1.1286</v>
      </c>
      <c r="K90" s="46">
        <f t="shared" si="6"/>
        <v>0</v>
      </c>
      <c r="L90" s="46">
        <f t="shared" si="7"/>
        <v>0</v>
      </c>
      <c r="M90" s="74"/>
      <c r="N90" s="53"/>
      <c r="O90" s="56"/>
      <c r="P90" s="53"/>
      <c r="Q90" s="53"/>
      <c r="R90" s="53"/>
      <c r="S90" s="53"/>
    </row>
    <row r="91" ht="87" hidden="1" customHeight="1" outlineLevel="1" spans="1:13">
      <c r="A91" s="22">
        <v>4.6</v>
      </c>
      <c r="B91" s="22" t="s">
        <v>130</v>
      </c>
      <c r="C91" s="66" t="s">
        <v>131</v>
      </c>
      <c r="D91" s="22" t="s">
        <v>61</v>
      </c>
      <c r="E91" s="61">
        <f>1.5+0.2+2.53</f>
        <v>4.23</v>
      </c>
      <c r="F91" s="65">
        <v>70</v>
      </c>
      <c r="G91" s="65">
        <v>20</v>
      </c>
      <c r="H91" s="46">
        <v>10</v>
      </c>
      <c r="I91" s="65">
        <f t="shared" si="4"/>
        <v>14</v>
      </c>
      <c r="J91" s="46">
        <f t="shared" si="5"/>
        <v>10.26</v>
      </c>
      <c r="K91" s="46">
        <f t="shared" si="6"/>
        <v>0</v>
      </c>
      <c r="L91" s="46">
        <f t="shared" si="7"/>
        <v>0</v>
      </c>
      <c r="M91" s="74"/>
    </row>
    <row r="92" ht="22" hidden="1" customHeight="1" collapsed="1" spans="1:13">
      <c r="A92" s="22">
        <v>5</v>
      </c>
      <c r="B92" s="22" t="s">
        <v>132</v>
      </c>
      <c r="C92" s="22" t="s">
        <v>132</v>
      </c>
      <c r="D92" s="22"/>
      <c r="E92" s="61"/>
      <c r="F92" s="65"/>
      <c r="G92" s="65"/>
      <c r="H92" s="46"/>
      <c r="I92" s="65"/>
      <c r="J92" s="46"/>
      <c r="K92" s="46"/>
      <c r="L92" s="46">
        <f>SUM(L93:L97)</f>
        <v>0</v>
      </c>
      <c r="M92" s="46"/>
    </row>
    <row r="93" ht="124" hidden="1" customHeight="1" outlineLevel="1" spans="1:13">
      <c r="A93" s="22">
        <v>5.1</v>
      </c>
      <c r="B93" s="22" t="s">
        <v>119</v>
      </c>
      <c r="C93" s="66" t="s">
        <v>150</v>
      </c>
      <c r="D93" s="22" t="s">
        <v>121</v>
      </c>
      <c r="E93" s="61">
        <f>4.18+2.59</f>
        <v>6.77</v>
      </c>
      <c r="F93" s="65">
        <v>45</v>
      </c>
      <c r="G93" s="65">
        <v>30</v>
      </c>
      <c r="H93" s="46">
        <v>25</v>
      </c>
      <c r="I93" s="65">
        <f t="shared" si="4"/>
        <v>14</v>
      </c>
      <c r="J93" s="46">
        <f t="shared" si="5"/>
        <v>10.26</v>
      </c>
      <c r="K93" s="46">
        <f t="shared" si="6"/>
        <v>0</v>
      </c>
      <c r="L93" s="46">
        <f t="shared" si="7"/>
        <v>0</v>
      </c>
      <c r="M93" s="46"/>
    </row>
    <row r="94" ht="184" hidden="1" customHeight="1" outlineLevel="1" spans="1:13">
      <c r="A94" s="22">
        <v>5.2</v>
      </c>
      <c r="B94" s="22" t="s">
        <v>122</v>
      </c>
      <c r="C94" s="66" t="s">
        <v>149</v>
      </c>
      <c r="D94" s="22" t="s">
        <v>121</v>
      </c>
      <c r="E94" s="61">
        <f>E87+E89</f>
        <v>17.98</v>
      </c>
      <c r="F94" s="70">
        <v>70</v>
      </c>
      <c r="G94" s="70">
        <v>42</v>
      </c>
      <c r="H94" s="46">
        <v>28</v>
      </c>
      <c r="I94" s="65">
        <f t="shared" si="4"/>
        <v>19.6</v>
      </c>
      <c r="J94" s="46">
        <f t="shared" si="5"/>
        <v>14.364</v>
      </c>
      <c r="K94" s="46">
        <f t="shared" si="6"/>
        <v>0</v>
      </c>
      <c r="L94" s="46">
        <f t="shared" si="7"/>
        <v>0</v>
      </c>
      <c r="M94" s="46"/>
    </row>
    <row r="95" ht="90" hidden="1" outlineLevel="1" spans="1:13">
      <c r="A95" s="22">
        <v>5.3</v>
      </c>
      <c r="B95" s="22" t="s">
        <v>124</v>
      </c>
      <c r="C95" s="66" t="s">
        <v>125</v>
      </c>
      <c r="D95" s="22" t="s">
        <v>57</v>
      </c>
      <c r="E95" s="61">
        <f>E88</f>
        <v>3.02</v>
      </c>
      <c r="F95" s="65">
        <v>22</v>
      </c>
      <c r="G95" s="65">
        <v>5</v>
      </c>
      <c r="H95" s="46">
        <v>3</v>
      </c>
      <c r="I95" s="65">
        <f t="shared" si="4"/>
        <v>4.2</v>
      </c>
      <c r="J95" s="46">
        <f t="shared" si="5"/>
        <v>3.078</v>
      </c>
      <c r="K95" s="46">
        <f t="shared" si="6"/>
        <v>0</v>
      </c>
      <c r="L95" s="46">
        <f t="shared" si="7"/>
        <v>0</v>
      </c>
      <c r="M95" s="46"/>
    </row>
    <row r="96" ht="56.25" hidden="1" outlineLevel="1" spans="1:13">
      <c r="A96" s="22">
        <v>5.4</v>
      </c>
      <c r="B96" s="22" t="s">
        <v>128</v>
      </c>
      <c r="C96" s="66" t="s">
        <v>129</v>
      </c>
      <c r="D96" s="22" t="s">
        <v>61</v>
      </c>
      <c r="E96" s="61">
        <f>E90</f>
        <v>9.4</v>
      </c>
      <c r="F96" s="46">
        <v>5</v>
      </c>
      <c r="G96" s="46">
        <v>5</v>
      </c>
      <c r="H96" s="46">
        <v>1</v>
      </c>
      <c r="I96" s="65">
        <f t="shared" si="4"/>
        <v>1.54</v>
      </c>
      <c r="J96" s="46">
        <f t="shared" si="5"/>
        <v>1.1286</v>
      </c>
      <c r="K96" s="46">
        <f t="shared" si="6"/>
        <v>0</v>
      </c>
      <c r="L96" s="46">
        <f t="shared" si="7"/>
        <v>0</v>
      </c>
      <c r="M96" s="74"/>
    </row>
    <row r="97" s="54" customFormat="1" ht="78.75" hidden="1" outlineLevel="1" spans="1:19">
      <c r="A97" s="22">
        <v>5.5</v>
      </c>
      <c r="B97" s="22" t="s">
        <v>130</v>
      </c>
      <c r="C97" s="66" t="s">
        <v>131</v>
      </c>
      <c r="D97" s="22" t="s">
        <v>61</v>
      </c>
      <c r="E97" s="61">
        <f>E91</f>
        <v>4.23</v>
      </c>
      <c r="F97" s="65">
        <v>70</v>
      </c>
      <c r="G97" s="65">
        <v>20</v>
      </c>
      <c r="H97" s="46">
        <v>10</v>
      </c>
      <c r="I97" s="65">
        <f t="shared" si="4"/>
        <v>14</v>
      </c>
      <c r="J97" s="46">
        <f t="shared" si="5"/>
        <v>10.26</v>
      </c>
      <c r="K97" s="46">
        <f t="shared" si="6"/>
        <v>0</v>
      </c>
      <c r="L97" s="46">
        <f t="shared" si="7"/>
        <v>0</v>
      </c>
      <c r="M97" s="74"/>
      <c r="N97" s="53"/>
      <c r="O97" s="56"/>
      <c r="P97" s="53"/>
      <c r="Q97" s="53"/>
      <c r="R97" s="53"/>
      <c r="S97" s="53"/>
    </row>
    <row r="98" s="53" customFormat="1" hidden="1" collapsed="1" spans="1:15">
      <c r="A98" s="22" t="s">
        <v>133</v>
      </c>
      <c r="B98" s="22" t="s">
        <v>151</v>
      </c>
      <c r="C98" s="22" t="s">
        <v>53</v>
      </c>
      <c r="D98" s="22"/>
      <c r="E98" s="61"/>
      <c r="F98" s="46"/>
      <c r="G98" s="46"/>
      <c r="H98" s="46"/>
      <c r="I98" s="46"/>
      <c r="J98" s="46"/>
      <c r="K98" s="46"/>
      <c r="L98" s="46"/>
      <c r="M98" s="46"/>
      <c r="O98" s="56"/>
    </row>
    <row r="99" hidden="1" spans="1:13">
      <c r="A99" s="22">
        <v>1</v>
      </c>
      <c r="B99" s="22" t="s">
        <v>54</v>
      </c>
      <c r="C99" s="22"/>
      <c r="D99" s="22"/>
      <c r="E99" s="61"/>
      <c r="F99" s="46"/>
      <c r="G99" s="46"/>
      <c r="H99" s="46"/>
      <c r="I99" s="65"/>
      <c r="J99" s="46"/>
      <c r="K99" s="46"/>
      <c r="L99" s="46">
        <f>SUM(L100:L110)</f>
        <v>370.077345</v>
      </c>
      <c r="M99" s="46"/>
    </row>
    <row r="100" ht="85.5" hidden="1" outlineLevel="1" spans="1:13">
      <c r="A100" s="22">
        <v>1.1</v>
      </c>
      <c r="B100" s="22" t="s">
        <v>55</v>
      </c>
      <c r="C100" s="62" t="s">
        <v>56</v>
      </c>
      <c r="D100" s="63" t="s">
        <v>57</v>
      </c>
      <c r="E100" s="61">
        <v>18.8</v>
      </c>
      <c r="F100" s="46">
        <v>12</v>
      </c>
      <c r="G100" s="46">
        <v>60</v>
      </c>
      <c r="H100" s="46">
        <v>10</v>
      </c>
      <c r="I100" s="65">
        <f t="shared" si="4"/>
        <v>11.48</v>
      </c>
      <c r="J100" s="46">
        <f t="shared" si="5"/>
        <v>8.4132</v>
      </c>
      <c r="K100" s="46">
        <f t="shared" si="6"/>
        <v>0</v>
      </c>
      <c r="L100" s="46">
        <f t="shared" si="7"/>
        <v>0</v>
      </c>
      <c r="M100" s="72" t="s">
        <v>58</v>
      </c>
    </row>
    <row r="101" ht="34" hidden="1" customHeight="1" outlineLevel="1" spans="1:13">
      <c r="A101" s="22">
        <v>1.2</v>
      </c>
      <c r="B101" s="62" t="s">
        <v>59</v>
      </c>
      <c r="C101" s="62" t="s">
        <v>60</v>
      </c>
      <c r="D101" s="63" t="s">
        <v>61</v>
      </c>
      <c r="E101" s="61">
        <f>23.3-4.5</f>
        <v>18.8</v>
      </c>
      <c r="F101" s="46">
        <v>4</v>
      </c>
      <c r="G101" s="46">
        <v>4</v>
      </c>
      <c r="H101" s="46">
        <v>1</v>
      </c>
      <c r="I101" s="65">
        <f t="shared" si="4"/>
        <v>1.26</v>
      </c>
      <c r="J101" s="46">
        <f t="shared" si="5"/>
        <v>0.9234</v>
      </c>
      <c r="K101" s="46">
        <f t="shared" si="6"/>
        <v>0</v>
      </c>
      <c r="L101" s="46">
        <f t="shared" si="7"/>
        <v>0</v>
      </c>
      <c r="M101" s="46"/>
    </row>
    <row r="102" ht="78" hidden="1" customHeight="1" outlineLevel="1" spans="1:13">
      <c r="A102" s="22">
        <v>1.3</v>
      </c>
      <c r="B102" s="62" t="s">
        <v>62</v>
      </c>
      <c r="C102" s="64" t="s">
        <v>135</v>
      </c>
      <c r="D102" s="63" t="s">
        <v>57</v>
      </c>
      <c r="E102" s="61">
        <v>3.03</v>
      </c>
      <c r="F102" s="65">
        <v>20</v>
      </c>
      <c r="G102" s="65">
        <v>25</v>
      </c>
      <c r="H102" s="65">
        <v>15</v>
      </c>
      <c r="I102" s="65">
        <f t="shared" si="4"/>
        <v>8.4</v>
      </c>
      <c r="J102" s="46">
        <f t="shared" si="5"/>
        <v>6.156</v>
      </c>
      <c r="K102" s="46">
        <f t="shared" si="6"/>
        <v>0</v>
      </c>
      <c r="L102" s="46">
        <f t="shared" si="7"/>
        <v>0</v>
      </c>
      <c r="M102" s="46"/>
    </row>
    <row r="103" ht="65" hidden="1" customHeight="1" outlineLevel="1" spans="1:13">
      <c r="A103" s="22">
        <v>1.4</v>
      </c>
      <c r="B103" s="62" t="s">
        <v>62</v>
      </c>
      <c r="C103" s="64" t="s">
        <v>136</v>
      </c>
      <c r="D103" s="63" t="s">
        <v>57</v>
      </c>
      <c r="E103" s="61">
        <f>2.59+0.6</f>
        <v>3.19</v>
      </c>
      <c r="F103" s="65">
        <v>20</v>
      </c>
      <c r="G103" s="65">
        <v>25</v>
      </c>
      <c r="H103" s="65">
        <v>15</v>
      </c>
      <c r="I103" s="65">
        <f t="shared" si="4"/>
        <v>8.4</v>
      </c>
      <c r="J103" s="46">
        <f t="shared" si="5"/>
        <v>6.156</v>
      </c>
      <c r="K103" s="46">
        <f t="shared" si="6"/>
        <v>0</v>
      </c>
      <c r="L103" s="46">
        <f t="shared" si="7"/>
        <v>0</v>
      </c>
      <c r="M103" s="46"/>
    </row>
    <row r="104" ht="67" hidden="1" customHeight="1" outlineLevel="1" spans="1:13">
      <c r="A104" s="22">
        <v>1.5</v>
      </c>
      <c r="B104" s="62" t="s">
        <v>62</v>
      </c>
      <c r="C104" s="64" t="s">
        <v>137</v>
      </c>
      <c r="D104" s="63" t="s">
        <v>57</v>
      </c>
      <c r="E104" s="61">
        <v>2.59</v>
      </c>
      <c r="F104" s="65">
        <v>20</v>
      </c>
      <c r="G104" s="65">
        <v>25</v>
      </c>
      <c r="H104" s="65">
        <v>15</v>
      </c>
      <c r="I104" s="65">
        <f t="shared" si="4"/>
        <v>8.4</v>
      </c>
      <c r="J104" s="46">
        <f t="shared" si="5"/>
        <v>6.156</v>
      </c>
      <c r="K104" s="46">
        <f t="shared" si="6"/>
        <v>0</v>
      </c>
      <c r="L104" s="46">
        <f t="shared" si="7"/>
        <v>0</v>
      </c>
      <c r="M104" s="46"/>
    </row>
    <row r="105" ht="73" hidden="1" customHeight="1" outlineLevel="1" spans="1:13">
      <c r="A105" s="22">
        <v>1.6</v>
      </c>
      <c r="B105" s="22" t="s">
        <v>66</v>
      </c>
      <c r="C105" s="66" t="s">
        <v>67</v>
      </c>
      <c r="D105" s="22" t="s">
        <v>57</v>
      </c>
      <c r="E105" s="61">
        <v>2.59</v>
      </c>
      <c r="F105" s="65">
        <v>55</v>
      </c>
      <c r="G105" s="65">
        <v>72</v>
      </c>
      <c r="H105" s="46">
        <v>23</v>
      </c>
      <c r="I105" s="65">
        <f t="shared" si="4"/>
        <v>21</v>
      </c>
      <c r="J105" s="46">
        <f t="shared" si="5"/>
        <v>15.39</v>
      </c>
      <c r="K105" s="46">
        <f t="shared" si="6"/>
        <v>0</v>
      </c>
      <c r="L105" s="46">
        <f t="shared" si="7"/>
        <v>0</v>
      </c>
      <c r="M105" s="73" t="s">
        <v>68</v>
      </c>
    </row>
    <row r="106" ht="68" hidden="1" customHeight="1" outlineLevel="1" spans="1:13">
      <c r="A106" s="22">
        <v>1.7</v>
      </c>
      <c r="B106" s="22" t="s">
        <v>66</v>
      </c>
      <c r="C106" s="66" t="s">
        <v>152</v>
      </c>
      <c r="D106" s="22" t="s">
        <v>57</v>
      </c>
      <c r="E106" s="61">
        <v>2.59</v>
      </c>
      <c r="F106" s="65">
        <v>55</v>
      </c>
      <c r="G106" s="65">
        <v>72</v>
      </c>
      <c r="H106" s="46">
        <v>23</v>
      </c>
      <c r="I106" s="65">
        <f t="shared" si="4"/>
        <v>21</v>
      </c>
      <c r="J106" s="46">
        <f t="shared" si="5"/>
        <v>15.39</v>
      </c>
      <c r="K106" s="46">
        <f t="shared" si="6"/>
        <v>0</v>
      </c>
      <c r="L106" s="46">
        <f t="shared" si="7"/>
        <v>0</v>
      </c>
      <c r="M106" s="73" t="s">
        <v>68</v>
      </c>
    </row>
    <row r="107" s="55" customFormat="1" ht="51" hidden="1" customHeight="1" outlineLevel="1" spans="1:15">
      <c r="A107" s="22">
        <v>1.8</v>
      </c>
      <c r="B107" s="22" t="s">
        <v>70</v>
      </c>
      <c r="C107" s="66" t="s">
        <v>139</v>
      </c>
      <c r="D107" s="22" t="s">
        <v>57</v>
      </c>
      <c r="E107" s="61">
        <v>1.59</v>
      </c>
      <c r="F107" s="46">
        <v>40</v>
      </c>
      <c r="G107" s="46">
        <v>25</v>
      </c>
      <c r="H107" s="46">
        <v>5</v>
      </c>
      <c r="I107" s="75">
        <f t="shared" si="4"/>
        <v>9.8</v>
      </c>
      <c r="J107" s="46">
        <f t="shared" si="5"/>
        <v>7.182</v>
      </c>
      <c r="K107" s="46">
        <f t="shared" si="6"/>
        <v>0</v>
      </c>
      <c r="L107" s="46">
        <f t="shared" si="7"/>
        <v>0</v>
      </c>
      <c r="M107" s="73"/>
      <c r="O107" s="76"/>
    </row>
    <row r="108" ht="78.75" hidden="1" outlineLevel="1" spans="1:13">
      <c r="A108" s="22">
        <v>1.9</v>
      </c>
      <c r="B108" s="22" t="s">
        <v>66</v>
      </c>
      <c r="C108" s="66" t="s">
        <v>72</v>
      </c>
      <c r="D108" s="22" t="s">
        <v>57</v>
      </c>
      <c r="E108" s="61">
        <v>3.03</v>
      </c>
      <c r="F108" s="65">
        <v>55</v>
      </c>
      <c r="G108" s="65">
        <v>72</v>
      </c>
      <c r="H108" s="46">
        <v>23</v>
      </c>
      <c r="I108" s="65">
        <f t="shared" si="4"/>
        <v>21</v>
      </c>
      <c r="J108" s="46">
        <f t="shared" si="5"/>
        <v>15.39</v>
      </c>
      <c r="K108" s="46">
        <f t="shared" si="6"/>
        <v>0</v>
      </c>
      <c r="L108" s="46">
        <f t="shared" si="7"/>
        <v>0</v>
      </c>
      <c r="M108" s="73" t="s">
        <v>68</v>
      </c>
    </row>
    <row r="109" ht="90" outlineLevel="1" spans="1:13">
      <c r="A109" s="61">
        <v>1.1</v>
      </c>
      <c r="B109" s="22" t="s">
        <v>73</v>
      </c>
      <c r="C109" s="66" t="s">
        <v>74</v>
      </c>
      <c r="D109" s="22" t="s">
        <v>57</v>
      </c>
      <c r="E109" s="61">
        <f>0.22+0.108*2+0.191</f>
        <v>0.627</v>
      </c>
      <c r="F109" s="46">
        <v>100</v>
      </c>
      <c r="G109" s="46">
        <v>350</v>
      </c>
      <c r="H109" s="46">
        <v>25</v>
      </c>
      <c r="I109" s="65">
        <f t="shared" si="4"/>
        <v>66.5</v>
      </c>
      <c r="J109" s="46">
        <f t="shared" si="5"/>
        <v>48.735</v>
      </c>
      <c r="K109" s="46">
        <f t="shared" si="6"/>
        <v>590.235</v>
      </c>
      <c r="L109" s="46">
        <f t="shared" si="7"/>
        <v>370.077345</v>
      </c>
      <c r="M109" s="73"/>
    </row>
    <row r="110" ht="114" hidden="1" outlineLevel="1" spans="1:13">
      <c r="A110" s="22">
        <v>1.11</v>
      </c>
      <c r="B110" s="62" t="s">
        <v>75</v>
      </c>
      <c r="C110" s="64" t="s">
        <v>76</v>
      </c>
      <c r="D110" s="63" t="s">
        <v>57</v>
      </c>
      <c r="E110" s="61">
        <v>2</v>
      </c>
      <c r="F110" s="46">
        <v>80</v>
      </c>
      <c r="G110" s="46">
        <v>150</v>
      </c>
      <c r="H110" s="46">
        <v>45</v>
      </c>
      <c r="I110" s="65">
        <f t="shared" si="4"/>
        <v>38.5</v>
      </c>
      <c r="J110" s="46">
        <f t="shared" si="5"/>
        <v>28.215</v>
      </c>
      <c r="K110" s="46">
        <f t="shared" si="6"/>
        <v>0</v>
      </c>
      <c r="L110" s="46">
        <f t="shared" si="7"/>
        <v>0</v>
      </c>
      <c r="M110" s="73"/>
    </row>
    <row r="111" ht="17.25" hidden="1" spans="1:13">
      <c r="A111" s="22">
        <v>2</v>
      </c>
      <c r="B111" s="63" t="s">
        <v>77</v>
      </c>
      <c r="C111" s="64"/>
      <c r="D111" s="63"/>
      <c r="E111" s="61"/>
      <c r="F111" s="46"/>
      <c r="G111" s="46"/>
      <c r="H111" s="46"/>
      <c r="I111" s="65"/>
      <c r="J111" s="46"/>
      <c r="K111" s="46"/>
      <c r="L111" s="46">
        <f>L112</f>
        <v>0</v>
      </c>
      <c r="M111" s="73"/>
    </row>
    <row r="112" ht="156.75" hidden="1" outlineLevel="1" spans="1:13">
      <c r="A112" s="22">
        <v>2.1</v>
      </c>
      <c r="B112" s="62" t="s">
        <v>77</v>
      </c>
      <c r="C112" s="64" t="s">
        <v>141</v>
      </c>
      <c r="D112" s="63" t="s">
        <v>57</v>
      </c>
      <c r="E112" s="61">
        <f>E100+2.59+2.59</f>
        <v>23.98</v>
      </c>
      <c r="F112" s="46">
        <v>30</v>
      </c>
      <c r="G112" s="46">
        <v>40</v>
      </c>
      <c r="H112" s="46">
        <v>12</v>
      </c>
      <c r="I112" s="65">
        <f t="shared" si="4"/>
        <v>11.48</v>
      </c>
      <c r="J112" s="46">
        <f t="shared" si="5"/>
        <v>8.4132</v>
      </c>
      <c r="K112" s="46">
        <f t="shared" si="6"/>
        <v>0</v>
      </c>
      <c r="L112" s="46">
        <f t="shared" si="7"/>
        <v>0</v>
      </c>
      <c r="M112" s="73" t="s">
        <v>79</v>
      </c>
    </row>
    <row r="113" ht="26" hidden="1" customHeight="1" collapsed="1" spans="1:13">
      <c r="A113" s="22">
        <v>3</v>
      </c>
      <c r="B113" s="22" t="s">
        <v>80</v>
      </c>
      <c r="C113" s="22"/>
      <c r="D113" s="22"/>
      <c r="E113" s="61"/>
      <c r="F113" s="46"/>
      <c r="G113" s="46"/>
      <c r="H113" s="46"/>
      <c r="I113" s="65"/>
      <c r="J113" s="46"/>
      <c r="K113" s="46"/>
      <c r="L113" s="46">
        <f>SUM(L114:L130)</f>
        <v>0</v>
      </c>
      <c r="M113" s="46"/>
    </row>
    <row r="114" ht="57" hidden="1" customHeight="1" outlineLevel="1" spans="1:13">
      <c r="A114" s="22">
        <v>3.1</v>
      </c>
      <c r="B114" s="67" t="s">
        <v>81</v>
      </c>
      <c r="C114" s="68" t="s">
        <v>82</v>
      </c>
      <c r="D114" s="22" t="s">
        <v>57</v>
      </c>
      <c r="E114" s="61">
        <f>1.71+2+0.53+4.52-1.44+10.65+4.32+7.59+5.62-2.44+7.59-1.61+0.2*2.5+2.5*0.8</f>
        <v>41.54</v>
      </c>
      <c r="F114" s="65">
        <v>15</v>
      </c>
      <c r="G114" s="65">
        <v>20</v>
      </c>
      <c r="H114" s="61">
        <v>5</v>
      </c>
      <c r="I114" s="65">
        <f t="shared" si="4"/>
        <v>5.6</v>
      </c>
      <c r="J114" s="46">
        <f t="shared" si="5"/>
        <v>4.104</v>
      </c>
      <c r="K114" s="46">
        <f t="shared" si="6"/>
        <v>0</v>
      </c>
      <c r="L114" s="46">
        <f t="shared" si="7"/>
        <v>0</v>
      </c>
      <c r="M114" s="22" t="s">
        <v>83</v>
      </c>
    </row>
    <row r="115" ht="171" hidden="1" outlineLevel="1" spans="1:13">
      <c r="A115" s="22">
        <v>3.2</v>
      </c>
      <c r="B115" s="67" t="s">
        <v>84</v>
      </c>
      <c r="C115" s="64" t="s">
        <v>85</v>
      </c>
      <c r="D115" s="22" t="s">
        <v>61</v>
      </c>
      <c r="E115" s="61">
        <f>0.93+1.53</f>
        <v>2.46</v>
      </c>
      <c r="F115" s="65">
        <v>50</v>
      </c>
      <c r="G115" s="65">
        <v>60</v>
      </c>
      <c r="H115" s="61">
        <v>10</v>
      </c>
      <c r="I115" s="65">
        <f t="shared" si="4"/>
        <v>16.8</v>
      </c>
      <c r="J115" s="46">
        <f t="shared" si="5"/>
        <v>12.312</v>
      </c>
      <c r="K115" s="46">
        <f t="shared" si="6"/>
        <v>0</v>
      </c>
      <c r="L115" s="46">
        <f t="shared" si="7"/>
        <v>0</v>
      </c>
      <c r="M115" s="22"/>
    </row>
    <row r="116" ht="54" hidden="1" customHeight="1" outlineLevel="1" spans="1:13">
      <c r="A116" s="22">
        <v>3.3</v>
      </c>
      <c r="B116" s="67" t="s">
        <v>86</v>
      </c>
      <c r="C116" s="68" t="s">
        <v>87</v>
      </c>
      <c r="D116" s="22" t="s">
        <v>88</v>
      </c>
      <c r="E116" s="61">
        <v>1</v>
      </c>
      <c r="F116" s="61">
        <v>100</v>
      </c>
      <c r="G116" s="61">
        <v>600</v>
      </c>
      <c r="H116" s="61">
        <v>50</v>
      </c>
      <c r="I116" s="65">
        <f t="shared" si="4"/>
        <v>105</v>
      </c>
      <c r="J116" s="46">
        <f t="shared" si="5"/>
        <v>76.95</v>
      </c>
      <c r="K116" s="46">
        <f t="shared" si="6"/>
        <v>0</v>
      </c>
      <c r="L116" s="46">
        <f t="shared" si="7"/>
        <v>0</v>
      </c>
      <c r="M116" s="22"/>
    </row>
    <row r="117" ht="60" hidden="1" customHeight="1" outlineLevel="1" spans="1:13">
      <c r="A117" s="22">
        <v>3.4</v>
      </c>
      <c r="B117" s="67" t="s">
        <v>89</v>
      </c>
      <c r="C117" s="68" t="s">
        <v>90</v>
      </c>
      <c r="D117" s="22" t="s">
        <v>57</v>
      </c>
      <c r="E117" s="61">
        <v>2.53</v>
      </c>
      <c r="F117" s="46">
        <v>150</v>
      </c>
      <c r="G117" s="46">
        <v>380</v>
      </c>
      <c r="H117" s="46">
        <v>50</v>
      </c>
      <c r="I117" s="65">
        <f t="shared" si="4"/>
        <v>81.2</v>
      </c>
      <c r="J117" s="46">
        <f t="shared" si="5"/>
        <v>59.508</v>
      </c>
      <c r="K117" s="46">
        <f t="shared" si="6"/>
        <v>0</v>
      </c>
      <c r="L117" s="46">
        <f t="shared" si="7"/>
        <v>0</v>
      </c>
      <c r="M117" s="22"/>
    </row>
    <row r="118" ht="81" hidden="1" customHeight="1" outlineLevel="1" spans="1:13">
      <c r="A118" s="22">
        <v>3.5</v>
      </c>
      <c r="B118" s="67" t="s">
        <v>91</v>
      </c>
      <c r="C118" s="68" t="s">
        <v>142</v>
      </c>
      <c r="D118" s="22" t="s">
        <v>57</v>
      </c>
      <c r="E118" s="61">
        <v>5.72</v>
      </c>
      <c r="F118" s="61">
        <v>200</v>
      </c>
      <c r="G118" s="61">
        <v>165</v>
      </c>
      <c r="H118" s="61">
        <v>45</v>
      </c>
      <c r="I118" s="65">
        <f t="shared" si="4"/>
        <v>57.4</v>
      </c>
      <c r="J118" s="46">
        <f t="shared" si="5"/>
        <v>42.066</v>
      </c>
      <c r="K118" s="46">
        <f t="shared" si="6"/>
        <v>0</v>
      </c>
      <c r="L118" s="46">
        <f t="shared" si="7"/>
        <v>0</v>
      </c>
      <c r="M118" s="22"/>
    </row>
    <row r="119" ht="33" hidden="1" customHeight="1" outlineLevel="1" spans="1:13">
      <c r="A119" s="22">
        <v>3.6</v>
      </c>
      <c r="B119" s="22" t="s">
        <v>93</v>
      </c>
      <c r="C119" s="66" t="s">
        <v>94</v>
      </c>
      <c r="D119" s="22" t="s">
        <v>61</v>
      </c>
      <c r="E119" s="61">
        <f>2.53*2</f>
        <v>5.06</v>
      </c>
      <c r="F119" s="46">
        <v>10</v>
      </c>
      <c r="G119" s="46">
        <v>10</v>
      </c>
      <c r="H119" s="46">
        <v>1</v>
      </c>
      <c r="I119" s="65">
        <f t="shared" si="4"/>
        <v>2.94</v>
      </c>
      <c r="J119" s="46">
        <f t="shared" si="5"/>
        <v>2.1546</v>
      </c>
      <c r="K119" s="46">
        <f t="shared" si="6"/>
        <v>0</v>
      </c>
      <c r="L119" s="46">
        <f t="shared" si="7"/>
        <v>0</v>
      </c>
      <c r="M119" s="46"/>
    </row>
    <row r="120" ht="72" hidden="1" customHeight="1" outlineLevel="1" spans="1:13">
      <c r="A120" s="22">
        <v>3.7</v>
      </c>
      <c r="B120" s="22" t="s">
        <v>95</v>
      </c>
      <c r="C120" s="66" t="s">
        <v>143</v>
      </c>
      <c r="D120" s="22" t="s">
        <v>57</v>
      </c>
      <c r="E120" s="61">
        <f>2.891+5.1+4.78-0.55+3.7*0.08+5.375-0.12-0.28-1.76+2.97+5.14-0.786+2.98+5.14-1.76</f>
        <v>29.416</v>
      </c>
      <c r="F120" s="65">
        <v>55</v>
      </c>
      <c r="G120" s="65">
        <v>60</v>
      </c>
      <c r="H120" s="46">
        <v>23</v>
      </c>
      <c r="I120" s="65">
        <f t="shared" si="4"/>
        <v>19.32</v>
      </c>
      <c r="J120" s="46">
        <f t="shared" si="5"/>
        <v>14.1588</v>
      </c>
      <c r="K120" s="46">
        <f t="shared" si="6"/>
        <v>0</v>
      </c>
      <c r="L120" s="46">
        <f t="shared" si="7"/>
        <v>0</v>
      </c>
      <c r="M120" s="46" t="s">
        <v>97</v>
      </c>
    </row>
    <row r="121" ht="72" hidden="1" customHeight="1" outlineLevel="1" spans="1:13">
      <c r="A121" s="22">
        <v>3.8</v>
      </c>
      <c r="B121" s="22" t="s">
        <v>144</v>
      </c>
      <c r="C121" s="66" t="s">
        <v>145</v>
      </c>
      <c r="D121" s="22" t="s">
        <v>57</v>
      </c>
      <c r="E121" s="61">
        <f>0.87+1.02+0.27+0.12+0.12+0.26</f>
        <v>2.66</v>
      </c>
      <c r="F121" s="46">
        <v>20</v>
      </c>
      <c r="G121" s="46">
        <v>15</v>
      </c>
      <c r="H121" s="46">
        <v>5</v>
      </c>
      <c r="I121" s="65">
        <f t="shared" si="4"/>
        <v>5.6</v>
      </c>
      <c r="J121" s="46">
        <f t="shared" si="5"/>
        <v>4.104</v>
      </c>
      <c r="K121" s="46">
        <f t="shared" si="6"/>
        <v>0</v>
      </c>
      <c r="L121" s="46">
        <f t="shared" si="7"/>
        <v>0</v>
      </c>
      <c r="M121" s="46"/>
    </row>
    <row r="122" ht="74" hidden="1" customHeight="1" outlineLevel="1" spans="1:13">
      <c r="A122" s="22">
        <v>3.9</v>
      </c>
      <c r="B122" s="22" t="s">
        <v>98</v>
      </c>
      <c r="C122" s="66" t="s">
        <v>146</v>
      </c>
      <c r="D122" s="22" t="s">
        <v>57</v>
      </c>
      <c r="E122" s="61">
        <f>5.95+3.67</f>
        <v>9.62</v>
      </c>
      <c r="F122" s="65">
        <v>20</v>
      </c>
      <c r="G122" s="65">
        <v>25</v>
      </c>
      <c r="H122" s="65">
        <v>4.5</v>
      </c>
      <c r="I122" s="65">
        <f t="shared" si="4"/>
        <v>6.93</v>
      </c>
      <c r="J122" s="46">
        <f t="shared" si="5"/>
        <v>5.0787</v>
      </c>
      <c r="K122" s="46">
        <f t="shared" si="6"/>
        <v>0</v>
      </c>
      <c r="L122" s="46">
        <f t="shared" si="7"/>
        <v>0</v>
      </c>
      <c r="M122" s="46"/>
    </row>
    <row r="123" ht="45" hidden="1" outlineLevel="1" spans="1:13">
      <c r="A123" s="22">
        <v>3.11</v>
      </c>
      <c r="B123" s="22" t="s">
        <v>101</v>
      </c>
      <c r="C123" s="68" t="s">
        <v>102</v>
      </c>
      <c r="D123" s="22" t="s">
        <v>88</v>
      </c>
      <c r="E123" s="61">
        <v>1</v>
      </c>
      <c r="F123" s="61">
        <v>100</v>
      </c>
      <c r="G123" s="61">
        <v>650</v>
      </c>
      <c r="H123" s="46">
        <v>50</v>
      </c>
      <c r="I123" s="65">
        <f t="shared" si="4"/>
        <v>112</v>
      </c>
      <c r="J123" s="46">
        <f t="shared" si="5"/>
        <v>82.08</v>
      </c>
      <c r="K123" s="46">
        <f t="shared" si="6"/>
        <v>0</v>
      </c>
      <c r="L123" s="46">
        <f t="shared" si="7"/>
        <v>0</v>
      </c>
      <c r="M123" s="46"/>
    </row>
    <row r="124" ht="33.75" hidden="1" outlineLevel="1" spans="1:13">
      <c r="A124" s="22">
        <v>3.12</v>
      </c>
      <c r="B124" s="22" t="s">
        <v>103</v>
      </c>
      <c r="C124" s="68" t="s">
        <v>153</v>
      </c>
      <c r="D124" s="22" t="s">
        <v>88</v>
      </c>
      <c r="E124" s="61">
        <v>1</v>
      </c>
      <c r="F124" s="61">
        <v>100</v>
      </c>
      <c r="G124" s="61">
        <v>580</v>
      </c>
      <c r="H124" s="61">
        <v>50</v>
      </c>
      <c r="I124" s="65">
        <f t="shared" si="4"/>
        <v>102.2</v>
      </c>
      <c r="J124" s="46">
        <f t="shared" si="5"/>
        <v>74.898</v>
      </c>
      <c r="K124" s="46">
        <f t="shared" si="6"/>
        <v>0</v>
      </c>
      <c r="L124" s="46">
        <f t="shared" si="7"/>
        <v>0</v>
      </c>
      <c r="M124" s="46"/>
    </row>
    <row r="125" ht="56" hidden="1" customHeight="1" outlineLevel="1" spans="1:13">
      <c r="A125" s="22">
        <v>3.13</v>
      </c>
      <c r="B125" s="22" t="s">
        <v>105</v>
      </c>
      <c r="C125" s="66" t="s">
        <v>106</v>
      </c>
      <c r="D125" s="22" t="s">
        <v>57</v>
      </c>
      <c r="E125" s="61">
        <f>2.852-1.45+5.8*0.08+4.3+0.55+5.97</f>
        <v>12.686</v>
      </c>
      <c r="F125" s="65">
        <v>55</v>
      </c>
      <c r="G125" s="65">
        <v>60</v>
      </c>
      <c r="H125" s="46">
        <v>23</v>
      </c>
      <c r="I125" s="65">
        <f t="shared" si="4"/>
        <v>19.32</v>
      </c>
      <c r="J125" s="46">
        <f t="shared" si="5"/>
        <v>14.1588</v>
      </c>
      <c r="K125" s="46">
        <f t="shared" si="6"/>
        <v>0</v>
      </c>
      <c r="L125" s="46">
        <f t="shared" si="7"/>
        <v>0</v>
      </c>
      <c r="M125" s="46"/>
    </row>
    <row r="126" ht="78.75" hidden="1" outlineLevel="1" spans="1:13">
      <c r="A126" s="22">
        <v>3.14</v>
      </c>
      <c r="B126" s="22" t="s">
        <v>107</v>
      </c>
      <c r="C126" s="66" t="s">
        <v>108</v>
      </c>
      <c r="D126" s="22" t="s">
        <v>57</v>
      </c>
      <c r="E126" s="61">
        <f>0.56+1.08+0.56+1.08</f>
        <v>3.28</v>
      </c>
      <c r="F126" s="65">
        <v>22</v>
      </c>
      <c r="G126" s="65">
        <v>5</v>
      </c>
      <c r="H126" s="46">
        <v>3</v>
      </c>
      <c r="I126" s="65">
        <f t="shared" si="4"/>
        <v>4.2</v>
      </c>
      <c r="J126" s="46">
        <f t="shared" si="5"/>
        <v>3.078</v>
      </c>
      <c r="K126" s="46">
        <f t="shared" si="6"/>
        <v>0</v>
      </c>
      <c r="L126" s="46">
        <f t="shared" si="7"/>
        <v>0</v>
      </c>
      <c r="M126" s="46"/>
    </row>
    <row r="127" ht="52" hidden="1" customHeight="1" outlineLevel="1" spans="1:13">
      <c r="A127" s="22">
        <v>3.16</v>
      </c>
      <c r="B127" s="22" t="s">
        <v>109</v>
      </c>
      <c r="C127" s="66" t="s">
        <v>110</v>
      </c>
      <c r="D127" s="22" t="s">
        <v>61</v>
      </c>
      <c r="E127" s="61">
        <f>1.64+1.39+0.6</f>
        <v>3.63</v>
      </c>
      <c r="F127" s="69">
        <v>150</v>
      </c>
      <c r="G127" s="69">
        <v>500</v>
      </c>
      <c r="H127" s="46">
        <v>25</v>
      </c>
      <c r="I127" s="65">
        <f t="shared" si="4"/>
        <v>94.5</v>
      </c>
      <c r="J127" s="46">
        <f t="shared" si="5"/>
        <v>69.255</v>
      </c>
      <c r="K127" s="46">
        <f t="shared" si="6"/>
        <v>0</v>
      </c>
      <c r="L127" s="46">
        <f t="shared" si="7"/>
        <v>0</v>
      </c>
      <c r="M127" s="46"/>
    </row>
    <row r="128" ht="53" hidden="1" customHeight="1" outlineLevel="1" spans="1:13">
      <c r="A128" s="22">
        <v>3.17</v>
      </c>
      <c r="B128" s="22" t="s">
        <v>111</v>
      </c>
      <c r="C128" s="66" t="s">
        <v>112</v>
      </c>
      <c r="D128" s="22" t="s">
        <v>61</v>
      </c>
      <c r="E128" s="61">
        <f>1.45+0.95</f>
        <v>2.4</v>
      </c>
      <c r="F128" s="46">
        <v>150</v>
      </c>
      <c r="G128" s="46">
        <v>300</v>
      </c>
      <c r="H128" s="46">
        <v>25</v>
      </c>
      <c r="I128" s="65">
        <f t="shared" si="4"/>
        <v>66.5</v>
      </c>
      <c r="J128" s="46">
        <f t="shared" si="5"/>
        <v>48.735</v>
      </c>
      <c r="K128" s="46">
        <f t="shared" si="6"/>
        <v>0</v>
      </c>
      <c r="L128" s="46">
        <f t="shared" si="7"/>
        <v>0</v>
      </c>
      <c r="M128" s="46"/>
    </row>
    <row r="129" ht="53" hidden="1" customHeight="1" outlineLevel="1" spans="1:13">
      <c r="A129" s="22">
        <v>3.18</v>
      </c>
      <c r="B129" s="22" t="s">
        <v>113</v>
      </c>
      <c r="C129" s="66" t="s">
        <v>114</v>
      </c>
      <c r="D129" s="22" t="s">
        <v>115</v>
      </c>
      <c r="E129" s="61">
        <v>1</v>
      </c>
      <c r="F129" s="46">
        <v>20</v>
      </c>
      <c r="G129" s="46">
        <v>40</v>
      </c>
      <c r="H129" s="46">
        <v>15</v>
      </c>
      <c r="I129" s="65">
        <f t="shared" si="4"/>
        <v>10.5</v>
      </c>
      <c r="J129" s="46">
        <f t="shared" si="5"/>
        <v>7.695</v>
      </c>
      <c r="K129" s="46">
        <f t="shared" si="6"/>
        <v>0</v>
      </c>
      <c r="L129" s="46">
        <f t="shared" si="7"/>
        <v>0</v>
      </c>
      <c r="M129" s="46" t="s">
        <v>116</v>
      </c>
    </row>
    <row r="130" ht="53" hidden="1" customHeight="1" outlineLevel="1" spans="1:13">
      <c r="A130" s="22">
        <v>3.19</v>
      </c>
      <c r="B130" s="22" t="s">
        <v>117</v>
      </c>
      <c r="C130" s="66" t="s">
        <v>114</v>
      </c>
      <c r="D130" s="22" t="s">
        <v>115</v>
      </c>
      <c r="E130" s="61">
        <v>1</v>
      </c>
      <c r="F130" s="46">
        <v>30</v>
      </c>
      <c r="G130" s="46">
        <v>120</v>
      </c>
      <c r="H130" s="46">
        <v>15</v>
      </c>
      <c r="I130" s="65">
        <f t="shared" si="4"/>
        <v>23.1</v>
      </c>
      <c r="J130" s="46">
        <f t="shared" si="5"/>
        <v>16.929</v>
      </c>
      <c r="K130" s="46">
        <f t="shared" si="6"/>
        <v>0</v>
      </c>
      <c r="L130" s="46">
        <f t="shared" si="7"/>
        <v>0</v>
      </c>
      <c r="M130" s="46" t="s">
        <v>116</v>
      </c>
    </row>
    <row r="131" hidden="1" collapsed="1" spans="1:13">
      <c r="A131" s="22">
        <v>4</v>
      </c>
      <c r="B131" s="22" t="s">
        <v>118</v>
      </c>
      <c r="C131" s="22" t="s">
        <v>118</v>
      </c>
      <c r="D131" s="22"/>
      <c r="E131" s="61"/>
      <c r="F131" s="46"/>
      <c r="G131" s="46"/>
      <c r="H131" s="46"/>
      <c r="I131" s="65"/>
      <c r="J131" s="46"/>
      <c r="K131" s="46"/>
      <c r="L131" s="46">
        <f>SUM(L132:L137)</f>
        <v>0</v>
      </c>
      <c r="M131" s="46"/>
    </row>
    <row r="132" ht="114" hidden="1" customHeight="1" outlineLevel="1" spans="1:13">
      <c r="A132" s="22">
        <v>4.1</v>
      </c>
      <c r="B132" s="22" t="s">
        <v>119</v>
      </c>
      <c r="C132" s="66" t="s">
        <v>120</v>
      </c>
      <c r="D132" s="22" t="s">
        <v>121</v>
      </c>
      <c r="E132" s="61">
        <f>4.18+2.59</f>
        <v>6.77</v>
      </c>
      <c r="F132" s="65">
        <v>45</v>
      </c>
      <c r="G132" s="65">
        <v>30</v>
      </c>
      <c r="H132" s="46">
        <v>25</v>
      </c>
      <c r="I132" s="65">
        <f t="shared" si="4"/>
        <v>14</v>
      </c>
      <c r="J132" s="46">
        <f t="shared" si="5"/>
        <v>10.26</v>
      </c>
      <c r="K132" s="46">
        <f t="shared" si="6"/>
        <v>0</v>
      </c>
      <c r="L132" s="46">
        <f t="shared" si="7"/>
        <v>0</v>
      </c>
      <c r="M132" s="46"/>
    </row>
    <row r="133" ht="192" hidden="1" customHeight="1" outlineLevel="1" spans="1:13">
      <c r="A133" s="22">
        <v>4.2</v>
      </c>
      <c r="B133" s="22" t="s">
        <v>122</v>
      </c>
      <c r="C133" s="66" t="s">
        <v>149</v>
      </c>
      <c r="D133" s="22" t="s">
        <v>121</v>
      </c>
      <c r="E133" s="61">
        <f>12.02-8.48</f>
        <v>3.54</v>
      </c>
      <c r="F133" s="70">
        <v>70</v>
      </c>
      <c r="G133" s="70">
        <v>40</v>
      </c>
      <c r="H133" s="46">
        <v>28</v>
      </c>
      <c r="I133" s="65">
        <f t="shared" si="4"/>
        <v>19.32</v>
      </c>
      <c r="J133" s="46">
        <f t="shared" si="5"/>
        <v>14.1588</v>
      </c>
      <c r="K133" s="46">
        <f t="shared" si="6"/>
        <v>0</v>
      </c>
      <c r="L133" s="46">
        <f t="shared" si="7"/>
        <v>0</v>
      </c>
      <c r="M133" s="46"/>
    </row>
    <row r="134" ht="88" hidden="1" customHeight="1" outlineLevel="1" spans="1:13">
      <c r="A134" s="22">
        <v>4.3</v>
      </c>
      <c r="B134" s="22" t="s">
        <v>124</v>
      </c>
      <c r="C134" s="66" t="s">
        <v>125</v>
      </c>
      <c r="D134" s="22" t="s">
        <v>57</v>
      </c>
      <c r="E134" s="61">
        <v>3.02</v>
      </c>
      <c r="F134" s="65">
        <v>22</v>
      </c>
      <c r="G134" s="65">
        <v>5</v>
      </c>
      <c r="H134" s="46">
        <v>3</v>
      </c>
      <c r="I134" s="65">
        <f t="shared" si="4"/>
        <v>4.2</v>
      </c>
      <c r="J134" s="46">
        <f t="shared" si="5"/>
        <v>3.078</v>
      </c>
      <c r="K134" s="46">
        <f t="shared" si="6"/>
        <v>0</v>
      </c>
      <c r="L134" s="46">
        <f t="shared" si="7"/>
        <v>0</v>
      </c>
      <c r="M134" s="46"/>
    </row>
    <row r="135" ht="78" hidden="1" customHeight="1" outlineLevel="1" spans="1:13">
      <c r="A135" s="22">
        <v>4.4</v>
      </c>
      <c r="B135" s="22" t="s">
        <v>126</v>
      </c>
      <c r="C135" s="66" t="s">
        <v>127</v>
      </c>
      <c r="D135" s="22" t="s">
        <v>57</v>
      </c>
      <c r="E135" s="1">
        <f>8.48+5.46+2.5*0.2</f>
        <v>14.44</v>
      </c>
      <c r="F135" s="65">
        <v>22</v>
      </c>
      <c r="G135" s="65">
        <v>4</v>
      </c>
      <c r="H135" s="46">
        <v>3</v>
      </c>
      <c r="I135" s="65">
        <f t="shared" si="4"/>
        <v>4.06</v>
      </c>
      <c r="J135" s="46">
        <f t="shared" si="5"/>
        <v>2.9754</v>
      </c>
      <c r="K135" s="46">
        <f t="shared" si="6"/>
        <v>0</v>
      </c>
      <c r="L135" s="46">
        <f t="shared" si="7"/>
        <v>0</v>
      </c>
      <c r="M135" s="46"/>
    </row>
    <row r="136" ht="56.25" hidden="1" outlineLevel="1" spans="1:13">
      <c r="A136" s="22">
        <v>4.5</v>
      </c>
      <c r="B136" s="22" t="s">
        <v>128</v>
      </c>
      <c r="C136" s="66" t="s">
        <v>129</v>
      </c>
      <c r="D136" s="22" t="s">
        <v>61</v>
      </c>
      <c r="E136" s="61">
        <v>9.4</v>
      </c>
      <c r="F136" s="46">
        <v>5</v>
      </c>
      <c r="G136" s="46">
        <v>5</v>
      </c>
      <c r="H136" s="46">
        <v>1</v>
      </c>
      <c r="I136" s="65">
        <f t="shared" ref="I136:I199" si="8">(F136+G136+H136)*$I$4</f>
        <v>1.54</v>
      </c>
      <c r="J136" s="46">
        <f t="shared" ref="J136:J199" si="9">(F136+G136+H136+I136)*$J$4</f>
        <v>1.1286</v>
      </c>
      <c r="K136" s="46">
        <f t="shared" ref="K136:K199" si="10">SUBTOTAL(9,F136:J136)</f>
        <v>0</v>
      </c>
      <c r="L136" s="46">
        <f t="shared" ref="L136:L199" si="11">E136*K136</f>
        <v>0</v>
      </c>
      <c r="M136" s="74"/>
    </row>
    <row r="137" ht="78.75" hidden="1" outlineLevel="1" spans="1:13">
      <c r="A137" s="22">
        <v>4.6</v>
      </c>
      <c r="B137" s="22" t="s">
        <v>130</v>
      </c>
      <c r="C137" s="66" t="s">
        <v>131</v>
      </c>
      <c r="D137" s="22" t="s">
        <v>61</v>
      </c>
      <c r="E137" s="61">
        <f>1.5+0.2+2.53</f>
        <v>4.23</v>
      </c>
      <c r="F137" s="65">
        <v>70</v>
      </c>
      <c r="G137" s="65">
        <v>20</v>
      </c>
      <c r="H137" s="46">
        <v>10</v>
      </c>
      <c r="I137" s="65">
        <f t="shared" si="8"/>
        <v>14</v>
      </c>
      <c r="J137" s="46">
        <f t="shared" si="9"/>
        <v>10.26</v>
      </c>
      <c r="K137" s="46">
        <f t="shared" si="10"/>
        <v>0</v>
      </c>
      <c r="L137" s="46">
        <f t="shared" si="11"/>
        <v>0</v>
      </c>
      <c r="M137" s="74"/>
    </row>
    <row r="138" hidden="1" collapsed="1" spans="1:13">
      <c r="A138" s="22">
        <v>5</v>
      </c>
      <c r="B138" s="22" t="s">
        <v>132</v>
      </c>
      <c r="C138" s="22" t="s">
        <v>132</v>
      </c>
      <c r="D138" s="22"/>
      <c r="E138" s="61"/>
      <c r="F138" s="65"/>
      <c r="G138" s="65"/>
      <c r="H138" s="46"/>
      <c r="I138" s="65"/>
      <c r="J138" s="46"/>
      <c r="K138" s="46"/>
      <c r="L138" s="46">
        <f>SUM(L139:L143)</f>
        <v>0</v>
      </c>
      <c r="M138" s="46"/>
    </row>
    <row r="139" ht="124" hidden="1" customHeight="1" outlineLevel="1" spans="1:13">
      <c r="A139" s="22">
        <v>5.1</v>
      </c>
      <c r="B139" s="22" t="s">
        <v>119</v>
      </c>
      <c r="C139" s="66" t="s">
        <v>150</v>
      </c>
      <c r="D139" s="22" t="s">
        <v>121</v>
      </c>
      <c r="E139" s="61">
        <f>4.18+2.59</f>
        <v>6.77</v>
      </c>
      <c r="F139" s="65">
        <v>45</v>
      </c>
      <c r="G139" s="65">
        <v>30</v>
      </c>
      <c r="H139" s="46">
        <v>25</v>
      </c>
      <c r="I139" s="65">
        <f t="shared" si="8"/>
        <v>14</v>
      </c>
      <c r="J139" s="46">
        <f t="shared" si="9"/>
        <v>10.26</v>
      </c>
      <c r="K139" s="46">
        <f t="shared" si="10"/>
        <v>0</v>
      </c>
      <c r="L139" s="46">
        <f t="shared" si="11"/>
        <v>0</v>
      </c>
      <c r="M139" s="46"/>
    </row>
    <row r="140" ht="184" hidden="1" customHeight="1" outlineLevel="1" spans="1:13">
      <c r="A140" s="22">
        <v>5.2</v>
      </c>
      <c r="B140" s="22" t="s">
        <v>122</v>
      </c>
      <c r="C140" s="66" t="s">
        <v>149</v>
      </c>
      <c r="D140" s="22" t="s">
        <v>121</v>
      </c>
      <c r="E140" s="61">
        <f>E133+E135</f>
        <v>17.98</v>
      </c>
      <c r="F140" s="70">
        <v>70</v>
      </c>
      <c r="G140" s="70">
        <v>42</v>
      </c>
      <c r="H140" s="46">
        <v>28</v>
      </c>
      <c r="I140" s="65">
        <f t="shared" si="8"/>
        <v>19.6</v>
      </c>
      <c r="J140" s="46">
        <f t="shared" si="9"/>
        <v>14.364</v>
      </c>
      <c r="K140" s="46">
        <f t="shared" si="10"/>
        <v>0</v>
      </c>
      <c r="L140" s="46">
        <f t="shared" si="11"/>
        <v>0</v>
      </c>
      <c r="M140" s="46"/>
    </row>
    <row r="141" ht="90" hidden="1" outlineLevel="1" spans="1:13">
      <c r="A141" s="22">
        <v>5.3</v>
      </c>
      <c r="B141" s="22" t="s">
        <v>124</v>
      </c>
      <c r="C141" s="66" t="s">
        <v>125</v>
      </c>
      <c r="D141" s="22" t="s">
        <v>57</v>
      </c>
      <c r="E141" s="61">
        <f>E134</f>
        <v>3.02</v>
      </c>
      <c r="F141" s="65">
        <v>22</v>
      </c>
      <c r="G141" s="65">
        <v>5</v>
      </c>
      <c r="H141" s="46">
        <v>3</v>
      </c>
      <c r="I141" s="65">
        <f t="shared" si="8"/>
        <v>4.2</v>
      </c>
      <c r="J141" s="46">
        <f t="shared" si="9"/>
        <v>3.078</v>
      </c>
      <c r="K141" s="46">
        <f t="shared" si="10"/>
        <v>0</v>
      </c>
      <c r="L141" s="46">
        <f t="shared" si="11"/>
        <v>0</v>
      </c>
      <c r="M141" s="46"/>
    </row>
    <row r="142" ht="56.25" hidden="1" outlineLevel="1" spans="1:13">
      <c r="A142" s="22">
        <v>5.4</v>
      </c>
      <c r="B142" s="22" t="s">
        <v>128</v>
      </c>
      <c r="C142" s="66" t="s">
        <v>129</v>
      </c>
      <c r="D142" s="22" t="s">
        <v>61</v>
      </c>
      <c r="E142" s="61">
        <f>E136</f>
        <v>9.4</v>
      </c>
      <c r="F142" s="46">
        <v>5</v>
      </c>
      <c r="G142" s="46">
        <v>5</v>
      </c>
      <c r="H142" s="46">
        <v>1</v>
      </c>
      <c r="I142" s="65">
        <f t="shared" si="8"/>
        <v>1.54</v>
      </c>
      <c r="J142" s="46">
        <f t="shared" si="9"/>
        <v>1.1286</v>
      </c>
      <c r="K142" s="46">
        <f t="shared" si="10"/>
        <v>0</v>
      </c>
      <c r="L142" s="46">
        <f t="shared" si="11"/>
        <v>0</v>
      </c>
      <c r="M142" s="74"/>
    </row>
    <row r="143" ht="78.75" hidden="1" outlineLevel="1" spans="1:13">
      <c r="A143" s="22">
        <v>5.5</v>
      </c>
      <c r="B143" s="22" t="s">
        <v>130</v>
      </c>
      <c r="C143" s="66" t="s">
        <v>131</v>
      </c>
      <c r="D143" s="22" t="s">
        <v>61</v>
      </c>
      <c r="E143" s="61">
        <f>E137</f>
        <v>4.23</v>
      </c>
      <c r="F143" s="65">
        <v>70</v>
      </c>
      <c r="G143" s="65">
        <v>20</v>
      </c>
      <c r="H143" s="46">
        <v>10</v>
      </c>
      <c r="I143" s="65">
        <f t="shared" si="8"/>
        <v>14</v>
      </c>
      <c r="J143" s="46">
        <f t="shared" si="9"/>
        <v>10.26</v>
      </c>
      <c r="K143" s="46">
        <f t="shared" si="10"/>
        <v>0</v>
      </c>
      <c r="L143" s="46">
        <f t="shared" si="11"/>
        <v>0</v>
      </c>
      <c r="M143" s="74"/>
    </row>
    <row r="144" s="53" customFormat="1" hidden="1" collapsed="1" spans="1:15">
      <c r="A144" s="22" t="s">
        <v>154</v>
      </c>
      <c r="B144" s="22" t="s">
        <v>155</v>
      </c>
      <c r="C144" s="22" t="s">
        <v>53</v>
      </c>
      <c r="D144" s="22"/>
      <c r="E144" s="61"/>
      <c r="F144" s="46"/>
      <c r="G144" s="46"/>
      <c r="H144" s="46"/>
      <c r="I144" s="46"/>
      <c r="J144" s="46"/>
      <c r="K144" s="46"/>
      <c r="L144" s="46"/>
      <c r="M144" s="46"/>
      <c r="O144" s="56"/>
    </row>
    <row r="145" hidden="1" spans="1:13">
      <c r="A145" s="22">
        <v>1</v>
      </c>
      <c r="B145" s="22" t="s">
        <v>54</v>
      </c>
      <c r="C145" s="22"/>
      <c r="D145" s="22"/>
      <c r="E145" s="61"/>
      <c r="F145" s="46"/>
      <c r="G145" s="46"/>
      <c r="H145" s="46"/>
      <c r="I145" s="65"/>
      <c r="J145" s="46"/>
      <c r="K145" s="46"/>
      <c r="L145" s="46">
        <f>SUM(L146:L156)</f>
        <v>370.077345</v>
      </c>
      <c r="M145" s="46"/>
    </row>
    <row r="146" ht="85.5" hidden="1" outlineLevel="1" spans="1:13">
      <c r="A146" s="22">
        <v>1.1</v>
      </c>
      <c r="B146" s="22" t="s">
        <v>55</v>
      </c>
      <c r="C146" s="62" t="s">
        <v>56</v>
      </c>
      <c r="D146" s="63" t="s">
        <v>57</v>
      </c>
      <c r="E146" s="61">
        <v>18.8</v>
      </c>
      <c r="F146" s="46">
        <v>12</v>
      </c>
      <c r="G146" s="46">
        <v>60</v>
      </c>
      <c r="H146" s="46">
        <v>10</v>
      </c>
      <c r="I146" s="65">
        <f t="shared" si="8"/>
        <v>11.48</v>
      </c>
      <c r="J146" s="46">
        <f t="shared" si="9"/>
        <v>8.4132</v>
      </c>
      <c r="K146" s="46">
        <f t="shared" si="10"/>
        <v>0</v>
      </c>
      <c r="L146" s="46">
        <f t="shared" si="11"/>
        <v>0</v>
      </c>
      <c r="M146" s="72" t="s">
        <v>58</v>
      </c>
    </row>
    <row r="147" ht="34" hidden="1" customHeight="1" outlineLevel="1" spans="1:13">
      <c r="A147" s="22">
        <v>1.2</v>
      </c>
      <c r="B147" s="62" t="s">
        <v>59</v>
      </c>
      <c r="C147" s="62" t="s">
        <v>60</v>
      </c>
      <c r="D147" s="63" t="s">
        <v>61</v>
      </c>
      <c r="E147" s="61">
        <f>23.3-4.5</f>
        <v>18.8</v>
      </c>
      <c r="F147" s="46">
        <v>4</v>
      </c>
      <c r="G147" s="46">
        <v>4</v>
      </c>
      <c r="H147" s="46">
        <v>1</v>
      </c>
      <c r="I147" s="65">
        <f t="shared" si="8"/>
        <v>1.26</v>
      </c>
      <c r="J147" s="46">
        <f t="shared" si="9"/>
        <v>0.9234</v>
      </c>
      <c r="K147" s="46">
        <f t="shared" si="10"/>
        <v>0</v>
      </c>
      <c r="L147" s="46">
        <f t="shared" si="11"/>
        <v>0</v>
      </c>
      <c r="M147" s="46"/>
    </row>
    <row r="148" ht="78" hidden="1" customHeight="1" outlineLevel="1" spans="1:13">
      <c r="A148" s="22">
        <v>1.3</v>
      </c>
      <c r="B148" s="62" t="s">
        <v>62</v>
      </c>
      <c r="C148" s="64" t="s">
        <v>135</v>
      </c>
      <c r="D148" s="63" t="s">
        <v>57</v>
      </c>
      <c r="E148" s="61">
        <v>3.03</v>
      </c>
      <c r="F148" s="65">
        <v>20</v>
      </c>
      <c r="G148" s="65">
        <v>25</v>
      </c>
      <c r="H148" s="65">
        <v>15</v>
      </c>
      <c r="I148" s="65">
        <f t="shared" si="8"/>
        <v>8.4</v>
      </c>
      <c r="J148" s="46">
        <f t="shared" si="9"/>
        <v>6.156</v>
      </c>
      <c r="K148" s="46">
        <f t="shared" si="10"/>
        <v>0</v>
      </c>
      <c r="L148" s="46">
        <f t="shared" si="11"/>
        <v>0</v>
      </c>
      <c r="M148" s="46"/>
    </row>
    <row r="149" ht="65" hidden="1" customHeight="1" outlineLevel="1" spans="1:13">
      <c r="A149" s="22">
        <v>1.4</v>
      </c>
      <c r="B149" s="62" t="s">
        <v>62</v>
      </c>
      <c r="C149" s="64" t="s">
        <v>156</v>
      </c>
      <c r="D149" s="63" t="s">
        <v>57</v>
      </c>
      <c r="E149" s="61">
        <f>2.59+0.6</f>
        <v>3.19</v>
      </c>
      <c r="F149" s="65">
        <v>20</v>
      </c>
      <c r="G149" s="65">
        <v>25</v>
      </c>
      <c r="H149" s="65">
        <v>15</v>
      </c>
      <c r="I149" s="65">
        <f t="shared" si="8"/>
        <v>8.4</v>
      </c>
      <c r="J149" s="46">
        <f t="shared" si="9"/>
        <v>6.156</v>
      </c>
      <c r="K149" s="46">
        <f t="shared" si="10"/>
        <v>0</v>
      </c>
      <c r="L149" s="46">
        <f t="shared" si="11"/>
        <v>0</v>
      </c>
      <c r="M149" s="46"/>
    </row>
    <row r="150" ht="67" hidden="1" customHeight="1" outlineLevel="1" spans="1:13">
      <c r="A150" s="22">
        <v>1.5</v>
      </c>
      <c r="B150" s="62" t="s">
        <v>62</v>
      </c>
      <c r="C150" s="64" t="s">
        <v>137</v>
      </c>
      <c r="D150" s="63" t="s">
        <v>57</v>
      </c>
      <c r="E150" s="61">
        <v>2.59</v>
      </c>
      <c r="F150" s="65">
        <v>20</v>
      </c>
      <c r="G150" s="65">
        <v>25</v>
      </c>
      <c r="H150" s="65">
        <v>15</v>
      </c>
      <c r="I150" s="65">
        <f t="shared" si="8"/>
        <v>8.4</v>
      </c>
      <c r="J150" s="46">
        <f t="shared" si="9"/>
        <v>6.156</v>
      </c>
      <c r="K150" s="46">
        <f t="shared" si="10"/>
        <v>0</v>
      </c>
      <c r="L150" s="46">
        <f t="shared" si="11"/>
        <v>0</v>
      </c>
      <c r="M150" s="46"/>
    </row>
    <row r="151" ht="73" hidden="1" customHeight="1" outlineLevel="1" spans="1:13">
      <c r="A151" s="22">
        <v>1.6</v>
      </c>
      <c r="B151" s="22" t="s">
        <v>66</v>
      </c>
      <c r="C151" s="66" t="s">
        <v>67</v>
      </c>
      <c r="D151" s="22" t="s">
        <v>57</v>
      </c>
      <c r="E151" s="61">
        <v>2.59</v>
      </c>
      <c r="F151" s="65">
        <v>55</v>
      </c>
      <c r="G151" s="65">
        <v>72</v>
      </c>
      <c r="H151" s="46">
        <v>23</v>
      </c>
      <c r="I151" s="65">
        <f t="shared" si="8"/>
        <v>21</v>
      </c>
      <c r="J151" s="46">
        <f t="shared" si="9"/>
        <v>15.39</v>
      </c>
      <c r="K151" s="46">
        <f t="shared" si="10"/>
        <v>0</v>
      </c>
      <c r="L151" s="46">
        <f t="shared" si="11"/>
        <v>0</v>
      </c>
      <c r="M151" s="73" t="s">
        <v>68</v>
      </c>
    </row>
    <row r="152" ht="68" hidden="1" customHeight="1" outlineLevel="1" spans="1:13">
      <c r="A152" s="22">
        <v>1.7</v>
      </c>
      <c r="B152" s="22" t="s">
        <v>66</v>
      </c>
      <c r="C152" s="66" t="s">
        <v>138</v>
      </c>
      <c r="D152" s="22" t="s">
        <v>57</v>
      </c>
      <c r="E152" s="61">
        <v>2.59</v>
      </c>
      <c r="F152" s="65">
        <v>55</v>
      </c>
      <c r="G152" s="65">
        <v>72</v>
      </c>
      <c r="H152" s="46">
        <v>23</v>
      </c>
      <c r="I152" s="65">
        <f t="shared" si="8"/>
        <v>21</v>
      </c>
      <c r="J152" s="46">
        <f t="shared" si="9"/>
        <v>15.39</v>
      </c>
      <c r="K152" s="46">
        <f t="shared" si="10"/>
        <v>0</v>
      </c>
      <c r="L152" s="46">
        <f t="shared" si="11"/>
        <v>0</v>
      </c>
      <c r="M152" s="73" t="s">
        <v>68</v>
      </c>
    </row>
    <row r="153" ht="51" hidden="1" customHeight="1" outlineLevel="1" spans="1:13">
      <c r="A153" s="22">
        <v>1.8</v>
      </c>
      <c r="B153" s="22" t="s">
        <v>70</v>
      </c>
      <c r="C153" s="66" t="s">
        <v>139</v>
      </c>
      <c r="D153" s="22" t="s">
        <v>57</v>
      </c>
      <c r="E153" s="61">
        <v>1.59</v>
      </c>
      <c r="F153" s="46">
        <v>40</v>
      </c>
      <c r="G153" s="46">
        <v>25</v>
      </c>
      <c r="H153" s="46">
        <v>5</v>
      </c>
      <c r="I153" s="65">
        <f t="shared" si="8"/>
        <v>9.8</v>
      </c>
      <c r="J153" s="46">
        <f t="shared" si="9"/>
        <v>7.182</v>
      </c>
      <c r="K153" s="46">
        <f t="shared" si="10"/>
        <v>0</v>
      </c>
      <c r="L153" s="46">
        <f t="shared" si="11"/>
        <v>0</v>
      </c>
      <c r="M153" s="73"/>
    </row>
    <row r="154" ht="78.75" hidden="1" outlineLevel="1" spans="1:13">
      <c r="A154" s="22">
        <v>1.9</v>
      </c>
      <c r="B154" s="22" t="s">
        <v>66</v>
      </c>
      <c r="C154" s="66" t="s">
        <v>72</v>
      </c>
      <c r="D154" s="22" t="s">
        <v>57</v>
      </c>
      <c r="E154" s="61">
        <v>3.03</v>
      </c>
      <c r="F154" s="65">
        <v>55</v>
      </c>
      <c r="G154" s="65">
        <v>72</v>
      </c>
      <c r="H154" s="46">
        <v>23</v>
      </c>
      <c r="I154" s="65">
        <f t="shared" si="8"/>
        <v>21</v>
      </c>
      <c r="J154" s="46">
        <f t="shared" si="9"/>
        <v>15.39</v>
      </c>
      <c r="K154" s="46">
        <f t="shared" si="10"/>
        <v>0</v>
      </c>
      <c r="L154" s="46">
        <f t="shared" si="11"/>
        <v>0</v>
      </c>
      <c r="M154" s="73" t="s">
        <v>68</v>
      </c>
    </row>
    <row r="155" ht="90" outlineLevel="1" spans="1:13">
      <c r="A155" s="61">
        <v>1.1</v>
      </c>
      <c r="B155" s="22" t="s">
        <v>73</v>
      </c>
      <c r="C155" s="66" t="s">
        <v>74</v>
      </c>
      <c r="D155" s="22" t="s">
        <v>57</v>
      </c>
      <c r="E155" s="61">
        <f>0.22+0.108*2+0.191</f>
        <v>0.627</v>
      </c>
      <c r="F155" s="46">
        <v>100</v>
      </c>
      <c r="G155" s="46">
        <v>350</v>
      </c>
      <c r="H155" s="46">
        <v>25</v>
      </c>
      <c r="I155" s="65">
        <f t="shared" si="8"/>
        <v>66.5</v>
      </c>
      <c r="J155" s="46">
        <f t="shared" si="9"/>
        <v>48.735</v>
      </c>
      <c r="K155" s="46">
        <f t="shared" si="10"/>
        <v>590.235</v>
      </c>
      <c r="L155" s="46">
        <f t="shared" si="11"/>
        <v>370.077345</v>
      </c>
      <c r="M155" s="73"/>
    </row>
    <row r="156" ht="114" hidden="1" outlineLevel="1" spans="1:13">
      <c r="A156" s="22">
        <v>1.11</v>
      </c>
      <c r="B156" s="62" t="s">
        <v>75</v>
      </c>
      <c r="C156" s="64" t="s">
        <v>76</v>
      </c>
      <c r="D156" s="63" t="s">
        <v>57</v>
      </c>
      <c r="E156" s="61">
        <v>2</v>
      </c>
      <c r="F156" s="46">
        <v>80</v>
      </c>
      <c r="G156" s="46">
        <v>150</v>
      </c>
      <c r="H156" s="46">
        <v>45</v>
      </c>
      <c r="I156" s="65">
        <f t="shared" si="8"/>
        <v>38.5</v>
      </c>
      <c r="J156" s="46">
        <f t="shared" si="9"/>
        <v>28.215</v>
      </c>
      <c r="K156" s="46">
        <f t="shared" si="10"/>
        <v>0</v>
      </c>
      <c r="L156" s="46">
        <f t="shared" si="11"/>
        <v>0</v>
      </c>
      <c r="M156" s="73"/>
    </row>
    <row r="157" ht="17.25" hidden="1" spans="1:13">
      <c r="A157" s="22">
        <v>2</v>
      </c>
      <c r="B157" s="63" t="s">
        <v>77</v>
      </c>
      <c r="C157" s="64"/>
      <c r="D157" s="63"/>
      <c r="E157" s="61"/>
      <c r="F157" s="46"/>
      <c r="G157" s="46"/>
      <c r="H157" s="46"/>
      <c r="I157" s="65"/>
      <c r="J157" s="46"/>
      <c r="K157" s="46"/>
      <c r="L157" s="46">
        <f>L158</f>
        <v>0</v>
      </c>
      <c r="M157" s="73"/>
    </row>
    <row r="158" ht="156.75" hidden="1" outlineLevel="1" spans="1:13">
      <c r="A158" s="22">
        <v>2.1</v>
      </c>
      <c r="B158" s="62" t="s">
        <v>77</v>
      </c>
      <c r="C158" s="64" t="s">
        <v>141</v>
      </c>
      <c r="D158" s="63" t="s">
        <v>57</v>
      </c>
      <c r="E158" s="61">
        <f>E146+2.59+2.59</f>
        <v>23.98</v>
      </c>
      <c r="F158" s="46">
        <v>30</v>
      </c>
      <c r="G158" s="46">
        <v>40</v>
      </c>
      <c r="H158" s="46">
        <v>12</v>
      </c>
      <c r="I158" s="65">
        <f t="shared" si="8"/>
        <v>11.48</v>
      </c>
      <c r="J158" s="46">
        <f t="shared" si="9"/>
        <v>8.4132</v>
      </c>
      <c r="K158" s="46">
        <f t="shared" si="10"/>
        <v>0</v>
      </c>
      <c r="L158" s="46">
        <f t="shared" si="11"/>
        <v>0</v>
      </c>
      <c r="M158" s="73" t="s">
        <v>79</v>
      </c>
    </row>
    <row r="159" ht="26" hidden="1" customHeight="1" collapsed="1" spans="1:13">
      <c r="A159" s="22">
        <v>3</v>
      </c>
      <c r="B159" s="22" t="s">
        <v>80</v>
      </c>
      <c r="C159" s="22"/>
      <c r="D159" s="22"/>
      <c r="E159" s="61"/>
      <c r="F159" s="46"/>
      <c r="G159" s="46"/>
      <c r="H159" s="46"/>
      <c r="I159" s="65"/>
      <c r="J159" s="46"/>
      <c r="K159" s="46"/>
      <c r="L159" s="46">
        <f>SUM(L160:L176)</f>
        <v>0</v>
      </c>
      <c r="M159" s="46"/>
    </row>
    <row r="160" ht="57" hidden="1" customHeight="1" outlineLevel="1" spans="1:13">
      <c r="A160" s="22">
        <v>3.1</v>
      </c>
      <c r="B160" s="67" t="s">
        <v>81</v>
      </c>
      <c r="C160" s="68" t="s">
        <v>82</v>
      </c>
      <c r="D160" s="22" t="s">
        <v>57</v>
      </c>
      <c r="E160" s="61">
        <f>1.71+2+0.53+4.52-1.44+10.65+4.32+7.59+5.62-2.44+7.59-1.61+0.2*2.5+2.5*0.8</f>
        <v>41.54</v>
      </c>
      <c r="F160" s="65">
        <v>15</v>
      </c>
      <c r="G160" s="65">
        <v>20</v>
      </c>
      <c r="H160" s="61">
        <v>5</v>
      </c>
      <c r="I160" s="65">
        <f t="shared" si="8"/>
        <v>5.6</v>
      </c>
      <c r="J160" s="46">
        <f t="shared" si="9"/>
        <v>4.104</v>
      </c>
      <c r="K160" s="46">
        <f t="shared" si="10"/>
        <v>0</v>
      </c>
      <c r="L160" s="46">
        <f t="shared" si="11"/>
        <v>0</v>
      </c>
      <c r="M160" s="22" t="s">
        <v>83</v>
      </c>
    </row>
    <row r="161" ht="171" hidden="1" outlineLevel="1" spans="1:13">
      <c r="A161" s="22">
        <v>3.2</v>
      </c>
      <c r="B161" s="67" t="s">
        <v>84</v>
      </c>
      <c r="C161" s="64" t="s">
        <v>85</v>
      </c>
      <c r="D161" s="22" t="s">
        <v>61</v>
      </c>
      <c r="E161" s="61">
        <f>0.93+1.53</f>
        <v>2.46</v>
      </c>
      <c r="F161" s="65">
        <v>50</v>
      </c>
      <c r="G161" s="65">
        <v>60</v>
      </c>
      <c r="H161" s="61">
        <v>10</v>
      </c>
      <c r="I161" s="65">
        <f t="shared" si="8"/>
        <v>16.8</v>
      </c>
      <c r="J161" s="46">
        <f t="shared" si="9"/>
        <v>12.312</v>
      </c>
      <c r="K161" s="46">
        <f t="shared" si="10"/>
        <v>0</v>
      </c>
      <c r="L161" s="46">
        <f t="shared" si="11"/>
        <v>0</v>
      </c>
      <c r="M161" s="22"/>
    </row>
    <row r="162" ht="54" hidden="1" customHeight="1" outlineLevel="1" spans="1:13">
      <c r="A162" s="22">
        <v>3.3</v>
      </c>
      <c r="B162" s="67" t="s">
        <v>86</v>
      </c>
      <c r="C162" s="68" t="s">
        <v>87</v>
      </c>
      <c r="D162" s="22" t="s">
        <v>88</v>
      </c>
      <c r="E162" s="61">
        <v>1</v>
      </c>
      <c r="F162" s="61">
        <v>100</v>
      </c>
      <c r="G162" s="61">
        <v>600</v>
      </c>
      <c r="H162" s="61">
        <v>50</v>
      </c>
      <c r="I162" s="65">
        <f t="shared" si="8"/>
        <v>105</v>
      </c>
      <c r="J162" s="46">
        <f t="shared" si="9"/>
        <v>76.95</v>
      </c>
      <c r="K162" s="46">
        <f t="shared" si="10"/>
        <v>0</v>
      </c>
      <c r="L162" s="46">
        <f t="shared" si="11"/>
        <v>0</v>
      </c>
      <c r="M162" s="22"/>
    </row>
    <row r="163" ht="60" hidden="1" customHeight="1" outlineLevel="1" spans="1:13">
      <c r="A163" s="22">
        <v>3.4</v>
      </c>
      <c r="B163" s="67" t="s">
        <v>89</v>
      </c>
      <c r="C163" s="68" t="s">
        <v>90</v>
      </c>
      <c r="D163" s="22" t="s">
        <v>57</v>
      </c>
      <c r="E163" s="61">
        <v>2.53</v>
      </c>
      <c r="F163" s="46">
        <v>150</v>
      </c>
      <c r="G163" s="46">
        <v>380</v>
      </c>
      <c r="H163" s="46">
        <v>50</v>
      </c>
      <c r="I163" s="65">
        <f t="shared" si="8"/>
        <v>81.2</v>
      </c>
      <c r="J163" s="46">
        <f t="shared" si="9"/>
        <v>59.508</v>
      </c>
      <c r="K163" s="46">
        <f t="shared" si="10"/>
        <v>0</v>
      </c>
      <c r="L163" s="46">
        <f t="shared" si="11"/>
        <v>0</v>
      </c>
      <c r="M163" s="22"/>
    </row>
    <row r="164" ht="81" hidden="1" customHeight="1" outlineLevel="1" spans="1:13">
      <c r="A164" s="22">
        <v>3.5</v>
      </c>
      <c r="B164" s="67" t="s">
        <v>91</v>
      </c>
      <c r="C164" s="68" t="s">
        <v>142</v>
      </c>
      <c r="D164" s="22" t="s">
        <v>57</v>
      </c>
      <c r="E164" s="61">
        <v>5.72</v>
      </c>
      <c r="F164" s="61">
        <v>200</v>
      </c>
      <c r="G164" s="61">
        <v>165</v>
      </c>
      <c r="H164" s="61">
        <v>45</v>
      </c>
      <c r="I164" s="65">
        <f t="shared" si="8"/>
        <v>57.4</v>
      </c>
      <c r="J164" s="46">
        <f t="shared" si="9"/>
        <v>42.066</v>
      </c>
      <c r="K164" s="46">
        <f t="shared" si="10"/>
        <v>0</v>
      </c>
      <c r="L164" s="46">
        <f t="shared" si="11"/>
        <v>0</v>
      </c>
      <c r="M164" s="22"/>
    </row>
    <row r="165" ht="33" hidden="1" customHeight="1" outlineLevel="1" spans="1:13">
      <c r="A165" s="22">
        <v>3.6</v>
      </c>
      <c r="B165" s="22" t="s">
        <v>93</v>
      </c>
      <c r="C165" s="66" t="s">
        <v>94</v>
      </c>
      <c r="D165" s="22" t="s">
        <v>61</v>
      </c>
      <c r="E165" s="61">
        <f>2.53*2</f>
        <v>5.06</v>
      </c>
      <c r="F165" s="46">
        <v>10</v>
      </c>
      <c r="G165" s="46">
        <v>10</v>
      </c>
      <c r="H165" s="46">
        <v>1</v>
      </c>
      <c r="I165" s="65">
        <f t="shared" si="8"/>
        <v>2.94</v>
      </c>
      <c r="J165" s="46">
        <f t="shared" si="9"/>
        <v>2.1546</v>
      </c>
      <c r="K165" s="46">
        <f t="shared" si="10"/>
        <v>0</v>
      </c>
      <c r="L165" s="46">
        <f t="shared" si="11"/>
        <v>0</v>
      </c>
      <c r="M165" s="46"/>
    </row>
    <row r="166" ht="72" hidden="1" customHeight="1" outlineLevel="1" spans="1:13">
      <c r="A166" s="22">
        <v>3.7</v>
      </c>
      <c r="B166" s="22" t="s">
        <v>95</v>
      </c>
      <c r="C166" s="66" t="s">
        <v>143</v>
      </c>
      <c r="D166" s="22" t="s">
        <v>57</v>
      </c>
      <c r="E166" s="61">
        <f>2.891+5.1+4.78-0.55+3.7*0.08+5.375-0.12-0.28-1.76+2.97+5.14-0.786+2.98+5.14-1.76</f>
        <v>29.416</v>
      </c>
      <c r="F166" s="65">
        <v>55</v>
      </c>
      <c r="G166" s="65">
        <v>60</v>
      </c>
      <c r="H166" s="46">
        <v>23</v>
      </c>
      <c r="I166" s="65">
        <f t="shared" si="8"/>
        <v>19.32</v>
      </c>
      <c r="J166" s="46">
        <f t="shared" si="9"/>
        <v>14.1588</v>
      </c>
      <c r="K166" s="46">
        <f t="shared" si="10"/>
        <v>0</v>
      </c>
      <c r="L166" s="46">
        <f t="shared" si="11"/>
        <v>0</v>
      </c>
      <c r="M166" s="46" t="s">
        <v>97</v>
      </c>
    </row>
    <row r="167" ht="72" hidden="1" customHeight="1" outlineLevel="1" spans="1:13">
      <c r="A167" s="22">
        <v>3.8</v>
      </c>
      <c r="B167" s="22" t="s">
        <v>144</v>
      </c>
      <c r="C167" s="66" t="s">
        <v>145</v>
      </c>
      <c r="D167" s="22" t="s">
        <v>57</v>
      </c>
      <c r="E167" s="61">
        <f>0.87+1.02+0.27+0.12+0.12+0.26</f>
        <v>2.66</v>
      </c>
      <c r="F167" s="46">
        <v>20</v>
      </c>
      <c r="G167" s="46">
        <v>15</v>
      </c>
      <c r="H167" s="46">
        <v>5</v>
      </c>
      <c r="I167" s="65">
        <f t="shared" si="8"/>
        <v>5.6</v>
      </c>
      <c r="J167" s="46">
        <f t="shared" si="9"/>
        <v>4.104</v>
      </c>
      <c r="K167" s="46">
        <f t="shared" si="10"/>
        <v>0</v>
      </c>
      <c r="L167" s="46">
        <f t="shared" si="11"/>
        <v>0</v>
      </c>
      <c r="M167" s="46"/>
    </row>
    <row r="168" ht="74" hidden="1" customHeight="1" outlineLevel="1" spans="1:13">
      <c r="A168" s="22">
        <v>3.9</v>
      </c>
      <c r="B168" s="22" t="s">
        <v>98</v>
      </c>
      <c r="C168" s="66" t="s">
        <v>146</v>
      </c>
      <c r="D168" s="22" t="s">
        <v>57</v>
      </c>
      <c r="E168" s="61">
        <f>5.95+3.67</f>
        <v>9.62</v>
      </c>
      <c r="F168" s="65">
        <v>20</v>
      </c>
      <c r="G168" s="65">
        <v>25</v>
      </c>
      <c r="H168" s="65">
        <v>4.5</v>
      </c>
      <c r="I168" s="65">
        <f t="shared" si="8"/>
        <v>6.93</v>
      </c>
      <c r="J168" s="46">
        <f t="shared" si="9"/>
        <v>5.0787</v>
      </c>
      <c r="K168" s="46">
        <f t="shared" si="10"/>
        <v>0</v>
      </c>
      <c r="L168" s="46">
        <f t="shared" si="11"/>
        <v>0</v>
      </c>
      <c r="M168" s="46"/>
    </row>
    <row r="169" ht="45" hidden="1" outlineLevel="1" spans="1:13">
      <c r="A169" s="22">
        <v>3.11</v>
      </c>
      <c r="B169" s="22" t="s">
        <v>101</v>
      </c>
      <c r="C169" s="68" t="s">
        <v>102</v>
      </c>
      <c r="D169" s="22" t="s">
        <v>88</v>
      </c>
      <c r="E169" s="61">
        <v>1</v>
      </c>
      <c r="F169" s="61">
        <v>100</v>
      </c>
      <c r="G169" s="61">
        <v>650</v>
      </c>
      <c r="H169" s="46">
        <v>50</v>
      </c>
      <c r="I169" s="65">
        <f t="shared" si="8"/>
        <v>112</v>
      </c>
      <c r="J169" s="46">
        <f t="shared" si="9"/>
        <v>82.08</v>
      </c>
      <c r="K169" s="46">
        <f t="shared" si="10"/>
        <v>0</v>
      </c>
      <c r="L169" s="46">
        <f t="shared" si="11"/>
        <v>0</v>
      </c>
      <c r="M169" s="46"/>
    </row>
    <row r="170" ht="45" hidden="1" outlineLevel="1" spans="1:13">
      <c r="A170" s="22">
        <v>3.12</v>
      </c>
      <c r="B170" s="22" t="s">
        <v>103</v>
      </c>
      <c r="C170" s="68" t="s">
        <v>104</v>
      </c>
      <c r="D170" s="22" t="s">
        <v>88</v>
      </c>
      <c r="E170" s="61">
        <v>1</v>
      </c>
      <c r="F170" s="61">
        <v>100</v>
      </c>
      <c r="G170" s="61">
        <v>580</v>
      </c>
      <c r="H170" s="61">
        <v>50</v>
      </c>
      <c r="I170" s="65">
        <f t="shared" si="8"/>
        <v>102.2</v>
      </c>
      <c r="J170" s="46">
        <f t="shared" si="9"/>
        <v>74.898</v>
      </c>
      <c r="K170" s="46">
        <f t="shared" si="10"/>
        <v>0</v>
      </c>
      <c r="L170" s="46">
        <f t="shared" si="11"/>
        <v>0</v>
      </c>
      <c r="M170" s="46"/>
    </row>
    <row r="171" ht="56" hidden="1" customHeight="1" outlineLevel="1" spans="1:13">
      <c r="A171" s="22">
        <v>3.13</v>
      </c>
      <c r="B171" s="22" t="s">
        <v>105</v>
      </c>
      <c r="C171" s="66" t="s">
        <v>106</v>
      </c>
      <c r="D171" s="22" t="s">
        <v>57</v>
      </c>
      <c r="E171" s="61">
        <f>2.852-1.62+5.8*0.08+4.3+0.55+5.97</f>
        <v>12.516</v>
      </c>
      <c r="F171" s="65">
        <v>55</v>
      </c>
      <c r="G171" s="65">
        <v>60</v>
      </c>
      <c r="H171" s="46">
        <v>23</v>
      </c>
      <c r="I171" s="65">
        <f t="shared" si="8"/>
        <v>19.32</v>
      </c>
      <c r="J171" s="46">
        <f t="shared" si="9"/>
        <v>14.1588</v>
      </c>
      <c r="K171" s="46">
        <f t="shared" si="10"/>
        <v>0</v>
      </c>
      <c r="L171" s="46">
        <f t="shared" si="11"/>
        <v>0</v>
      </c>
      <c r="M171" s="46"/>
    </row>
    <row r="172" ht="78.75" hidden="1" outlineLevel="1" spans="1:13">
      <c r="A172" s="22">
        <v>3.14</v>
      </c>
      <c r="B172" s="22" t="s">
        <v>107</v>
      </c>
      <c r="C172" s="66" t="s">
        <v>108</v>
      </c>
      <c r="D172" s="22" t="s">
        <v>57</v>
      </c>
      <c r="E172" s="61">
        <f>0.56+1.08+0.56+1.08</f>
        <v>3.28</v>
      </c>
      <c r="F172" s="65">
        <v>22</v>
      </c>
      <c r="G172" s="65">
        <v>5</v>
      </c>
      <c r="H172" s="46">
        <v>3</v>
      </c>
      <c r="I172" s="65">
        <f t="shared" si="8"/>
        <v>4.2</v>
      </c>
      <c r="J172" s="46">
        <f t="shared" si="9"/>
        <v>3.078</v>
      </c>
      <c r="K172" s="46">
        <f t="shared" si="10"/>
        <v>0</v>
      </c>
      <c r="L172" s="46">
        <f t="shared" si="11"/>
        <v>0</v>
      </c>
      <c r="M172" s="46"/>
    </row>
    <row r="173" ht="45" hidden="1" outlineLevel="1" spans="1:13">
      <c r="A173" s="22">
        <v>3.16</v>
      </c>
      <c r="B173" s="22" t="s">
        <v>109</v>
      </c>
      <c r="C173" s="66" t="s">
        <v>110</v>
      </c>
      <c r="D173" s="22" t="s">
        <v>61</v>
      </c>
      <c r="E173" s="61">
        <f>1.64+1.39+0.6</f>
        <v>3.63</v>
      </c>
      <c r="F173" s="69">
        <v>150</v>
      </c>
      <c r="G173" s="69">
        <v>500</v>
      </c>
      <c r="H173" s="46">
        <v>25</v>
      </c>
      <c r="I173" s="65">
        <f t="shared" si="8"/>
        <v>94.5</v>
      </c>
      <c r="J173" s="46">
        <f t="shared" si="9"/>
        <v>69.255</v>
      </c>
      <c r="K173" s="46">
        <f t="shared" si="10"/>
        <v>0</v>
      </c>
      <c r="L173" s="46">
        <f t="shared" si="11"/>
        <v>0</v>
      </c>
      <c r="M173" s="46"/>
    </row>
    <row r="174" ht="33.75" hidden="1" outlineLevel="1" spans="1:13">
      <c r="A174" s="22">
        <v>3.17</v>
      </c>
      <c r="B174" s="22" t="s">
        <v>111</v>
      </c>
      <c r="C174" s="66" t="s">
        <v>112</v>
      </c>
      <c r="D174" s="22" t="s">
        <v>61</v>
      </c>
      <c r="E174" s="61">
        <f>1.45+0.95</f>
        <v>2.4</v>
      </c>
      <c r="F174" s="46">
        <v>150</v>
      </c>
      <c r="G174" s="46">
        <v>300</v>
      </c>
      <c r="H174" s="46">
        <v>25</v>
      </c>
      <c r="I174" s="65">
        <f t="shared" si="8"/>
        <v>66.5</v>
      </c>
      <c r="J174" s="46">
        <f t="shared" si="9"/>
        <v>48.735</v>
      </c>
      <c r="K174" s="46">
        <f t="shared" si="10"/>
        <v>0</v>
      </c>
      <c r="L174" s="46">
        <f t="shared" si="11"/>
        <v>0</v>
      </c>
      <c r="M174" s="46"/>
    </row>
    <row r="175" ht="48" hidden="1" customHeight="1" outlineLevel="1" spans="1:13">
      <c r="A175" s="22">
        <v>3.18</v>
      </c>
      <c r="B175" s="22" t="s">
        <v>113</v>
      </c>
      <c r="C175" s="66" t="s">
        <v>114</v>
      </c>
      <c r="D175" s="22" t="s">
        <v>115</v>
      </c>
      <c r="E175" s="61">
        <v>1</v>
      </c>
      <c r="F175" s="46">
        <v>20</v>
      </c>
      <c r="G175" s="46">
        <v>40</v>
      </c>
      <c r="H175" s="46">
        <v>15</v>
      </c>
      <c r="I175" s="65">
        <f t="shared" si="8"/>
        <v>10.5</v>
      </c>
      <c r="J175" s="46">
        <f t="shared" si="9"/>
        <v>7.695</v>
      </c>
      <c r="K175" s="46">
        <f t="shared" si="10"/>
        <v>0</v>
      </c>
      <c r="L175" s="46">
        <f t="shared" si="11"/>
        <v>0</v>
      </c>
      <c r="M175" s="46" t="s">
        <v>116</v>
      </c>
    </row>
    <row r="176" ht="48" hidden="1" customHeight="1" outlineLevel="1" spans="1:13">
      <c r="A176" s="22">
        <v>3.19</v>
      </c>
      <c r="B176" s="22" t="s">
        <v>117</v>
      </c>
      <c r="C176" s="66" t="s">
        <v>114</v>
      </c>
      <c r="D176" s="22" t="s">
        <v>115</v>
      </c>
      <c r="E176" s="61">
        <v>1</v>
      </c>
      <c r="F176" s="46">
        <v>30</v>
      </c>
      <c r="G176" s="46">
        <v>120</v>
      </c>
      <c r="H176" s="46">
        <v>15</v>
      </c>
      <c r="I176" s="65">
        <f t="shared" si="8"/>
        <v>23.1</v>
      </c>
      <c r="J176" s="46">
        <f t="shared" si="9"/>
        <v>16.929</v>
      </c>
      <c r="K176" s="46">
        <f t="shared" si="10"/>
        <v>0</v>
      </c>
      <c r="L176" s="46">
        <f t="shared" si="11"/>
        <v>0</v>
      </c>
      <c r="M176" s="46" t="s">
        <v>116</v>
      </c>
    </row>
    <row r="177" hidden="1" collapsed="1" spans="1:13">
      <c r="A177" s="22">
        <v>4</v>
      </c>
      <c r="B177" s="22" t="s">
        <v>118</v>
      </c>
      <c r="C177" s="22" t="s">
        <v>118</v>
      </c>
      <c r="D177" s="22"/>
      <c r="E177" s="61"/>
      <c r="F177" s="46"/>
      <c r="G177" s="46"/>
      <c r="H177" s="46"/>
      <c r="I177" s="65"/>
      <c r="J177" s="46"/>
      <c r="K177" s="46"/>
      <c r="L177" s="46">
        <f>SUM(L178:L183)</f>
        <v>0</v>
      </c>
      <c r="M177" s="46"/>
    </row>
    <row r="178" ht="114" hidden="1" customHeight="1" outlineLevel="1" spans="1:13">
      <c r="A178" s="22">
        <v>4.1</v>
      </c>
      <c r="B178" s="22" t="s">
        <v>119</v>
      </c>
      <c r="C178" s="66" t="s">
        <v>120</v>
      </c>
      <c r="D178" s="22" t="s">
        <v>121</v>
      </c>
      <c r="E178" s="61">
        <f>4.18+2.59</f>
        <v>6.77</v>
      </c>
      <c r="F178" s="65">
        <v>45</v>
      </c>
      <c r="G178" s="65">
        <v>30</v>
      </c>
      <c r="H178" s="46">
        <v>25</v>
      </c>
      <c r="I178" s="65">
        <f t="shared" si="8"/>
        <v>14</v>
      </c>
      <c r="J178" s="46">
        <f t="shared" si="9"/>
        <v>10.26</v>
      </c>
      <c r="K178" s="46">
        <f t="shared" si="10"/>
        <v>0</v>
      </c>
      <c r="L178" s="46">
        <f t="shared" si="11"/>
        <v>0</v>
      </c>
      <c r="M178" s="46"/>
    </row>
    <row r="179" ht="192" hidden="1" customHeight="1" outlineLevel="1" spans="1:13">
      <c r="A179" s="22">
        <v>4.2</v>
      </c>
      <c r="B179" s="22" t="s">
        <v>122</v>
      </c>
      <c r="C179" s="66" t="s">
        <v>149</v>
      </c>
      <c r="D179" s="22" t="s">
        <v>121</v>
      </c>
      <c r="E179" s="61">
        <f>12.02-8.48</f>
        <v>3.54</v>
      </c>
      <c r="F179" s="70">
        <v>70</v>
      </c>
      <c r="G179" s="70">
        <v>40</v>
      </c>
      <c r="H179" s="46">
        <v>28</v>
      </c>
      <c r="I179" s="65">
        <f t="shared" si="8"/>
        <v>19.32</v>
      </c>
      <c r="J179" s="46">
        <f t="shared" si="9"/>
        <v>14.1588</v>
      </c>
      <c r="K179" s="46">
        <f t="shared" si="10"/>
        <v>0</v>
      </c>
      <c r="L179" s="46">
        <f t="shared" si="11"/>
        <v>0</v>
      </c>
      <c r="M179" s="46"/>
    </row>
    <row r="180" ht="88" hidden="1" customHeight="1" outlineLevel="1" spans="1:13">
      <c r="A180" s="22">
        <v>4.3</v>
      </c>
      <c r="B180" s="22" t="s">
        <v>124</v>
      </c>
      <c r="C180" s="66" t="s">
        <v>125</v>
      </c>
      <c r="D180" s="22" t="s">
        <v>57</v>
      </c>
      <c r="E180" s="61">
        <v>3.02</v>
      </c>
      <c r="F180" s="65">
        <v>22</v>
      </c>
      <c r="G180" s="65">
        <v>5</v>
      </c>
      <c r="H180" s="46">
        <v>3</v>
      </c>
      <c r="I180" s="65">
        <f t="shared" si="8"/>
        <v>4.2</v>
      </c>
      <c r="J180" s="46">
        <f t="shared" si="9"/>
        <v>3.078</v>
      </c>
      <c r="K180" s="46">
        <f t="shared" si="10"/>
        <v>0</v>
      </c>
      <c r="L180" s="46">
        <f t="shared" si="11"/>
        <v>0</v>
      </c>
      <c r="M180" s="46"/>
    </row>
    <row r="181" ht="95" hidden="1" customHeight="1" outlineLevel="1" spans="1:13">
      <c r="A181" s="22">
        <v>4.4</v>
      </c>
      <c r="B181" s="22" t="s">
        <v>126</v>
      </c>
      <c r="C181" s="66" t="s">
        <v>127</v>
      </c>
      <c r="D181" s="22" t="s">
        <v>57</v>
      </c>
      <c r="E181" s="1">
        <f>8.48+5.46+0.2*2.5</f>
        <v>14.44</v>
      </c>
      <c r="F181" s="65">
        <v>22</v>
      </c>
      <c r="G181" s="65">
        <v>4</v>
      </c>
      <c r="H181" s="46">
        <v>3</v>
      </c>
      <c r="I181" s="65">
        <f t="shared" si="8"/>
        <v>4.06</v>
      </c>
      <c r="J181" s="46">
        <f t="shared" si="9"/>
        <v>2.9754</v>
      </c>
      <c r="K181" s="46">
        <f t="shared" si="10"/>
        <v>0</v>
      </c>
      <c r="L181" s="46">
        <f t="shared" si="11"/>
        <v>0</v>
      </c>
      <c r="M181" s="46"/>
    </row>
    <row r="182" ht="56.25" hidden="1" outlineLevel="1" spans="1:13">
      <c r="A182" s="22">
        <v>4.5</v>
      </c>
      <c r="B182" s="22" t="s">
        <v>128</v>
      </c>
      <c r="C182" s="66" t="s">
        <v>129</v>
      </c>
      <c r="D182" s="22" t="s">
        <v>61</v>
      </c>
      <c r="E182" s="61">
        <v>9.4</v>
      </c>
      <c r="F182" s="46">
        <v>5</v>
      </c>
      <c r="G182" s="46">
        <v>5</v>
      </c>
      <c r="H182" s="46">
        <v>1</v>
      </c>
      <c r="I182" s="65">
        <f t="shared" si="8"/>
        <v>1.54</v>
      </c>
      <c r="J182" s="46">
        <f t="shared" si="9"/>
        <v>1.1286</v>
      </c>
      <c r="K182" s="46">
        <f t="shared" si="10"/>
        <v>0</v>
      </c>
      <c r="L182" s="46">
        <f t="shared" si="11"/>
        <v>0</v>
      </c>
      <c r="M182" s="74"/>
    </row>
    <row r="183" ht="78.75" hidden="1" outlineLevel="1" spans="1:13">
      <c r="A183" s="22">
        <v>4.6</v>
      </c>
      <c r="B183" s="22" t="s">
        <v>130</v>
      </c>
      <c r="C183" s="66" t="s">
        <v>131</v>
      </c>
      <c r="D183" s="22" t="s">
        <v>61</v>
      </c>
      <c r="E183" s="61">
        <f>1.5+0.2+2.53</f>
        <v>4.23</v>
      </c>
      <c r="F183" s="65">
        <v>70</v>
      </c>
      <c r="G183" s="65">
        <v>20</v>
      </c>
      <c r="H183" s="46">
        <v>10</v>
      </c>
      <c r="I183" s="65">
        <f t="shared" si="8"/>
        <v>14</v>
      </c>
      <c r="J183" s="46">
        <f t="shared" si="9"/>
        <v>10.26</v>
      </c>
      <c r="K183" s="46">
        <f t="shared" si="10"/>
        <v>0</v>
      </c>
      <c r="L183" s="46">
        <f t="shared" si="11"/>
        <v>0</v>
      </c>
      <c r="M183" s="74"/>
    </row>
    <row r="184" hidden="1" collapsed="1" spans="1:13">
      <c r="A184" s="22">
        <v>5</v>
      </c>
      <c r="B184" s="22" t="s">
        <v>132</v>
      </c>
      <c r="C184" s="22" t="s">
        <v>132</v>
      </c>
      <c r="D184" s="22"/>
      <c r="E184" s="61"/>
      <c r="F184" s="65"/>
      <c r="G184" s="65"/>
      <c r="H184" s="46"/>
      <c r="I184" s="65"/>
      <c r="J184" s="46"/>
      <c r="K184" s="46"/>
      <c r="L184" s="46">
        <f>SUM(L185:L189)</f>
        <v>0</v>
      </c>
      <c r="M184" s="46"/>
    </row>
    <row r="185" ht="123.75" hidden="1" outlineLevel="1" spans="1:13">
      <c r="A185" s="22">
        <v>5.1</v>
      </c>
      <c r="B185" s="22" t="s">
        <v>119</v>
      </c>
      <c r="C185" s="66" t="s">
        <v>150</v>
      </c>
      <c r="D185" s="22" t="s">
        <v>121</v>
      </c>
      <c r="E185" s="61">
        <f>4.18+2.59</f>
        <v>6.77</v>
      </c>
      <c r="F185" s="65">
        <v>45</v>
      </c>
      <c r="G185" s="65">
        <v>30</v>
      </c>
      <c r="H185" s="46">
        <v>25</v>
      </c>
      <c r="I185" s="65">
        <f t="shared" si="8"/>
        <v>14</v>
      </c>
      <c r="J185" s="46">
        <f t="shared" si="9"/>
        <v>10.26</v>
      </c>
      <c r="K185" s="46">
        <f t="shared" si="10"/>
        <v>0</v>
      </c>
      <c r="L185" s="46">
        <f t="shared" si="11"/>
        <v>0</v>
      </c>
      <c r="M185" s="46"/>
    </row>
    <row r="186" ht="168.75" hidden="1" outlineLevel="1" spans="1:13">
      <c r="A186" s="22">
        <v>5.2</v>
      </c>
      <c r="B186" s="22" t="s">
        <v>122</v>
      </c>
      <c r="C186" s="66" t="s">
        <v>149</v>
      </c>
      <c r="D186" s="22" t="s">
        <v>121</v>
      </c>
      <c r="E186" s="61">
        <f>E179+E181</f>
        <v>17.98</v>
      </c>
      <c r="F186" s="70">
        <v>70</v>
      </c>
      <c r="G186" s="70">
        <v>42</v>
      </c>
      <c r="H186" s="46">
        <v>28</v>
      </c>
      <c r="I186" s="65">
        <f t="shared" si="8"/>
        <v>19.6</v>
      </c>
      <c r="J186" s="46">
        <f t="shared" si="9"/>
        <v>14.364</v>
      </c>
      <c r="K186" s="46">
        <f t="shared" si="10"/>
        <v>0</v>
      </c>
      <c r="L186" s="46">
        <f t="shared" si="11"/>
        <v>0</v>
      </c>
      <c r="M186" s="46"/>
    </row>
    <row r="187" ht="90" hidden="1" outlineLevel="1" spans="1:13">
      <c r="A187" s="22">
        <v>5.3</v>
      </c>
      <c r="B187" s="22" t="s">
        <v>124</v>
      </c>
      <c r="C187" s="66" t="s">
        <v>125</v>
      </c>
      <c r="D187" s="22" t="s">
        <v>57</v>
      </c>
      <c r="E187" s="61">
        <f>E180</f>
        <v>3.02</v>
      </c>
      <c r="F187" s="65">
        <v>22</v>
      </c>
      <c r="G187" s="65">
        <v>5</v>
      </c>
      <c r="H187" s="46">
        <v>3</v>
      </c>
      <c r="I187" s="65">
        <f t="shared" si="8"/>
        <v>4.2</v>
      </c>
      <c r="J187" s="46">
        <f t="shared" si="9"/>
        <v>3.078</v>
      </c>
      <c r="K187" s="46">
        <f t="shared" si="10"/>
        <v>0</v>
      </c>
      <c r="L187" s="46">
        <f t="shared" si="11"/>
        <v>0</v>
      </c>
      <c r="M187" s="46"/>
    </row>
    <row r="188" ht="56.25" hidden="1" outlineLevel="1" spans="1:13">
      <c r="A188" s="22">
        <v>5.4</v>
      </c>
      <c r="B188" s="22" t="s">
        <v>128</v>
      </c>
      <c r="C188" s="66" t="s">
        <v>129</v>
      </c>
      <c r="D188" s="22" t="s">
        <v>61</v>
      </c>
      <c r="E188" s="61">
        <f>E182</f>
        <v>9.4</v>
      </c>
      <c r="F188" s="46">
        <v>5</v>
      </c>
      <c r="G188" s="46">
        <v>5</v>
      </c>
      <c r="H188" s="46">
        <v>1</v>
      </c>
      <c r="I188" s="65">
        <f t="shared" si="8"/>
        <v>1.54</v>
      </c>
      <c r="J188" s="46">
        <f t="shared" si="9"/>
        <v>1.1286</v>
      </c>
      <c r="K188" s="46">
        <f t="shared" si="10"/>
        <v>0</v>
      </c>
      <c r="L188" s="46">
        <f t="shared" si="11"/>
        <v>0</v>
      </c>
      <c r="M188" s="74"/>
    </row>
    <row r="189" ht="78.75" hidden="1" outlineLevel="1" spans="1:13">
      <c r="A189" s="22">
        <v>5.5</v>
      </c>
      <c r="B189" s="22" t="s">
        <v>130</v>
      </c>
      <c r="C189" s="66" t="s">
        <v>131</v>
      </c>
      <c r="D189" s="22" t="s">
        <v>61</v>
      </c>
      <c r="E189" s="61">
        <f>E183</f>
        <v>4.23</v>
      </c>
      <c r="F189" s="65">
        <v>70</v>
      </c>
      <c r="G189" s="65">
        <v>20</v>
      </c>
      <c r="H189" s="46">
        <v>10</v>
      </c>
      <c r="I189" s="65">
        <f t="shared" si="8"/>
        <v>14</v>
      </c>
      <c r="J189" s="46">
        <f t="shared" si="9"/>
        <v>10.26</v>
      </c>
      <c r="K189" s="46">
        <f t="shared" si="10"/>
        <v>0</v>
      </c>
      <c r="L189" s="46">
        <f t="shared" si="11"/>
        <v>0</v>
      </c>
      <c r="M189" s="74"/>
    </row>
    <row r="190" s="53" customFormat="1" ht="24" hidden="1" customHeight="1" collapsed="1" spans="1:15">
      <c r="A190" s="22" t="s">
        <v>157</v>
      </c>
      <c r="B190" s="22" t="s">
        <v>158</v>
      </c>
      <c r="C190" s="22" t="s">
        <v>53</v>
      </c>
      <c r="D190" s="22"/>
      <c r="E190" s="61"/>
      <c r="F190" s="46"/>
      <c r="G190" s="46"/>
      <c r="H190" s="46"/>
      <c r="I190" s="46"/>
      <c r="J190" s="46"/>
      <c r="K190" s="46"/>
      <c r="L190" s="46"/>
      <c r="M190" s="46"/>
      <c r="O190" s="56"/>
    </row>
    <row r="191" hidden="1" spans="1:13">
      <c r="A191" s="22">
        <v>1</v>
      </c>
      <c r="B191" s="22" t="s">
        <v>54</v>
      </c>
      <c r="C191" s="22"/>
      <c r="D191" s="22"/>
      <c r="E191" s="61"/>
      <c r="F191" s="46"/>
      <c r="G191" s="46"/>
      <c r="H191" s="46"/>
      <c r="I191" s="65"/>
      <c r="J191" s="46"/>
      <c r="K191" s="46"/>
      <c r="L191" s="46">
        <f>SUM(L192:L202)</f>
        <v>323.44878</v>
      </c>
      <c r="M191" s="46"/>
    </row>
    <row r="192" ht="85.5" hidden="1" outlineLevel="1" spans="1:13">
      <c r="A192" s="22">
        <v>1.1</v>
      </c>
      <c r="B192" s="22" t="s">
        <v>55</v>
      </c>
      <c r="C192" s="62" t="s">
        <v>56</v>
      </c>
      <c r="D192" s="63" t="s">
        <v>57</v>
      </c>
      <c r="E192" s="61">
        <v>36.58</v>
      </c>
      <c r="F192" s="46">
        <v>12</v>
      </c>
      <c r="G192" s="46">
        <v>60</v>
      </c>
      <c r="H192" s="46">
        <v>10</v>
      </c>
      <c r="I192" s="65">
        <f t="shared" si="8"/>
        <v>11.48</v>
      </c>
      <c r="J192" s="46">
        <f t="shared" si="9"/>
        <v>8.4132</v>
      </c>
      <c r="K192" s="46">
        <f t="shared" si="10"/>
        <v>0</v>
      </c>
      <c r="L192" s="46">
        <f t="shared" si="11"/>
        <v>0</v>
      </c>
      <c r="M192" s="72" t="s">
        <v>58</v>
      </c>
    </row>
    <row r="193" ht="34" hidden="1" customHeight="1" outlineLevel="1" spans="1:13">
      <c r="A193" s="22">
        <v>1.2</v>
      </c>
      <c r="B193" s="62" t="s">
        <v>59</v>
      </c>
      <c r="C193" s="62" t="s">
        <v>60</v>
      </c>
      <c r="D193" s="63" t="s">
        <v>61</v>
      </c>
      <c r="E193" s="61">
        <f>37.12-2.12</f>
        <v>35</v>
      </c>
      <c r="F193" s="46">
        <v>4</v>
      </c>
      <c r="G193" s="46">
        <v>4</v>
      </c>
      <c r="H193" s="46">
        <v>1</v>
      </c>
      <c r="I193" s="65">
        <f t="shared" si="8"/>
        <v>1.26</v>
      </c>
      <c r="J193" s="46">
        <f t="shared" si="9"/>
        <v>0.9234</v>
      </c>
      <c r="K193" s="46">
        <f t="shared" si="10"/>
        <v>0</v>
      </c>
      <c r="L193" s="46">
        <f t="shared" si="11"/>
        <v>0</v>
      </c>
      <c r="M193" s="46"/>
    </row>
    <row r="194" ht="78" hidden="1" customHeight="1" outlineLevel="1" spans="1:13">
      <c r="A194" s="22">
        <v>1.3</v>
      </c>
      <c r="B194" s="62" t="s">
        <v>62</v>
      </c>
      <c r="C194" s="64" t="s">
        <v>135</v>
      </c>
      <c r="D194" s="63" t="s">
        <v>57</v>
      </c>
      <c r="E194" s="61"/>
      <c r="F194" s="65">
        <v>20</v>
      </c>
      <c r="G194" s="65">
        <v>25</v>
      </c>
      <c r="H194" s="65">
        <v>15</v>
      </c>
      <c r="I194" s="65">
        <f t="shared" si="8"/>
        <v>8.4</v>
      </c>
      <c r="J194" s="46">
        <f t="shared" si="9"/>
        <v>6.156</v>
      </c>
      <c r="K194" s="46">
        <f t="shared" si="10"/>
        <v>0</v>
      </c>
      <c r="L194" s="46">
        <f t="shared" si="11"/>
        <v>0</v>
      </c>
      <c r="M194" s="46"/>
    </row>
    <row r="195" ht="65" hidden="1" customHeight="1" outlineLevel="1" spans="1:13">
      <c r="A195" s="22">
        <v>1.4</v>
      </c>
      <c r="B195" s="62" t="s">
        <v>62</v>
      </c>
      <c r="C195" s="64" t="s">
        <v>159</v>
      </c>
      <c r="D195" s="63" t="s">
        <v>57</v>
      </c>
      <c r="E195" s="61">
        <f>3.4+2.05</f>
        <v>5.45</v>
      </c>
      <c r="F195" s="65">
        <v>20</v>
      </c>
      <c r="G195" s="65">
        <v>25</v>
      </c>
      <c r="H195" s="65">
        <v>15</v>
      </c>
      <c r="I195" s="65">
        <f t="shared" si="8"/>
        <v>8.4</v>
      </c>
      <c r="J195" s="46">
        <f t="shared" si="9"/>
        <v>6.156</v>
      </c>
      <c r="K195" s="46">
        <f t="shared" si="10"/>
        <v>0</v>
      </c>
      <c r="L195" s="46">
        <f t="shared" si="11"/>
        <v>0</v>
      </c>
      <c r="M195" s="46"/>
    </row>
    <row r="196" ht="67" hidden="1" customHeight="1" outlineLevel="1" spans="1:13">
      <c r="A196" s="22">
        <v>1.5</v>
      </c>
      <c r="B196" s="62" t="s">
        <v>62</v>
      </c>
      <c r="C196" s="64" t="s">
        <v>160</v>
      </c>
      <c r="D196" s="63" t="s">
        <v>57</v>
      </c>
      <c r="E196" s="61">
        <v>3.4</v>
      </c>
      <c r="F196" s="65">
        <v>20</v>
      </c>
      <c r="G196" s="65">
        <v>25</v>
      </c>
      <c r="H196" s="65">
        <v>15</v>
      </c>
      <c r="I196" s="65">
        <f t="shared" si="8"/>
        <v>8.4</v>
      </c>
      <c r="J196" s="46">
        <f t="shared" si="9"/>
        <v>6.156</v>
      </c>
      <c r="K196" s="46">
        <f t="shared" si="10"/>
        <v>0</v>
      </c>
      <c r="L196" s="46">
        <f t="shared" si="11"/>
        <v>0</v>
      </c>
      <c r="M196" s="46"/>
    </row>
    <row r="197" ht="73" hidden="1" customHeight="1" outlineLevel="1" spans="1:13">
      <c r="A197" s="22">
        <v>1.6</v>
      </c>
      <c r="B197" s="22" t="s">
        <v>66</v>
      </c>
      <c r="C197" s="66" t="s">
        <v>67</v>
      </c>
      <c r="D197" s="22" t="s">
        <v>57</v>
      </c>
      <c r="E197" s="61">
        <v>3.12</v>
      </c>
      <c r="F197" s="65">
        <v>55</v>
      </c>
      <c r="G197" s="65">
        <v>72</v>
      </c>
      <c r="H197" s="46">
        <v>23</v>
      </c>
      <c r="I197" s="65">
        <f t="shared" si="8"/>
        <v>21</v>
      </c>
      <c r="J197" s="46">
        <f t="shared" si="9"/>
        <v>15.39</v>
      </c>
      <c r="K197" s="46">
        <f t="shared" si="10"/>
        <v>0</v>
      </c>
      <c r="L197" s="46">
        <f t="shared" si="11"/>
        <v>0</v>
      </c>
      <c r="M197" s="73" t="s">
        <v>68</v>
      </c>
    </row>
    <row r="198" ht="68" hidden="1" customHeight="1" outlineLevel="1" spans="1:13">
      <c r="A198" s="22">
        <v>1.7</v>
      </c>
      <c r="B198" s="22" t="s">
        <v>66</v>
      </c>
      <c r="C198" s="66" t="s">
        <v>161</v>
      </c>
      <c r="D198" s="22" t="s">
        <v>57</v>
      </c>
      <c r="E198" s="61">
        <f>4.26+1.27</f>
        <v>5.53</v>
      </c>
      <c r="F198" s="65">
        <v>55</v>
      </c>
      <c r="G198" s="65">
        <v>72</v>
      </c>
      <c r="H198" s="46">
        <v>23</v>
      </c>
      <c r="I198" s="65">
        <f t="shared" si="8"/>
        <v>21</v>
      </c>
      <c r="J198" s="46">
        <f t="shared" si="9"/>
        <v>15.39</v>
      </c>
      <c r="K198" s="46">
        <f t="shared" si="10"/>
        <v>0</v>
      </c>
      <c r="L198" s="46">
        <f t="shared" si="11"/>
        <v>0</v>
      </c>
      <c r="M198" s="73" t="s">
        <v>68</v>
      </c>
    </row>
    <row r="199" ht="51" hidden="1" customHeight="1" outlineLevel="1" spans="1:13">
      <c r="A199" s="22">
        <v>1.8</v>
      </c>
      <c r="B199" s="22" t="s">
        <v>70</v>
      </c>
      <c r="C199" s="66" t="s">
        <v>139</v>
      </c>
      <c r="D199" s="22" t="s">
        <v>57</v>
      </c>
      <c r="E199" s="61">
        <v>1.59</v>
      </c>
      <c r="F199" s="46">
        <v>40</v>
      </c>
      <c r="G199" s="46">
        <v>25</v>
      </c>
      <c r="H199" s="46">
        <v>5</v>
      </c>
      <c r="I199" s="65">
        <f t="shared" si="8"/>
        <v>9.8</v>
      </c>
      <c r="J199" s="46">
        <f t="shared" si="9"/>
        <v>7.182</v>
      </c>
      <c r="K199" s="46">
        <f t="shared" si="10"/>
        <v>0</v>
      </c>
      <c r="L199" s="46">
        <f t="shared" si="11"/>
        <v>0</v>
      </c>
      <c r="M199" s="73"/>
    </row>
    <row r="200" ht="66" hidden="1" customHeight="1" outlineLevel="1" spans="1:13">
      <c r="A200" s="22">
        <v>1.9</v>
      </c>
      <c r="B200" s="22" t="s">
        <v>66</v>
      </c>
      <c r="C200" s="66" t="s">
        <v>72</v>
      </c>
      <c r="D200" s="22" t="s">
        <v>57</v>
      </c>
      <c r="E200" s="61"/>
      <c r="F200" s="65">
        <v>55</v>
      </c>
      <c r="G200" s="65">
        <v>72</v>
      </c>
      <c r="H200" s="46">
        <v>23</v>
      </c>
      <c r="I200" s="65">
        <f t="shared" ref="I200:I232" si="12">(F200+G200+H200)*$I$4</f>
        <v>21</v>
      </c>
      <c r="J200" s="46">
        <f t="shared" ref="J200:J232" si="13">(F200+G200+H200+I200)*$J$4</f>
        <v>15.39</v>
      </c>
      <c r="K200" s="46">
        <f t="shared" ref="K200:K232" si="14">SUBTOTAL(9,F200:J200)</f>
        <v>0</v>
      </c>
      <c r="L200" s="46">
        <f t="shared" ref="L200:L232" si="15">E200*K200</f>
        <v>0</v>
      </c>
      <c r="M200" s="73" t="s">
        <v>68</v>
      </c>
    </row>
    <row r="201" ht="90" outlineLevel="1" spans="1:13">
      <c r="A201" s="61">
        <v>1.1</v>
      </c>
      <c r="B201" s="22" t="s">
        <v>73</v>
      </c>
      <c r="C201" s="66" t="s">
        <v>74</v>
      </c>
      <c r="D201" s="22" t="s">
        <v>57</v>
      </c>
      <c r="E201" s="61">
        <f>0.22+0.108+0.22</f>
        <v>0.548</v>
      </c>
      <c r="F201" s="46">
        <v>100</v>
      </c>
      <c r="G201" s="46">
        <v>350</v>
      </c>
      <c r="H201" s="46">
        <v>25</v>
      </c>
      <c r="I201" s="65">
        <f t="shared" si="12"/>
        <v>66.5</v>
      </c>
      <c r="J201" s="46">
        <f t="shared" si="13"/>
        <v>48.735</v>
      </c>
      <c r="K201" s="46">
        <f t="shared" si="14"/>
        <v>590.235</v>
      </c>
      <c r="L201" s="46">
        <f t="shared" si="15"/>
        <v>323.44878</v>
      </c>
      <c r="M201" s="73"/>
    </row>
    <row r="202" ht="114" hidden="1" outlineLevel="1" spans="1:13">
      <c r="A202" s="22">
        <v>1.11</v>
      </c>
      <c r="B202" s="62" t="s">
        <v>75</v>
      </c>
      <c r="C202" s="64" t="s">
        <v>76</v>
      </c>
      <c r="D202" s="63" t="s">
        <v>57</v>
      </c>
      <c r="E202" s="61">
        <v>2.39</v>
      </c>
      <c r="F202" s="46">
        <v>80</v>
      </c>
      <c r="G202" s="46">
        <v>150</v>
      </c>
      <c r="H202" s="46">
        <v>45</v>
      </c>
      <c r="I202" s="65">
        <f t="shared" si="12"/>
        <v>38.5</v>
      </c>
      <c r="J202" s="46">
        <f t="shared" si="13"/>
        <v>28.215</v>
      </c>
      <c r="K202" s="46">
        <f t="shared" si="14"/>
        <v>0</v>
      </c>
      <c r="L202" s="46">
        <f t="shared" si="15"/>
        <v>0</v>
      </c>
      <c r="M202" s="73"/>
    </row>
    <row r="203" ht="17.25" hidden="1" spans="1:13">
      <c r="A203" s="22">
        <v>2</v>
      </c>
      <c r="B203" s="63" t="s">
        <v>77</v>
      </c>
      <c r="C203" s="64"/>
      <c r="D203" s="63"/>
      <c r="E203" s="61"/>
      <c r="F203" s="46"/>
      <c r="G203" s="46"/>
      <c r="H203" s="46"/>
      <c r="I203" s="65"/>
      <c r="J203" s="46"/>
      <c r="K203" s="46"/>
      <c r="L203" s="46">
        <f>L204</f>
        <v>0</v>
      </c>
      <c r="M203" s="73"/>
    </row>
    <row r="204" ht="156.75" hidden="1" outlineLevel="1" spans="1:13">
      <c r="A204" s="22">
        <v>2.1</v>
      </c>
      <c r="B204" s="62" t="s">
        <v>77</v>
      </c>
      <c r="C204" s="64" t="s">
        <v>141</v>
      </c>
      <c r="D204" s="63" t="s">
        <v>57</v>
      </c>
      <c r="E204" s="61">
        <f>E192+E197+E198</f>
        <v>45.23</v>
      </c>
      <c r="F204" s="46">
        <v>30</v>
      </c>
      <c r="G204" s="46">
        <v>40</v>
      </c>
      <c r="H204" s="46">
        <v>12</v>
      </c>
      <c r="I204" s="65">
        <f t="shared" si="12"/>
        <v>11.48</v>
      </c>
      <c r="J204" s="46">
        <f t="shared" si="13"/>
        <v>8.4132</v>
      </c>
      <c r="K204" s="46">
        <f t="shared" si="14"/>
        <v>0</v>
      </c>
      <c r="L204" s="46">
        <f t="shared" si="15"/>
        <v>0</v>
      </c>
      <c r="M204" s="73" t="s">
        <v>79</v>
      </c>
    </row>
    <row r="205" ht="26" hidden="1" customHeight="1" collapsed="1" spans="1:13">
      <c r="A205" s="22">
        <v>3</v>
      </c>
      <c r="B205" s="22" t="s">
        <v>80</v>
      </c>
      <c r="C205" s="22"/>
      <c r="D205" s="22"/>
      <c r="E205" s="61"/>
      <c r="F205" s="46"/>
      <c r="G205" s="46"/>
      <c r="H205" s="46"/>
      <c r="I205" s="65"/>
      <c r="J205" s="46"/>
      <c r="K205" s="46"/>
      <c r="L205" s="46">
        <f>SUM(L206:L221)</f>
        <v>0</v>
      </c>
      <c r="M205" s="46"/>
    </row>
    <row r="206" ht="57" hidden="1" customHeight="1" outlineLevel="1" spans="1:13">
      <c r="A206" s="22">
        <v>3.1</v>
      </c>
      <c r="B206" s="67" t="s">
        <v>81</v>
      </c>
      <c r="C206" s="68" t="s">
        <v>82</v>
      </c>
      <c r="D206" s="22" t="s">
        <v>57</v>
      </c>
      <c r="E206" s="61">
        <f>5.17+10.99-4.93+9.05+0.61+0.46+1.84+6.81-1.99+8.08+4.83+8.08+5.44+9.53+7.42-3.27+9.53+3*0.8+0.2*3</f>
        <v>80.65</v>
      </c>
      <c r="F206" s="65">
        <v>15</v>
      </c>
      <c r="G206" s="65">
        <v>20</v>
      </c>
      <c r="H206" s="61">
        <v>5</v>
      </c>
      <c r="I206" s="65">
        <f t="shared" si="12"/>
        <v>5.6</v>
      </c>
      <c r="J206" s="46">
        <f t="shared" si="13"/>
        <v>4.104</v>
      </c>
      <c r="K206" s="46">
        <f t="shared" si="14"/>
        <v>0</v>
      </c>
      <c r="L206" s="46">
        <f t="shared" si="15"/>
        <v>0</v>
      </c>
      <c r="M206" s="22" t="s">
        <v>83</v>
      </c>
    </row>
    <row r="207" ht="171" hidden="1" outlineLevel="1" spans="1:13">
      <c r="A207" s="22">
        <v>3.2</v>
      </c>
      <c r="B207" s="67" t="s">
        <v>84</v>
      </c>
      <c r="C207" s="64" t="s">
        <v>85</v>
      </c>
      <c r="D207" s="22" t="s">
        <v>61</v>
      </c>
      <c r="E207" s="61">
        <f>3.03+1.53+2.03</f>
        <v>6.59</v>
      </c>
      <c r="F207" s="65">
        <v>50</v>
      </c>
      <c r="G207" s="65">
        <v>60</v>
      </c>
      <c r="H207" s="61">
        <v>10</v>
      </c>
      <c r="I207" s="65">
        <f t="shared" si="12"/>
        <v>16.8</v>
      </c>
      <c r="J207" s="46">
        <f t="shared" si="13"/>
        <v>12.312</v>
      </c>
      <c r="K207" s="46">
        <f t="shared" si="14"/>
        <v>0</v>
      </c>
      <c r="L207" s="46">
        <f t="shared" si="15"/>
        <v>0</v>
      </c>
      <c r="M207" s="22"/>
    </row>
    <row r="208" ht="54" hidden="1" customHeight="1" outlineLevel="1" spans="1:13">
      <c r="A208" s="22">
        <v>3.3</v>
      </c>
      <c r="B208" s="67" t="s">
        <v>86</v>
      </c>
      <c r="C208" s="68" t="s">
        <v>87</v>
      </c>
      <c r="D208" s="22" t="s">
        <v>88</v>
      </c>
      <c r="E208" s="61">
        <v>2</v>
      </c>
      <c r="F208" s="61">
        <v>100</v>
      </c>
      <c r="G208" s="61">
        <v>600</v>
      </c>
      <c r="H208" s="61">
        <v>50</v>
      </c>
      <c r="I208" s="65">
        <f t="shared" si="12"/>
        <v>105</v>
      </c>
      <c r="J208" s="46">
        <f t="shared" si="13"/>
        <v>76.95</v>
      </c>
      <c r="K208" s="46">
        <f t="shared" si="14"/>
        <v>0</v>
      </c>
      <c r="L208" s="46">
        <f t="shared" si="15"/>
        <v>0</v>
      </c>
      <c r="M208" s="22"/>
    </row>
    <row r="209" ht="60" hidden="1" customHeight="1" outlineLevel="1" spans="1:13">
      <c r="A209" s="22">
        <v>3.4</v>
      </c>
      <c r="B209" s="67" t="s">
        <v>89</v>
      </c>
      <c r="C209" s="68" t="s">
        <v>90</v>
      </c>
      <c r="D209" s="22" t="s">
        <v>57</v>
      </c>
      <c r="E209" s="61">
        <v>1.82</v>
      </c>
      <c r="F209" s="46">
        <v>150</v>
      </c>
      <c r="G209" s="46">
        <v>380</v>
      </c>
      <c r="H209" s="46">
        <v>50</v>
      </c>
      <c r="I209" s="65">
        <f t="shared" si="12"/>
        <v>81.2</v>
      </c>
      <c r="J209" s="46">
        <f t="shared" si="13"/>
        <v>59.508</v>
      </c>
      <c r="K209" s="46">
        <f t="shared" si="14"/>
        <v>0</v>
      </c>
      <c r="L209" s="46">
        <f t="shared" si="15"/>
        <v>0</v>
      </c>
      <c r="M209" s="22"/>
    </row>
    <row r="210" ht="81" hidden="1" customHeight="1" outlineLevel="1" spans="1:13">
      <c r="A210" s="22">
        <v>3.5</v>
      </c>
      <c r="B210" s="67" t="s">
        <v>91</v>
      </c>
      <c r="C210" s="68" t="s">
        <v>142</v>
      </c>
      <c r="D210" s="22" t="s">
        <v>57</v>
      </c>
      <c r="E210" s="61">
        <v>8.19</v>
      </c>
      <c r="F210" s="61">
        <v>200</v>
      </c>
      <c r="G210" s="61">
        <v>165</v>
      </c>
      <c r="H210" s="61">
        <v>45</v>
      </c>
      <c r="I210" s="65">
        <f t="shared" si="12"/>
        <v>57.4</v>
      </c>
      <c r="J210" s="46">
        <f t="shared" si="13"/>
        <v>42.066</v>
      </c>
      <c r="K210" s="46">
        <f t="shared" si="14"/>
        <v>0</v>
      </c>
      <c r="L210" s="46">
        <f t="shared" si="15"/>
        <v>0</v>
      </c>
      <c r="M210" s="22"/>
    </row>
    <row r="211" ht="33" hidden="1" customHeight="1" outlineLevel="1" spans="1:13">
      <c r="A211" s="22">
        <v>3.6</v>
      </c>
      <c r="B211" s="22" t="s">
        <v>93</v>
      </c>
      <c r="C211" s="66" t="s">
        <v>94</v>
      </c>
      <c r="D211" s="22" t="s">
        <v>61</v>
      </c>
      <c r="E211" s="61">
        <v>2.48</v>
      </c>
      <c r="F211" s="46">
        <v>10</v>
      </c>
      <c r="G211" s="46">
        <v>10</v>
      </c>
      <c r="H211" s="46">
        <v>1</v>
      </c>
      <c r="I211" s="65">
        <f t="shared" si="12"/>
        <v>2.94</v>
      </c>
      <c r="J211" s="46">
        <f t="shared" si="13"/>
        <v>2.1546</v>
      </c>
      <c r="K211" s="46">
        <f t="shared" si="14"/>
        <v>0</v>
      </c>
      <c r="L211" s="46">
        <f t="shared" si="15"/>
        <v>0</v>
      </c>
      <c r="M211" s="46"/>
    </row>
    <row r="212" ht="33" hidden="1" customHeight="1" outlineLevel="1" spans="1:13">
      <c r="A212" s="22">
        <v>3.7</v>
      </c>
      <c r="B212" s="22" t="s">
        <v>93</v>
      </c>
      <c r="C212" s="66" t="s">
        <v>100</v>
      </c>
      <c r="D212" s="22" t="s">
        <v>61</v>
      </c>
      <c r="E212" s="61">
        <f>2.28+2.28</f>
        <v>4.56</v>
      </c>
      <c r="F212" s="46">
        <v>10</v>
      </c>
      <c r="G212" s="46">
        <v>10</v>
      </c>
      <c r="H212" s="46">
        <v>1</v>
      </c>
      <c r="I212" s="65">
        <f t="shared" si="12"/>
        <v>2.94</v>
      </c>
      <c r="J212" s="46">
        <f t="shared" si="13"/>
        <v>2.1546</v>
      </c>
      <c r="K212" s="46">
        <f t="shared" si="14"/>
        <v>0</v>
      </c>
      <c r="L212" s="46">
        <f t="shared" si="15"/>
        <v>0</v>
      </c>
      <c r="M212" s="46"/>
    </row>
    <row r="213" ht="72" hidden="1" customHeight="1" outlineLevel="1" spans="1:13">
      <c r="A213" s="22">
        <v>3.8</v>
      </c>
      <c r="B213" s="22" t="s">
        <v>95</v>
      </c>
      <c r="C213" s="66" t="s">
        <v>143</v>
      </c>
      <c r="D213" s="22" t="s">
        <v>57</v>
      </c>
      <c r="E213" s="61">
        <f>1.28+0.133+0.78+1.28+3.94-1.2+4.5*0.08+4.66+3.94-1.81+5*0.08+4.66+4.14-1.2+4.5*0.08+7.78-1.84+5*0.08+4.54+5.57</f>
        <v>38.173</v>
      </c>
      <c r="F213" s="65">
        <v>55</v>
      </c>
      <c r="G213" s="65">
        <v>60</v>
      </c>
      <c r="H213" s="46">
        <v>23</v>
      </c>
      <c r="I213" s="65">
        <f t="shared" si="12"/>
        <v>19.32</v>
      </c>
      <c r="J213" s="46">
        <f t="shared" si="13"/>
        <v>14.1588</v>
      </c>
      <c r="K213" s="46">
        <f t="shared" si="14"/>
        <v>0</v>
      </c>
      <c r="L213" s="46">
        <f t="shared" si="15"/>
        <v>0</v>
      </c>
      <c r="M213" s="46" t="s">
        <v>97</v>
      </c>
    </row>
    <row r="214" ht="72" hidden="1" customHeight="1" outlineLevel="1" spans="1:13">
      <c r="A214" s="22">
        <v>3.9</v>
      </c>
      <c r="B214" s="22" t="s">
        <v>144</v>
      </c>
      <c r="C214" s="66" t="s">
        <v>145</v>
      </c>
      <c r="D214" s="22" t="s">
        <v>57</v>
      </c>
      <c r="E214" s="61">
        <f>0.273+0.12+1.02+1.19</f>
        <v>2.603</v>
      </c>
      <c r="F214" s="46">
        <v>20</v>
      </c>
      <c r="G214" s="46">
        <v>15</v>
      </c>
      <c r="H214" s="46">
        <v>5</v>
      </c>
      <c r="I214" s="65">
        <f t="shared" si="12"/>
        <v>5.6</v>
      </c>
      <c r="J214" s="46">
        <f t="shared" si="13"/>
        <v>4.104</v>
      </c>
      <c r="K214" s="46">
        <f t="shared" si="14"/>
        <v>0</v>
      </c>
      <c r="L214" s="46">
        <f t="shared" si="15"/>
        <v>0</v>
      </c>
      <c r="M214" s="46"/>
    </row>
    <row r="215" ht="74" hidden="1" customHeight="1" outlineLevel="1" spans="1:13">
      <c r="A215" s="61">
        <v>3.1</v>
      </c>
      <c r="B215" s="22" t="s">
        <v>98</v>
      </c>
      <c r="C215" s="66" t="s">
        <v>146</v>
      </c>
      <c r="D215" s="22" t="s">
        <v>57</v>
      </c>
      <c r="E215" s="61">
        <v>6.36</v>
      </c>
      <c r="F215" s="65">
        <v>20</v>
      </c>
      <c r="G215" s="65">
        <v>25</v>
      </c>
      <c r="H215" s="65">
        <v>4.5</v>
      </c>
      <c r="I215" s="65">
        <f t="shared" si="12"/>
        <v>6.93</v>
      </c>
      <c r="J215" s="46">
        <f t="shared" si="13"/>
        <v>5.0787</v>
      </c>
      <c r="K215" s="46">
        <f t="shared" si="14"/>
        <v>0</v>
      </c>
      <c r="L215" s="46">
        <f t="shared" si="15"/>
        <v>0</v>
      </c>
      <c r="M215" s="46"/>
    </row>
    <row r="216" ht="46" hidden="1" customHeight="1" outlineLevel="1" spans="1:13">
      <c r="A216" s="22">
        <v>3.11</v>
      </c>
      <c r="B216" s="22" t="s">
        <v>101</v>
      </c>
      <c r="C216" s="68" t="s">
        <v>102</v>
      </c>
      <c r="D216" s="22" t="s">
        <v>88</v>
      </c>
      <c r="E216" s="61">
        <v>1</v>
      </c>
      <c r="F216" s="61">
        <v>100</v>
      </c>
      <c r="G216" s="61">
        <v>650</v>
      </c>
      <c r="H216" s="46">
        <v>50</v>
      </c>
      <c r="I216" s="65">
        <f t="shared" si="12"/>
        <v>112</v>
      </c>
      <c r="J216" s="46">
        <f t="shared" si="13"/>
        <v>82.08</v>
      </c>
      <c r="K216" s="46">
        <f t="shared" si="14"/>
        <v>0</v>
      </c>
      <c r="L216" s="46">
        <f t="shared" si="15"/>
        <v>0</v>
      </c>
      <c r="M216" s="46"/>
    </row>
    <row r="217" ht="46" hidden="1" customHeight="1" outlineLevel="1" spans="1:13">
      <c r="A217" s="22">
        <v>3.12</v>
      </c>
      <c r="B217" s="22" t="s">
        <v>103</v>
      </c>
      <c r="C217" s="68" t="s">
        <v>104</v>
      </c>
      <c r="D217" s="22" t="s">
        <v>88</v>
      </c>
      <c r="E217" s="61">
        <v>1</v>
      </c>
      <c r="F217" s="61">
        <v>100</v>
      </c>
      <c r="G217" s="61">
        <v>580</v>
      </c>
      <c r="H217" s="61">
        <v>50</v>
      </c>
      <c r="I217" s="65">
        <f t="shared" si="12"/>
        <v>102.2</v>
      </c>
      <c r="J217" s="46">
        <f t="shared" si="13"/>
        <v>74.898</v>
      </c>
      <c r="K217" s="46">
        <f t="shared" si="14"/>
        <v>0</v>
      </c>
      <c r="L217" s="46">
        <f t="shared" si="15"/>
        <v>0</v>
      </c>
      <c r="M217" s="46"/>
    </row>
    <row r="218" ht="46" hidden="1" customHeight="1" outlineLevel="1" spans="1:13">
      <c r="A218" s="22">
        <v>3.13</v>
      </c>
      <c r="B218" s="22" t="s">
        <v>109</v>
      </c>
      <c r="C218" s="66" t="s">
        <v>110</v>
      </c>
      <c r="D218" s="22" t="s">
        <v>61</v>
      </c>
      <c r="E218" s="61">
        <f>1.84+1.29+0.6</f>
        <v>3.73</v>
      </c>
      <c r="F218" s="69">
        <v>150</v>
      </c>
      <c r="G218" s="69">
        <v>500</v>
      </c>
      <c r="H218" s="46">
        <v>25</v>
      </c>
      <c r="I218" s="65">
        <f t="shared" si="12"/>
        <v>94.5</v>
      </c>
      <c r="J218" s="46">
        <f t="shared" si="13"/>
        <v>69.255</v>
      </c>
      <c r="K218" s="46">
        <f t="shared" si="14"/>
        <v>0</v>
      </c>
      <c r="L218" s="46">
        <f t="shared" si="15"/>
        <v>0</v>
      </c>
      <c r="M218" s="46"/>
    </row>
    <row r="219" ht="46" hidden="1" customHeight="1" outlineLevel="1" spans="1:13">
      <c r="A219" s="22">
        <v>3.14</v>
      </c>
      <c r="B219" s="22" t="s">
        <v>111</v>
      </c>
      <c r="C219" s="66" t="s">
        <v>112</v>
      </c>
      <c r="D219" s="22" t="s">
        <v>61</v>
      </c>
      <c r="E219" s="61">
        <v>1.9</v>
      </c>
      <c r="F219" s="46">
        <v>150</v>
      </c>
      <c r="G219" s="46">
        <v>300</v>
      </c>
      <c r="H219" s="46">
        <v>25</v>
      </c>
      <c r="I219" s="65">
        <f t="shared" si="12"/>
        <v>66.5</v>
      </c>
      <c r="J219" s="46">
        <f t="shared" si="13"/>
        <v>48.735</v>
      </c>
      <c r="K219" s="46">
        <f t="shared" si="14"/>
        <v>0</v>
      </c>
      <c r="L219" s="46">
        <f t="shared" si="15"/>
        <v>0</v>
      </c>
      <c r="M219" s="46"/>
    </row>
    <row r="220" ht="46" hidden="1" customHeight="1" outlineLevel="1" spans="1:13">
      <c r="A220" s="22">
        <v>3.15</v>
      </c>
      <c r="B220" s="22" t="s">
        <v>113</v>
      </c>
      <c r="C220" s="66" t="s">
        <v>114</v>
      </c>
      <c r="D220" s="22" t="s">
        <v>115</v>
      </c>
      <c r="E220" s="61">
        <v>1</v>
      </c>
      <c r="F220" s="46">
        <v>20</v>
      </c>
      <c r="G220" s="46">
        <v>40</v>
      </c>
      <c r="H220" s="46">
        <v>15</v>
      </c>
      <c r="I220" s="65">
        <f t="shared" si="12"/>
        <v>10.5</v>
      </c>
      <c r="J220" s="46">
        <f t="shared" si="13"/>
        <v>7.695</v>
      </c>
      <c r="K220" s="46">
        <f t="shared" si="14"/>
        <v>0</v>
      </c>
      <c r="L220" s="46">
        <f t="shared" si="15"/>
        <v>0</v>
      </c>
      <c r="M220" s="46" t="s">
        <v>116</v>
      </c>
    </row>
    <row r="221" ht="46" hidden="1" customHeight="1" outlineLevel="1" spans="1:13">
      <c r="A221" s="22">
        <v>3.16</v>
      </c>
      <c r="B221" s="22" t="s">
        <v>117</v>
      </c>
      <c r="C221" s="66" t="s">
        <v>114</v>
      </c>
      <c r="D221" s="22" t="s">
        <v>115</v>
      </c>
      <c r="E221" s="61">
        <v>1</v>
      </c>
      <c r="F221" s="46">
        <v>30</v>
      </c>
      <c r="G221" s="46">
        <v>120</v>
      </c>
      <c r="H221" s="46">
        <v>15</v>
      </c>
      <c r="I221" s="65">
        <f t="shared" si="12"/>
        <v>23.1</v>
      </c>
      <c r="J221" s="46">
        <f t="shared" si="13"/>
        <v>16.929</v>
      </c>
      <c r="K221" s="46">
        <f t="shared" si="14"/>
        <v>0</v>
      </c>
      <c r="L221" s="46">
        <f t="shared" si="15"/>
        <v>0</v>
      </c>
      <c r="M221" s="46" t="s">
        <v>116</v>
      </c>
    </row>
    <row r="222" ht="43" hidden="1" customHeight="1" collapsed="1" spans="1:13">
      <c r="A222" s="22">
        <v>4</v>
      </c>
      <c r="B222" s="22" t="s">
        <v>118</v>
      </c>
      <c r="C222" s="22" t="s">
        <v>118</v>
      </c>
      <c r="D222" s="22"/>
      <c r="E222" s="61"/>
      <c r="F222" s="46"/>
      <c r="G222" s="46"/>
      <c r="H222" s="46"/>
      <c r="I222" s="65"/>
      <c r="J222" s="46"/>
      <c r="K222" s="46"/>
      <c r="L222" s="46">
        <f>SUM(L223:L227)</f>
        <v>0</v>
      </c>
      <c r="M222" s="46"/>
    </row>
    <row r="223" ht="114" hidden="1" customHeight="1" outlineLevel="1" spans="1:13">
      <c r="A223" s="22">
        <v>4.1</v>
      </c>
      <c r="B223" s="22" t="s">
        <v>119</v>
      </c>
      <c r="C223" s="66" t="s">
        <v>120</v>
      </c>
      <c r="D223" s="22" t="s">
        <v>121</v>
      </c>
      <c r="E223" s="61">
        <f>5.86+3.12</f>
        <v>8.98</v>
      </c>
      <c r="F223" s="65">
        <v>45</v>
      </c>
      <c r="G223" s="65">
        <v>30</v>
      </c>
      <c r="H223" s="46">
        <v>25</v>
      </c>
      <c r="I223" s="65">
        <f t="shared" si="12"/>
        <v>14</v>
      </c>
      <c r="J223" s="46">
        <f t="shared" si="13"/>
        <v>10.26</v>
      </c>
      <c r="K223" s="46">
        <f t="shared" si="14"/>
        <v>0</v>
      </c>
      <c r="L223" s="46">
        <f t="shared" si="15"/>
        <v>0</v>
      </c>
      <c r="M223" s="46"/>
    </row>
    <row r="224" ht="192" hidden="1" customHeight="1" outlineLevel="1" spans="1:13">
      <c r="A224" s="22">
        <v>4.2</v>
      </c>
      <c r="B224" s="22" t="s">
        <v>122</v>
      </c>
      <c r="C224" s="66" t="s">
        <v>149</v>
      </c>
      <c r="D224" s="22" t="s">
        <v>121</v>
      </c>
      <c r="E224" s="61">
        <f>17.1-9.3</f>
        <v>7.8</v>
      </c>
      <c r="F224" s="70">
        <v>70</v>
      </c>
      <c r="G224" s="70">
        <v>40</v>
      </c>
      <c r="H224" s="46">
        <v>28</v>
      </c>
      <c r="I224" s="65">
        <f t="shared" si="12"/>
        <v>19.32</v>
      </c>
      <c r="J224" s="46">
        <f t="shared" si="13"/>
        <v>14.1588</v>
      </c>
      <c r="K224" s="46">
        <f t="shared" si="14"/>
        <v>0</v>
      </c>
      <c r="L224" s="46">
        <f t="shared" si="15"/>
        <v>0</v>
      </c>
      <c r="M224" s="46"/>
    </row>
    <row r="225" ht="78" hidden="1" customHeight="1" outlineLevel="1" spans="1:13">
      <c r="A225" s="22">
        <v>4.4</v>
      </c>
      <c r="B225" s="22" t="s">
        <v>126</v>
      </c>
      <c r="C225" s="66" t="s">
        <v>127</v>
      </c>
      <c r="D225" s="22" t="s">
        <v>57</v>
      </c>
      <c r="E225" s="1">
        <f>9.3+8.39+9.06+3*0.2</f>
        <v>27.35</v>
      </c>
      <c r="F225" s="65">
        <v>22</v>
      </c>
      <c r="G225" s="65">
        <v>4</v>
      </c>
      <c r="H225" s="46">
        <v>3</v>
      </c>
      <c r="I225" s="65">
        <f t="shared" si="12"/>
        <v>4.06</v>
      </c>
      <c r="J225" s="46">
        <f t="shared" si="13"/>
        <v>2.9754</v>
      </c>
      <c r="K225" s="46">
        <f t="shared" si="14"/>
        <v>0</v>
      </c>
      <c r="L225" s="46">
        <f t="shared" si="15"/>
        <v>0</v>
      </c>
      <c r="M225" s="46"/>
    </row>
    <row r="226" ht="56.25" hidden="1" outlineLevel="1" spans="1:13">
      <c r="A226" s="22">
        <v>4.5</v>
      </c>
      <c r="B226" s="22" t="s">
        <v>128</v>
      </c>
      <c r="C226" s="66" t="s">
        <v>129</v>
      </c>
      <c r="D226" s="22" t="s">
        <v>61</v>
      </c>
      <c r="E226" s="61">
        <f>12+11.6</f>
        <v>23.6</v>
      </c>
      <c r="F226" s="46">
        <v>5</v>
      </c>
      <c r="G226" s="46">
        <v>5</v>
      </c>
      <c r="H226" s="46">
        <v>1</v>
      </c>
      <c r="I226" s="65">
        <f t="shared" si="12"/>
        <v>1.54</v>
      </c>
      <c r="J226" s="46">
        <f t="shared" si="13"/>
        <v>1.1286</v>
      </c>
      <c r="K226" s="46">
        <f t="shared" si="14"/>
        <v>0</v>
      </c>
      <c r="L226" s="46">
        <f t="shared" si="15"/>
        <v>0</v>
      </c>
      <c r="M226" s="74"/>
    </row>
    <row r="227" ht="78.75" hidden="1" outlineLevel="1" spans="1:13">
      <c r="A227" s="22">
        <v>4.6</v>
      </c>
      <c r="B227" s="22" t="s">
        <v>130</v>
      </c>
      <c r="C227" s="66" t="s">
        <v>131</v>
      </c>
      <c r="D227" s="22" t="s">
        <v>61</v>
      </c>
      <c r="E227" s="61">
        <f>3.03+4.58</f>
        <v>7.61</v>
      </c>
      <c r="F227" s="65">
        <v>70</v>
      </c>
      <c r="G227" s="65">
        <v>20</v>
      </c>
      <c r="H227" s="46">
        <v>10</v>
      </c>
      <c r="I227" s="65">
        <f t="shared" si="12"/>
        <v>14</v>
      </c>
      <c r="J227" s="46">
        <f t="shared" si="13"/>
        <v>10.26</v>
      </c>
      <c r="K227" s="46">
        <f t="shared" si="14"/>
        <v>0</v>
      </c>
      <c r="L227" s="46">
        <f t="shared" si="15"/>
        <v>0</v>
      </c>
      <c r="M227" s="74"/>
    </row>
    <row r="228" hidden="1" collapsed="1" spans="1:13">
      <c r="A228" s="22">
        <v>5</v>
      </c>
      <c r="B228" s="22" t="s">
        <v>132</v>
      </c>
      <c r="C228" s="22" t="s">
        <v>132</v>
      </c>
      <c r="D228" s="22"/>
      <c r="E228" s="61"/>
      <c r="F228" s="65"/>
      <c r="G228" s="65"/>
      <c r="H228" s="46"/>
      <c r="I228" s="65"/>
      <c r="J228" s="46"/>
      <c r="K228" s="46"/>
      <c r="L228" s="46">
        <f>SUM(L229:L232)</f>
        <v>1115.829948</v>
      </c>
      <c r="M228" s="46"/>
    </row>
    <row r="229" ht="123.75" hidden="1" outlineLevel="1" spans="1:13">
      <c r="A229" s="22">
        <v>5.1</v>
      </c>
      <c r="B229" s="22" t="s">
        <v>119</v>
      </c>
      <c r="C229" s="66" t="s">
        <v>150</v>
      </c>
      <c r="D229" s="22" t="s">
        <v>121</v>
      </c>
      <c r="E229" s="61">
        <f>E223</f>
        <v>8.98</v>
      </c>
      <c r="F229" s="65">
        <v>45</v>
      </c>
      <c r="G229" s="65">
        <v>30</v>
      </c>
      <c r="H229" s="46">
        <v>25</v>
      </c>
      <c r="I229" s="65">
        <f t="shared" si="12"/>
        <v>14</v>
      </c>
      <c r="J229" s="46">
        <f t="shared" si="13"/>
        <v>10.26</v>
      </c>
      <c r="K229" s="46">
        <f t="shared" si="14"/>
        <v>0</v>
      </c>
      <c r="L229" s="46">
        <f t="shared" si="15"/>
        <v>0</v>
      </c>
      <c r="M229" s="46"/>
    </row>
    <row r="230" ht="168.75" hidden="1" outlineLevel="1" spans="1:13">
      <c r="A230" s="22">
        <v>5.2</v>
      </c>
      <c r="B230" s="22" t="s">
        <v>122</v>
      </c>
      <c r="C230" s="66" t="s">
        <v>149</v>
      </c>
      <c r="D230" s="22" t="s">
        <v>121</v>
      </c>
      <c r="E230" s="61">
        <f>E224+E225</f>
        <v>35.15</v>
      </c>
      <c r="F230" s="70">
        <v>70</v>
      </c>
      <c r="G230" s="70">
        <v>42</v>
      </c>
      <c r="H230" s="46">
        <v>28</v>
      </c>
      <c r="I230" s="65">
        <f t="shared" si="12"/>
        <v>19.6</v>
      </c>
      <c r="J230" s="46">
        <f t="shared" si="13"/>
        <v>14.364</v>
      </c>
      <c r="K230" s="46">
        <f t="shared" si="14"/>
        <v>0</v>
      </c>
      <c r="L230" s="46">
        <f t="shared" si="15"/>
        <v>0</v>
      </c>
      <c r="M230" s="46"/>
    </row>
    <row r="231" ht="56.25" hidden="1" outlineLevel="1" spans="1:13">
      <c r="A231" s="22">
        <v>5.4</v>
      </c>
      <c r="B231" s="22" t="s">
        <v>128</v>
      </c>
      <c r="C231" s="66" t="s">
        <v>129</v>
      </c>
      <c r="D231" s="22" t="s">
        <v>61</v>
      </c>
      <c r="E231" s="61">
        <f>E226</f>
        <v>23.6</v>
      </c>
      <c r="F231" s="46">
        <v>5</v>
      </c>
      <c r="G231" s="46">
        <v>5</v>
      </c>
      <c r="H231" s="46">
        <v>1</v>
      </c>
      <c r="I231" s="65">
        <f t="shared" si="12"/>
        <v>1.54</v>
      </c>
      <c r="J231" s="46">
        <f t="shared" si="13"/>
        <v>1.1286</v>
      </c>
      <c r="K231" s="46">
        <f t="shared" si="14"/>
        <v>0</v>
      </c>
      <c r="L231" s="46">
        <f t="shared" si="15"/>
        <v>0</v>
      </c>
      <c r="M231" s="74"/>
    </row>
    <row r="232" ht="78.75" outlineLevel="1" spans="1:13">
      <c r="A232" s="22">
        <v>5.5</v>
      </c>
      <c r="B232" s="22" t="s">
        <v>130</v>
      </c>
      <c r="C232" s="66" t="s">
        <v>131</v>
      </c>
      <c r="D232" s="22" t="s">
        <v>61</v>
      </c>
      <c r="E232" s="61">
        <f>E227</f>
        <v>7.61</v>
      </c>
      <c r="F232" s="65">
        <v>70</v>
      </c>
      <c r="G232" s="65">
        <v>28</v>
      </c>
      <c r="H232" s="65">
        <v>20</v>
      </c>
      <c r="I232" s="65">
        <f t="shared" si="12"/>
        <v>16.52</v>
      </c>
      <c r="J232" s="46">
        <f t="shared" si="13"/>
        <v>12.1068</v>
      </c>
      <c r="K232" s="46">
        <f t="shared" si="14"/>
        <v>146.6268</v>
      </c>
      <c r="L232" s="46">
        <f t="shared" si="15"/>
        <v>1115.829948</v>
      </c>
      <c r="M232" s="74"/>
    </row>
  </sheetData>
  <autoFilter ref="A4:S231">
    <filterColumn colId="1">
      <filters>
        <filter val="过门石"/>
      </filters>
    </filterColumn>
    <extLst/>
  </autoFilter>
  <mergeCells count="13">
    <mergeCell ref="A1:M1"/>
    <mergeCell ref="F2:J2"/>
    <mergeCell ref="A2:A4"/>
    <mergeCell ref="B2:B4"/>
    <mergeCell ref="C2:C4"/>
    <mergeCell ref="D2:D4"/>
    <mergeCell ref="E2:E4"/>
    <mergeCell ref="F3:F4"/>
    <mergeCell ref="G3:G4"/>
    <mergeCell ref="H3:H4"/>
    <mergeCell ref="K2:K4"/>
    <mergeCell ref="L2:L4"/>
    <mergeCell ref="M2:M4"/>
  </mergeCells>
  <pageMargins left="0.7" right="0.7" top="0.75" bottom="0.75" header="0.3" footer="0.3"/>
  <pageSetup paperSize="9" scale="84" fitToHeight="0" orientation="landscape"/>
  <headerFooter/>
  <colBreaks count="1" manualBreakCount="1">
    <brk id="1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88"/>
  <sheetViews>
    <sheetView view="pageBreakPreview" zoomScaleNormal="85" topLeftCell="A25" workbookViewId="0">
      <selection activeCell="E37" sqref="E37"/>
    </sheetView>
  </sheetViews>
  <sheetFormatPr defaultColWidth="9" defaultRowHeight="13.5"/>
  <cols>
    <col min="1" max="1" width="3.625" style="1" customWidth="1"/>
    <col min="2" max="2" width="16.125" style="1" customWidth="1"/>
    <col min="3" max="3" width="29.25" style="1" customWidth="1"/>
    <col min="4" max="4" width="3.625" style="1" customWidth="1"/>
    <col min="5" max="5" width="6.625" style="3" customWidth="1"/>
    <col min="6" max="6" width="6.625" style="4" customWidth="1"/>
    <col min="7" max="7" width="10" style="3" customWidth="1"/>
    <col min="8" max="8" width="6.625" style="3" customWidth="1"/>
    <col min="9" max="9" width="7.125" style="5" customWidth="1"/>
    <col min="10" max="10" width="8.75" style="3" customWidth="1"/>
    <col min="11" max="11" width="12.625" style="3" customWidth="1"/>
    <col min="12" max="12" width="9.375" style="3" customWidth="1"/>
    <col min="13" max="13" width="9.625" style="6" customWidth="1"/>
    <col min="14" max="14" width="9.625" style="3" customWidth="1"/>
    <col min="15" max="15" width="8" style="1" customWidth="1"/>
    <col min="16" max="16384" width="9" style="1"/>
  </cols>
  <sheetData>
    <row r="1" s="1" customFormat="1" ht="27" customHeight="1" spans="1:15">
      <c r="A1" s="7" t="s">
        <v>162</v>
      </c>
      <c r="B1" s="7"/>
      <c r="C1" s="7"/>
      <c r="D1" s="7"/>
      <c r="E1" s="8"/>
      <c r="F1" s="8"/>
      <c r="G1" s="8"/>
      <c r="H1" s="8"/>
      <c r="I1" s="39"/>
      <c r="J1" s="8"/>
      <c r="K1" s="8"/>
      <c r="L1" s="8"/>
      <c r="M1" s="8"/>
      <c r="N1" s="8"/>
      <c r="O1" s="7"/>
    </row>
    <row r="2" s="2" customFormat="1" ht="14.25" spans="1:15">
      <c r="A2" s="9" t="s">
        <v>24</v>
      </c>
      <c r="B2" s="10" t="s">
        <v>39</v>
      </c>
      <c r="C2" s="10" t="s">
        <v>40</v>
      </c>
      <c r="D2" s="10" t="s">
        <v>41</v>
      </c>
      <c r="E2" s="11" t="s">
        <v>42</v>
      </c>
      <c r="F2" s="12" t="s">
        <v>43</v>
      </c>
      <c r="G2" s="13"/>
      <c r="H2" s="13"/>
      <c r="I2" s="40"/>
      <c r="J2" s="13"/>
      <c r="K2" s="13"/>
      <c r="L2" s="41"/>
      <c r="M2" s="42" t="s">
        <v>163</v>
      </c>
      <c r="N2" s="42" t="s">
        <v>45</v>
      </c>
      <c r="O2" s="17" t="s">
        <v>164</v>
      </c>
    </row>
    <row r="3" s="2" customFormat="1" ht="48" spans="1:15">
      <c r="A3" s="14"/>
      <c r="B3" s="15"/>
      <c r="C3" s="15"/>
      <c r="D3" s="15"/>
      <c r="E3" s="16"/>
      <c r="F3" s="17" t="s">
        <v>46</v>
      </c>
      <c r="G3" s="17" t="s">
        <v>165</v>
      </c>
      <c r="H3" s="17" t="s">
        <v>166</v>
      </c>
      <c r="I3" s="43" t="s">
        <v>167</v>
      </c>
      <c r="J3" s="17" t="s">
        <v>48</v>
      </c>
      <c r="K3" s="17" t="s">
        <v>49</v>
      </c>
      <c r="L3" s="17" t="s">
        <v>50</v>
      </c>
      <c r="M3" s="44"/>
      <c r="N3" s="44"/>
      <c r="O3" s="17"/>
    </row>
    <row r="4" s="2" customFormat="1" ht="14.25" spans="1:15">
      <c r="A4" s="18"/>
      <c r="B4" s="19"/>
      <c r="C4" s="19"/>
      <c r="D4" s="19"/>
      <c r="E4" s="20"/>
      <c r="F4" s="17"/>
      <c r="G4" s="21" t="s">
        <v>168</v>
      </c>
      <c r="H4" s="17" t="s">
        <v>169</v>
      </c>
      <c r="I4" s="43" t="s">
        <v>170</v>
      </c>
      <c r="J4" s="17"/>
      <c r="K4" s="43">
        <v>0.14</v>
      </c>
      <c r="L4" s="43">
        <v>0.09</v>
      </c>
      <c r="M4" s="45"/>
      <c r="N4" s="45"/>
      <c r="O4" s="17"/>
    </row>
    <row r="5" s="2" customFormat="1" ht="14.25" spans="1:15">
      <c r="A5" s="22" t="s">
        <v>51</v>
      </c>
      <c r="B5" s="22" t="s">
        <v>171</v>
      </c>
      <c r="C5" s="22" t="s">
        <v>172</v>
      </c>
      <c r="D5" s="22" t="s">
        <v>173</v>
      </c>
      <c r="E5" s="23"/>
      <c r="F5" s="17"/>
      <c r="G5" s="17"/>
      <c r="H5" s="17"/>
      <c r="I5" s="43"/>
      <c r="J5" s="17"/>
      <c r="K5" s="17"/>
      <c r="L5" s="17"/>
      <c r="M5" s="17"/>
      <c r="N5" s="17"/>
      <c r="O5" s="46"/>
    </row>
    <row r="6" s="1" customFormat="1" ht="48" outlineLevel="1" spans="1:15">
      <c r="A6" s="24">
        <v>1</v>
      </c>
      <c r="B6" s="25" t="s">
        <v>174</v>
      </c>
      <c r="C6" s="26" t="s">
        <v>175</v>
      </c>
      <c r="D6" s="25" t="s">
        <v>115</v>
      </c>
      <c r="E6" s="27">
        <v>7</v>
      </c>
      <c r="F6" s="28">
        <v>15</v>
      </c>
      <c r="G6" s="28">
        <f>H6*(1+I6)</f>
        <v>25.3</v>
      </c>
      <c r="H6" s="28">
        <v>25.3</v>
      </c>
      <c r="I6" s="47">
        <v>0</v>
      </c>
      <c r="J6" s="28">
        <v>1</v>
      </c>
      <c r="K6" s="48">
        <f>(F6+G6+J6)*$K$4</f>
        <v>5.782</v>
      </c>
      <c r="L6" s="17">
        <f>(F6+G6+J6+K6)*$L$4</f>
        <v>4.23738</v>
      </c>
      <c r="M6" s="32">
        <f t="shared" ref="M6:M43" si="0">F6+G6+J6+K6+L6</f>
        <v>51.31938</v>
      </c>
      <c r="N6" s="28">
        <f t="shared" ref="N6:N42" si="1">M6*E6</f>
        <v>359.23566</v>
      </c>
      <c r="O6" s="46" t="s">
        <v>176</v>
      </c>
    </row>
    <row r="7" s="1" customFormat="1" ht="48" outlineLevel="1" spans="1:15">
      <c r="A7" s="24">
        <v>2</v>
      </c>
      <c r="B7" s="25" t="s">
        <v>177</v>
      </c>
      <c r="C7" s="26" t="s">
        <v>178</v>
      </c>
      <c r="D7" s="25" t="s">
        <v>115</v>
      </c>
      <c r="E7" s="27">
        <v>1</v>
      </c>
      <c r="F7" s="28">
        <v>15</v>
      </c>
      <c r="G7" s="28">
        <f t="shared" ref="G7:G20" si="2">H7*(1+I7)</f>
        <v>20</v>
      </c>
      <c r="H7" s="28">
        <v>20</v>
      </c>
      <c r="I7" s="47">
        <v>0</v>
      </c>
      <c r="J7" s="28">
        <v>1</v>
      </c>
      <c r="K7" s="48">
        <f t="shared" ref="K7:K70" si="3">(F7+G7+J7)*$K$4</f>
        <v>5.04</v>
      </c>
      <c r="L7" s="17">
        <f t="shared" ref="L7:L70" si="4">(F7+G7+J7+K7)*$L$4</f>
        <v>3.6936</v>
      </c>
      <c r="M7" s="32">
        <f t="shared" si="0"/>
        <v>44.7336</v>
      </c>
      <c r="N7" s="28">
        <f t="shared" si="1"/>
        <v>44.7336</v>
      </c>
      <c r="O7" s="46" t="s">
        <v>176</v>
      </c>
    </row>
    <row r="8" s="1" customFormat="1" ht="48" outlineLevel="1" spans="1:15">
      <c r="A8" s="24">
        <v>3</v>
      </c>
      <c r="B8" s="25" t="s">
        <v>179</v>
      </c>
      <c r="C8" s="26" t="s">
        <v>180</v>
      </c>
      <c r="D8" s="25" t="s">
        <v>115</v>
      </c>
      <c r="E8" s="27">
        <v>1</v>
      </c>
      <c r="F8" s="28">
        <v>15</v>
      </c>
      <c r="G8" s="28">
        <f t="shared" si="2"/>
        <v>25</v>
      </c>
      <c r="H8" s="28">
        <v>25</v>
      </c>
      <c r="I8" s="47">
        <v>0</v>
      </c>
      <c r="J8" s="28">
        <v>1</v>
      </c>
      <c r="K8" s="48">
        <f t="shared" si="3"/>
        <v>5.74</v>
      </c>
      <c r="L8" s="17">
        <f t="shared" si="4"/>
        <v>4.2066</v>
      </c>
      <c r="M8" s="32">
        <f t="shared" si="0"/>
        <v>50.9466</v>
      </c>
      <c r="N8" s="28">
        <f t="shared" si="1"/>
        <v>50.9466</v>
      </c>
      <c r="O8" s="46" t="s">
        <v>176</v>
      </c>
    </row>
    <row r="9" s="1" customFormat="1" ht="48" outlineLevel="1" spans="1:15">
      <c r="A9" s="24">
        <v>4</v>
      </c>
      <c r="B9" s="25" t="s">
        <v>181</v>
      </c>
      <c r="C9" s="26" t="s">
        <v>182</v>
      </c>
      <c r="D9" s="25" t="s">
        <v>115</v>
      </c>
      <c r="E9" s="27">
        <v>1</v>
      </c>
      <c r="F9" s="28">
        <v>15</v>
      </c>
      <c r="G9" s="28">
        <f t="shared" si="2"/>
        <v>55</v>
      </c>
      <c r="H9" s="28">
        <v>55</v>
      </c>
      <c r="I9" s="47">
        <v>0</v>
      </c>
      <c r="J9" s="28">
        <v>1</v>
      </c>
      <c r="K9" s="48">
        <f t="shared" si="3"/>
        <v>9.94</v>
      </c>
      <c r="L9" s="17">
        <f t="shared" si="4"/>
        <v>7.2846</v>
      </c>
      <c r="M9" s="32">
        <f t="shared" si="0"/>
        <v>88.2246</v>
      </c>
      <c r="N9" s="28">
        <f t="shared" si="1"/>
        <v>88.2246</v>
      </c>
      <c r="O9" s="46" t="s">
        <v>176</v>
      </c>
    </row>
    <row r="10" s="1" customFormat="1" ht="48" outlineLevel="1" spans="1:15">
      <c r="A10" s="24">
        <v>5</v>
      </c>
      <c r="B10" s="25" t="s">
        <v>183</v>
      </c>
      <c r="C10" s="26" t="s">
        <v>184</v>
      </c>
      <c r="D10" s="25" t="s">
        <v>115</v>
      </c>
      <c r="E10" s="27">
        <v>3</v>
      </c>
      <c r="F10" s="28">
        <v>18</v>
      </c>
      <c r="G10" s="28">
        <f t="shared" si="2"/>
        <v>200</v>
      </c>
      <c r="H10" s="28">
        <v>200</v>
      </c>
      <c r="I10" s="47">
        <v>0</v>
      </c>
      <c r="J10" s="28">
        <v>1</v>
      </c>
      <c r="K10" s="48">
        <f t="shared" si="3"/>
        <v>30.66</v>
      </c>
      <c r="L10" s="17">
        <f t="shared" si="4"/>
        <v>22.4694</v>
      </c>
      <c r="M10" s="32">
        <f t="shared" si="0"/>
        <v>272.1294</v>
      </c>
      <c r="N10" s="28">
        <f t="shared" si="1"/>
        <v>816.3882</v>
      </c>
      <c r="O10" s="46" t="s">
        <v>176</v>
      </c>
    </row>
    <row r="11" s="1" customFormat="1" ht="48" outlineLevel="1" spans="1:15">
      <c r="A11" s="24">
        <v>6</v>
      </c>
      <c r="B11" s="25" t="s">
        <v>185</v>
      </c>
      <c r="C11" s="26" t="s">
        <v>186</v>
      </c>
      <c r="D11" s="25" t="s">
        <v>115</v>
      </c>
      <c r="E11" s="27">
        <v>1</v>
      </c>
      <c r="F11" s="29">
        <v>18</v>
      </c>
      <c r="G11" s="28">
        <f t="shared" si="2"/>
        <v>110</v>
      </c>
      <c r="H11" s="28">
        <v>110</v>
      </c>
      <c r="I11" s="47">
        <v>0</v>
      </c>
      <c r="J11" s="28">
        <v>1</v>
      </c>
      <c r="K11" s="48">
        <f t="shared" si="3"/>
        <v>18.06</v>
      </c>
      <c r="L11" s="17">
        <f t="shared" si="4"/>
        <v>13.2354</v>
      </c>
      <c r="M11" s="32">
        <f t="shared" si="0"/>
        <v>160.2954</v>
      </c>
      <c r="N11" s="28">
        <f t="shared" si="1"/>
        <v>160.2954</v>
      </c>
      <c r="O11" s="46" t="s">
        <v>176</v>
      </c>
    </row>
    <row r="12" s="1" customFormat="1" ht="48" outlineLevel="1" spans="1:15">
      <c r="A12" s="24">
        <v>7</v>
      </c>
      <c r="B12" s="25" t="s">
        <v>187</v>
      </c>
      <c r="C12" s="26" t="s">
        <v>188</v>
      </c>
      <c r="D12" s="25" t="s">
        <v>115</v>
      </c>
      <c r="E12" s="27">
        <v>1</v>
      </c>
      <c r="F12" s="28">
        <v>30</v>
      </c>
      <c r="G12" s="28">
        <f t="shared" si="2"/>
        <v>500</v>
      </c>
      <c r="H12" s="28">
        <v>500</v>
      </c>
      <c r="I12" s="47">
        <v>0</v>
      </c>
      <c r="J12" s="28">
        <v>10</v>
      </c>
      <c r="K12" s="48">
        <f t="shared" si="3"/>
        <v>75.6</v>
      </c>
      <c r="L12" s="17">
        <f t="shared" si="4"/>
        <v>55.404</v>
      </c>
      <c r="M12" s="32">
        <f t="shared" si="0"/>
        <v>671.004</v>
      </c>
      <c r="N12" s="28">
        <f t="shared" si="1"/>
        <v>671.004</v>
      </c>
      <c r="O12" s="46" t="s">
        <v>176</v>
      </c>
    </row>
    <row r="13" s="1" customFormat="1" ht="48" outlineLevel="1" spans="1:15">
      <c r="A13" s="24">
        <v>8</v>
      </c>
      <c r="B13" s="25" t="s">
        <v>189</v>
      </c>
      <c r="C13" s="26" t="s">
        <v>190</v>
      </c>
      <c r="D13" s="25" t="s">
        <v>115</v>
      </c>
      <c r="E13" s="27">
        <v>1</v>
      </c>
      <c r="F13" s="28">
        <v>18</v>
      </c>
      <c r="G13" s="28">
        <f t="shared" si="2"/>
        <v>60</v>
      </c>
      <c r="H13" s="28">
        <v>60</v>
      </c>
      <c r="I13" s="47">
        <v>0</v>
      </c>
      <c r="J13" s="28">
        <v>1.5</v>
      </c>
      <c r="K13" s="48">
        <f t="shared" si="3"/>
        <v>11.13</v>
      </c>
      <c r="L13" s="17">
        <f t="shared" si="4"/>
        <v>8.1567</v>
      </c>
      <c r="M13" s="32">
        <f t="shared" si="0"/>
        <v>98.7867</v>
      </c>
      <c r="N13" s="28">
        <f t="shared" si="1"/>
        <v>98.7867</v>
      </c>
      <c r="O13" s="46" t="s">
        <v>176</v>
      </c>
    </row>
    <row r="14" s="1" customFormat="1" ht="36" outlineLevel="1" spans="1:15">
      <c r="A14" s="24">
        <v>9</v>
      </c>
      <c r="B14" s="25" t="s">
        <v>191</v>
      </c>
      <c r="C14" s="26" t="s">
        <v>192</v>
      </c>
      <c r="D14" s="25" t="s">
        <v>115</v>
      </c>
      <c r="E14" s="27">
        <v>3</v>
      </c>
      <c r="F14" s="28">
        <v>15</v>
      </c>
      <c r="G14" s="28">
        <f t="shared" si="2"/>
        <v>50</v>
      </c>
      <c r="H14" s="28">
        <v>50</v>
      </c>
      <c r="I14" s="47">
        <v>0</v>
      </c>
      <c r="J14" s="28">
        <v>1.5</v>
      </c>
      <c r="K14" s="48">
        <f t="shared" si="3"/>
        <v>9.31</v>
      </c>
      <c r="L14" s="17">
        <f t="shared" si="4"/>
        <v>6.8229</v>
      </c>
      <c r="M14" s="32">
        <f t="shared" si="0"/>
        <v>82.6329</v>
      </c>
      <c r="N14" s="28">
        <f t="shared" si="1"/>
        <v>247.8987</v>
      </c>
      <c r="O14" s="46" t="s">
        <v>176</v>
      </c>
    </row>
    <row r="15" s="1" customFormat="1" ht="36" outlineLevel="1" spans="1:15">
      <c r="A15" s="24">
        <v>10</v>
      </c>
      <c r="B15" s="25" t="s">
        <v>193</v>
      </c>
      <c r="C15" s="26" t="s">
        <v>194</v>
      </c>
      <c r="D15" s="25" t="s">
        <v>115</v>
      </c>
      <c r="E15" s="27">
        <v>1</v>
      </c>
      <c r="F15" s="28">
        <v>5</v>
      </c>
      <c r="G15" s="28">
        <f t="shared" si="2"/>
        <v>45</v>
      </c>
      <c r="H15" s="28">
        <v>45</v>
      </c>
      <c r="I15" s="47">
        <v>0</v>
      </c>
      <c r="J15" s="28">
        <v>1.5</v>
      </c>
      <c r="K15" s="48">
        <f t="shared" si="3"/>
        <v>7.21</v>
      </c>
      <c r="L15" s="17">
        <f t="shared" si="4"/>
        <v>5.2839</v>
      </c>
      <c r="M15" s="32">
        <f t="shared" si="0"/>
        <v>63.9939</v>
      </c>
      <c r="N15" s="28">
        <f t="shared" si="1"/>
        <v>63.9939</v>
      </c>
      <c r="O15" s="46" t="s">
        <v>176</v>
      </c>
    </row>
    <row r="16" s="1" customFormat="1" ht="48" outlineLevel="1" spans="1:15">
      <c r="A16" s="24">
        <v>11</v>
      </c>
      <c r="B16" s="25" t="s">
        <v>195</v>
      </c>
      <c r="C16" s="26" t="s">
        <v>196</v>
      </c>
      <c r="D16" s="25" t="s">
        <v>115</v>
      </c>
      <c r="E16" s="27">
        <v>21</v>
      </c>
      <c r="F16" s="28">
        <v>8</v>
      </c>
      <c r="G16" s="28">
        <f t="shared" si="2"/>
        <v>16</v>
      </c>
      <c r="H16" s="28">
        <v>16</v>
      </c>
      <c r="I16" s="47">
        <v>0</v>
      </c>
      <c r="J16" s="28">
        <v>0.5</v>
      </c>
      <c r="K16" s="48">
        <f t="shared" si="3"/>
        <v>3.43</v>
      </c>
      <c r="L16" s="17">
        <f t="shared" si="4"/>
        <v>2.5137</v>
      </c>
      <c r="M16" s="32">
        <f t="shared" si="0"/>
        <v>30.4437</v>
      </c>
      <c r="N16" s="28">
        <f t="shared" si="1"/>
        <v>639.3177</v>
      </c>
      <c r="O16" s="46" t="s">
        <v>197</v>
      </c>
    </row>
    <row r="17" s="1" customFormat="1" ht="48" outlineLevel="1" spans="1:15">
      <c r="A17" s="24">
        <v>12</v>
      </c>
      <c r="B17" s="25" t="s">
        <v>198</v>
      </c>
      <c r="C17" s="26" t="s">
        <v>199</v>
      </c>
      <c r="D17" s="25" t="s">
        <v>115</v>
      </c>
      <c r="E17" s="27">
        <v>1</v>
      </c>
      <c r="F17" s="28">
        <v>8</v>
      </c>
      <c r="G17" s="28">
        <f t="shared" si="2"/>
        <v>18</v>
      </c>
      <c r="H17" s="28">
        <v>18</v>
      </c>
      <c r="I17" s="47">
        <v>0</v>
      </c>
      <c r="J17" s="28">
        <v>0.5</v>
      </c>
      <c r="K17" s="48">
        <f t="shared" si="3"/>
        <v>3.71</v>
      </c>
      <c r="L17" s="17">
        <f t="shared" si="4"/>
        <v>2.7189</v>
      </c>
      <c r="M17" s="32">
        <f t="shared" si="0"/>
        <v>32.9289</v>
      </c>
      <c r="N17" s="28">
        <f t="shared" si="1"/>
        <v>32.9289</v>
      </c>
      <c r="O17" s="46" t="s">
        <v>197</v>
      </c>
    </row>
    <row r="18" s="1" customFormat="1" ht="48" outlineLevel="1" spans="1:15">
      <c r="A18" s="24">
        <v>13</v>
      </c>
      <c r="B18" s="25" t="s">
        <v>200</v>
      </c>
      <c r="C18" s="26" t="s">
        <v>201</v>
      </c>
      <c r="D18" s="25" t="s">
        <v>115</v>
      </c>
      <c r="E18" s="27">
        <v>1</v>
      </c>
      <c r="F18" s="28">
        <v>8</v>
      </c>
      <c r="G18" s="28">
        <f t="shared" si="2"/>
        <v>18</v>
      </c>
      <c r="H18" s="28">
        <v>18</v>
      </c>
      <c r="I18" s="47">
        <v>0</v>
      </c>
      <c r="J18" s="28">
        <v>0.5</v>
      </c>
      <c r="K18" s="48">
        <f t="shared" si="3"/>
        <v>3.71</v>
      </c>
      <c r="L18" s="17">
        <f t="shared" si="4"/>
        <v>2.7189</v>
      </c>
      <c r="M18" s="32">
        <f t="shared" si="0"/>
        <v>32.9289</v>
      </c>
      <c r="N18" s="28">
        <f t="shared" si="1"/>
        <v>32.9289</v>
      </c>
      <c r="O18" s="46" t="s">
        <v>197</v>
      </c>
    </row>
    <row r="19" s="1" customFormat="1" ht="48" outlineLevel="1" spans="1:15">
      <c r="A19" s="24">
        <v>14</v>
      </c>
      <c r="B19" s="25" t="s">
        <v>202</v>
      </c>
      <c r="C19" s="26" t="s">
        <v>203</v>
      </c>
      <c r="D19" s="25" t="s">
        <v>115</v>
      </c>
      <c r="E19" s="27">
        <v>1</v>
      </c>
      <c r="F19" s="28">
        <v>8</v>
      </c>
      <c r="G19" s="28">
        <f t="shared" si="2"/>
        <v>27</v>
      </c>
      <c r="H19" s="28">
        <v>27</v>
      </c>
      <c r="I19" s="47">
        <v>0</v>
      </c>
      <c r="J19" s="28">
        <v>0.5</v>
      </c>
      <c r="K19" s="48">
        <f t="shared" si="3"/>
        <v>4.97</v>
      </c>
      <c r="L19" s="17">
        <f t="shared" si="4"/>
        <v>3.6423</v>
      </c>
      <c r="M19" s="32">
        <f t="shared" si="0"/>
        <v>44.1123</v>
      </c>
      <c r="N19" s="28">
        <f t="shared" si="1"/>
        <v>44.1123</v>
      </c>
      <c r="O19" s="46" t="s">
        <v>197</v>
      </c>
    </row>
    <row r="20" s="1" customFormat="1" ht="48" outlineLevel="1" spans="1:15">
      <c r="A20" s="24">
        <v>15</v>
      </c>
      <c r="B20" s="25" t="s">
        <v>204</v>
      </c>
      <c r="C20" s="26" t="s">
        <v>205</v>
      </c>
      <c r="D20" s="25" t="s">
        <v>115</v>
      </c>
      <c r="E20" s="27">
        <v>1</v>
      </c>
      <c r="F20" s="28">
        <v>8</v>
      </c>
      <c r="G20" s="28">
        <f t="shared" si="2"/>
        <v>27</v>
      </c>
      <c r="H20" s="28">
        <v>27</v>
      </c>
      <c r="I20" s="47">
        <v>0</v>
      </c>
      <c r="J20" s="28">
        <v>0.5</v>
      </c>
      <c r="K20" s="48">
        <f t="shared" si="3"/>
        <v>4.97</v>
      </c>
      <c r="L20" s="17">
        <f t="shared" si="4"/>
        <v>3.6423</v>
      </c>
      <c r="M20" s="32">
        <f t="shared" si="0"/>
        <v>44.1123</v>
      </c>
      <c r="N20" s="28">
        <f t="shared" si="1"/>
        <v>44.1123</v>
      </c>
      <c r="O20" s="46" t="s">
        <v>197</v>
      </c>
    </row>
    <row r="21" s="1" customFormat="1" ht="48" outlineLevel="1" spans="1:15">
      <c r="A21" s="24">
        <v>16</v>
      </c>
      <c r="B21" s="25" t="s">
        <v>206</v>
      </c>
      <c r="C21" s="26" t="s">
        <v>207</v>
      </c>
      <c r="D21" s="25" t="s">
        <v>115</v>
      </c>
      <c r="E21" s="27">
        <v>1</v>
      </c>
      <c r="F21" s="28">
        <v>8</v>
      </c>
      <c r="G21" s="28">
        <f t="shared" ref="G20:G42" si="5">H21*(1+I21)</f>
        <v>46</v>
      </c>
      <c r="H21" s="28">
        <v>46</v>
      </c>
      <c r="I21" s="47">
        <v>0</v>
      </c>
      <c r="J21" s="28">
        <v>0.5</v>
      </c>
      <c r="K21" s="48">
        <f t="shared" si="3"/>
        <v>7.63</v>
      </c>
      <c r="L21" s="17">
        <f t="shared" si="4"/>
        <v>5.5917</v>
      </c>
      <c r="M21" s="32">
        <f t="shared" si="0"/>
        <v>67.7217</v>
      </c>
      <c r="N21" s="28">
        <f t="shared" si="1"/>
        <v>67.7217</v>
      </c>
      <c r="O21" s="46" t="s">
        <v>197</v>
      </c>
    </row>
    <row r="22" s="1" customFormat="1" ht="48" outlineLevel="1" spans="1:15">
      <c r="A22" s="24">
        <v>17</v>
      </c>
      <c r="B22" s="25" t="s">
        <v>208</v>
      </c>
      <c r="C22" s="26" t="s">
        <v>209</v>
      </c>
      <c r="D22" s="25" t="s">
        <v>115</v>
      </c>
      <c r="E22" s="27">
        <v>1</v>
      </c>
      <c r="F22" s="28">
        <v>8</v>
      </c>
      <c r="G22" s="28">
        <f t="shared" si="5"/>
        <v>27</v>
      </c>
      <c r="H22" s="28">
        <v>27</v>
      </c>
      <c r="I22" s="47">
        <v>0</v>
      </c>
      <c r="J22" s="28">
        <v>0.5</v>
      </c>
      <c r="K22" s="48">
        <f t="shared" si="3"/>
        <v>4.97</v>
      </c>
      <c r="L22" s="17">
        <f t="shared" si="4"/>
        <v>3.6423</v>
      </c>
      <c r="M22" s="32">
        <f t="shared" si="0"/>
        <v>44.1123</v>
      </c>
      <c r="N22" s="28">
        <f t="shared" si="1"/>
        <v>44.1123</v>
      </c>
      <c r="O22" s="46" t="s">
        <v>197</v>
      </c>
    </row>
    <row r="23" s="1" customFormat="1" ht="48" outlineLevel="1" spans="1:19">
      <c r="A23" s="24">
        <v>18</v>
      </c>
      <c r="B23" s="25" t="s">
        <v>210</v>
      </c>
      <c r="C23" s="26" t="s">
        <v>211</v>
      </c>
      <c r="D23" s="25" t="s">
        <v>115</v>
      </c>
      <c r="E23" s="27">
        <v>1</v>
      </c>
      <c r="F23" s="28">
        <v>8</v>
      </c>
      <c r="G23" s="28">
        <f t="shared" si="5"/>
        <v>18</v>
      </c>
      <c r="H23" s="28">
        <v>18</v>
      </c>
      <c r="I23" s="47">
        <v>0</v>
      </c>
      <c r="J23" s="28">
        <v>0.5</v>
      </c>
      <c r="K23" s="48">
        <f t="shared" si="3"/>
        <v>3.71</v>
      </c>
      <c r="L23" s="17">
        <f t="shared" si="4"/>
        <v>2.7189</v>
      </c>
      <c r="M23" s="32">
        <f t="shared" si="0"/>
        <v>32.9289</v>
      </c>
      <c r="N23" s="28">
        <f t="shared" si="1"/>
        <v>32.9289</v>
      </c>
      <c r="O23" s="46" t="s">
        <v>197</v>
      </c>
      <c r="Q23" s="51"/>
      <c r="R23" s="51"/>
      <c r="S23" s="51"/>
    </row>
    <row r="24" s="1" customFormat="1" ht="48" outlineLevel="1" spans="1:19">
      <c r="A24" s="24">
        <v>19</v>
      </c>
      <c r="B24" s="25" t="s">
        <v>212</v>
      </c>
      <c r="C24" s="26" t="s">
        <v>213</v>
      </c>
      <c r="D24" s="25" t="s">
        <v>115</v>
      </c>
      <c r="E24" s="27">
        <v>3</v>
      </c>
      <c r="F24" s="28">
        <v>8</v>
      </c>
      <c r="G24" s="28">
        <f t="shared" si="5"/>
        <v>35.2</v>
      </c>
      <c r="H24" s="28">
        <v>35.2</v>
      </c>
      <c r="I24" s="47">
        <v>0</v>
      </c>
      <c r="J24" s="28">
        <v>0.5</v>
      </c>
      <c r="K24" s="48">
        <f t="shared" si="3"/>
        <v>6.118</v>
      </c>
      <c r="L24" s="17">
        <f t="shared" si="4"/>
        <v>4.48362</v>
      </c>
      <c r="M24" s="32">
        <f t="shared" si="0"/>
        <v>54.30162</v>
      </c>
      <c r="N24" s="28">
        <f t="shared" si="1"/>
        <v>162.90486</v>
      </c>
      <c r="O24" s="46" t="s">
        <v>197</v>
      </c>
      <c r="Q24" s="51"/>
      <c r="R24" s="52"/>
      <c r="S24" s="51"/>
    </row>
    <row r="25" s="1" customFormat="1" ht="48" outlineLevel="1" spans="1:19">
      <c r="A25" s="24">
        <v>20</v>
      </c>
      <c r="B25" s="25" t="s">
        <v>214</v>
      </c>
      <c r="C25" s="26" t="s">
        <v>215</v>
      </c>
      <c r="D25" s="25" t="s">
        <v>115</v>
      </c>
      <c r="E25" s="27">
        <v>3</v>
      </c>
      <c r="F25" s="28">
        <v>8</v>
      </c>
      <c r="G25" s="28">
        <f t="shared" si="5"/>
        <v>35.2</v>
      </c>
      <c r="H25" s="28">
        <v>35.2</v>
      </c>
      <c r="I25" s="47">
        <v>0</v>
      </c>
      <c r="J25" s="28">
        <v>0.5</v>
      </c>
      <c r="K25" s="48">
        <f t="shared" si="3"/>
        <v>6.118</v>
      </c>
      <c r="L25" s="17">
        <f t="shared" si="4"/>
        <v>4.48362</v>
      </c>
      <c r="M25" s="32">
        <f t="shared" si="0"/>
        <v>54.30162</v>
      </c>
      <c r="N25" s="28">
        <f t="shared" si="1"/>
        <v>162.90486</v>
      </c>
      <c r="O25" s="46" t="s">
        <v>197</v>
      </c>
      <c r="Q25" s="51"/>
      <c r="R25" s="51"/>
      <c r="S25" s="51"/>
    </row>
    <row r="26" s="1" customFormat="1" ht="48" outlineLevel="1" spans="1:19">
      <c r="A26" s="24">
        <v>21</v>
      </c>
      <c r="B26" s="25" t="s">
        <v>216</v>
      </c>
      <c r="C26" s="26" t="s">
        <v>217</v>
      </c>
      <c r="D26" s="25" t="s">
        <v>115</v>
      </c>
      <c r="E26" s="27">
        <v>2</v>
      </c>
      <c r="F26" s="28">
        <v>8</v>
      </c>
      <c r="G26" s="28">
        <f t="shared" si="5"/>
        <v>27</v>
      </c>
      <c r="H26" s="28">
        <v>27</v>
      </c>
      <c r="I26" s="47">
        <v>0</v>
      </c>
      <c r="J26" s="28">
        <v>0.5</v>
      </c>
      <c r="K26" s="48">
        <f t="shared" si="3"/>
        <v>4.97</v>
      </c>
      <c r="L26" s="17">
        <f t="shared" si="4"/>
        <v>3.6423</v>
      </c>
      <c r="M26" s="32">
        <f t="shared" si="0"/>
        <v>44.1123</v>
      </c>
      <c r="N26" s="28">
        <f t="shared" si="1"/>
        <v>88.2246</v>
      </c>
      <c r="O26" s="46" t="s">
        <v>197</v>
      </c>
      <c r="Q26" s="51"/>
      <c r="R26" s="52"/>
      <c r="S26" s="51"/>
    </row>
    <row r="27" s="1" customFormat="1" ht="48" outlineLevel="1" spans="1:19">
      <c r="A27" s="24">
        <v>22</v>
      </c>
      <c r="B27" s="25" t="s">
        <v>218</v>
      </c>
      <c r="C27" s="26" t="s">
        <v>219</v>
      </c>
      <c r="D27" s="25" t="s">
        <v>115</v>
      </c>
      <c r="E27" s="27">
        <v>1</v>
      </c>
      <c r="F27" s="28">
        <v>8</v>
      </c>
      <c r="G27" s="28">
        <f t="shared" si="5"/>
        <v>27</v>
      </c>
      <c r="H27" s="28">
        <v>27</v>
      </c>
      <c r="I27" s="47">
        <v>0</v>
      </c>
      <c r="J27" s="28">
        <v>0.5</v>
      </c>
      <c r="K27" s="48">
        <f t="shared" si="3"/>
        <v>4.97</v>
      </c>
      <c r="L27" s="17">
        <f t="shared" si="4"/>
        <v>3.6423</v>
      </c>
      <c r="M27" s="32">
        <f t="shared" si="0"/>
        <v>44.1123</v>
      </c>
      <c r="N27" s="28">
        <f t="shared" si="1"/>
        <v>44.1123</v>
      </c>
      <c r="O27" s="46" t="s">
        <v>197</v>
      </c>
      <c r="Q27" s="51"/>
      <c r="R27" s="51"/>
      <c r="S27" s="51"/>
    </row>
    <row r="28" s="1" customFormat="1" ht="48" outlineLevel="1" spans="1:19">
      <c r="A28" s="24">
        <v>23</v>
      </c>
      <c r="B28" s="25" t="s">
        <v>220</v>
      </c>
      <c r="C28" s="26" t="s">
        <v>221</v>
      </c>
      <c r="D28" s="25" t="s">
        <v>115</v>
      </c>
      <c r="E28" s="27">
        <v>4</v>
      </c>
      <c r="F28" s="28">
        <v>8</v>
      </c>
      <c r="G28" s="28">
        <f t="shared" si="5"/>
        <v>16.5</v>
      </c>
      <c r="H28" s="28">
        <v>16.5</v>
      </c>
      <c r="I28" s="47">
        <v>0</v>
      </c>
      <c r="J28" s="28">
        <v>0.5</v>
      </c>
      <c r="K28" s="48">
        <f t="shared" si="3"/>
        <v>3.5</v>
      </c>
      <c r="L28" s="17">
        <f t="shared" si="4"/>
        <v>2.565</v>
      </c>
      <c r="M28" s="32">
        <f t="shared" si="0"/>
        <v>31.065</v>
      </c>
      <c r="N28" s="28">
        <f t="shared" si="1"/>
        <v>124.26</v>
      </c>
      <c r="O28" s="46" t="s">
        <v>197</v>
      </c>
      <c r="Q28" s="51"/>
      <c r="R28" s="52"/>
      <c r="S28" s="51"/>
    </row>
    <row r="29" s="1" customFormat="1" ht="48" outlineLevel="1" spans="1:19">
      <c r="A29" s="24">
        <v>24</v>
      </c>
      <c r="B29" s="25" t="s">
        <v>222</v>
      </c>
      <c r="C29" s="26" t="s">
        <v>223</v>
      </c>
      <c r="D29" s="25" t="s">
        <v>115</v>
      </c>
      <c r="E29" s="27">
        <v>4</v>
      </c>
      <c r="F29" s="28">
        <v>8</v>
      </c>
      <c r="G29" s="28">
        <f t="shared" si="5"/>
        <v>18.2</v>
      </c>
      <c r="H29" s="28">
        <v>18.2</v>
      </c>
      <c r="I29" s="47">
        <v>0</v>
      </c>
      <c r="J29" s="28">
        <v>0.5</v>
      </c>
      <c r="K29" s="48">
        <f t="shared" si="3"/>
        <v>3.738</v>
      </c>
      <c r="L29" s="17">
        <f t="shared" si="4"/>
        <v>2.73942</v>
      </c>
      <c r="M29" s="32">
        <f t="shared" si="0"/>
        <v>33.17742</v>
      </c>
      <c r="N29" s="28">
        <f t="shared" si="1"/>
        <v>132.70968</v>
      </c>
      <c r="O29" s="46" t="s">
        <v>197</v>
      </c>
      <c r="Q29" s="51"/>
      <c r="R29" s="52"/>
      <c r="S29" s="51"/>
    </row>
    <row r="30" s="1" customFormat="1" ht="48" outlineLevel="1" spans="1:19">
      <c r="A30" s="24">
        <v>25</v>
      </c>
      <c r="B30" s="25" t="s">
        <v>224</v>
      </c>
      <c r="C30" s="26" t="s">
        <v>225</v>
      </c>
      <c r="D30" s="25" t="s">
        <v>115</v>
      </c>
      <c r="E30" s="27">
        <v>2</v>
      </c>
      <c r="F30" s="28">
        <v>8</v>
      </c>
      <c r="G30" s="28">
        <f t="shared" si="5"/>
        <v>30.25</v>
      </c>
      <c r="H30" s="28">
        <v>30.25</v>
      </c>
      <c r="I30" s="47">
        <v>0</v>
      </c>
      <c r="J30" s="28">
        <v>0.5</v>
      </c>
      <c r="K30" s="48">
        <f t="shared" si="3"/>
        <v>5.425</v>
      </c>
      <c r="L30" s="17">
        <f t="shared" si="4"/>
        <v>3.97575</v>
      </c>
      <c r="M30" s="32">
        <f t="shared" si="0"/>
        <v>48.15075</v>
      </c>
      <c r="N30" s="28">
        <f t="shared" si="1"/>
        <v>96.3015</v>
      </c>
      <c r="O30" s="46" t="s">
        <v>197</v>
      </c>
      <c r="Q30" s="51"/>
      <c r="R30" s="52"/>
      <c r="S30" s="51"/>
    </row>
    <row r="31" s="1" customFormat="1" ht="48" outlineLevel="1" spans="1:19">
      <c r="A31" s="24">
        <v>26</v>
      </c>
      <c r="B31" s="25" t="s">
        <v>226</v>
      </c>
      <c r="C31" s="26" t="s">
        <v>227</v>
      </c>
      <c r="D31" s="25" t="s">
        <v>115</v>
      </c>
      <c r="E31" s="27">
        <v>1</v>
      </c>
      <c r="F31" s="28">
        <v>10</v>
      </c>
      <c r="G31" s="28">
        <f t="shared" si="5"/>
        <v>63.8</v>
      </c>
      <c r="H31" s="28">
        <v>63.8</v>
      </c>
      <c r="I31" s="47">
        <v>0</v>
      </c>
      <c r="J31" s="28">
        <v>0.5</v>
      </c>
      <c r="K31" s="48">
        <f t="shared" si="3"/>
        <v>10.402</v>
      </c>
      <c r="L31" s="17">
        <f t="shared" si="4"/>
        <v>7.62318</v>
      </c>
      <c r="M31" s="32">
        <f t="shared" si="0"/>
        <v>92.32518</v>
      </c>
      <c r="N31" s="28">
        <f t="shared" si="1"/>
        <v>92.32518</v>
      </c>
      <c r="O31" s="46" t="s">
        <v>228</v>
      </c>
      <c r="Q31" s="51"/>
      <c r="R31" s="51"/>
      <c r="S31" s="51"/>
    </row>
    <row r="32" s="1" customFormat="1" ht="60" outlineLevel="1" spans="1:19">
      <c r="A32" s="24">
        <v>27</v>
      </c>
      <c r="B32" s="25" t="s">
        <v>229</v>
      </c>
      <c r="C32" s="26" t="s">
        <v>230</v>
      </c>
      <c r="D32" s="25" t="s">
        <v>115</v>
      </c>
      <c r="E32" s="27">
        <v>1</v>
      </c>
      <c r="F32" s="28">
        <v>10</v>
      </c>
      <c r="G32" s="28">
        <f t="shared" si="5"/>
        <v>5</v>
      </c>
      <c r="H32" s="28">
        <v>5</v>
      </c>
      <c r="I32" s="47">
        <v>0</v>
      </c>
      <c r="J32" s="28">
        <v>0.5</v>
      </c>
      <c r="K32" s="48">
        <f t="shared" si="3"/>
        <v>2.17</v>
      </c>
      <c r="L32" s="17">
        <f t="shared" si="4"/>
        <v>1.5903</v>
      </c>
      <c r="M32" s="32">
        <f t="shared" si="0"/>
        <v>19.2603</v>
      </c>
      <c r="N32" s="28">
        <f t="shared" si="1"/>
        <v>19.2603</v>
      </c>
      <c r="O32" s="46" t="s">
        <v>231</v>
      </c>
      <c r="Q32" s="51"/>
      <c r="R32" s="52"/>
      <c r="S32" s="51"/>
    </row>
    <row r="33" s="1" customFormat="1" ht="48" outlineLevel="1" spans="1:19">
      <c r="A33" s="24">
        <v>28</v>
      </c>
      <c r="B33" s="25" t="s">
        <v>232</v>
      </c>
      <c r="C33" s="26" t="s">
        <v>233</v>
      </c>
      <c r="D33" s="25" t="s">
        <v>115</v>
      </c>
      <c r="E33" s="27">
        <v>1</v>
      </c>
      <c r="F33" s="28">
        <v>30</v>
      </c>
      <c r="G33" s="28">
        <f t="shared" si="5"/>
        <v>45</v>
      </c>
      <c r="H33" s="28">
        <v>45</v>
      </c>
      <c r="I33" s="47">
        <v>0</v>
      </c>
      <c r="J33" s="28">
        <v>0.5</v>
      </c>
      <c r="K33" s="48">
        <f t="shared" si="3"/>
        <v>10.57</v>
      </c>
      <c r="L33" s="17">
        <f t="shared" si="4"/>
        <v>7.7463</v>
      </c>
      <c r="M33" s="32">
        <f t="shared" si="0"/>
        <v>93.8163</v>
      </c>
      <c r="N33" s="28">
        <f t="shared" si="1"/>
        <v>93.8163</v>
      </c>
      <c r="O33" s="46" t="s">
        <v>176</v>
      </c>
      <c r="Q33" s="51"/>
      <c r="R33" s="51"/>
      <c r="S33" s="51"/>
    </row>
    <row r="34" s="1" customFormat="1" ht="36" outlineLevel="1" spans="1:19">
      <c r="A34" s="24">
        <v>29</v>
      </c>
      <c r="B34" s="25" t="s">
        <v>234</v>
      </c>
      <c r="C34" s="26" t="s">
        <v>235</v>
      </c>
      <c r="D34" s="25" t="s">
        <v>115</v>
      </c>
      <c r="E34" s="27">
        <v>5</v>
      </c>
      <c r="F34" s="28">
        <v>8</v>
      </c>
      <c r="G34" s="28">
        <f t="shared" si="5"/>
        <v>10.78</v>
      </c>
      <c r="H34" s="28">
        <v>10.78</v>
      </c>
      <c r="I34" s="47">
        <v>0</v>
      </c>
      <c r="J34" s="28">
        <v>0.5</v>
      </c>
      <c r="K34" s="48">
        <f t="shared" si="3"/>
        <v>2.6992</v>
      </c>
      <c r="L34" s="17">
        <f t="shared" si="4"/>
        <v>1.978128</v>
      </c>
      <c r="M34" s="32">
        <f t="shared" si="0"/>
        <v>23.957328</v>
      </c>
      <c r="N34" s="28">
        <f t="shared" si="1"/>
        <v>119.78664</v>
      </c>
      <c r="O34" s="46" t="s">
        <v>197</v>
      </c>
      <c r="Q34" s="51"/>
      <c r="R34" s="51"/>
      <c r="S34" s="51"/>
    </row>
    <row r="35" s="1" customFormat="1" ht="36" outlineLevel="1" spans="1:19">
      <c r="A35" s="24">
        <v>30</v>
      </c>
      <c r="B35" s="25" t="s">
        <v>236</v>
      </c>
      <c r="C35" s="26" t="s">
        <v>237</v>
      </c>
      <c r="D35" s="25" t="s">
        <v>115</v>
      </c>
      <c r="E35" s="27">
        <v>1</v>
      </c>
      <c r="F35" s="28">
        <v>8</v>
      </c>
      <c r="G35" s="28">
        <f t="shared" si="5"/>
        <v>30.25</v>
      </c>
      <c r="H35" s="28">
        <v>30.25</v>
      </c>
      <c r="I35" s="47">
        <v>0</v>
      </c>
      <c r="J35" s="28">
        <v>0.5</v>
      </c>
      <c r="K35" s="48">
        <f t="shared" si="3"/>
        <v>5.425</v>
      </c>
      <c r="L35" s="17">
        <f t="shared" si="4"/>
        <v>3.97575</v>
      </c>
      <c r="M35" s="32">
        <f t="shared" si="0"/>
        <v>48.15075</v>
      </c>
      <c r="N35" s="28">
        <f t="shared" si="1"/>
        <v>48.15075</v>
      </c>
      <c r="O35" s="46" t="s">
        <v>197</v>
      </c>
      <c r="Q35" s="51"/>
      <c r="R35" s="52"/>
      <c r="S35" s="51"/>
    </row>
    <row r="36" s="1" customFormat="1" ht="36" outlineLevel="1" spans="1:19">
      <c r="A36" s="24">
        <v>31</v>
      </c>
      <c r="B36" s="25" t="s">
        <v>238</v>
      </c>
      <c r="C36" s="26" t="s">
        <v>239</v>
      </c>
      <c r="D36" s="25" t="s">
        <v>115</v>
      </c>
      <c r="E36" s="27">
        <v>1</v>
      </c>
      <c r="F36" s="28">
        <v>8</v>
      </c>
      <c r="G36" s="28">
        <f t="shared" si="5"/>
        <v>22</v>
      </c>
      <c r="H36" s="28">
        <v>22</v>
      </c>
      <c r="I36" s="47">
        <v>0</v>
      </c>
      <c r="J36" s="28">
        <v>0.5</v>
      </c>
      <c r="K36" s="48">
        <f t="shared" si="3"/>
        <v>4.27</v>
      </c>
      <c r="L36" s="17">
        <f t="shared" si="4"/>
        <v>3.1293</v>
      </c>
      <c r="M36" s="32">
        <f t="shared" si="0"/>
        <v>37.8993</v>
      </c>
      <c r="N36" s="28">
        <f t="shared" si="1"/>
        <v>37.8993</v>
      </c>
      <c r="O36" s="46" t="s">
        <v>197</v>
      </c>
      <c r="Q36" s="51"/>
      <c r="R36" s="52"/>
      <c r="S36" s="51"/>
    </row>
    <row r="37" s="1" customFormat="1" ht="36" outlineLevel="1" spans="1:15">
      <c r="A37" s="24">
        <v>32</v>
      </c>
      <c r="B37" s="25" t="s">
        <v>240</v>
      </c>
      <c r="C37" s="26" t="s">
        <v>241</v>
      </c>
      <c r="D37" s="25" t="s">
        <v>115</v>
      </c>
      <c r="E37" s="27">
        <v>4</v>
      </c>
      <c r="F37" s="28">
        <v>8</v>
      </c>
      <c r="G37" s="28">
        <f t="shared" si="5"/>
        <v>33.55</v>
      </c>
      <c r="H37" s="28">
        <v>33.55</v>
      </c>
      <c r="I37" s="47">
        <v>0</v>
      </c>
      <c r="J37" s="28">
        <v>0.5</v>
      </c>
      <c r="K37" s="48">
        <f t="shared" si="3"/>
        <v>5.887</v>
      </c>
      <c r="L37" s="17">
        <f t="shared" si="4"/>
        <v>4.31433</v>
      </c>
      <c r="M37" s="32">
        <f t="shared" si="0"/>
        <v>52.25133</v>
      </c>
      <c r="N37" s="28">
        <f t="shared" si="1"/>
        <v>209.00532</v>
      </c>
      <c r="O37" s="46" t="s">
        <v>197</v>
      </c>
    </row>
    <row r="38" s="1" customFormat="1" ht="48" outlineLevel="1" spans="1:15">
      <c r="A38" s="24">
        <v>33</v>
      </c>
      <c r="B38" s="30" t="s">
        <v>242</v>
      </c>
      <c r="C38" s="31" t="s">
        <v>243</v>
      </c>
      <c r="D38" s="32" t="s">
        <v>61</v>
      </c>
      <c r="E38" s="32">
        <v>193.74</v>
      </c>
      <c r="F38" s="28">
        <v>3</v>
      </c>
      <c r="G38" s="28">
        <f t="shared" si="5"/>
        <v>1.575</v>
      </c>
      <c r="H38" s="28">
        <v>1.5</v>
      </c>
      <c r="I38" s="47">
        <v>0.05</v>
      </c>
      <c r="J38" s="28">
        <v>0.3</v>
      </c>
      <c r="K38" s="48">
        <f t="shared" si="3"/>
        <v>0.6825</v>
      </c>
      <c r="L38" s="17">
        <f t="shared" si="4"/>
        <v>0.500175</v>
      </c>
      <c r="M38" s="32">
        <f t="shared" si="0"/>
        <v>6.057675</v>
      </c>
      <c r="N38" s="28">
        <f t="shared" si="1"/>
        <v>1173.6139545</v>
      </c>
      <c r="O38" s="46" t="s">
        <v>244</v>
      </c>
    </row>
    <row r="39" s="1" customFormat="1" ht="48" outlineLevel="1" spans="1:15">
      <c r="A39" s="24">
        <v>34</v>
      </c>
      <c r="B39" s="30" t="s">
        <v>242</v>
      </c>
      <c r="C39" s="31" t="s">
        <v>245</v>
      </c>
      <c r="D39" s="32" t="s">
        <v>61</v>
      </c>
      <c r="E39" s="32">
        <v>411.67</v>
      </c>
      <c r="F39" s="28">
        <v>3</v>
      </c>
      <c r="G39" s="28">
        <f t="shared" si="5"/>
        <v>2.415</v>
      </c>
      <c r="H39" s="28">
        <v>2.3</v>
      </c>
      <c r="I39" s="47">
        <v>0.05</v>
      </c>
      <c r="J39" s="28">
        <v>0.3</v>
      </c>
      <c r="K39" s="48">
        <f t="shared" si="3"/>
        <v>0.8001</v>
      </c>
      <c r="L39" s="17">
        <f t="shared" si="4"/>
        <v>0.586359</v>
      </c>
      <c r="M39" s="32">
        <f t="shared" si="0"/>
        <v>7.101459</v>
      </c>
      <c r="N39" s="28">
        <f t="shared" si="1"/>
        <v>2923.45762653</v>
      </c>
      <c r="O39" s="46" t="s">
        <v>244</v>
      </c>
    </row>
    <row r="40" s="1" customFormat="1" ht="48" outlineLevel="1" spans="1:15">
      <c r="A40" s="24">
        <v>35</v>
      </c>
      <c r="B40" s="30" t="s">
        <v>246</v>
      </c>
      <c r="C40" s="31" t="s">
        <v>247</v>
      </c>
      <c r="D40" s="32" t="s">
        <v>61</v>
      </c>
      <c r="E40" s="32">
        <v>20.09</v>
      </c>
      <c r="F40" s="28">
        <v>5</v>
      </c>
      <c r="G40" s="28">
        <f t="shared" si="5"/>
        <v>2.625</v>
      </c>
      <c r="H40" s="28">
        <v>2.5</v>
      </c>
      <c r="I40" s="47">
        <v>0.05</v>
      </c>
      <c r="J40" s="28">
        <v>0.5</v>
      </c>
      <c r="K40" s="48">
        <f t="shared" si="3"/>
        <v>1.1375</v>
      </c>
      <c r="L40" s="17">
        <f t="shared" si="4"/>
        <v>0.833625</v>
      </c>
      <c r="M40" s="32">
        <f t="shared" si="0"/>
        <v>10.096125</v>
      </c>
      <c r="N40" s="28">
        <f t="shared" si="1"/>
        <v>202.83115125</v>
      </c>
      <c r="O40" s="46" t="s">
        <v>248</v>
      </c>
    </row>
    <row r="41" s="1" customFormat="1" ht="48" outlineLevel="1" spans="1:15">
      <c r="A41" s="24">
        <v>36</v>
      </c>
      <c r="B41" s="30" t="s">
        <v>249</v>
      </c>
      <c r="C41" s="31" t="s">
        <v>250</v>
      </c>
      <c r="D41" s="32" t="s">
        <v>61</v>
      </c>
      <c r="E41" s="32">
        <v>3.79</v>
      </c>
      <c r="F41" s="28">
        <v>5</v>
      </c>
      <c r="G41" s="28">
        <f t="shared" si="5"/>
        <v>1.575</v>
      </c>
      <c r="H41" s="28">
        <v>1.5</v>
      </c>
      <c r="I41" s="47">
        <v>0.05</v>
      </c>
      <c r="J41" s="28">
        <v>0.5</v>
      </c>
      <c r="K41" s="48">
        <f t="shared" si="3"/>
        <v>0.9905</v>
      </c>
      <c r="L41" s="17">
        <f t="shared" si="4"/>
        <v>0.725895</v>
      </c>
      <c r="M41" s="32">
        <f t="shared" si="0"/>
        <v>8.791395</v>
      </c>
      <c r="N41" s="28">
        <f t="shared" si="1"/>
        <v>33.31938705</v>
      </c>
      <c r="O41" s="46"/>
    </row>
    <row r="42" s="1" customFormat="1" ht="48" outlineLevel="1" spans="1:15">
      <c r="A42" s="24">
        <v>37</v>
      </c>
      <c r="B42" s="30" t="s">
        <v>251</v>
      </c>
      <c r="C42" s="31" t="s">
        <v>252</v>
      </c>
      <c r="D42" s="32" t="s">
        <v>61</v>
      </c>
      <c r="E42" s="32">
        <v>4.8</v>
      </c>
      <c r="F42" s="28">
        <v>5</v>
      </c>
      <c r="G42" s="28">
        <f t="shared" si="5"/>
        <v>3.675</v>
      </c>
      <c r="H42" s="28">
        <v>3.5</v>
      </c>
      <c r="I42" s="47">
        <v>0.05</v>
      </c>
      <c r="J42" s="28">
        <v>0.5</v>
      </c>
      <c r="K42" s="48">
        <f t="shared" si="3"/>
        <v>1.2845</v>
      </c>
      <c r="L42" s="17">
        <f t="shared" si="4"/>
        <v>0.941355</v>
      </c>
      <c r="M42" s="32">
        <f t="shared" si="0"/>
        <v>11.400855</v>
      </c>
      <c r="N42" s="28">
        <f t="shared" si="1"/>
        <v>54.724104</v>
      </c>
      <c r="O42" s="46"/>
    </row>
    <row r="43" s="1" customFormat="1" spans="1:15">
      <c r="A43" s="24">
        <v>38</v>
      </c>
      <c r="B43" s="33" t="s">
        <v>32</v>
      </c>
      <c r="C43" s="33"/>
      <c r="D43" s="33" t="s">
        <v>253</v>
      </c>
      <c r="E43" s="34"/>
      <c r="F43" s="24"/>
      <c r="G43" s="34"/>
      <c r="H43" s="34"/>
      <c r="I43" s="49"/>
      <c r="J43" s="34"/>
      <c r="K43" s="48"/>
      <c r="L43" s="17"/>
      <c r="M43" s="32"/>
      <c r="N43" s="28">
        <f>SUM(N6:N42)</f>
        <v>9359.27817333</v>
      </c>
      <c r="O43" s="46"/>
    </row>
    <row r="44" s="1" customFormat="1" spans="1:15">
      <c r="A44" s="24" t="s">
        <v>254</v>
      </c>
      <c r="B44" s="22" t="s">
        <v>255</v>
      </c>
      <c r="C44" s="22" t="s">
        <v>172</v>
      </c>
      <c r="D44" s="22" t="s">
        <v>173</v>
      </c>
      <c r="E44" s="34"/>
      <c r="F44" s="24"/>
      <c r="G44" s="34"/>
      <c r="H44" s="34"/>
      <c r="I44" s="49"/>
      <c r="J44" s="34"/>
      <c r="K44" s="48"/>
      <c r="L44" s="17"/>
      <c r="M44" s="32"/>
      <c r="N44" s="28"/>
      <c r="O44" s="46"/>
    </row>
    <row r="45" s="1" customFormat="1" ht="48" outlineLevel="1" spans="1:15">
      <c r="A45" s="24">
        <v>1</v>
      </c>
      <c r="B45" s="25" t="s">
        <v>256</v>
      </c>
      <c r="C45" s="26" t="s">
        <v>257</v>
      </c>
      <c r="D45" s="25" t="s">
        <v>258</v>
      </c>
      <c r="E45" s="24">
        <v>1</v>
      </c>
      <c r="F45" s="24">
        <v>80</v>
      </c>
      <c r="G45" s="24">
        <f t="shared" ref="G45:G54" si="6">H45*(1+I45)</f>
        <v>650</v>
      </c>
      <c r="H45" s="24">
        <v>650</v>
      </c>
      <c r="I45" s="49">
        <v>0</v>
      </c>
      <c r="J45" s="24">
        <v>15</v>
      </c>
      <c r="K45" s="48">
        <f t="shared" si="3"/>
        <v>104.3</v>
      </c>
      <c r="L45" s="17">
        <f t="shared" si="4"/>
        <v>76.437</v>
      </c>
      <c r="M45" s="32">
        <f t="shared" ref="M45:M61" si="7">F45+G45+J45+K45+L45</f>
        <v>925.737</v>
      </c>
      <c r="N45" s="28">
        <f t="shared" ref="N45:N61" si="8">M45*E45</f>
        <v>925.737</v>
      </c>
      <c r="O45" s="46" t="s">
        <v>116</v>
      </c>
    </row>
    <row r="46" s="1" customFormat="1" ht="48" outlineLevel="1" spans="1:15">
      <c r="A46" s="24">
        <v>2</v>
      </c>
      <c r="B46" s="25" t="s">
        <v>259</v>
      </c>
      <c r="C46" s="26" t="s">
        <v>260</v>
      </c>
      <c r="D46" s="25" t="s">
        <v>258</v>
      </c>
      <c r="E46" s="24">
        <v>1</v>
      </c>
      <c r="F46" s="24">
        <v>300</v>
      </c>
      <c r="G46" s="24">
        <f t="shared" si="6"/>
        <v>750</v>
      </c>
      <c r="H46" s="24">
        <v>750</v>
      </c>
      <c r="I46" s="50">
        <v>0</v>
      </c>
      <c r="J46" s="24">
        <v>10</v>
      </c>
      <c r="K46" s="48">
        <f t="shared" si="3"/>
        <v>148.4</v>
      </c>
      <c r="L46" s="17">
        <f t="shared" si="4"/>
        <v>108.756</v>
      </c>
      <c r="M46" s="32">
        <f t="shared" si="7"/>
        <v>1317.156</v>
      </c>
      <c r="N46" s="28">
        <f t="shared" si="8"/>
        <v>1317.156</v>
      </c>
      <c r="O46" s="46" t="s">
        <v>261</v>
      </c>
    </row>
    <row r="47" s="1" customFormat="1" ht="48" outlineLevel="1" spans="1:15">
      <c r="A47" s="24">
        <v>3</v>
      </c>
      <c r="B47" s="25" t="s">
        <v>262</v>
      </c>
      <c r="C47" s="26" t="s">
        <v>263</v>
      </c>
      <c r="D47" s="25" t="s">
        <v>258</v>
      </c>
      <c r="E47" s="24">
        <v>1</v>
      </c>
      <c r="F47" s="24">
        <v>80</v>
      </c>
      <c r="G47" s="24">
        <f t="shared" si="6"/>
        <v>580</v>
      </c>
      <c r="H47" s="24">
        <v>580</v>
      </c>
      <c r="I47" s="50">
        <v>0</v>
      </c>
      <c r="J47" s="24">
        <v>20</v>
      </c>
      <c r="K47" s="48">
        <f t="shared" si="3"/>
        <v>95.2</v>
      </c>
      <c r="L47" s="17">
        <f t="shared" si="4"/>
        <v>69.768</v>
      </c>
      <c r="M47" s="32">
        <f t="shared" si="7"/>
        <v>844.968</v>
      </c>
      <c r="N47" s="28">
        <f t="shared" si="8"/>
        <v>844.968</v>
      </c>
      <c r="O47" s="46" t="s">
        <v>116</v>
      </c>
    </row>
    <row r="48" s="1" customFormat="1" ht="60" outlineLevel="1" spans="1:15">
      <c r="A48" s="24">
        <v>4</v>
      </c>
      <c r="B48" s="25" t="s">
        <v>264</v>
      </c>
      <c r="C48" s="26" t="s">
        <v>265</v>
      </c>
      <c r="D48" s="25" t="s">
        <v>258</v>
      </c>
      <c r="E48" s="24">
        <v>1</v>
      </c>
      <c r="F48" s="24">
        <v>100</v>
      </c>
      <c r="G48" s="24">
        <f t="shared" si="6"/>
        <v>1580</v>
      </c>
      <c r="H48" s="24">
        <v>1580</v>
      </c>
      <c r="I48" s="50">
        <v>0</v>
      </c>
      <c r="J48" s="24">
        <v>30</v>
      </c>
      <c r="K48" s="48">
        <f t="shared" si="3"/>
        <v>239.4</v>
      </c>
      <c r="L48" s="17">
        <f t="shared" si="4"/>
        <v>175.446</v>
      </c>
      <c r="M48" s="32">
        <f t="shared" si="7"/>
        <v>2124.846</v>
      </c>
      <c r="N48" s="28">
        <f t="shared" si="8"/>
        <v>2124.846</v>
      </c>
      <c r="O48" s="46" t="s">
        <v>116</v>
      </c>
    </row>
    <row r="49" s="1" customFormat="1" ht="48" outlineLevel="1" spans="1:15">
      <c r="A49" s="24">
        <v>5</v>
      </c>
      <c r="B49" s="25" t="s">
        <v>266</v>
      </c>
      <c r="C49" s="26" t="s">
        <v>267</v>
      </c>
      <c r="D49" s="25" t="s">
        <v>258</v>
      </c>
      <c r="E49" s="24">
        <v>1</v>
      </c>
      <c r="F49" s="24">
        <v>15</v>
      </c>
      <c r="G49" s="24">
        <f t="shared" si="6"/>
        <v>40</v>
      </c>
      <c r="H49" s="24">
        <v>40</v>
      </c>
      <c r="I49" s="50">
        <v>0</v>
      </c>
      <c r="J49" s="24">
        <v>5</v>
      </c>
      <c r="K49" s="48">
        <f t="shared" si="3"/>
        <v>8.4</v>
      </c>
      <c r="L49" s="17">
        <f t="shared" si="4"/>
        <v>6.156</v>
      </c>
      <c r="M49" s="32">
        <f t="shared" si="7"/>
        <v>74.556</v>
      </c>
      <c r="N49" s="28">
        <f t="shared" si="8"/>
        <v>74.556</v>
      </c>
      <c r="O49" s="46" t="s">
        <v>116</v>
      </c>
    </row>
    <row r="50" s="1" customFormat="1" ht="48" outlineLevel="1" spans="1:15">
      <c r="A50" s="24">
        <v>6</v>
      </c>
      <c r="B50" s="25" t="s">
        <v>268</v>
      </c>
      <c r="C50" s="26" t="s">
        <v>269</v>
      </c>
      <c r="D50" s="25" t="s">
        <v>258</v>
      </c>
      <c r="E50" s="24">
        <v>1</v>
      </c>
      <c r="F50" s="24">
        <v>15</v>
      </c>
      <c r="G50" s="24">
        <f t="shared" si="6"/>
        <v>30</v>
      </c>
      <c r="H50" s="24">
        <v>30</v>
      </c>
      <c r="I50" s="50">
        <v>0</v>
      </c>
      <c r="J50" s="24">
        <v>2</v>
      </c>
      <c r="K50" s="48">
        <f t="shared" si="3"/>
        <v>6.58</v>
      </c>
      <c r="L50" s="17">
        <f t="shared" si="4"/>
        <v>4.8222</v>
      </c>
      <c r="M50" s="32">
        <f t="shared" si="7"/>
        <v>58.4022</v>
      </c>
      <c r="N50" s="28">
        <f t="shared" si="8"/>
        <v>58.4022</v>
      </c>
      <c r="O50" s="46" t="s">
        <v>116</v>
      </c>
    </row>
    <row r="51" s="1" customFormat="1" ht="33.75" outlineLevel="1" spans="1:15">
      <c r="A51" s="24">
        <v>7</v>
      </c>
      <c r="B51" s="35" t="s">
        <v>270</v>
      </c>
      <c r="C51" s="36" t="s">
        <v>271</v>
      </c>
      <c r="D51" s="35" t="s">
        <v>258</v>
      </c>
      <c r="E51" s="24">
        <v>2</v>
      </c>
      <c r="F51" s="24">
        <v>15</v>
      </c>
      <c r="G51" s="24">
        <f t="shared" si="6"/>
        <v>30</v>
      </c>
      <c r="H51" s="24">
        <v>30</v>
      </c>
      <c r="I51" s="50">
        <v>0</v>
      </c>
      <c r="J51" s="24">
        <v>2</v>
      </c>
      <c r="K51" s="48">
        <f t="shared" si="3"/>
        <v>6.58</v>
      </c>
      <c r="L51" s="17">
        <f t="shared" si="4"/>
        <v>4.8222</v>
      </c>
      <c r="M51" s="32">
        <f t="shared" si="7"/>
        <v>58.4022</v>
      </c>
      <c r="N51" s="28">
        <f t="shared" si="8"/>
        <v>116.8044</v>
      </c>
      <c r="O51" s="46" t="s">
        <v>116</v>
      </c>
    </row>
    <row r="52" s="1" customFormat="1" ht="36" outlineLevel="1" spans="1:15">
      <c r="A52" s="24">
        <v>8</v>
      </c>
      <c r="B52" s="25" t="s">
        <v>272</v>
      </c>
      <c r="C52" s="26" t="s">
        <v>273</v>
      </c>
      <c r="D52" s="25" t="s">
        <v>258</v>
      </c>
      <c r="E52" s="24">
        <v>1</v>
      </c>
      <c r="F52" s="24">
        <v>100</v>
      </c>
      <c r="G52" s="24">
        <f t="shared" si="6"/>
        <v>1500</v>
      </c>
      <c r="H52" s="24">
        <v>1500</v>
      </c>
      <c r="I52" s="50">
        <v>0</v>
      </c>
      <c r="J52" s="24">
        <v>20</v>
      </c>
      <c r="K52" s="48">
        <f t="shared" si="3"/>
        <v>226.8</v>
      </c>
      <c r="L52" s="17">
        <f t="shared" si="4"/>
        <v>166.212</v>
      </c>
      <c r="M52" s="32">
        <f t="shared" si="7"/>
        <v>2013.012</v>
      </c>
      <c r="N52" s="28">
        <f t="shared" si="8"/>
        <v>2013.012</v>
      </c>
      <c r="O52" s="46" t="s">
        <v>274</v>
      </c>
    </row>
    <row r="53" s="1" customFormat="1" ht="36" outlineLevel="1" spans="1:15">
      <c r="A53" s="24">
        <v>9</v>
      </c>
      <c r="B53" s="25" t="s">
        <v>275</v>
      </c>
      <c r="C53" s="26" t="s">
        <v>276</v>
      </c>
      <c r="D53" s="25" t="s">
        <v>258</v>
      </c>
      <c r="E53" s="24">
        <v>1</v>
      </c>
      <c r="F53" s="24">
        <v>100</v>
      </c>
      <c r="G53" s="24">
        <f t="shared" si="6"/>
        <v>600</v>
      </c>
      <c r="H53" s="24">
        <v>600</v>
      </c>
      <c r="I53" s="50">
        <v>0</v>
      </c>
      <c r="J53" s="24">
        <v>30</v>
      </c>
      <c r="K53" s="48">
        <f t="shared" si="3"/>
        <v>102.2</v>
      </c>
      <c r="L53" s="17">
        <f t="shared" si="4"/>
        <v>74.898</v>
      </c>
      <c r="M53" s="32">
        <f t="shared" si="7"/>
        <v>907.098</v>
      </c>
      <c r="N53" s="28">
        <f t="shared" si="8"/>
        <v>907.098</v>
      </c>
      <c r="O53" s="46" t="s">
        <v>274</v>
      </c>
    </row>
    <row r="54" s="1" customFormat="1" ht="60" outlineLevel="1" spans="1:15">
      <c r="A54" s="24">
        <v>10</v>
      </c>
      <c r="B54" s="25" t="s">
        <v>277</v>
      </c>
      <c r="C54" s="26" t="s">
        <v>278</v>
      </c>
      <c r="D54" s="25" t="s">
        <v>258</v>
      </c>
      <c r="E54" s="24">
        <v>1</v>
      </c>
      <c r="F54" s="24">
        <v>80</v>
      </c>
      <c r="G54" s="24">
        <f t="shared" si="6"/>
        <v>650</v>
      </c>
      <c r="H54" s="24">
        <v>650</v>
      </c>
      <c r="I54" s="50">
        <v>0</v>
      </c>
      <c r="J54" s="24">
        <v>10</v>
      </c>
      <c r="K54" s="48">
        <f t="shared" si="3"/>
        <v>103.6</v>
      </c>
      <c r="L54" s="17">
        <f t="shared" si="4"/>
        <v>75.924</v>
      </c>
      <c r="M54" s="32">
        <f t="shared" si="7"/>
        <v>919.524</v>
      </c>
      <c r="N54" s="28">
        <f t="shared" si="8"/>
        <v>919.524</v>
      </c>
      <c r="O54" s="46" t="s">
        <v>116</v>
      </c>
    </row>
    <row r="55" s="1" customFormat="1" ht="48" outlineLevel="1" spans="1:15">
      <c r="A55" s="24">
        <v>11</v>
      </c>
      <c r="B55" s="25" t="s">
        <v>279</v>
      </c>
      <c r="C55" s="26" t="s">
        <v>280</v>
      </c>
      <c r="D55" s="25" t="s">
        <v>115</v>
      </c>
      <c r="E55" s="24">
        <v>1</v>
      </c>
      <c r="F55" s="24">
        <v>5</v>
      </c>
      <c r="G55" s="24">
        <f t="shared" ref="G55:G61" si="9">H55*(1+I55)</f>
        <v>22</v>
      </c>
      <c r="H55" s="24">
        <v>22</v>
      </c>
      <c r="I55" s="50">
        <v>0</v>
      </c>
      <c r="J55" s="24">
        <v>2</v>
      </c>
      <c r="K55" s="48">
        <f t="shared" si="3"/>
        <v>4.06</v>
      </c>
      <c r="L55" s="17">
        <f t="shared" si="4"/>
        <v>2.9754</v>
      </c>
      <c r="M55" s="32">
        <f t="shared" si="7"/>
        <v>36.0354</v>
      </c>
      <c r="N55" s="28">
        <f t="shared" si="8"/>
        <v>36.0354</v>
      </c>
      <c r="O55" s="46" t="s">
        <v>281</v>
      </c>
    </row>
    <row r="56" s="1" customFormat="1" ht="48" outlineLevel="1" spans="1:15">
      <c r="A56" s="24">
        <v>12</v>
      </c>
      <c r="B56" s="25" t="s">
        <v>279</v>
      </c>
      <c r="C56" s="26" t="s">
        <v>282</v>
      </c>
      <c r="D56" s="25" t="s">
        <v>115</v>
      </c>
      <c r="E56" s="24">
        <v>1</v>
      </c>
      <c r="F56" s="24">
        <v>5</v>
      </c>
      <c r="G56" s="24">
        <f t="shared" si="9"/>
        <v>20</v>
      </c>
      <c r="H56" s="24">
        <v>20</v>
      </c>
      <c r="I56" s="50">
        <v>0</v>
      </c>
      <c r="J56" s="24">
        <v>2</v>
      </c>
      <c r="K56" s="48">
        <f t="shared" si="3"/>
        <v>3.78</v>
      </c>
      <c r="L56" s="17">
        <f t="shared" si="4"/>
        <v>2.7702</v>
      </c>
      <c r="M56" s="32">
        <f t="shared" si="7"/>
        <v>33.5502</v>
      </c>
      <c r="N56" s="28">
        <f t="shared" si="8"/>
        <v>33.5502</v>
      </c>
      <c r="O56" s="46" t="s">
        <v>281</v>
      </c>
    </row>
    <row r="57" s="1" customFormat="1" ht="36" outlineLevel="1" spans="1:15">
      <c r="A57" s="24">
        <v>13</v>
      </c>
      <c r="B57" s="25" t="s">
        <v>283</v>
      </c>
      <c r="C57" s="26" t="s">
        <v>284</v>
      </c>
      <c r="D57" s="25" t="s">
        <v>115</v>
      </c>
      <c r="E57" s="24">
        <v>1</v>
      </c>
      <c r="F57" s="24">
        <v>15</v>
      </c>
      <c r="G57" s="24">
        <f t="shared" si="9"/>
        <v>50</v>
      </c>
      <c r="H57" s="24">
        <v>50</v>
      </c>
      <c r="I57" s="50">
        <v>0</v>
      </c>
      <c r="J57" s="24">
        <v>5</v>
      </c>
      <c r="K57" s="48">
        <f t="shared" si="3"/>
        <v>9.8</v>
      </c>
      <c r="L57" s="17">
        <f t="shared" si="4"/>
        <v>7.182</v>
      </c>
      <c r="M57" s="32">
        <f t="shared" si="7"/>
        <v>86.982</v>
      </c>
      <c r="N57" s="28">
        <f t="shared" si="8"/>
        <v>86.982</v>
      </c>
      <c r="O57" s="46"/>
    </row>
    <row r="58" s="1" customFormat="1" ht="48" outlineLevel="1" spans="1:15">
      <c r="A58" s="24">
        <v>14</v>
      </c>
      <c r="B58" s="25" t="s">
        <v>285</v>
      </c>
      <c r="C58" s="37" t="s">
        <v>286</v>
      </c>
      <c r="D58" s="32" t="s">
        <v>61</v>
      </c>
      <c r="E58" s="38">
        <v>8.16</v>
      </c>
      <c r="F58" s="24">
        <v>12</v>
      </c>
      <c r="G58" s="24">
        <f t="shared" si="9"/>
        <v>7.35</v>
      </c>
      <c r="H58" s="24">
        <v>7</v>
      </c>
      <c r="I58" s="50">
        <v>0.05</v>
      </c>
      <c r="J58" s="24">
        <v>1</v>
      </c>
      <c r="K58" s="48">
        <f t="shared" si="3"/>
        <v>2.849</v>
      </c>
      <c r="L58" s="17">
        <f t="shared" si="4"/>
        <v>2.08791</v>
      </c>
      <c r="M58" s="32">
        <f t="shared" si="7"/>
        <v>25.28691</v>
      </c>
      <c r="N58" s="28">
        <f t="shared" si="8"/>
        <v>206.3411856</v>
      </c>
      <c r="O58" s="46" t="s">
        <v>281</v>
      </c>
    </row>
    <row r="59" s="1" customFormat="1" ht="48" outlineLevel="1" spans="1:15">
      <c r="A59" s="24">
        <v>15</v>
      </c>
      <c r="B59" s="25" t="s">
        <v>285</v>
      </c>
      <c r="C59" s="37" t="s">
        <v>287</v>
      </c>
      <c r="D59" s="32" t="s">
        <v>61</v>
      </c>
      <c r="E59" s="38">
        <v>15.77</v>
      </c>
      <c r="F59" s="24">
        <v>12</v>
      </c>
      <c r="G59" s="24">
        <f t="shared" si="9"/>
        <v>5.25</v>
      </c>
      <c r="H59" s="24">
        <v>5</v>
      </c>
      <c r="I59" s="50">
        <v>0.05</v>
      </c>
      <c r="J59" s="24">
        <v>1</v>
      </c>
      <c r="K59" s="48">
        <f t="shared" si="3"/>
        <v>2.555</v>
      </c>
      <c r="L59" s="17">
        <f t="shared" si="4"/>
        <v>1.87245</v>
      </c>
      <c r="M59" s="32">
        <f t="shared" si="7"/>
        <v>22.67745</v>
      </c>
      <c r="N59" s="28">
        <f t="shared" si="8"/>
        <v>357.6233865</v>
      </c>
      <c r="O59" s="46" t="s">
        <v>281</v>
      </c>
    </row>
    <row r="60" s="1" customFormat="1" ht="48" outlineLevel="1" spans="1:15">
      <c r="A60" s="24">
        <v>16</v>
      </c>
      <c r="B60" s="25" t="s">
        <v>285</v>
      </c>
      <c r="C60" s="37" t="s">
        <v>288</v>
      </c>
      <c r="D60" s="32" t="s">
        <v>61</v>
      </c>
      <c r="E60" s="38">
        <v>3.2</v>
      </c>
      <c r="F60" s="24">
        <v>12</v>
      </c>
      <c r="G60" s="24">
        <f t="shared" si="9"/>
        <v>8.4</v>
      </c>
      <c r="H60" s="24">
        <v>8</v>
      </c>
      <c r="I60" s="50">
        <v>0.05</v>
      </c>
      <c r="J60" s="24">
        <v>1</v>
      </c>
      <c r="K60" s="48">
        <f t="shared" si="3"/>
        <v>2.996</v>
      </c>
      <c r="L60" s="17">
        <f t="shared" si="4"/>
        <v>2.19564</v>
      </c>
      <c r="M60" s="32">
        <f t="shared" si="7"/>
        <v>26.59164</v>
      </c>
      <c r="N60" s="28">
        <f t="shared" si="8"/>
        <v>85.093248</v>
      </c>
      <c r="O60" s="46" t="s">
        <v>281</v>
      </c>
    </row>
    <row r="61" s="1" customFormat="1" ht="48" outlineLevel="1" spans="1:15">
      <c r="A61" s="24">
        <v>17</v>
      </c>
      <c r="B61" s="25" t="s">
        <v>285</v>
      </c>
      <c r="C61" s="37" t="s">
        <v>289</v>
      </c>
      <c r="D61" s="32" t="s">
        <v>61</v>
      </c>
      <c r="E61" s="38">
        <v>5.12</v>
      </c>
      <c r="F61" s="24">
        <v>12</v>
      </c>
      <c r="G61" s="24">
        <f t="shared" si="9"/>
        <v>6.3</v>
      </c>
      <c r="H61" s="24">
        <v>6</v>
      </c>
      <c r="I61" s="50">
        <v>0.05</v>
      </c>
      <c r="J61" s="24">
        <v>1</v>
      </c>
      <c r="K61" s="48">
        <f t="shared" si="3"/>
        <v>2.702</v>
      </c>
      <c r="L61" s="17">
        <f t="shared" si="4"/>
        <v>1.98018</v>
      </c>
      <c r="M61" s="32">
        <f t="shared" si="7"/>
        <v>23.98218</v>
      </c>
      <c r="N61" s="28">
        <f t="shared" si="8"/>
        <v>122.7887616</v>
      </c>
      <c r="O61" s="46" t="s">
        <v>281</v>
      </c>
    </row>
    <row r="62" s="1" customFormat="1" spans="1:15">
      <c r="A62" s="24">
        <v>18</v>
      </c>
      <c r="B62" s="33" t="s">
        <v>32</v>
      </c>
      <c r="C62" s="33"/>
      <c r="D62" s="33" t="s">
        <v>253</v>
      </c>
      <c r="E62" s="34"/>
      <c r="F62" s="24"/>
      <c r="G62" s="34"/>
      <c r="H62" s="34"/>
      <c r="I62" s="49"/>
      <c r="J62" s="34"/>
      <c r="K62" s="48"/>
      <c r="L62" s="17"/>
      <c r="M62" s="32"/>
      <c r="N62" s="28">
        <f>SUM(N45:N61)</f>
        <v>10230.5177817</v>
      </c>
      <c r="O62" s="46"/>
    </row>
    <row r="63" s="1" customFormat="1" spans="1:15">
      <c r="A63" s="24" t="s">
        <v>133</v>
      </c>
      <c r="B63" s="33" t="s">
        <v>290</v>
      </c>
      <c r="C63" s="33" t="s">
        <v>172</v>
      </c>
      <c r="D63" s="33" t="s">
        <v>253</v>
      </c>
      <c r="E63" s="34"/>
      <c r="F63" s="24"/>
      <c r="G63" s="34"/>
      <c r="H63" s="34"/>
      <c r="I63" s="49"/>
      <c r="J63" s="34"/>
      <c r="K63" s="48"/>
      <c r="L63" s="17"/>
      <c r="M63" s="32"/>
      <c r="N63" s="28">
        <f>N62+N43</f>
        <v>19589.79595503</v>
      </c>
      <c r="O63" s="46"/>
    </row>
    <row r="64" s="1" customFormat="1" spans="1:15">
      <c r="A64" s="22" t="s">
        <v>51</v>
      </c>
      <c r="B64" s="22" t="s">
        <v>291</v>
      </c>
      <c r="C64" s="22" t="s">
        <v>172</v>
      </c>
      <c r="D64" s="22" t="s">
        <v>173</v>
      </c>
      <c r="E64" s="23"/>
      <c r="F64" s="17"/>
      <c r="G64" s="17"/>
      <c r="H64" s="17"/>
      <c r="I64" s="43"/>
      <c r="J64" s="17"/>
      <c r="K64" s="48"/>
      <c r="L64" s="17"/>
      <c r="M64" s="17"/>
      <c r="N64" s="17"/>
      <c r="O64" s="46"/>
    </row>
    <row r="65" s="1" customFormat="1" ht="48" outlineLevel="1" spans="1:15">
      <c r="A65" s="24">
        <v>1</v>
      </c>
      <c r="B65" s="25" t="s">
        <v>174</v>
      </c>
      <c r="C65" s="26" t="s">
        <v>175</v>
      </c>
      <c r="D65" s="25" t="s">
        <v>115</v>
      </c>
      <c r="E65" s="27">
        <v>4</v>
      </c>
      <c r="F65" s="28">
        <v>15</v>
      </c>
      <c r="G65" s="28">
        <f t="shared" ref="G65:G72" si="10">H65*(1+I65)</f>
        <v>25.3</v>
      </c>
      <c r="H65" s="28">
        <v>25.3</v>
      </c>
      <c r="I65" s="47">
        <v>0</v>
      </c>
      <c r="J65" s="28">
        <v>1</v>
      </c>
      <c r="K65" s="48">
        <f t="shared" si="3"/>
        <v>5.782</v>
      </c>
      <c r="L65" s="17">
        <f t="shared" si="4"/>
        <v>4.23738</v>
      </c>
      <c r="M65" s="32">
        <f t="shared" ref="M63:M99" si="11">F65+G65+J65+K65+L65</f>
        <v>51.31938</v>
      </c>
      <c r="N65" s="28">
        <f t="shared" ref="N65:N98" si="12">M65*E65</f>
        <v>205.27752</v>
      </c>
      <c r="O65" s="46" t="s">
        <v>176</v>
      </c>
    </row>
    <row r="66" s="1" customFormat="1" ht="48" outlineLevel="1" spans="1:15">
      <c r="A66" s="24">
        <v>2</v>
      </c>
      <c r="B66" s="25" t="s">
        <v>181</v>
      </c>
      <c r="C66" s="26" t="s">
        <v>182</v>
      </c>
      <c r="D66" s="25" t="s">
        <v>115</v>
      </c>
      <c r="E66" s="27">
        <v>1</v>
      </c>
      <c r="F66" s="28">
        <v>15</v>
      </c>
      <c r="G66" s="28">
        <f t="shared" si="10"/>
        <v>55</v>
      </c>
      <c r="H66" s="28">
        <v>55</v>
      </c>
      <c r="I66" s="47">
        <v>0</v>
      </c>
      <c r="J66" s="28">
        <v>1</v>
      </c>
      <c r="K66" s="48">
        <f t="shared" si="3"/>
        <v>9.94</v>
      </c>
      <c r="L66" s="17">
        <f t="shared" si="4"/>
        <v>7.2846</v>
      </c>
      <c r="M66" s="32">
        <f t="shared" si="11"/>
        <v>88.2246</v>
      </c>
      <c r="N66" s="28">
        <f t="shared" si="12"/>
        <v>88.2246</v>
      </c>
      <c r="O66" s="46" t="s">
        <v>176</v>
      </c>
    </row>
    <row r="67" s="1" customFormat="1" ht="48" outlineLevel="1" spans="1:15">
      <c r="A67" s="24">
        <v>3</v>
      </c>
      <c r="B67" s="25" t="s">
        <v>183</v>
      </c>
      <c r="C67" s="26" t="s">
        <v>184</v>
      </c>
      <c r="D67" s="25" t="s">
        <v>115</v>
      </c>
      <c r="E67" s="27">
        <v>3</v>
      </c>
      <c r="F67" s="28">
        <v>18</v>
      </c>
      <c r="G67" s="28">
        <f t="shared" si="10"/>
        <v>200</v>
      </c>
      <c r="H67" s="28">
        <v>200</v>
      </c>
      <c r="I67" s="47">
        <v>0</v>
      </c>
      <c r="J67" s="28">
        <v>1</v>
      </c>
      <c r="K67" s="48">
        <f t="shared" si="3"/>
        <v>30.66</v>
      </c>
      <c r="L67" s="17">
        <f t="shared" si="4"/>
        <v>22.4694</v>
      </c>
      <c r="M67" s="32">
        <f t="shared" si="11"/>
        <v>272.1294</v>
      </c>
      <c r="N67" s="28">
        <f t="shared" si="12"/>
        <v>816.3882</v>
      </c>
      <c r="O67" s="46" t="s">
        <v>176</v>
      </c>
    </row>
    <row r="68" s="1" customFormat="1" ht="48" outlineLevel="1" spans="1:15">
      <c r="A68" s="24">
        <v>4</v>
      </c>
      <c r="B68" s="25" t="s">
        <v>185</v>
      </c>
      <c r="C68" s="26" t="s">
        <v>186</v>
      </c>
      <c r="D68" s="25" t="s">
        <v>115</v>
      </c>
      <c r="E68" s="27">
        <v>1</v>
      </c>
      <c r="F68" s="29">
        <v>18</v>
      </c>
      <c r="G68" s="28">
        <f t="shared" si="10"/>
        <v>110</v>
      </c>
      <c r="H68" s="28">
        <v>110</v>
      </c>
      <c r="I68" s="47">
        <v>0</v>
      </c>
      <c r="J68" s="28">
        <v>1</v>
      </c>
      <c r="K68" s="48">
        <f t="shared" si="3"/>
        <v>18.06</v>
      </c>
      <c r="L68" s="17">
        <f t="shared" si="4"/>
        <v>13.2354</v>
      </c>
      <c r="M68" s="32">
        <f t="shared" si="11"/>
        <v>160.2954</v>
      </c>
      <c r="N68" s="28">
        <f t="shared" si="12"/>
        <v>160.2954</v>
      </c>
      <c r="O68" s="46" t="s">
        <v>176</v>
      </c>
    </row>
    <row r="69" s="1" customFormat="1" ht="48" outlineLevel="1" spans="1:15">
      <c r="A69" s="24">
        <v>5</v>
      </c>
      <c r="B69" s="25" t="s">
        <v>187</v>
      </c>
      <c r="C69" s="26" t="s">
        <v>188</v>
      </c>
      <c r="D69" s="25" t="s">
        <v>115</v>
      </c>
      <c r="E69" s="27">
        <v>1</v>
      </c>
      <c r="F69" s="28">
        <v>30</v>
      </c>
      <c r="G69" s="28">
        <f t="shared" si="10"/>
        <v>500</v>
      </c>
      <c r="H69" s="28">
        <v>500</v>
      </c>
      <c r="I69" s="47">
        <v>0</v>
      </c>
      <c r="J69" s="28">
        <v>10</v>
      </c>
      <c r="K69" s="48">
        <f t="shared" si="3"/>
        <v>75.6</v>
      </c>
      <c r="L69" s="17">
        <f t="shared" si="4"/>
        <v>55.404</v>
      </c>
      <c r="M69" s="32">
        <f t="shared" si="11"/>
        <v>671.004</v>
      </c>
      <c r="N69" s="28">
        <f t="shared" si="12"/>
        <v>671.004</v>
      </c>
      <c r="O69" s="46"/>
    </row>
    <row r="70" s="1" customFormat="1" ht="48" outlineLevel="1" spans="1:15">
      <c r="A70" s="24">
        <v>6</v>
      </c>
      <c r="B70" s="25" t="s">
        <v>189</v>
      </c>
      <c r="C70" s="26" t="s">
        <v>190</v>
      </c>
      <c r="D70" s="25" t="s">
        <v>115</v>
      </c>
      <c r="E70" s="27">
        <v>1</v>
      </c>
      <c r="F70" s="28">
        <v>18</v>
      </c>
      <c r="G70" s="28">
        <f t="shared" si="10"/>
        <v>60</v>
      </c>
      <c r="H70" s="28">
        <v>60</v>
      </c>
      <c r="I70" s="47">
        <v>0</v>
      </c>
      <c r="J70" s="28">
        <v>1.5</v>
      </c>
      <c r="K70" s="48">
        <f t="shared" si="3"/>
        <v>11.13</v>
      </c>
      <c r="L70" s="17">
        <f t="shared" si="4"/>
        <v>8.1567</v>
      </c>
      <c r="M70" s="32">
        <f t="shared" si="11"/>
        <v>98.7867</v>
      </c>
      <c r="N70" s="28">
        <f t="shared" si="12"/>
        <v>98.7867</v>
      </c>
      <c r="O70" s="46" t="s">
        <v>176</v>
      </c>
    </row>
    <row r="71" s="1" customFormat="1" ht="36" outlineLevel="1" spans="1:19">
      <c r="A71" s="24">
        <v>7</v>
      </c>
      <c r="B71" s="25" t="s">
        <v>191</v>
      </c>
      <c r="C71" s="26" t="s">
        <v>192</v>
      </c>
      <c r="D71" s="25" t="s">
        <v>115</v>
      </c>
      <c r="E71" s="27">
        <v>1</v>
      </c>
      <c r="F71" s="28">
        <v>15</v>
      </c>
      <c r="G71" s="28">
        <f t="shared" si="10"/>
        <v>50</v>
      </c>
      <c r="H71" s="28">
        <v>50</v>
      </c>
      <c r="I71" s="47">
        <v>0</v>
      </c>
      <c r="J71" s="28">
        <v>1.5</v>
      </c>
      <c r="K71" s="48">
        <f t="shared" ref="K71:K134" si="13">(F71+G71+J71)*$K$4</f>
        <v>9.31</v>
      </c>
      <c r="L71" s="17">
        <f t="shared" ref="L71:L134" si="14">(F71+G71+J71+K71)*$L$4</f>
        <v>6.8229</v>
      </c>
      <c r="M71" s="32">
        <f t="shared" si="11"/>
        <v>82.6329</v>
      </c>
      <c r="N71" s="28">
        <f t="shared" si="12"/>
        <v>82.6329</v>
      </c>
      <c r="O71" s="46" t="s">
        <v>176</v>
      </c>
      <c r="Q71" s="51"/>
      <c r="R71" s="51"/>
      <c r="S71" s="51"/>
    </row>
    <row r="72" s="1" customFormat="1" ht="48" outlineLevel="1" spans="1:19">
      <c r="A72" s="24">
        <v>8</v>
      </c>
      <c r="B72" s="25" t="s">
        <v>195</v>
      </c>
      <c r="C72" s="26" t="s">
        <v>196</v>
      </c>
      <c r="D72" s="25" t="s">
        <v>115</v>
      </c>
      <c r="E72" s="27">
        <v>17</v>
      </c>
      <c r="F72" s="28">
        <v>8</v>
      </c>
      <c r="G72" s="28">
        <f t="shared" si="10"/>
        <v>16</v>
      </c>
      <c r="H72" s="28">
        <v>16</v>
      </c>
      <c r="I72" s="47">
        <v>0</v>
      </c>
      <c r="J72" s="28">
        <v>0.5</v>
      </c>
      <c r="K72" s="48">
        <f t="shared" si="13"/>
        <v>3.43</v>
      </c>
      <c r="L72" s="17">
        <f t="shared" si="14"/>
        <v>2.5137</v>
      </c>
      <c r="M72" s="32">
        <f t="shared" si="11"/>
        <v>30.4437</v>
      </c>
      <c r="N72" s="28">
        <f t="shared" si="12"/>
        <v>517.5429</v>
      </c>
      <c r="O72" s="46" t="s">
        <v>197</v>
      </c>
      <c r="Q72" s="51"/>
      <c r="R72" s="52"/>
      <c r="S72" s="51"/>
    </row>
    <row r="73" s="1" customFormat="1" ht="48" outlineLevel="1" spans="1:19">
      <c r="A73" s="24">
        <v>9</v>
      </c>
      <c r="B73" s="25" t="s">
        <v>198</v>
      </c>
      <c r="C73" s="26" t="s">
        <v>199</v>
      </c>
      <c r="D73" s="25" t="s">
        <v>115</v>
      </c>
      <c r="E73" s="27">
        <v>1</v>
      </c>
      <c r="F73" s="28">
        <v>8</v>
      </c>
      <c r="G73" s="28">
        <f t="shared" ref="G73:G98" si="15">H73*(1+I73)</f>
        <v>18</v>
      </c>
      <c r="H73" s="28">
        <v>18</v>
      </c>
      <c r="I73" s="47">
        <v>0</v>
      </c>
      <c r="J73" s="28">
        <v>0.5</v>
      </c>
      <c r="K73" s="48">
        <f t="shared" si="13"/>
        <v>3.71</v>
      </c>
      <c r="L73" s="17">
        <f t="shared" si="14"/>
        <v>2.7189</v>
      </c>
      <c r="M73" s="32">
        <f t="shared" si="11"/>
        <v>32.9289</v>
      </c>
      <c r="N73" s="28">
        <f t="shared" si="12"/>
        <v>32.9289</v>
      </c>
      <c r="O73" s="46" t="s">
        <v>197</v>
      </c>
      <c r="Q73" s="51"/>
      <c r="R73" s="51"/>
      <c r="S73" s="51"/>
    </row>
    <row r="74" s="1" customFormat="1" ht="48" outlineLevel="1" spans="1:15">
      <c r="A74" s="24">
        <v>10</v>
      </c>
      <c r="B74" s="25" t="s">
        <v>200</v>
      </c>
      <c r="C74" s="26" t="s">
        <v>201</v>
      </c>
      <c r="D74" s="25" t="s">
        <v>115</v>
      </c>
      <c r="E74" s="27">
        <v>1</v>
      </c>
      <c r="F74" s="28">
        <v>8</v>
      </c>
      <c r="G74" s="28">
        <f t="shared" si="15"/>
        <v>18</v>
      </c>
      <c r="H74" s="28">
        <v>18</v>
      </c>
      <c r="I74" s="47">
        <v>0</v>
      </c>
      <c r="J74" s="28">
        <v>0.5</v>
      </c>
      <c r="K74" s="48">
        <f t="shared" si="13"/>
        <v>3.71</v>
      </c>
      <c r="L74" s="17">
        <f t="shared" si="14"/>
        <v>2.7189</v>
      </c>
      <c r="M74" s="32">
        <f t="shared" si="11"/>
        <v>32.9289</v>
      </c>
      <c r="N74" s="28">
        <f t="shared" si="12"/>
        <v>32.9289</v>
      </c>
      <c r="O74" s="46" t="s">
        <v>197</v>
      </c>
    </row>
    <row r="75" s="1" customFormat="1" ht="48" outlineLevel="1" spans="1:15">
      <c r="A75" s="24">
        <v>11</v>
      </c>
      <c r="B75" s="25" t="s">
        <v>202</v>
      </c>
      <c r="C75" s="26" t="s">
        <v>203</v>
      </c>
      <c r="D75" s="25" t="s">
        <v>115</v>
      </c>
      <c r="E75" s="27">
        <v>1</v>
      </c>
      <c r="F75" s="28">
        <v>8</v>
      </c>
      <c r="G75" s="28">
        <f t="shared" si="15"/>
        <v>27</v>
      </c>
      <c r="H75" s="28">
        <v>27</v>
      </c>
      <c r="I75" s="47">
        <v>0</v>
      </c>
      <c r="J75" s="28">
        <v>0.5</v>
      </c>
      <c r="K75" s="48">
        <f t="shared" si="13"/>
        <v>4.97</v>
      </c>
      <c r="L75" s="17">
        <f t="shared" si="14"/>
        <v>3.6423</v>
      </c>
      <c r="M75" s="32">
        <f t="shared" si="11"/>
        <v>44.1123</v>
      </c>
      <c r="N75" s="28">
        <f t="shared" si="12"/>
        <v>44.1123</v>
      </c>
      <c r="O75" s="46" t="s">
        <v>197</v>
      </c>
    </row>
    <row r="76" s="1" customFormat="1" ht="48" outlineLevel="1" spans="1:15">
      <c r="A76" s="24">
        <v>12</v>
      </c>
      <c r="B76" s="25" t="s">
        <v>204</v>
      </c>
      <c r="C76" s="26" t="s">
        <v>205</v>
      </c>
      <c r="D76" s="25" t="s">
        <v>115</v>
      </c>
      <c r="E76" s="27">
        <v>1</v>
      </c>
      <c r="F76" s="28">
        <v>8</v>
      </c>
      <c r="G76" s="28">
        <f t="shared" si="15"/>
        <v>27</v>
      </c>
      <c r="H76" s="28">
        <v>27</v>
      </c>
      <c r="I76" s="47">
        <v>0</v>
      </c>
      <c r="J76" s="28">
        <v>0.5</v>
      </c>
      <c r="K76" s="48">
        <f t="shared" si="13"/>
        <v>4.97</v>
      </c>
      <c r="L76" s="17">
        <f t="shared" si="14"/>
        <v>3.6423</v>
      </c>
      <c r="M76" s="32">
        <f t="shared" si="11"/>
        <v>44.1123</v>
      </c>
      <c r="N76" s="28">
        <f t="shared" si="12"/>
        <v>44.1123</v>
      </c>
      <c r="O76" s="46" t="s">
        <v>197</v>
      </c>
    </row>
    <row r="77" s="1" customFormat="1" ht="48" outlineLevel="1" spans="1:18">
      <c r="A77" s="24">
        <v>13</v>
      </c>
      <c r="B77" s="25" t="s">
        <v>206</v>
      </c>
      <c r="C77" s="26" t="s">
        <v>207</v>
      </c>
      <c r="D77" s="25" t="s">
        <v>115</v>
      </c>
      <c r="E77" s="27">
        <v>1</v>
      </c>
      <c r="F77" s="28">
        <v>8</v>
      </c>
      <c r="G77" s="28">
        <f t="shared" si="15"/>
        <v>46</v>
      </c>
      <c r="H77" s="28">
        <v>46</v>
      </c>
      <c r="I77" s="47">
        <v>0</v>
      </c>
      <c r="J77" s="28">
        <v>0.5</v>
      </c>
      <c r="K77" s="48">
        <f t="shared" si="13"/>
        <v>7.63</v>
      </c>
      <c r="L77" s="17">
        <f t="shared" si="14"/>
        <v>5.5917</v>
      </c>
      <c r="M77" s="32">
        <f t="shared" si="11"/>
        <v>67.7217</v>
      </c>
      <c r="N77" s="28">
        <f t="shared" si="12"/>
        <v>67.7217</v>
      </c>
      <c r="O77" s="46" t="s">
        <v>197</v>
      </c>
      <c r="R77" s="52"/>
    </row>
    <row r="78" s="1" customFormat="1" ht="48" outlineLevel="1" spans="1:15">
      <c r="A78" s="24">
        <v>14</v>
      </c>
      <c r="B78" s="25" t="s">
        <v>208</v>
      </c>
      <c r="C78" s="26" t="s">
        <v>209</v>
      </c>
      <c r="D78" s="25" t="s">
        <v>115</v>
      </c>
      <c r="E78" s="27">
        <v>1</v>
      </c>
      <c r="F78" s="28">
        <v>8</v>
      </c>
      <c r="G78" s="28">
        <f t="shared" si="15"/>
        <v>27</v>
      </c>
      <c r="H78" s="28">
        <v>27</v>
      </c>
      <c r="I78" s="47">
        <v>0</v>
      </c>
      <c r="J78" s="28">
        <v>0.5</v>
      </c>
      <c r="K78" s="48">
        <f t="shared" si="13"/>
        <v>4.97</v>
      </c>
      <c r="L78" s="17">
        <f t="shared" si="14"/>
        <v>3.6423</v>
      </c>
      <c r="M78" s="32">
        <f t="shared" si="11"/>
        <v>44.1123</v>
      </c>
      <c r="N78" s="28">
        <f t="shared" si="12"/>
        <v>44.1123</v>
      </c>
      <c r="O78" s="46" t="s">
        <v>197</v>
      </c>
    </row>
    <row r="79" s="1" customFormat="1" ht="48" outlineLevel="1" spans="1:15">
      <c r="A79" s="24">
        <v>15</v>
      </c>
      <c r="B79" s="25" t="s">
        <v>210</v>
      </c>
      <c r="C79" s="26" t="s">
        <v>211</v>
      </c>
      <c r="D79" s="25" t="s">
        <v>115</v>
      </c>
      <c r="E79" s="27">
        <v>1</v>
      </c>
      <c r="F79" s="28">
        <v>8</v>
      </c>
      <c r="G79" s="28">
        <f t="shared" si="15"/>
        <v>18</v>
      </c>
      <c r="H79" s="28">
        <v>18</v>
      </c>
      <c r="I79" s="47">
        <v>0</v>
      </c>
      <c r="J79" s="28">
        <v>0.5</v>
      </c>
      <c r="K79" s="48">
        <f t="shared" si="13"/>
        <v>3.71</v>
      </c>
      <c r="L79" s="17">
        <f t="shared" si="14"/>
        <v>2.7189</v>
      </c>
      <c r="M79" s="32">
        <f t="shared" si="11"/>
        <v>32.9289</v>
      </c>
      <c r="N79" s="28">
        <f t="shared" si="12"/>
        <v>32.9289</v>
      </c>
      <c r="O79" s="46" t="s">
        <v>197</v>
      </c>
    </row>
    <row r="80" s="1" customFormat="1" ht="48" outlineLevel="1" spans="1:15">
      <c r="A80" s="24">
        <v>16</v>
      </c>
      <c r="B80" s="25" t="s">
        <v>212</v>
      </c>
      <c r="C80" s="26" t="s">
        <v>213</v>
      </c>
      <c r="D80" s="25" t="s">
        <v>115</v>
      </c>
      <c r="E80" s="27">
        <v>2</v>
      </c>
      <c r="F80" s="28">
        <v>8</v>
      </c>
      <c r="G80" s="28">
        <f t="shared" si="15"/>
        <v>35.2</v>
      </c>
      <c r="H80" s="28">
        <v>35.2</v>
      </c>
      <c r="I80" s="47">
        <v>0</v>
      </c>
      <c r="J80" s="28">
        <v>0.5</v>
      </c>
      <c r="K80" s="48">
        <f t="shared" si="13"/>
        <v>6.118</v>
      </c>
      <c r="L80" s="17">
        <f t="shared" si="14"/>
        <v>4.48362</v>
      </c>
      <c r="M80" s="32">
        <f t="shared" si="11"/>
        <v>54.30162</v>
      </c>
      <c r="N80" s="28">
        <f t="shared" si="12"/>
        <v>108.60324</v>
      </c>
      <c r="O80" s="46" t="s">
        <v>197</v>
      </c>
    </row>
    <row r="81" s="1" customFormat="1" ht="48" outlineLevel="1" spans="1:15">
      <c r="A81" s="24">
        <v>17</v>
      </c>
      <c r="B81" s="25" t="s">
        <v>214</v>
      </c>
      <c r="C81" s="26" t="s">
        <v>215</v>
      </c>
      <c r="D81" s="25" t="s">
        <v>115</v>
      </c>
      <c r="E81" s="27">
        <v>3</v>
      </c>
      <c r="F81" s="28">
        <v>8</v>
      </c>
      <c r="G81" s="28">
        <f t="shared" si="15"/>
        <v>35.2</v>
      </c>
      <c r="H81" s="28">
        <v>35.2</v>
      </c>
      <c r="I81" s="47">
        <v>0</v>
      </c>
      <c r="J81" s="28">
        <v>0.5</v>
      </c>
      <c r="K81" s="48">
        <f t="shared" si="13"/>
        <v>6.118</v>
      </c>
      <c r="L81" s="17">
        <f t="shared" si="14"/>
        <v>4.48362</v>
      </c>
      <c r="M81" s="32">
        <f t="shared" si="11"/>
        <v>54.30162</v>
      </c>
      <c r="N81" s="28">
        <f t="shared" si="12"/>
        <v>162.90486</v>
      </c>
      <c r="O81" s="46" t="s">
        <v>197</v>
      </c>
    </row>
    <row r="82" s="1" customFormat="1" ht="48" outlineLevel="1" spans="1:15">
      <c r="A82" s="24">
        <v>18</v>
      </c>
      <c r="B82" s="25" t="s">
        <v>216</v>
      </c>
      <c r="C82" s="26" t="s">
        <v>217</v>
      </c>
      <c r="D82" s="25" t="s">
        <v>115</v>
      </c>
      <c r="E82" s="27">
        <v>2</v>
      </c>
      <c r="F82" s="28">
        <v>8</v>
      </c>
      <c r="G82" s="28">
        <f t="shared" si="15"/>
        <v>27</v>
      </c>
      <c r="H82" s="28">
        <v>27</v>
      </c>
      <c r="I82" s="47">
        <v>0</v>
      </c>
      <c r="J82" s="28">
        <v>0.5</v>
      </c>
      <c r="K82" s="48">
        <f t="shared" si="13"/>
        <v>4.97</v>
      </c>
      <c r="L82" s="17">
        <f t="shared" si="14"/>
        <v>3.6423</v>
      </c>
      <c r="M82" s="32">
        <f t="shared" si="11"/>
        <v>44.1123</v>
      </c>
      <c r="N82" s="28">
        <f t="shared" si="12"/>
        <v>88.2246</v>
      </c>
      <c r="O82" s="46" t="s">
        <v>197</v>
      </c>
    </row>
    <row r="83" s="1" customFormat="1" ht="48" outlineLevel="1" spans="1:15">
      <c r="A83" s="24">
        <v>19</v>
      </c>
      <c r="B83" s="25" t="s">
        <v>218</v>
      </c>
      <c r="C83" s="26" t="s">
        <v>219</v>
      </c>
      <c r="D83" s="25" t="s">
        <v>115</v>
      </c>
      <c r="E83" s="27">
        <v>1</v>
      </c>
      <c r="F83" s="28">
        <v>8</v>
      </c>
      <c r="G83" s="28">
        <f t="shared" si="15"/>
        <v>27</v>
      </c>
      <c r="H83" s="28">
        <v>27</v>
      </c>
      <c r="I83" s="47">
        <v>0</v>
      </c>
      <c r="J83" s="28">
        <v>0.5</v>
      </c>
      <c r="K83" s="48">
        <f t="shared" si="13"/>
        <v>4.97</v>
      </c>
      <c r="L83" s="17">
        <f t="shared" si="14"/>
        <v>3.6423</v>
      </c>
      <c r="M83" s="32">
        <f t="shared" si="11"/>
        <v>44.1123</v>
      </c>
      <c r="N83" s="28">
        <f t="shared" si="12"/>
        <v>44.1123</v>
      </c>
      <c r="O83" s="46" t="s">
        <v>197</v>
      </c>
    </row>
    <row r="84" s="1" customFormat="1" ht="48" outlineLevel="1" spans="1:15">
      <c r="A84" s="24">
        <v>20</v>
      </c>
      <c r="B84" s="25" t="s">
        <v>220</v>
      </c>
      <c r="C84" s="26" t="s">
        <v>221</v>
      </c>
      <c r="D84" s="25" t="s">
        <v>115</v>
      </c>
      <c r="E84" s="27">
        <v>3</v>
      </c>
      <c r="F84" s="28">
        <v>8</v>
      </c>
      <c r="G84" s="28">
        <f t="shared" si="15"/>
        <v>16.5</v>
      </c>
      <c r="H84" s="28">
        <v>16.5</v>
      </c>
      <c r="I84" s="47">
        <v>0</v>
      </c>
      <c r="J84" s="28">
        <v>0.5</v>
      </c>
      <c r="K84" s="48">
        <f t="shared" si="13"/>
        <v>3.5</v>
      </c>
      <c r="L84" s="17">
        <f t="shared" si="14"/>
        <v>2.565</v>
      </c>
      <c r="M84" s="32">
        <f t="shared" si="11"/>
        <v>31.065</v>
      </c>
      <c r="N84" s="28">
        <f t="shared" si="12"/>
        <v>93.195</v>
      </c>
      <c r="O84" s="46" t="s">
        <v>197</v>
      </c>
    </row>
    <row r="85" s="1" customFormat="1" ht="48" outlineLevel="1" spans="1:15">
      <c r="A85" s="24">
        <v>21</v>
      </c>
      <c r="B85" s="25" t="s">
        <v>222</v>
      </c>
      <c r="C85" s="26" t="s">
        <v>223</v>
      </c>
      <c r="D85" s="25" t="s">
        <v>115</v>
      </c>
      <c r="E85" s="27">
        <v>2</v>
      </c>
      <c r="F85" s="28">
        <v>8</v>
      </c>
      <c r="G85" s="28">
        <f t="shared" si="15"/>
        <v>18.2</v>
      </c>
      <c r="H85" s="28">
        <v>18.2</v>
      </c>
      <c r="I85" s="47">
        <v>0</v>
      </c>
      <c r="J85" s="28">
        <v>0.5</v>
      </c>
      <c r="K85" s="48">
        <f t="shared" si="13"/>
        <v>3.738</v>
      </c>
      <c r="L85" s="17">
        <f t="shared" si="14"/>
        <v>2.73942</v>
      </c>
      <c r="M85" s="32">
        <f t="shared" si="11"/>
        <v>33.17742</v>
      </c>
      <c r="N85" s="28">
        <f t="shared" si="12"/>
        <v>66.35484</v>
      </c>
      <c r="O85" s="46" t="s">
        <v>197</v>
      </c>
    </row>
    <row r="86" s="1" customFormat="1" ht="48" outlineLevel="1" spans="1:15">
      <c r="A86" s="24">
        <v>22</v>
      </c>
      <c r="B86" s="25" t="s">
        <v>224</v>
      </c>
      <c r="C86" s="26" t="s">
        <v>225</v>
      </c>
      <c r="D86" s="25" t="s">
        <v>115</v>
      </c>
      <c r="E86" s="27">
        <v>2</v>
      </c>
      <c r="F86" s="28">
        <v>8</v>
      </c>
      <c r="G86" s="28">
        <f t="shared" si="15"/>
        <v>30.25</v>
      </c>
      <c r="H86" s="28">
        <v>30.25</v>
      </c>
      <c r="I86" s="47">
        <v>0</v>
      </c>
      <c r="J86" s="28">
        <v>0.5</v>
      </c>
      <c r="K86" s="48">
        <f t="shared" si="13"/>
        <v>5.425</v>
      </c>
      <c r="L86" s="17">
        <f t="shared" si="14"/>
        <v>3.97575</v>
      </c>
      <c r="M86" s="32">
        <f t="shared" si="11"/>
        <v>48.15075</v>
      </c>
      <c r="N86" s="28">
        <f t="shared" si="12"/>
        <v>96.3015</v>
      </c>
      <c r="O86" s="46" t="s">
        <v>197</v>
      </c>
    </row>
    <row r="87" s="1" customFormat="1" ht="48" outlineLevel="1" spans="1:15">
      <c r="A87" s="24">
        <v>23</v>
      </c>
      <c r="B87" s="25" t="s">
        <v>226</v>
      </c>
      <c r="C87" s="26" t="s">
        <v>227</v>
      </c>
      <c r="D87" s="25" t="s">
        <v>115</v>
      </c>
      <c r="E87" s="27">
        <v>1</v>
      </c>
      <c r="F87" s="28">
        <v>10</v>
      </c>
      <c r="G87" s="28">
        <f t="shared" si="15"/>
        <v>63.8</v>
      </c>
      <c r="H87" s="28">
        <v>63.8</v>
      </c>
      <c r="I87" s="47">
        <v>0</v>
      </c>
      <c r="J87" s="28">
        <v>0.5</v>
      </c>
      <c r="K87" s="48">
        <f t="shared" si="13"/>
        <v>10.402</v>
      </c>
      <c r="L87" s="17">
        <f t="shared" si="14"/>
        <v>7.62318</v>
      </c>
      <c r="M87" s="32">
        <f t="shared" si="11"/>
        <v>92.32518</v>
      </c>
      <c r="N87" s="28">
        <f t="shared" si="12"/>
        <v>92.32518</v>
      </c>
      <c r="O87" s="46" t="s">
        <v>228</v>
      </c>
    </row>
    <row r="88" s="1" customFormat="1" ht="60" outlineLevel="1" spans="1:15">
      <c r="A88" s="24">
        <v>24</v>
      </c>
      <c r="B88" s="25" t="s">
        <v>229</v>
      </c>
      <c r="C88" s="26" t="s">
        <v>230</v>
      </c>
      <c r="D88" s="25" t="s">
        <v>115</v>
      </c>
      <c r="E88" s="27">
        <v>1</v>
      </c>
      <c r="F88" s="28">
        <v>10</v>
      </c>
      <c r="G88" s="28">
        <f t="shared" si="15"/>
        <v>5</v>
      </c>
      <c r="H88" s="28">
        <v>5</v>
      </c>
      <c r="I88" s="47">
        <v>0</v>
      </c>
      <c r="J88" s="28">
        <v>0.5</v>
      </c>
      <c r="K88" s="48">
        <f t="shared" si="13"/>
        <v>2.17</v>
      </c>
      <c r="L88" s="17">
        <f t="shared" si="14"/>
        <v>1.5903</v>
      </c>
      <c r="M88" s="32">
        <f t="shared" si="11"/>
        <v>19.2603</v>
      </c>
      <c r="N88" s="28">
        <f t="shared" si="12"/>
        <v>19.2603</v>
      </c>
      <c r="O88" s="46" t="s">
        <v>231</v>
      </c>
    </row>
    <row r="89" s="1" customFormat="1" ht="48" outlineLevel="1" spans="1:15">
      <c r="A89" s="24">
        <v>25</v>
      </c>
      <c r="B89" s="25" t="s">
        <v>232</v>
      </c>
      <c r="C89" s="26" t="s">
        <v>233</v>
      </c>
      <c r="D89" s="25" t="s">
        <v>115</v>
      </c>
      <c r="E89" s="27">
        <v>1</v>
      </c>
      <c r="F89" s="28">
        <v>30</v>
      </c>
      <c r="G89" s="28">
        <f t="shared" si="15"/>
        <v>45</v>
      </c>
      <c r="H89" s="28">
        <v>45</v>
      </c>
      <c r="I89" s="47">
        <v>0</v>
      </c>
      <c r="J89" s="28">
        <v>0.5</v>
      </c>
      <c r="K89" s="48">
        <f t="shared" si="13"/>
        <v>10.57</v>
      </c>
      <c r="L89" s="17">
        <f t="shared" si="14"/>
        <v>7.7463</v>
      </c>
      <c r="M89" s="32">
        <f t="shared" si="11"/>
        <v>93.8163</v>
      </c>
      <c r="N89" s="28">
        <f t="shared" si="12"/>
        <v>93.8163</v>
      </c>
      <c r="O89" s="46" t="s">
        <v>176</v>
      </c>
    </row>
    <row r="90" s="1" customFormat="1" ht="36" outlineLevel="1" spans="1:15">
      <c r="A90" s="24">
        <v>26</v>
      </c>
      <c r="B90" s="25" t="s">
        <v>234</v>
      </c>
      <c r="C90" s="26" t="s">
        <v>235</v>
      </c>
      <c r="D90" s="25" t="s">
        <v>115</v>
      </c>
      <c r="E90" s="27">
        <v>5</v>
      </c>
      <c r="F90" s="28">
        <v>8</v>
      </c>
      <c r="G90" s="28">
        <f t="shared" si="15"/>
        <v>10.78</v>
      </c>
      <c r="H90" s="28">
        <v>10.78</v>
      </c>
      <c r="I90" s="47">
        <v>0</v>
      </c>
      <c r="J90" s="28">
        <v>0.5</v>
      </c>
      <c r="K90" s="48">
        <f t="shared" si="13"/>
        <v>2.6992</v>
      </c>
      <c r="L90" s="17">
        <f t="shared" si="14"/>
        <v>1.978128</v>
      </c>
      <c r="M90" s="32">
        <f t="shared" si="11"/>
        <v>23.957328</v>
      </c>
      <c r="N90" s="28">
        <f t="shared" si="12"/>
        <v>119.78664</v>
      </c>
      <c r="O90" s="46" t="s">
        <v>197</v>
      </c>
    </row>
    <row r="91" s="1" customFormat="1" ht="36" outlineLevel="1" spans="1:15">
      <c r="A91" s="24">
        <v>27</v>
      </c>
      <c r="B91" s="25" t="s">
        <v>236</v>
      </c>
      <c r="C91" s="26" t="s">
        <v>237</v>
      </c>
      <c r="D91" s="25" t="s">
        <v>115</v>
      </c>
      <c r="E91" s="27">
        <v>1</v>
      </c>
      <c r="F91" s="28">
        <v>8</v>
      </c>
      <c r="G91" s="28">
        <f t="shared" si="15"/>
        <v>30.25</v>
      </c>
      <c r="H91" s="28">
        <v>30.25</v>
      </c>
      <c r="I91" s="47">
        <v>0</v>
      </c>
      <c r="J91" s="28">
        <v>0.5</v>
      </c>
      <c r="K91" s="48">
        <f t="shared" si="13"/>
        <v>5.425</v>
      </c>
      <c r="L91" s="17">
        <f t="shared" si="14"/>
        <v>3.97575</v>
      </c>
      <c r="M91" s="32">
        <f t="shared" si="11"/>
        <v>48.15075</v>
      </c>
      <c r="N91" s="28">
        <f t="shared" si="12"/>
        <v>48.15075</v>
      </c>
      <c r="O91" s="46" t="s">
        <v>197</v>
      </c>
    </row>
    <row r="92" s="1" customFormat="1" ht="36" outlineLevel="1" spans="1:15">
      <c r="A92" s="24">
        <v>28</v>
      </c>
      <c r="B92" s="25" t="s">
        <v>238</v>
      </c>
      <c r="C92" s="26" t="s">
        <v>239</v>
      </c>
      <c r="D92" s="25" t="s">
        <v>115</v>
      </c>
      <c r="E92" s="27">
        <v>1</v>
      </c>
      <c r="F92" s="28">
        <v>8</v>
      </c>
      <c r="G92" s="28">
        <f t="shared" si="15"/>
        <v>22</v>
      </c>
      <c r="H92" s="28">
        <v>22</v>
      </c>
      <c r="I92" s="47">
        <v>0</v>
      </c>
      <c r="J92" s="28">
        <v>0.5</v>
      </c>
      <c r="K92" s="48">
        <f t="shared" si="13"/>
        <v>4.27</v>
      </c>
      <c r="L92" s="17">
        <f t="shared" si="14"/>
        <v>3.1293</v>
      </c>
      <c r="M92" s="32">
        <f t="shared" si="11"/>
        <v>37.8993</v>
      </c>
      <c r="N92" s="28">
        <f t="shared" si="12"/>
        <v>37.8993</v>
      </c>
      <c r="O92" s="46" t="s">
        <v>197</v>
      </c>
    </row>
    <row r="93" s="1" customFormat="1" ht="36" outlineLevel="1" spans="1:15">
      <c r="A93" s="24">
        <v>29</v>
      </c>
      <c r="B93" s="25" t="s">
        <v>240</v>
      </c>
      <c r="C93" s="26" t="s">
        <v>241</v>
      </c>
      <c r="D93" s="25" t="s">
        <v>115</v>
      </c>
      <c r="E93" s="27">
        <f>1+2</f>
        <v>3</v>
      </c>
      <c r="F93" s="28">
        <v>8</v>
      </c>
      <c r="G93" s="28">
        <f t="shared" si="15"/>
        <v>33.55</v>
      </c>
      <c r="H93" s="28">
        <v>33.55</v>
      </c>
      <c r="I93" s="47">
        <v>0</v>
      </c>
      <c r="J93" s="28">
        <v>0.5</v>
      </c>
      <c r="K93" s="48">
        <f t="shared" si="13"/>
        <v>5.887</v>
      </c>
      <c r="L93" s="17">
        <f t="shared" si="14"/>
        <v>4.31433</v>
      </c>
      <c r="M93" s="32">
        <f t="shared" si="11"/>
        <v>52.25133</v>
      </c>
      <c r="N93" s="28">
        <f t="shared" si="12"/>
        <v>156.75399</v>
      </c>
      <c r="O93" s="46" t="s">
        <v>197</v>
      </c>
    </row>
    <row r="94" s="1" customFormat="1" ht="48" outlineLevel="1" spans="1:15">
      <c r="A94" s="24">
        <v>30</v>
      </c>
      <c r="B94" s="30" t="s">
        <v>242</v>
      </c>
      <c r="C94" s="31" t="s">
        <v>243</v>
      </c>
      <c r="D94" s="32" t="s">
        <v>61</v>
      </c>
      <c r="E94" s="32">
        <v>174.92</v>
      </c>
      <c r="F94" s="28">
        <v>3</v>
      </c>
      <c r="G94" s="28">
        <f t="shared" si="15"/>
        <v>1.575</v>
      </c>
      <c r="H94" s="28">
        <v>1.5</v>
      </c>
      <c r="I94" s="47">
        <v>0.05</v>
      </c>
      <c r="J94" s="28">
        <v>0.3</v>
      </c>
      <c r="K94" s="48">
        <f t="shared" si="13"/>
        <v>0.6825</v>
      </c>
      <c r="L94" s="17">
        <f t="shared" si="14"/>
        <v>0.500175</v>
      </c>
      <c r="M94" s="32">
        <f t="shared" si="11"/>
        <v>6.057675</v>
      </c>
      <c r="N94" s="28">
        <f t="shared" si="12"/>
        <v>1059.608511</v>
      </c>
      <c r="O94" s="46" t="s">
        <v>244</v>
      </c>
    </row>
    <row r="95" s="1" customFormat="1" ht="48" outlineLevel="1" spans="1:15">
      <c r="A95" s="24">
        <v>31</v>
      </c>
      <c r="B95" s="30" t="s">
        <v>242</v>
      </c>
      <c r="C95" s="31" t="s">
        <v>245</v>
      </c>
      <c r="D95" s="32" t="s">
        <v>61</v>
      </c>
      <c r="E95" s="32">
        <v>305.46</v>
      </c>
      <c r="F95" s="28">
        <v>3</v>
      </c>
      <c r="G95" s="28">
        <f t="shared" si="15"/>
        <v>2.415</v>
      </c>
      <c r="H95" s="28">
        <v>2.3</v>
      </c>
      <c r="I95" s="47">
        <v>0.05</v>
      </c>
      <c r="J95" s="28">
        <v>0.3</v>
      </c>
      <c r="K95" s="48">
        <f t="shared" si="13"/>
        <v>0.8001</v>
      </c>
      <c r="L95" s="17">
        <f t="shared" si="14"/>
        <v>0.586359</v>
      </c>
      <c r="M95" s="32">
        <f t="shared" si="11"/>
        <v>7.101459</v>
      </c>
      <c r="N95" s="28">
        <f t="shared" si="12"/>
        <v>2169.21166614</v>
      </c>
      <c r="O95" s="46" t="s">
        <v>244</v>
      </c>
    </row>
    <row r="96" s="1" customFormat="1" ht="48" outlineLevel="1" spans="1:15">
      <c r="A96" s="24">
        <v>32</v>
      </c>
      <c r="B96" s="30" t="s">
        <v>246</v>
      </c>
      <c r="C96" s="31" t="s">
        <v>247</v>
      </c>
      <c r="D96" s="32" t="s">
        <v>61</v>
      </c>
      <c r="E96" s="32">
        <v>16.06</v>
      </c>
      <c r="F96" s="28">
        <v>5</v>
      </c>
      <c r="G96" s="28">
        <f t="shared" si="15"/>
        <v>2.625</v>
      </c>
      <c r="H96" s="28">
        <v>2.5</v>
      </c>
      <c r="I96" s="47">
        <v>0.05</v>
      </c>
      <c r="J96" s="28">
        <v>0.5</v>
      </c>
      <c r="K96" s="48">
        <f t="shared" si="13"/>
        <v>1.1375</v>
      </c>
      <c r="L96" s="17">
        <f t="shared" si="14"/>
        <v>0.833625</v>
      </c>
      <c r="M96" s="32">
        <f t="shared" si="11"/>
        <v>10.096125</v>
      </c>
      <c r="N96" s="28">
        <f t="shared" si="12"/>
        <v>162.1437675</v>
      </c>
      <c r="O96" s="46" t="s">
        <v>248</v>
      </c>
    </row>
    <row r="97" s="1" customFormat="1" ht="48" outlineLevel="1" spans="1:15">
      <c r="A97" s="24">
        <v>33</v>
      </c>
      <c r="B97" s="30" t="s">
        <v>249</v>
      </c>
      <c r="C97" s="31" t="s">
        <v>250</v>
      </c>
      <c r="D97" s="32" t="s">
        <v>61</v>
      </c>
      <c r="E97" s="32">
        <v>3.56</v>
      </c>
      <c r="F97" s="28">
        <v>5</v>
      </c>
      <c r="G97" s="28">
        <f t="shared" si="15"/>
        <v>1.575</v>
      </c>
      <c r="H97" s="28">
        <v>1.5</v>
      </c>
      <c r="I97" s="47">
        <v>0.05</v>
      </c>
      <c r="J97" s="28">
        <v>0.5</v>
      </c>
      <c r="K97" s="48">
        <f t="shared" si="13"/>
        <v>0.9905</v>
      </c>
      <c r="L97" s="17">
        <f t="shared" si="14"/>
        <v>0.725895</v>
      </c>
      <c r="M97" s="32">
        <f t="shared" si="11"/>
        <v>8.791395</v>
      </c>
      <c r="N97" s="28">
        <f t="shared" si="12"/>
        <v>31.2973662</v>
      </c>
      <c r="O97" s="46"/>
    </row>
    <row r="98" s="1" customFormat="1" ht="48" outlineLevel="1" spans="1:15">
      <c r="A98" s="24">
        <v>34</v>
      </c>
      <c r="B98" s="30" t="s">
        <v>251</v>
      </c>
      <c r="C98" s="31" t="s">
        <v>252</v>
      </c>
      <c r="D98" s="32" t="s">
        <v>61</v>
      </c>
      <c r="E98" s="32">
        <v>4.79</v>
      </c>
      <c r="F98" s="28">
        <v>5</v>
      </c>
      <c r="G98" s="28">
        <f t="shared" si="15"/>
        <v>3.675</v>
      </c>
      <c r="H98" s="28">
        <v>3.5</v>
      </c>
      <c r="I98" s="47">
        <v>0.05</v>
      </c>
      <c r="J98" s="28">
        <v>0.5</v>
      </c>
      <c r="K98" s="48">
        <f t="shared" si="13"/>
        <v>1.2845</v>
      </c>
      <c r="L98" s="17">
        <f t="shared" si="14"/>
        <v>0.941355</v>
      </c>
      <c r="M98" s="32">
        <f t="shared" si="11"/>
        <v>11.400855</v>
      </c>
      <c r="N98" s="28">
        <f t="shared" si="12"/>
        <v>54.61009545</v>
      </c>
      <c r="O98" s="46"/>
    </row>
    <row r="99" s="1" customFormat="1" spans="1:15">
      <c r="A99" s="24">
        <v>35</v>
      </c>
      <c r="B99" s="33" t="s">
        <v>32</v>
      </c>
      <c r="C99" s="33"/>
      <c r="D99" s="33" t="s">
        <v>253</v>
      </c>
      <c r="E99" s="34"/>
      <c r="F99" s="24"/>
      <c r="G99" s="34"/>
      <c r="H99" s="34"/>
      <c r="I99" s="49"/>
      <c r="J99" s="34"/>
      <c r="K99" s="48"/>
      <c r="L99" s="17"/>
      <c r="M99" s="32"/>
      <c r="N99" s="28">
        <f>SUM(N65:N98)</f>
        <v>7643.55772629</v>
      </c>
      <c r="O99" s="46"/>
    </row>
    <row r="100" s="1" customFormat="1" spans="1:15">
      <c r="A100" s="24" t="s">
        <v>254</v>
      </c>
      <c r="B100" s="22" t="s">
        <v>292</v>
      </c>
      <c r="C100" s="22" t="s">
        <v>172</v>
      </c>
      <c r="D100" s="22" t="s">
        <v>173</v>
      </c>
      <c r="E100" s="34"/>
      <c r="F100" s="24"/>
      <c r="G100" s="34"/>
      <c r="H100" s="34"/>
      <c r="I100" s="49"/>
      <c r="J100" s="34"/>
      <c r="K100" s="48"/>
      <c r="L100" s="17"/>
      <c r="M100" s="32"/>
      <c r="N100" s="28"/>
      <c r="O100" s="46"/>
    </row>
    <row r="101" s="1" customFormat="1" ht="48" outlineLevel="1" spans="1:15">
      <c r="A101" s="24">
        <v>1</v>
      </c>
      <c r="B101" s="25" t="s">
        <v>256</v>
      </c>
      <c r="C101" s="26" t="s">
        <v>257</v>
      </c>
      <c r="D101" s="25" t="s">
        <v>258</v>
      </c>
      <c r="E101" s="24">
        <v>1</v>
      </c>
      <c r="F101" s="24">
        <v>80</v>
      </c>
      <c r="G101" s="24">
        <f>H101*(1+I101)</f>
        <v>650</v>
      </c>
      <c r="H101" s="24">
        <v>650</v>
      </c>
      <c r="I101" s="49">
        <v>0</v>
      </c>
      <c r="J101" s="24">
        <v>15</v>
      </c>
      <c r="K101" s="48">
        <f t="shared" si="13"/>
        <v>104.3</v>
      </c>
      <c r="L101" s="17">
        <f t="shared" si="14"/>
        <v>76.437</v>
      </c>
      <c r="M101" s="32">
        <f t="shared" ref="M101:M117" si="16">F101+G101+J101+K101+L101</f>
        <v>925.737</v>
      </c>
      <c r="N101" s="28">
        <f t="shared" ref="N101:N117" si="17">M101*E101</f>
        <v>925.737</v>
      </c>
      <c r="O101" s="46" t="s">
        <v>116</v>
      </c>
    </row>
    <row r="102" s="1" customFormat="1" ht="48" outlineLevel="1" spans="1:15">
      <c r="A102" s="24">
        <v>2</v>
      </c>
      <c r="B102" s="25" t="s">
        <v>259</v>
      </c>
      <c r="C102" s="26" t="s">
        <v>293</v>
      </c>
      <c r="D102" s="25" t="s">
        <v>258</v>
      </c>
      <c r="E102" s="24">
        <v>1</v>
      </c>
      <c r="F102" s="24">
        <v>300</v>
      </c>
      <c r="G102" s="24">
        <f>H102*(1+I102)</f>
        <v>750</v>
      </c>
      <c r="H102" s="24">
        <v>750</v>
      </c>
      <c r="I102" s="50">
        <v>0</v>
      </c>
      <c r="J102" s="24">
        <v>10</v>
      </c>
      <c r="K102" s="48">
        <f t="shared" si="13"/>
        <v>148.4</v>
      </c>
      <c r="L102" s="17">
        <f t="shared" si="14"/>
        <v>108.756</v>
      </c>
      <c r="M102" s="32">
        <f t="shared" si="16"/>
        <v>1317.156</v>
      </c>
      <c r="N102" s="28">
        <f t="shared" si="17"/>
        <v>1317.156</v>
      </c>
      <c r="O102" s="46" t="s">
        <v>261</v>
      </c>
    </row>
    <row r="103" s="1" customFormat="1" ht="48" outlineLevel="1" spans="1:15">
      <c r="A103" s="24">
        <v>3</v>
      </c>
      <c r="B103" s="25" t="s">
        <v>262</v>
      </c>
      <c r="C103" s="26" t="s">
        <v>263</v>
      </c>
      <c r="D103" s="25" t="s">
        <v>258</v>
      </c>
      <c r="E103" s="24">
        <v>1</v>
      </c>
      <c r="F103" s="24">
        <v>80</v>
      </c>
      <c r="G103" s="24">
        <f>H103*(1+I103)</f>
        <v>580</v>
      </c>
      <c r="H103" s="24">
        <v>580</v>
      </c>
      <c r="I103" s="50">
        <v>0</v>
      </c>
      <c r="J103" s="24">
        <v>20</v>
      </c>
      <c r="K103" s="48">
        <f t="shared" si="13"/>
        <v>95.2</v>
      </c>
      <c r="L103" s="17">
        <f t="shared" si="14"/>
        <v>69.768</v>
      </c>
      <c r="M103" s="32">
        <f t="shared" si="16"/>
        <v>844.968</v>
      </c>
      <c r="N103" s="28">
        <f t="shared" si="17"/>
        <v>844.968</v>
      </c>
      <c r="O103" s="46" t="s">
        <v>116</v>
      </c>
    </row>
    <row r="104" s="1" customFormat="1" ht="60" outlineLevel="1" spans="1:15">
      <c r="A104" s="24">
        <v>4</v>
      </c>
      <c r="B104" s="25" t="s">
        <v>264</v>
      </c>
      <c r="C104" s="26" t="s">
        <v>265</v>
      </c>
      <c r="D104" s="25" t="s">
        <v>258</v>
      </c>
      <c r="E104" s="24">
        <v>1</v>
      </c>
      <c r="F104" s="24">
        <v>100</v>
      </c>
      <c r="G104" s="24">
        <f>H104*(1+I104)</f>
        <v>1580</v>
      </c>
      <c r="H104" s="24">
        <v>1580</v>
      </c>
      <c r="I104" s="50">
        <v>0</v>
      </c>
      <c r="J104" s="24">
        <v>30</v>
      </c>
      <c r="K104" s="48">
        <f t="shared" si="13"/>
        <v>239.4</v>
      </c>
      <c r="L104" s="17">
        <f t="shared" si="14"/>
        <v>175.446</v>
      </c>
      <c r="M104" s="32">
        <f t="shared" si="16"/>
        <v>2124.846</v>
      </c>
      <c r="N104" s="28">
        <f t="shared" si="17"/>
        <v>2124.846</v>
      </c>
      <c r="O104" s="46" t="s">
        <v>116</v>
      </c>
    </row>
    <row r="105" s="1" customFormat="1" ht="48" outlineLevel="1" spans="1:15">
      <c r="A105" s="24">
        <v>5</v>
      </c>
      <c r="B105" s="25" t="s">
        <v>266</v>
      </c>
      <c r="C105" s="26" t="s">
        <v>267</v>
      </c>
      <c r="D105" s="25" t="s">
        <v>258</v>
      </c>
      <c r="E105" s="24">
        <v>1</v>
      </c>
      <c r="F105" s="24">
        <v>15</v>
      </c>
      <c r="G105" s="24">
        <f>H105*(1+I105)</f>
        <v>40</v>
      </c>
      <c r="H105" s="24">
        <v>40</v>
      </c>
      <c r="I105" s="50">
        <v>0</v>
      </c>
      <c r="J105" s="24">
        <v>5</v>
      </c>
      <c r="K105" s="48">
        <f t="shared" si="13"/>
        <v>8.4</v>
      </c>
      <c r="L105" s="17">
        <f t="shared" si="14"/>
        <v>6.156</v>
      </c>
      <c r="M105" s="32">
        <f t="shared" si="16"/>
        <v>74.556</v>
      </c>
      <c r="N105" s="28">
        <f t="shared" si="17"/>
        <v>74.556</v>
      </c>
      <c r="O105" s="46" t="s">
        <v>116</v>
      </c>
    </row>
    <row r="106" s="1" customFormat="1" ht="48" outlineLevel="1" spans="1:15">
      <c r="A106" s="24">
        <v>6</v>
      </c>
      <c r="B106" s="25" t="s">
        <v>268</v>
      </c>
      <c r="C106" s="26" t="s">
        <v>269</v>
      </c>
      <c r="D106" s="25" t="s">
        <v>258</v>
      </c>
      <c r="E106" s="24">
        <v>1</v>
      </c>
      <c r="F106" s="24">
        <v>15</v>
      </c>
      <c r="G106" s="24">
        <f t="shared" ref="G106:G117" si="18">H106*(1+I106)</f>
        <v>30</v>
      </c>
      <c r="H106" s="24">
        <v>30</v>
      </c>
      <c r="I106" s="50">
        <v>0</v>
      </c>
      <c r="J106" s="24">
        <v>2</v>
      </c>
      <c r="K106" s="48">
        <f t="shared" si="13"/>
        <v>6.58</v>
      </c>
      <c r="L106" s="17">
        <f t="shared" si="14"/>
        <v>4.8222</v>
      </c>
      <c r="M106" s="32">
        <f t="shared" si="16"/>
        <v>58.4022</v>
      </c>
      <c r="N106" s="28">
        <f t="shared" si="17"/>
        <v>58.4022</v>
      </c>
      <c r="O106" s="46" t="s">
        <v>116</v>
      </c>
    </row>
    <row r="107" s="1" customFormat="1" ht="33.75" outlineLevel="1" spans="1:15">
      <c r="A107" s="24">
        <v>7</v>
      </c>
      <c r="B107" s="35" t="s">
        <v>270</v>
      </c>
      <c r="C107" s="36" t="s">
        <v>271</v>
      </c>
      <c r="D107" s="35" t="s">
        <v>258</v>
      </c>
      <c r="E107" s="24">
        <v>2</v>
      </c>
      <c r="F107" s="24">
        <v>15</v>
      </c>
      <c r="G107" s="24">
        <f t="shared" si="18"/>
        <v>30</v>
      </c>
      <c r="H107" s="24">
        <v>30</v>
      </c>
      <c r="I107" s="50">
        <v>0</v>
      </c>
      <c r="J107" s="24">
        <v>2</v>
      </c>
      <c r="K107" s="48">
        <f t="shared" si="13"/>
        <v>6.58</v>
      </c>
      <c r="L107" s="17">
        <f t="shared" si="14"/>
        <v>4.8222</v>
      </c>
      <c r="M107" s="32">
        <f t="shared" si="16"/>
        <v>58.4022</v>
      </c>
      <c r="N107" s="28">
        <f t="shared" si="17"/>
        <v>116.8044</v>
      </c>
      <c r="O107" s="46" t="s">
        <v>116</v>
      </c>
    </row>
    <row r="108" s="1" customFormat="1" ht="36" outlineLevel="1" spans="1:15">
      <c r="A108" s="24">
        <v>8</v>
      </c>
      <c r="B108" s="25" t="s">
        <v>272</v>
      </c>
      <c r="C108" s="26" t="s">
        <v>273</v>
      </c>
      <c r="D108" s="25" t="s">
        <v>258</v>
      </c>
      <c r="E108" s="24">
        <v>1</v>
      </c>
      <c r="F108" s="24">
        <v>100</v>
      </c>
      <c r="G108" s="24">
        <f t="shared" si="18"/>
        <v>1500</v>
      </c>
      <c r="H108" s="24">
        <v>1500</v>
      </c>
      <c r="I108" s="50">
        <v>0</v>
      </c>
      <c r="J108" s="24">
        <v>20</v>
      </c>
      <c r="K108" s="48">
        <f t="shared" si="13"/>
        <v>226.8</v>
      </c>
      <c r="L108" s="17">
        <f t="shared" si="14"/>
        <v>166.212</v>
      </c>
      <c r="M108" s="32">
        <f t="shared" si="16"/>
        <v>2013.012</v>
      </c>
      <c r="N108" s="28">
        <f t="shared" si="17"/>
        <v>2013.012</v>
      </c>
      <c r="O108" s="46" t="s">
        <v>274</v>
      </c>
    </row>
    <row r="109" s="1" customFormat="1" ht="36" outlineLevel="1" spans="1:15">
      <c r="A109" s="24">
        <v>9</v>
      </c>
      <c r="B109" s="25" t="s">
        <v>275</v>
      </c>
      <c r="C109" s="26" t="s">
        <v>276</v>
      </c>
      <c r="D109" s="25" t="s">
        <v>258</v>
      </c>
      <c r="E109" s="24">
        <v>1</v>
      </c>
      <c r="F109" s="24">
        <v>300</v>
      </c>
      <c r="G109" s="24">
        <f t="shared" si="18"/>
        <v>600</v>
      </c>
      <c r="H109" s="24">
        <v>600</v>
      </c>
      <c r="I109" s="50">
        <v>0</v>
      </c>
      <c r="J109" s="24">
        <v>30</v>
      </c>
      <c r="K109" s="48">
        <f t="shared" si="13"/>
        <v>130.2</v>
      </c>
      <c r="L109" s="17">
        <f t="shared" si="14"/>
        <v>95.418</v>
      </c>
      <c r="M109" s="32">
        <f t="shared" si="16"/>
        <v>1155.618</v>
      </c>
      <c r="N109" s="28">
        <f t="shared" si="17"/>
        <v>1155.618</v>
      </c>
      <c r="O109" s="46" t="s">
        <v>274</v>
      </c>
    </row>
    <row r="110" s="1" customFormat="1" ht="60" outlineLevel="1" spans="1:15">
      <c r="A110" s="24">
        <v>10</v>
      </c>
      <c r="B110" s="25" t="s">
        <v>277</v>
      </c>
      <c r="C110" s="26" t="s">
        <v>278</v>
      </c>
      <c r="D110" s="25" t="s">
        <v>258</v>
      </c>
      <c r="E110" s="24">
        <v>1</v>
      </c>
      <c r="F110" s="24">
        <v>80</v>
      </c>
      <c r="G110" s="24">
        <f t="shared" si="18"/>
        <v>650</v>
      </c>
      <c r="H110" s="24">
        <v>650</v>
      </c>
      <c r="I110" s="50">
        <v>0</v>
      </c>
      <c r="J110" s="24">
        <v>10</v>
      </c>
      <c r="K110" s="48">
        <f t="shared" si="13"/>
        <v>103.6</v>
      </c>
      <c r="L110" s="17">
        <f t="shared" si="14"/>
        <v>75.924</v>
      </c>
      <c r="M110" s="32">
        <f t="shared" si="16"/>
        <v>919.524</v>
      </c>
      <c r="N110" s="28">
        <f t="shared" si="17"/>
        <v>919.524</v>
      </c>
      <c r="O110" s="46" t="s">
        <v>116</v>
      </c>
    </row>
    <row r="111" s="1" customFormat="1" ht="48" outlineLevel="1" spans="1:15">
      <c r="A111" s="24">
        <v>11</v>
      </c>
      <c r="B111" s="25" t="s">
        <v>279</v>
      </c>
      <c r="C111" s="26" t="s">
        <v>280</v>
      </c>
      <c r="D111" s="25" t="s">
        <v>115</v>
      </c>
      <c r="E111" s="24">
        <v>1</v>
      </c>
      <c r="F111" s="24">
        <v>5</v>
      </c>
      <c r="G111" s="24">
        <f t="shared" si="18"/>
        <v>22</v>
      </c>
      <c r="H111" s="24">
        <v>22</v>
      </c>
      <c r="I111" s="50">
        <v>0</v>
      </c>
      <c r="J111" s="24">
        <v>2</v>
      </c>
      <c r="K111" s="48">
        <f t="shared" si="13"/>
        <v>4.06</v>
      </c>
      <c r="L111" s="17">
        <f t="shared" si="14"/>
        <v>2.9754</v>
      </c>
      <c r="M111" s="32">
        <f t="shared" si="16"/>
        <v>36.0354</v>
      </c>
      <c r="N111" s="28">
        <f t="shared" si="17"/>
        <v>36.0354</v>
      </c>
      <c r="O111" s="46" t="s">
        <v>281</v>
      </c>
    </row>
    <row r="112" s="1" customFormat="1" ht="48" outlineLevel="1" spans="1:15">
      <c r="A112" s="24">
        <v>12</v>
      </c>
      <c r="B112" s="25" t="s">
        <v>279</v>
      </c>
      <c r="C112" s="26" t="s">
        <v>282</v>
      </c>
      <c r="D112" s="25" t="s">
        <v>115</v>
      </c>
      <c r="E112" s="24">
        <v>1</v>
      </c>
      <c r="F112" s="24">
        <v>5</v>
      </c>
      <c r="G112" s="24">
        <f t="shared" si="18"/>
        <v>20</v>
      </c>
      <c r="H112" s="24">
        <v>20</v>
      </c>
      <c r="I112" s="50">
        <v>0</v>
      </c>
      <c r="J112" s="24">
        <v>2</v>
      </c>
      <c r="K112" s="48">
        <f t="shared" si="13"/>
        <v>3.78</v>
      </c>
      <c r="L112" s="17">
        <f t="shared" si="14"/>
        <v>2.7702</v>
      </c>
      <c r="M112" s="32">
        <f t="shared" si="16"/>
        <v>33.5502</v>
      </c>
      <c r="N112" s="28">
        <f t="shared" si="17"/>
        <v>33.5502</v>
      </c>
      <c r="O112" s="46" t="s">
        <v>281</v>
      </c>
    </row>
    <row r="113" s="1" customFormat="1" ht="36" outlineLevel="1" spans="1:15">
      <c r="A113" s="24">
        <v>13</v>
      </c>
      <c r="B113" s="25" t="s">
        <v>283</v>
      </c>
      <c r="C113" s="26" t="s">
        <v>284</v>
      </c>
      <c r="D113" s="25" t="s">
        <v>115</v>
      </c>
      <c r="E113" s="24">
        <v>1</v>
      </c>
      <c r="F113" s="24">
        <v>15</v>
      </c>
      <c r="G113" s="24">
        <f t="shared" si="18"/>
        <v>50</v>
      </c>
      <c r="H113" s="24">
        <v>50</v>
      </c>
      <c r="I113" s="50">
        <v>0</v>
      </c>
      <c r="J113" s="24">
        <v>5</v>
      </c>
      <c r="K113" s="48">
        <f t="shared" si="13"/>
        <v>9.8</v>
      </c>
      <c r="L113" s="17">
        <f t="shared" si="14"/>
        <v>7.182</v>
      </c>
      <c r="M113" s="32">
        <f t="shared" si="16"/>
        <v>86.982</v>
      </c>
      <c r="N113" s="28">
        <f t="shared" si="17"/>
        <v>86.982</v>
      </c>
      <c r="O113" s="46"/>
    </row>
    <row r="114" s="1" customFormat="1" ht="48" outlineLevel="1" spans="1:15">
      <c r="A114" s="24">
        <v>14</v>
      </c>
      <c r="B114" s="25" t="s">
        <v>285</v>
      </c>
      <c r="C114" s="37" t="s">
        <v>286</v>
      </c>
      <c r="D114" s="32" t="s">
        <v>61</v>
      </c>
      <c r="E114" s="38">
        <v>4.3</v>
      </c>
      <c r="F114" s="24">
        <v>12</v>
      </c>
      <c r="G114" s="24">
        <f t="shared" si="18"/>
        <v>7.35</v>
      </c>
      <c r="H114" s="24">
        <v>7</v>
      </c>
      <c r="I114" s="50">
        <v>0.05</v>
      </c>
      <c r="J114" s="24">
        <v>1</v>
      </c>
      <c r="K114" s="48">
        <f t="shared" si="13"/>
        <v>2.849</v>
      </c>
      <c r="L114" s="17">
        <f t="shared" si="14"/>
        <v>2.08791</v>
      </c>
      <c r="M114" s="32">
        <f t="shared" si="16"/>
        <v>25.28691</v>
      </c>
      <c r="N114" s="28">
        <f t="shared" si="17"/>
        <v>108.733713</v>
      </c>
      <c r="O114" s="46" t="s">
        <v>281</v>
      </c>
    </row>
    <row r="115" s="1" customFormat="1" ht="48" outlineLevel="1" spans="1:15">
      <c r="A115" s="24">
        <v>15</v>
      </c>
      <c r="B115" s="25" t="s">
        <v>285</v>
      </c>
      <c r="C115" s="37" t="s">
        <v>287</v>
      </c>
      <c r="D115" s="32" t="s">
        <v>61</v>
      </c>
      <c r="E115" s="38">
        <v>10.58</v>
      </c>
      <c r="F115" s="24">
        <v>12</v>
      </c>
      <c r="G115" s="24">
        <f t="shared" si="18"/>
        <v>5.25</v>
      </c>
      <c r="H115" s="24">
        <v>5</v>
      </c>
      <c r="I115" s="50">
        <v>0.05</v>
      </c>
      <c r="J115" s="24">
        <v>1</v>
      </c>
      <c r="K115" s="48">
        <f t="shared" si="13"/>
        <v>2.555</v>
      </c>
      <c r="L115" s="17">
        <f t="shared" si="14"/>
        <v>1.87245</v>
      </c>
      <c r="M115" s="32">
        <f t="shared" si="16"/>
        <v>22.67745</v>
      </c>
      <c r="N115" s="28">
        <f t="shared" si="17"/>
        <v>239.927421</v>
      </c>
      <c r="O115" s="46" t="s">
        <v>281</v>
      </c>
    </row>
    <row r="116" s="1" customFormat="1" ht="48" outlineLevel="1" spans="1:15">
      <c r="A116" s="24">
        <v>16</v>
      </c>
      <c r="B116" s="25" t="s">
        <v>285</v>
      </c>
      <c r="C116" s="37" t="s">
        <v>288</v>
      </c>
      <c r="D116" s="32" t="s">
        <v>61</v>
      </c>
      <c r="E116" s="38">
        <v>0.5</v>
      </c>
      <c r="F116" s="24">
        <v>12</v>
      </c>
      <c r="G116" s="24">
        <f t="shared" si="18"/>
        <v>8.4</v>
      </c>
      <c r="H116" s="24">
        <v>8</v>
      </c>
      <c r="I116" s="50">
        <v>0.05</v>
      </c>
      <c r="J116" s="24">
        <v>1</v>
      </c>
      <c r="K116" s="48">
        <f t="shared" si="13"/>
        <v>2.996</v>
      </c>
      <c r="L116" s="17">
        <f t="shared" si="14"/>
        <v>2.19564</v>
      </c>
      <c r="M116" s="32">
        <f t="shared" si="16"/>
        <v>26.59164</v>
      </c>
      <c r="N116" s="28">
        <f t="shared" si="17"/>
        <v>13.29582</v>
      </c>
      <c r="O116" s="46" t="s">
        <v>281</v>
      </c>
    </row>
    <row r="117" s="1" customFormat="1" ht="48" outlineLevel="1" spans="1:15">
      <c r="A117" s="24">
        <v>17</v>
      </c>
      <c r="B117" s="25" t="s">
        <v>285</v>
      </c>
      <c r="C117" s="37" t="s">
        <v>289</v>
      </c>
      <c r="D117" s="32" t="s">
        <v>61</v>
      </c>
      <c r="E117" s="38">
        <v>6.91</v>
      </c>
      <c r="F117" s="24">
        <v>12</v>
      </c>
      <c r="G117" s="24">
        <f t="shared" si="18"/>
        <v>6.3</v>
      </c>
      <c r="H117" s="24">
        <v>6</v>
      </c>
      <c r="I117" s="50">
        <v>0.05</v>
      </c>
      <c r="J117" s="24">
        <v>1</v>
      </c>
      <c r="K117" s="48">
        <f t="shared" si="13"/>
        <v>2.702</v>
      </c>
      <c r="L117" s="17">
        <f t="shared" si="14"/>
        <v>1.98018</v>
      </c>
      <c r="M117" s="32">
        <f t="shared" si="16"/>
        <v>23.98218</v>
      </c>
      <c r="N117" s="28">
        <f t="shared" si="17"/>
        <v>165.7168638</v>
      </c>
      <c r="O117" s="46" t="s">
        <v>281</v>
      </c>
    </row>
    <row r="118" s="1" customFormat="1" spans="1:15">
      <c r="A118" s="24">
        <v>18</v>
      </c>
      <c r="B118" s="33" t="s">
        <v>32</v>
      </c>
      <c r="C118" s="33"/>
      <c r="D118" s="33" t="s">
        <v>253</v>
      </c>
      <c r="E118" s="34"/>
      <c r="F118" s="24"/>
      <c r="G118" s="34"/>
      <c r="H118" s="34"/>
      <c r="I118" s="49"/>
      <c r="J118" s="34"/>
      <c r="K118" s="48"/>
      <c r="L118" s="17"/>
      <c r="M118" s="32"/>
      <c r="N118" s="28">
        <f>SUM(N101:N117)</f>
        <v>10234.8650178</v>
      </c>
      <c r="O118" s="46"/>
    </row>
    <row r="119" s="1" customFormat="1" spans="1:15">
      <c r="A119" s="24" t="s">
        <v>133</v>
      </c>
      <c r="B119" s="33" t="s">
        <v>294</v>
      </c>
      <c r="C119" s="33" t="s">
        <v>172</v>
      </c>
      <c r="D119" s="33" t="s">
        <v>253</v>
      </c>
      <c r="E119" s="34"/>
      <c r="F119" s="24"/>
      <c r="G119" s="34"/>
      <c r="H119" s="34"/>
      <c r="I119" s="49"/>
      <c r="J119" s="34"/>
      <c r="K119" s="48"/>
      <c r="L119" s="17"/>
      <c r="M119" s="32"/>
      <c r="N119" s="28">
        <f>N118+N99</f>
        <v>17878.42274409</v>
      </c>
      <c r="O119" s="46"/>
    </row>
    <row r="120" s="1" customFormat="1" spans="1:15">
      <c r="A120" s="22" t="s">
        <v>51</v>
      </c>
      <c r="B120" s="22" t="s">
        <v>295</v>
      </c>
      <c r="C120" s="22" t="s">
        <v>172</v>
      </c>
      <c r="D120" s="22" t="s">
        <v>173</v>
      </c>
      <c r="E120" s="23"/>
      <c r="F120" s="17"/>
      <c r="G120" s="17"/>
      <c r="H120" s="17"/>
      <c r="I120" s="43"/>
      <c r="J120" s="17"/>
      <c r="K120" s="48"/>
      <c r="L120" s="17"/>
      <c r="M120" s="17"/>
      <c r="N120" s="17"/>
      <c r="O120" s="46"/>
    </row>
    <row r="121" s="1" customFormat="1" ht="48" outlineLevel="1" spans="1:15">
      <c r="A121" s="24">
        <v>1</v>
      </c>
      <c r="B121" s="25" t="s">
        <v>174</v>
      </c>
      <c r="C121" s="26" t="s">
        <v>175</v>
      </c>
      <c r="D121" s="25" t="s">
        <v>115</v>
      </c>
      <c r="E121" s="27">
        <v>4</v>
      </c>
      <c r="F121" s="28">
        <v>15</v>
      </c>
      <c r="G121" s="28">
        <f t="shared" ref="G121:G128" si="19">H121*(1+I121)</f>
        <v>25.3</v>
      </c>
      <c r="H121" s="28">
        <v>25.3</v>
      </c>
      <c r="I121" s="47">
        <v>0</v>
      </c>
      <c r="J121" s="28">
        <v>1</v>
      </c>
      <c r="K121" s="48">
        <f t="shared" si="13"/>
        <v>5.782</v>
      </c>
      <c r="L121" s="17">
        <f t="shared" si="14"/>
        <v>4.23738</v>
      </c>
      <c r="M121" s="32">
        <f t="shared" ref="M119:M155" si="20">F121+G121+J121+K121+L121</f>
        <v>51.31938</v>
      </c>
      <c r="N121" s="28">
        <f t="shared" ref="N121:N154" si="21">M121*E121</f>
        <v>205.27752</v>
      </c>
      <c r="O121" s="46" t="s">
        <v>176</v>
      </c>
    </row>
    <row r="122" s="1" customFormat="1" ht="48" outlineLevel="1" spans="1:15">
      <c r="A122" s="24">
        <v>2</v>
      </c>
      <c r="B122" s="25" t="s">
        <v>181</v>
      </c>
      <c r="C122" s="26" t="s">
        <v>182</v>
      </c>
      <c r="D122" s="25" t="s">
        <v>115</v>
      </c>
      <c r="E122" s="27">
        <v>1</v>
      </c>
      <c r="F122" s="28">
        <v>15</v>
      </c>
      <c r="G122" s="28">
        <f t="shared" si="19"/>
        <v>55</v>
      </c>
      <c r="H122" s="28">
        <v>55</v>
      </c>
      <c r="I122" s="47">
        <v>0</v>
      </c>
      <c r="J122" s="28">
        <v>1</v>
      </c>
      <c r="K122" s="48">
        <f t="shared" si="13"/>
        <v>9.94</v>
      </c>
      <c r="L122" s="17">
        <f t="shared" si="14"/>
        <v>7.2846</v>
      </c>
      <c r="M122" s="32">
        <f t="shared" si="20"/>
        <v>88.2246</v>
      </c>
      <c r="N122" s="28">
        <f t="shared" si="21"/>
        <v>88.2246</v>
      </c>
      <c r="O122" s="46" t="s">
        <v>176</v>
      </c>
    </row>
    <row r="123" s="1" customFormat="1" ht="48" outlineLevel="1" spans="1:15">
      <c r="A123" s="24">
        <v>3</v>
      </c>
      <c r="B123" s="25" t="s">
        <v>183</v>
      </c>
      <c r="C123" s="26" t="s">
        <v>184</v>
      </c>
      <c r="D123" s="25" t="s">
        <v>115</v>
      </c>
      <c r="E123" s="27">
        <v>3</v>
      </c>
      <c r="F123" s="28">
        <v>18</v>
      </c>
      <c r="G123" s="28">
        <f t="shared" si="19"/>
        <v>200</v>
      </c>
      <c r="H123" s="28">
        <v>200</v>
      </c>
      <c r="I123" s="47">
        <v>0</v>
      </c>
      <c r="J123" s="28">
        <v>1</v>
      </c>
      <c r="K123" s="48">
        <f t="shared" si="13"/>
        <v>30.66</v>
      </c>
      <c r="L123" s="17">
        <f t="shared" si="14"/>
        <v>22.4694</v>
      </c>
      <c r="M123" s="32">
        <f t="shared" si="20"/>
        <v>272.1294</v>
      </c>
      <c r="N123" s="28">
        <f t="shared" si="21"/>
        <v>816.3882</v>
      </c>
      <c r="O123" s="46" t="s">
        <v>176</v>
      </c>
    </row>
    <row r="124" s="1" customFormat="1" ht="48" outlineLevel="1" spans="1:15">
      <c r="A124" s="24">
        <v>4</v>
      </c>
      <c r="B124" s="25" t="s">
        <v>185</v>
      </c>
      <c r="C124" s="26" t="s">
        <v>186</v>
      </c>
      <c r="D124" s="25" t="s">
        <v>115</v>
      </c>
      <c r="E124" s="27">
        <v>1</v>
      </c>
      <c r="F124" s="29">
        <v>18</v>
      </c>
      <c r="G124" s="28">
        <f t="shared" si="19"/>
        <v>110</v>
      </c>
      <c r="H124" s="28">
        <v>110</v>
      </c>
      <c r="I124" s="47">
        <v>0</v>
      </c>
      <c r="J124" s="28">
        <v>1</v>
      </c>
      <c r="K124" s="48">
        <f t="shared" si="13"/>
        <v>18.06</v>
      </c>
      <c r="L124" s="17">
        <f t="shared" si="14"/>
        <v>13.2354</v>
      </c>
      <c r="M124" s="32">
        <f t="shared" si="20"/>
        <v>160.2954</v>
      </c>
      <c r="N124" s="28">
        <f t="shared" si="21"/>
        <v>160.2954</v>
      </c>
      <c r="O124" s="46" t="s">
        <v>176</v>
      </c>
    </row>
    <row r="125" s="1" customFormat="1" ht="48" outlineLevel="1" spans="1:15">
      <c r="A125" s="24">
        <v>5</v>
      </c>
      <c r="B125" s="25" t="s">
        <v>187</v>
      </c>
      <c r="C125" s="26" t="s">
        <v>188</v>
      </c>
      <c r="D125" s="25" t="s">
        <v>115</v>
      </c>
      <c r="E125" s="27">
        <v>1</v>
      </c>
      <c r="F125" s="28">
        <v>30</v>
      </c>
      <c r="G125" s="28">
        <f t="shared" si="19"/>
        <v>500</v>
      </c>
      <c r="H125" s="28">
        <v>500</v>
      </c>
      <c r="I125" s="47">
        <v>0</v>
      </c>
      <c r="J125" s="28">
        <v>10</v>
      </c>
      <c r="K125" s="48">
        <f t="shared" si="13"/>
        <v>75.6</v>
      </c>
      <c r="L125" s="17">
        <f t="shared" si="14"/>
        <v>55.404</v>
      </c>
      <c r="M125" s="32">
        <f t="shared" si="20"/>
        <v>671.004</v>
      </c>
      <c r="N125" s="28">
        <f t="shared" si="21"/>
        <v>671.004</v>
      </c>
      <c r="O125" s="46" t="s">
        <v>176</v>
      </c>
    </row>
    <row r="126" s="1" customFormat="1" ht="48" outlineLevel="1" spans="1:15">
      <c r="A126" s="24">
        <v>6</v>
      </c>
      <c r="B126" s="25" t="s">
        <v>189</v>
      </c>
      <c r="C126" s="26" t="s">
        <v>190</v>
      </c>
      <c r="D126" s="25" t="s">
        <v>115</v>
      </c>
      <c r="E126" s="27">
        <v>1</v>
      </c>
      <c r="F126" s="28">
        <v>18</v>
      </c>
      <c r="G126" s="28">
        <f t="shared" si="19"/>
        <v>60</v>
      </c>
      <c r="H126" s="28">
        <v>60</v>
      </c>
      <c r="I126" s="47">
        <v>0</v>
      </c>
      <c r="J126" s="28">
        <v>1.5</v>
      </c>
      <c r="K126" s="48">
        <f t="shared" si="13"/>
        <v>11.13</v>
      </c>
      <c r="L126" s="17">
        <f t="shared" si="14"/>
        <v>8.1567</v>
      </c>
      <c r="M126" s="32">
        <f t="shared" si="20"/>
        <v>98.7867</v>
      </c>
      <c r="N126" s="28">
        <f t="shared" si="21"/>
        <v>98.7867</v>
      </c>
      <c r="O126" s="46" t="s">
        <v>176</v>
      </c>
    </row>
    <row r="127" s="1" customFormat="1" ht="36" outlineLevel="1" spans="1:15">
      <c r="A127" s="24">
        <v>7</v>
      </c>
      <c r="B127" s="25" t="s">
        <v>191</v>
      </c>
      <c r="C127" s="26" t="s">
        <v>192</v>
      </c>
      <c r="D127" s="25" t="s">
        <v>115</v>
      </c>
      <c r="E127" s="27">
        <v>1</v>
      </c>
      <c r="F127" s="28">
        <v>15</v>
      </c>
      <c r="G127" s="28">
        <f t="shared" si="19"/>
        <v>50</v>
      </c>
      <c r="H127" s="28">
        <v>50</v>
      </c>
      <c r="I127" s="47">
        <v>0</v>
      </c>
      <c r="J127" s="28">
        <v>1.5</v>
      </c>
      <c r="K127" s="48">
        <f t="shared" si="13"/>
        <v>9.31</v>
      </c>
      <c r="L127" s="17">
        <f t="shared" si="14"/>
        <v>6.8229</v>
      </c>
      <c r="M127" s="32">
        <f t="shared" si="20"/>
        <v>82.6329</v>
      </c>
      <c r="N127" s="28">
        <f t="shared" si="21"/>
        <v>82.6329</v>
      </c>
      <c r="O127" s="46" t="s">
        <v>176</v>
      </c>
    </row>
    <row r="128" s="1" customFormat="1" ht="48" outlineLevel="1" spans="1:15">
      <c r="A128" s="24">
        <v>8</v>
      </c>
      <c r="B128" s="25" t="s">
        <v>195</v>
      </c>
      <c r="C128" s="26" t="s">
        <v>196</v>
      </c>
      <c r="D128" s="25" t="s">
        <v>115</v>
      </c>
      <c r="E128" s="27">
        <v>17</v>
      </c>
      <c r="F128" s="28">
        <v>8</v>
      </c>
      <c r="G128" s="28">
        <f t="shared" si="19"/>
        <v>16</v>
      </c>
      <c r="H128" s="28">
        <v>16</v>
      </c>
      <c r="I128" s="47">
        <v>0</v>
      </c>
      <c r="J128" s="28">
        <v>0.5</v>
      </c>
      <c r="K128" s="48">
        <f t="shared" si="13"/>
        <v>3.43</v>
      </c>
      <c r="L128" s="17">
        <f t="shared" si="14"/>
        <v>2.5137</v>
      </c>
      <c r="M128" s="32">
        <f t="shared" si="20"/>
        <v>30.4437</v>
      </c>
      <c r="N128" s="28">
        <f t="shared" si="21"/>
        <v>517.5429</v>
      </c>
      <c r="O128" s="46" t="s">
        <v>197</v>
      </c>
    </row>
    <row r="129" s="1" customFormat="1" ht="48" outlineLevel="1" spans="1:15">
      <c r="A129" s="24">
        <v>9</v>
      </c>
      <c r="B129" s="25" t="s">
        <v>198</v>
      </c>
      <c r="C129" s="26" t="s">
        <v>199</v>
      </c>
      <c r="D129" s="25" t="s">
        <v>115</v>
      </c>
      <c r="E129" s="27">
        <v>1</v>
      </c>
      <c r="F129" s="28">
        <v>8</v>
      </c>
      <c r="G129" s="28">
        <f t="shared" ref="G129:G154" si="22">H129*(1+I129)</f>
        <v>18</v>
      </c>
      <c r="H129" s="28">
        <v>18</v>
      </c>
      <c r="I129" s="47">
        <v>0</v>
      </c>
      <c r="J129" s="28">
        <v>0.5</v>
      </c>
      <c r="K129" s="48">
        <f t="shared" si="13"/>
        <v>3.71</v>
      </c>
      <c r="L129" s="17">
        <f t="shared" si="14"/>
        <v>2.7189</v>
      </c>
      <c r="M129" s="32">
        <f t="shared" si="20"/>
        <v>32.9289</v>
      </c>
      <c r="N129" s="28">
        <f t="shared" si="21"/>
        <v>32.9289</v>
      </c>
      <c r="O129" s="46" t="s">
        <v>197</v>
      </c>
    </row>
    <row r="130" s="1" customFormat="1" ht="48" outlineLevel="1" spans="1:15">
      <c r="A130" s="24">
        <v>10</v>
      </c>
      <c r="B130" s="25" t="s">
        <v>200</v>
      </c>
      <c r="C130" s="26" t="s">
        <v>201</v>
      </c>
      <c r="D130" s="25" t="s">
        <v>115</v>
      </c>
      <c r="E130" s="27">
        <v>1</v>
      </c>
      <c r="F130" s="28">
        <v>8</v>
      </c>
      <c r="G130" s="28">
        <f t="shared" si="22"/>
        <v>18</v>
      </c>
      <c r="H130" s="28">
        <v>18</v>
      </c>
      <c r="I130" s="47">
        <v>0</v>
      </c>
      <c r="J130" s="28">
        <v>0.5</v>
      </c>
      <c r="K130" s="48">
        <f t="shared" si="13"/>
        <v>3.71</v>
      </c>
      <c r="L130" s="17">
        <f t="shared" si="14"/>
        <v>2.7189</v>
      </c>
      <c r="M130" s="32">
        <f t="shared" si="20"/>
        <v>32.9289</v>
      </c>
      <c r="N130" s="28">
        <f t="shared" si="21"/>
        <v>32.9289</v>
      </c>
      <c r="O130" s="46" t="s">
        <v>197</v>
      </c>
    </row>
    <row r="131" s="1" customFormat="1" ht="48" outlineLevel="1" spans="1:15">
      <c r="A131" s="24">
        <v>11</v>
      </c>
      <c r="B131" s="25" t="s">
        <v>202</v>
      </c>
      <c r="C131" s="26" t="s">
        <v>203</v>
      </c>
      <c r="D131" s="25" t="s">
        <v>115</v>
      </c>
      <c r="E131" s="27">
        <v>1</v>
      </c>
      <c r="F131" s="28">
        <v>8</v>
      </c>
      <c r="G131" s="28">
        <f t="shared" si="22"/>
        <v>27</v>
      </c>
      <c r="H131" s="28">
        <v>27</v>
      </c>
      <c r="I131" s="47">
        <v>0</v>
      </c>
      <c r="J131" s="28">
        <v>0.5</v>
      </c>
      <c r="K131" s="48">
        <f t="shared" si="13"/>
        <v>4.97</v>
      </c>
      <c r="L131" s="17">
        <f t="shared" si="14"/>
        <v>3.6423</v>
      </c>
      <c r="M131" s="32">
        <f t="shared" si="20"/>
        <v>44.1123</v>
      </c>
      <c r="N131" s="28">
        <f t="shared" si="21"/>
        <v>44.1123</v>
      </c>
      <c r="O131" s="46" t="s">
        <v>197</v>
      </c>
    </row>
    <row r="132" s="1" customFormat="1" ht="48" outlineLevel="1" spans="1:15">
      <c r="A132" s="24">
        <v>12</v>
      </c>
      <c r="B132" s="25" t="s">
        <v>204</v>
      </c>
      <c r="C132" s="26" t="s">
        <v>205</v>
      </c>
      <c r="D132" s="25" t="s">
        <v>115</v>
      </c>
      <c r="E132" s="27">
        <v>1</v>
      </c>
      <c r="F132" s="28">
        <v>8</v>
      </c>
      <c r="G132" s="28">
        <f t="shared" si="22"/>
        <v>27</v>
      </c>
      <c r="H132" s="28">
        <v>27</v>
      </c>
      <c r="I132" s="47">
        <v>0</v>
      </c>
      <c r="J132" s="28">
        <v>0.5</v>
      </c>
      <c r="K132" s="48">
        <f t="shared" si="13"/>
        <v>4.97</v>
      </c>
      <c r="L132" s="17">
        <f t="shared" si="14"/>
        <v>3.6423</v>
      </c>
      <c r="M132" s="32">
        <f t="shared" si="20"/>
        <v>44.1123</v>
      </c>
      <c r="N132" s="28">
        <f t="shared" si="21"/>
        <v>44.1123</v>
      </c>
      <c r="O132" s="46" t="s">
        <v>197</v>
      </c>
    </row>
    <row r="133" s="1" customFormat="1" ht="48" outlineLevel="1" spans="1:15">
      <c r="A133" s="24">
        <v>13</v>
      </c>
      <c r="B133" s="25" t="s">
        <v>206</v>
      </c>
      <c r="C133" s="26" t="s">
        <v>207</v>
      </c>
      <c r="D133" s="25" t="s">
        <v>115</v>
      </c>
      <c r="E133" s="27">
        <v>1</v>
      </c>
      <c r="F133" s="28">
        <v>8</v>
      </c>
      <c r="G133" s="28">
        <f t="shared" si="22"/>
        <v>46</v>
      </c>
      <c r="H133" s="28">
        <v>46</v>
      </c>
      <c r="I133" s="47">
        <v>0</v>
      </c>
      <c r="J133" s="28">
        <v>0.5</v>
      </c>
      <c r="K133" s="48">
        <f t="shared" si="13"/>
        <v>7.63</v>
      </c>
      <c r="L133" s="17">
        <f t="shared" si="14"/>
        <v>5.5917</v>
      </c>
      <c r="M133" s="32">
        <f t="shared" si="20"/>
        <v>67.7217</v>
      </c>
      <c r="N133" s="28">
        <f t="shared" si="21"/>
        <v>67.7217</v>
      </c>
      <c r="O133" s="46" t="s">
        <v>197</v>
      </c>
    </row>
    <row r="134" s="1" customFormat="1" ht="48" outlineLevel="1" spans="1:15">
      <c r="A134" s="24">
        <v>14</v>
      </c>
      <c r="B134" s="25" t="s">
        <v>208</v>
      </c>
      <c r="C134" s="26" t="s">
        <v>209</v>
      </c>
      <c r="D134" s="25" t="s">
        <v>115</v>
      </c>
      <c r="E134" s="27">
        <v>1</v>
      </c>
      <c r="F134" s="28">
        <v>8</v>
      </c>
      <c r="G134" s="28">
        <f t="shared" si="22"/>
        <v>27</v>
      </c>
      <c r="H134" s="28">
        <v>27</v>
      </c>
      <c r="I134" s="47">
        <v>0</v>
      </c>
      <c r="J134" s="28">
        <v>0.5</v>
      </c>
      <c r="K134" s="48">
        <f t="shared" si="13"/>
        <v>4.97</v>
      </c>
      <c r="L134" s="17">
        <f t="shared" si="14"/>
        <v>3.6423</v>
      </c>
      <c r="M134" s="32">
        <f t="shared" si="20"/>
        <v>44.1123</v>
      </c>
      <c r="N134" s="28">
        <f t="shared" si="21"/>
        <v>44.1123</v>
      </c>
      <c r="O134" s="46" t="s">
        <v>197</v>
      </c>
    </row>
    <row r="135" s="1" customFormat="1" ht="48" outlineLevel="1" spans="1:15">
      <c r="A135" s="24">
        <v>15</v>
      </c>
      <c r="B135" s="25" t="s">
        <v>210</v>
      </c>
      <c r="C135" s="26" t="s">
        <v>211</v>
      </c>
      <c r="D135" s="25" t="s">
        <v>115</v>
      </c>
      <c r="E135" s="27">
        <v>1</v>
      </c>
      <c r="F135" s="28">
        <v>8</v>
      </c>
      <c r="G135" s="28">
        <f t="shared" si="22"/>
        <v>18</v>
      </c>
      <c r="H135" s="28">
        <v>18</v>
      </c>
      <c r="I135" s="47">
        <v>0</v>
      </c>
      <c r="J135" s="28">
        <v>0.5</v>
      </c>
      <c r="K135" s="48">
        <f t="shared" ref="K135:K198" si="23">(F135+G135+J135)*$K$4</f>
        <v>3.71</v>
      </c>
      <c r="L135" s="17">
        <f t="shared" ref="L135:L198" si="24">(F135+G135+J135+K135)*$L$4</f>
        <v>2.7189</v>
      </c>
      <c r="M135" s="32">
        <f t="shared" si="20"/>
        <v>32.9289</v>
      </c>
      <c r="N135" s="28">
        <f t="shared" si="21"/>
        <v>32.9289</v>
      </c>
      <c r="O135" s="46" t="s">
        <v>197</v>
      </c>
    </row>
    <row r="136" s="1" customFormat="1" ht="48" outlineLevel="1" spans="1:15">
      <c r="A136" s="24">
        <v>16</v>
      </c>
      <c r="B136" s="25" t="s">
        <v>212</v>
      </c>
      <c r="C136" s="26" t="s">
        <v>213</v>
      </c>
      <c r="D136" s="25" t="s">
        <v>115</v>
      </c>
      <c r="E136" s="27">
        <v>2</v>
      </c>
      <c r="F136" s="28">
        <v>8</v>
      </c>
      <c r="G136" s="28">
        <f t="shared" si="22"/>
        <v>35.2</v>
      </c>
      <c r="H136" s="28">
        <v>35.2</v>
      </c>
      <c r="I136" s="47">
        <v>0</v>
      </c>
      <c r="J136" s="28">
        <v>0.5</v>
      </c>
      <c r="K136" s="48">
        <f t="shared" si="23"/>
        <v>6.118</v>
      </c>
      <c r="L136" s="17">
        <f t="shared" si="24"/>
        <v>4.48362</v>
      </c>
      <c r="M136" s="32">
        <f t="shared" si="20"/>
        <v>54.30162</v>
      </c>
      <c r="N136" s="28">
        <f t="shared" si="21"/>
        <v>108.60324</v>
      </c>
      <c r="O136" s="46" t="s">
        <v>197</v>
      </c>
    </row>
    <row r="137" s="1" customFormat="1" ht="48" outlineLevel="1" spans="1:15">
      <c r="A137" s="24">
        <v>17</v>
      </c>
      <c r="B137" s="25" t="s">
        <v>214</v>
      </c>
      <c r="C137" s="26" t="s">
        <v>215</v>
      </c>
      <c r="D137" s="25" t="s">
        <v>115</v>
      </c>
      <c r="E137" s="27">
        <v>3</v>
      </c>
      <c r="F137" s="28">
        <v>8</v>
      </c>
      <c r="G137" s="28">
        <f t="shared" si="22"/>
        <v>35.2</v>
      </c>
      <c r="H137" s="28">
        <v>35.2</v>
      </c>
      <c r="I137" s="47">
        <v>0</v>
      </c>
      <c r="J137" s="28">
        <v>0.5</v>
      </c>
      <c r="K137" s="48">
        <f t="shared" si="23"/>
        <v>6.118</v>
      </c>
      <c r="L137" s="17">
        <f t="shared" si="24"/>
        <v>4.48362</v>
      </c>
      <c r="M137" s="32">
        <f t="shared" si="20"/>
        <v>54.30162</v>
      </c>
      <c r="N137" s="28">
        <f t="shared" si="21"/>
        <v>162.90486</v>
      </c>
      <c r="O137" s="46" t="s">
        <v>197</v>
      </c>
    </row>
    <row r="138" s="1" customFormat="1" ht="48" outlineLevel="1" spans="1:15">
      <c r="A138" s="24">
        <v>18</v>
      </c>
      <c r="B138" s="25" t="s">
        <v>216</v>
      </c>
      <c r="C138" s="26" t="s">
        <v>217</v>
      </c>
      <c r="D138" s="25" t="s">
        <v>115</v>
      </c>
      <c r="E138" s="27">
        <v>2</v>
      </c>
      <c r="F138" s="28">
        <v>8</v>
      </c>
      <c r="G138" s="28">
        <f t="shared" si="22"/>
        <v>27</v>
      </c>
      <c r="H138" s="28">
        <v>27</v>
      </c>
      <c r="I138" s="47">
        <v>0</v>
      </c>
      <c r="J138" s="28">
        <v>0.5</v>
      </c>
      <c r="K138" s="48">
        <f t="shared" si="23"/>
        <v>4.97</v>
      </c>
      <c r="L138" s="17">
        <f t="shared" si="24"/>
        <v>3.6423</v>
      </c>
      <c r="M138" s="32">
        <f t="shared" si="20"/>
        <v>44.1123</v>
      </c>
      <c r="N138" s="28">
        <f t="shared" si="21"/>
        <v>88.2246</v>
      </c>
      <c r="O138" s="46" t="s">
        <v>197</v>
      </c>
    </row>
    <row r="139" s="1" customFormat="1" ht="48" outlineLevel="1" spans="1:15">
      <c r="A139" s="24">
        <v>19</v>
      </c>
      <c r="B139" s="25" t="s">
        <v>218</v>
      </c>
      <c r="C139" s="26" t="s">
        <v>219</v>
      </c>
      <c r="D139" s="25" t="s">
        <v>115</v>
      </c>
      <c r="E139" s="27">
        <v>1</v>
      </c>
      <c r="F139" s="28">
        <v>8</v>
      </c>
      <c r="G139" s="28">
        <f t="shared" si="22"/>
        <v>27</v>
      </c>
      <c r="H139" s="28">
        <v>27</v>
      </c>
      <c r="I139" s="47">
        <v>0</v>
      </c>
      <c r="J139" s="28">
        <v>0.5</v>
      </c>
      <c r="K139" s="48">
        <f t="shared" si="23"/>
        <v>4.97</v>
      </c>
      <c r="L139" s="17">
        <f t="shared" si="24"/>
        <v>3.6423</v>
      </c>
      <c r="M139" s="32">
        <f t="shared" si="20"/>
        <v>44.1123</v>
      </c>
      <c r="N139" s="28">
        <f t="shared" si="21"/>
        <v>44.1123</v>
      </c>
      <c r="O139" s="46" t="s">
        <v>197</v>
      </c>
    </row>
    <row r="140" s="1" customFormat="1" ht="48" outlineLevel="1" spans="1:15">
      <c r="A140" s="24">
        <v>20</v>
      </c>
      <c r="B140" s="25" t="s">
        <v>220</v>
      </c>
      <c r="C140" s="26" t="s">
        <v>221</v>
      </c>
      <c r="D140" s="25" t="s">
        <v>115</v>
      </c>
      <c r="E140" s="27">
        <v>3</v>
      </c>
      <c r="F140" s="28">
        <v>8</v>
      </c>
      <c r="G140" s="28">
        <f t="shared" si="22"/>
        <v>16.5</v>
      </c>
      <c r="H140" s="28">
        <v>16.5</v>
      </c>
      <c r="I140" s="47">
        <v>0</v>
      </c>
      <c r="J140" s="28">
        <v>0.5</v>
      </c>
      <c r="K140" s="48">
        <f t="shared" si="23"/>
        <v>3.5</v>
      </c>
      <c r="L140" s="17">
        <f t="shared" si="24"/>
        <v>2.565</v>
      </c>
      <c r="M140" s="32">
        <f t="shared" si="20"/>
        <v>31.065</v>
      </c>
      <c r="N140" s="28">
        <f t="shared" si="21"/>
        <v>93.195</v>
      </c>
      <c r="O140" s="46" t="s">
        <v>197</v>
      </c>
    </row>
    <row r="141" s="1" customFormat="1" ht="48" outlineLevel="1" spans="1:15">
      <c r="A141" s="24">
        <v>21</v>
      </c>
      <c r="B141" s="25" t="s">
        <v>222</v>
      </c>
      <c r="C141" s="26" t="s">
        <v>223</v>
      </c>
      <c r="D141" s="25" t="s">
        <v>115</v>
      </c>
      <c r="E141" s="27">
        <v>2</v>
      </c>
      <c r="F141" s="28">
        <v>8</v>
      </c>
      <c r="G141" s="28">
        <f t="shared" si="22"/>
        <v>18.2</v>
      </c>
      <c r="H141" s="28">
        <v>18.2</v>
      </c>
      <c r="I141" s="47">
        <v>0</v>
      </c>
      <c r="J141" s="28">
        <v>0.5</v>
      </c>
      <c r="K141" s="48">
        <f t="shared" si="23"/>
        <v>3.738</v>
      </c>
      <c r="L141" s="17">
        <f t="shared" si="24"/>
        <v>2.73942</v>
      </c>
      <c r="M141" s="32">
        <f t="shared" si="20"/>
        <v>33.17742</v>
      </c>
      <c r="N141" s="28">
        <f t="shared" si="21"/>
        <v>66.35484</v>
      </c>
      <c r="O141" s="46" t="s">
        <v>197</v>
      </c>
    </row>
    <row r="142" s="1" customFormat="1" ht="48" outlineLevel="1" spans="1:15">
      <c r="A142" s="24">
        <v>22</v>
      </c>
      <c r="B142" s="25" t="s">
        <v>224</v>
      </c>
      <c r="C142" s="26" t="s">
        <v>225</v>
      </c>
      <c r="D142" s="25" t="s">
        <v>115</v>
      </c>
      <c r="E142" s="27">
        <v>2</v>
      </c>
      <c r="F142" s="28">
        <v>8</v>
      </c>
      <c r="G142" s="28">
        <f t="shared" si="22"/>
        <v>30.25</v>
      </c>
      <c r="H142" s="28">
        <v>30.25</v>
      </c>
      <c r="I142" s="47">
        <v>0</v>
      </c>
      <c r="J142" s="28">
        <v>0.5</v>
      </c>
      <c r="K142" s="48">
        <f t="shared" si="23"/>
        <v>5.425</v>
      </c>
      <c r="L142" s="17">
        <f t="shared" si="24"/>
        <v>3.97575</v>
      </c>
      <c r="M142" s="32">
        <f t="shared" si="20"/>
        <v>48.15075</v>
      </c>
      <c r="N142" s="28">
        <f t="shared" si="21"/>
        <v>96.3015</v>
      </c>
      <c r="O142" s="46" t="s">
        <v>197</v>
      </c>
    </row>
    <row r="143" s="1" customFormat="1" ht="48" outlineLevel="1" spans="1:15">
      <c r="A143" s="24">
        <v>23</v>
      </c>
      <c r="B143" s="25" t="s">
        <v>226</v>
      </c>
      <c r="C143" s="26" t="s">
        <v>227</v>
      </c>
      <c r="D143" s="25" t="s">
        <v>115</v>
      </c>
      <c r="E143" s="27">
        <v>1</v>
      </c>
      <c r="F143" s="28">
        <v>10</v>
      </c>
      <c r="G143" s="28">
        <f t="shared" si="22"/>
        <v>63.8</v>
      </c>
      <c r="H143" s="28">
        <v>63.8</v>
      </c>
      <c r="I143" s="47">
        <v>0</v>
      </c>
      <c r="J143" s="28">
        <v>0.5</v>
      </c>
      <c r="K143" s="48">
        <f t="shared" si="23"/>
        <v>10.402</v>
      </c>
      <c r="L143" s="17">
        <f t="shared" si="24"/>
        <v>7.62318</v>
      </c>
      <c r="M143" s="32">
        <f t="shared" si="20"/>
        <v>92.32518</v>
      </c>
      <c r="N143" s="28">
        <f t="shared" si="21"/>
        <v>92.32518</v>
      </c>
      <c r="O143" s="46" t="s">
        <v>228</v>
      </c>
    </row>
    <row r="144" s="1" customFormat="1" ht="60" outlineLevel="1" spans="1:15">
      <c r="A144" s="24">
        <v>24</v>
      </c>
      <c r="B144" s="25" t="s">
        <v>229</v>
      </c>
      <c r="C144" s="26" t="s">
        <v>230</v>
      </c>
      <c r="D144" s="25" t="s">
        <v>115</v>
      </c>
      <c r="E144" s="27">
        <v>1</v>
      </c>
      <c r="F144" s="28">
        <v>10</v>
      </c>
      <c r="G144" s="28">
        <f t="shared" si="22"/>
        <v>5</v>
      </c>
      <c r="H144" s="28">
        <v>5</v>
      </c>
      <c r="I144" s="47">
        <v>0</v>
      </c>
      <c r="J144" s="28">
        <v>0.5</v>
      </c>
      <c r="K144" s="48">
        <f t="shared" si="23"/>
        <v>2.17</v>
      </c>
      <c r="L144" s="17">
        <f t="shared" si="24"/>
        <v>1.5903</v>
      </c>
      <c r="M144" s="32">
        <f t="shared" si="20"/>
        <v>19.2603</v>
      </c>
      <c r="N144" s="28">
        <f t="shared" si="21"/>
        <v>19.2603</v>
      </c>
      <c r="O144" s="46" t="s">
        <v>231</v>
      </c>
    </row>
    <row r="145" s="1" customFormat="1" ht="48" outlineLevel="1" spans="1:15">
      <c r="A145" s="24">
        <v>25</v>
      </c>
      <c r="B145" s="25" t="s">
        <v>232</v>
      </c>
      <c r="C145" s="26" t="s">
        <v>233</v>
      </c>
      <c r="D145" s="25" t="s">
        <v>115</v>
      </c>
      <c r="E145" s="27">
        <v>1</v>
      </c>
      <c r="F145" s="28">
        <v>30</v>
      </c>
      <c r="G145" s="28">
        <f t="shared" si="22"/>
        <v>45</v>
      </c>
      <c r="H145" s="28">
        <v>45</v>
      </c>
      <c r="I145" s="47">
        <v>0</v>
      </c>
      <c r="J145" s="28">
        <v>0.5</v>
      </c>
      <c r="K145" s="48">
        <f t="shared" si="23"/>
        <v>10.57</v>
      </c>
      <c r="L145" s="17">
        <f t="shared" si="24"/>
        <v>7.7463</v>
      </c>
      <c r="M145" s="32">
        <f t="shared" si="20"/>
        <v>93.8163</v>
      </c>
      <c r="N145" s="28">
        <f t="shared" si="21"/>
        <v>93.8163</v>
      </c>
      <c r="O145" s="46" t="s">
        <v>176</v>
      </c>
    </row>
    <row r="146" s="1" customFormat="1" ht="36" outlineLevel="1" spans="1:15">
      <c r="A146" s="24">
        <v>26</v>
      </c>
      <c r="B146" s="25" t="s">
        <v>234</v>
      </c>
      <c r="C146" s="26" t="s">
        <v>235</v>
      </c>
      <c r="D146" s="25" t="s">
        <v>115</v>
      </c>
      <c r="E146" s="27">
        <v>5</v>
      </c>
      <c r="F146" s="28">
        <v>8</v>
      </c>
      <c r="G146" s="28">
        <f t="shared" si="22"/>
        <v>10.78</v>
      </c>
      <c r="H146" s="28">
        <v>10.78</v>
      </c>
      <c r="I146" s="47">
        <v>0</v>
      </c>
      <c r="J146" s="28">
        <v>0.5</v>
      </c>
      <c r="K146" s="48">
        <f t="shared" si="23"/>
        <v>2.6992</v>
      </c>
      <c r="L146" s="17">
        <f t="shared" si="24"/>
        <v>1.978128</v>
      </c>
      <c r="M146" s="32">
        <f t="shared" si="20"/>
        <v>23.957328</v>
      </c>
      <c r="N146" s="28">
        <f t="shared" si="21"/>
        <v>119.78664</v>
      </c>
      <c r="O146" s="46" t="s">
        <v>197</v>
      </c>
    </row>
    <row r="147" s="1" customFormat="1" ht="36" outlineLevel="1" spans="1:15">
      <c r="A147" s="24">
        <v>27</v>
      </c>
      <c r="B147" s="25" t="s">
        <v>236</v>
      </c>
      <c r="C147" s="26" t="s">
        <v>237</v>
      </c>
      <c r="D147" s="25" t="s">
        <v>115</v>
      </c>
      <c r="E147" s="27">
        <v>1</v>
      </c>
      <c r="F147" s="28">
        <v>8</v>
      </c>
      <c r="G147" s="28">
        <f t="shared" si="22"/>
        <v>30.25</v>
      </c>
      <c r="H147" s="28">
        <v>30.25</v>
      </c>
      <c r="I147" s="47">
        <v>0</v>
      </c>
      <c r="J147" s="28">
        <v>0.5</v>
      </c>
      <c r="K147" s="48">
        <f t="shared" si="23"/>
        <v>5.425</v>
      </c>
      <c r="L147" s="17">
        <f t="shared" si="24"/>
        <v>3.97575</v>
      </c>
      <c r="M147" s="32">
        <f t="shared" si="20"/>
        <v>48.15075</v>
      </c>
      <c r="N147" s="28">
        <f t="shared" si="21"/>
        <v>48.15075</v>
      </c>
      <c r="O147" s="46" t="s">
        <v>197</v>
      </c>
    </row>
    <row r="148" s="1" customFormat="1" ht="36" outlineLevel="1" spans="1:15">
      <c r="A148" s="24">
        <v>28</v>
      </c>
      <c r="B148" s="25" t="s">
        <v>238</v>
      </c>
      <c r="C148" s="26" t="s">
        <v>239</v>
      </c>
      <c r="D148" s="25" t="s">
        <v>115</v>
      </c>
      <c r="E148" s="27">
        <v>1</v>
      </c>
      <c r="F148" s="28">
        <v>8</v>
      </c>
      <c r="G148" s="28">
        <f t="shared" si="22"/>
        <v>22</v>
      </c>
      <c r="H148" s="28">
        <v>22</v>
      </c>
      <c r="I148" s="47">
        <v>0</v>
      </c>
      <c r="J148" s="28">
        <v>0.5</v>
      </c>
      <c r="K148" s="48">
        <f t="shared" si="23"/>
        <v>4.27</v>
      </c>
      <c r="L148" s="17">
        <f t="shared" si="24"/>
        <v>3.1293</v>
      </c>
      <c r="M148" s="32">
        <f t="shared" si="20"/>
        <v>37.8993</v>
      </c>
      <c r="N148" s="28">
        <f t="shared" si="21"/>
        <v>37.8993</v>
      </c>
      <c r="O148" s="46" t="s">
        <v>197</v>
      </c>
    </row>
    <row r="149" s="1" customFormat="1" ht="36" outlineLevel="1" spans="1:15">
      <c r="A149" s="24">
        <v>29</v>
      </c>
      <c r="B149" s="25" t="s">
        <v>240</v>
      </c>
      <c r="C149" s="26" t="s">
        <v>241</v>
      </c>
      <c r="D149" s="25" t="s">
        <v>115</v>
      </c>
      <c r="E149" s="27">
        <f>1+2</f>
        <v>3</v>
      </c>
      <c r="F149" s="28">
        <v>8</v>
      </c>
      <c r="G149" s="28">
        <f t="shared" si="22"/>
        <v>33.55</v>
      </c>
      <c r="H149" s="28">
        <v>33.55</v>
      </c>
      <c r="I149" s="47">
        <v>0</v>
      </c>
      <c r="J149" s="28">
        <v>0.5</v>
      </c>
      <c r="K149" s="48">
        <f t="shared" si="23"/>
        <v>5.887</v>
      </c>
      <c r="L149" s="17">
        <f t="shared" si="24"/>
        <v>4.31433</v>
      </c>
      <c r="M149" s="32">
        <f t="shared" si="20"/>
        <v>52.25133</v>
      </c>
      <c r="N149" s="28">
        <f t="shared" si="21"/>
        <v>156.75399</v>
      </c>
      <c r="O149" s="46" t="s">
        <v>197</v>
      </c>
    </row>
    <row r="150" s="1" customFormat="1" ht="48" outlineLevel="1" spans="1:15">
      <c r="A150" s="24">
        <v>30</v>
      </c>
      <c r="B150" s="30" t="s">
        <v>242</v>
      </c>
      <c r="C150" s="31" t="s">
        <v>243</v>
      </c>
      <c r="D150" s="32" t="s">
        <v>61</v>
      </c>
      <c r="E150" s="32">
        <v>174.92</v>
      </c>
      <c r="F150" s="28">
        <v>3</v>
      </c>
      <c r="G150" s="28">
        <f t="shared" si="22"/>
        <v>1.575</v>
      </c>
      <c r="H150" s="28">
        <v>1.5</v>
      </c>
      <c r="I150" s="47">
        <v>0.05</v>
      </c>
      <c r="J150" s="28">
        <v>0.3</v>
      </c>
      <c r="K150" s="48">
        <f t="shared" si="23"/>
        <v>0.6825</v>
      </c>
      <c r="L150" s="17">
        <f t="shared" si="24"/>
        <v>0.500175</v>
      </c>
      <c r="M150" s="32">
        <f t="shared" si="20"/>
        <v>6.057675</v>
      </c>
      <c r="N150" s="28">
        <f t="shared" si="21"/>
        <v>1059.608511</v>
      </c>
      <c r="O150" s="46" t="s">
        <v>244</v>
      </c>
    </row>
    <row r="151" s="1" customFormat="1" ht="48" outlineLevel="1" spans="1:15">
      <c r="A151" s="24">
        <v>31</v>
      </c>
      <c r="B151" s="30" t="s">
        <v>242</v>
      </c>
      <c r="C151" s="31" t="s">
        <v>245</v>
      </c>
      <c r="D151" s="32" t="s">
        <v>61</v>
      </c>
      <c r="E151" s="32">
        <v>305.46</v>
      </c>
      <c r="F151" s="28">
        <v>3</v>
      </c>
      <c r="G151" s="28">
        <f t="shared" si="22"/>
        <v>2.415</v>
      </c>
      <c r="H151" s="28">
        <v>2.3</v>
      </c>
      <c r="I151" s="47">
        <v>0.05</v>
      </c>
      <c r="J151" s="28">
        <v>0.3</v>
      </c>
      <c r="K151" s="48">
        <f t="shared" si="23"/>
        <v>0.8001</v>
      </c>
      <c r="L151" s="17">
        <f t="shared" si="24"/>
        <v>0.586359</v>
      </c>
      <c r="M151" s="32">
        <f t="shared" si="20"/>
        <v>7.101459</v>
      </c>
      <c r="N151" s="28">
        <f t="shared" si="21"/>
        <v>2169.21166614</v>
      </c>
      <c r="O151" s="46" t="s">
        <v>244</v>
      </c>
    </row>
    <row r="152" s="1" customFormat="1" ht="48" outlineLevel="1" spans="1:15">
      <c r="A152" s="24">
        <v>32</v>
      </c>
      <c r="B152" s="30" t="s">
        <v>246</v>
      </c>
      <c r="C152" s="31" t="s">
        <v>247</v>
      </c>
      <c r="D152" s="32" t="s">
        <v>61</v>
      </c>
      <c r="E152" s="32">
        <v>16.06</v>
      </c>
      <c r="F152" s="28">
        <v>5</v>
      </c>
      <c r="G152" s="28">
        <f t="shared" si="22"/>
        <v>2.625</v>
      </c>
      <c r="H152" s="28">
        <v>2.5</v>
      </c>
      <c r="I152" s="47">
        <v>0.05</v>
      </c>
      <c r="J152" s="28">
        <v>0.5</v>
      </c>
      <c r="K152" s="48">
        <f t="shared" si="23"/>
        <v>1.1375</v>
      </c>
      <c r="L152" s="17">
        <f t="shared" si="24"/>
        <v>0.833625</v>
      </c>
      <c r="M152" s="32">
        <f t="shared" si="20"/>
        <v>10.096125</v>
      </c>
      <c r="N152" s="28">
        <f t="shared" si="21"/>
        <v>162.1437675</v>
      </c>
      <c r="O152" s="46" t="s">
        <v>248</v>
      </c>
    </row>
    <row r="153" s="1" customFormat="1" ht="48" outlineLevel="1" spans="1:15">
      <c r="A153" s="24">
        <v>33</v>
      </c>
      <c r="B153" s="30" t="s">
        <v>249</v>
      </c>
      <c r="C153" s="31" t="s">
        <v>250</v>
      </c>
      <c r="D153" s="32" t="s">
        <v>61</v>
      </c>
      <c r="E153" s="32">
        <v>3.56</v>
      </c>
      <c r="F153" s="28">
        <v>5</v>
      </c>
      <c r="G153" s="28">
        <f t="shared" si="22"/>
        <v>1.575</v>
      </c>
      <c r="H153" s="28">
        <v>1.5</v>
      </c>
      <c r="I153" s="47">
        <v>0.05</v>
      </c>
      <c r="J153" s="28">
        <v>0.5</v>
      </c>
      <c r="K153" s="48">
        <f t="shared" si="23"/>
        <v>0.9905</v>
      </c>
      <c r="L153" s="17">
        <f t="shared" si="24"/>
        <v>0.725895</v>
      </c>
      <c r="M153" s="32">
        <f t="shared" si="20"/>
        <v>8.791395</v>
      </c>
      <c r="N153" s="28">
        <f t="shared" si="21"/>
        <v>31.2973662</v>
      </c>
      <c r="O153" s="46"/>
    </row>
    <row r="154" s="1" customFormat="1" ht="48" outlineLevel="1" spans="1:15">
      <c r="A154" s="24">
        <v>34</v>
      </c>
      <c r="B154" s="30" t="s">
        <v>251</v>
      </c>
      <c r="C154" s="31" t="s">
        <v>252</v>
      </c>
      <c r="D154" s="32" t="s">
        <v>61</v>
      </c>
      <c r="E154" s="32">
        <v>4.79</v>
      </c>
      <c r="F154" s="28">
        <v>5</v>
      </c>
      <c r="G154" s="28">
        <f t="shared" si="22"/>
        <v>3.675</v>
      </c>
      <c r="H154" s="28">
        <v>3.5</v>
      </c>
      <c r="I154" s="47">
        <v>0.05</v>
      </c>
      <c r="J154" s="28">
        <v>0.5</v>
      </c>
      <c r="K154" s="48">
        <f t="shared" si="23"/>
        <v>1.2845</v>
      </c>
      <c r="L154" s="17">
        <f t="shared" si="24"/>
        <v>0.941355</v>
      </c>
      <c r="M154" s="32">
        <f t="shared" si="20"/>
        <v>11.400855</v>
      </c>
      <c r="N154" s="28">
        <f t="shared" si="21"/>
        <v>54.61009545</v>
      </c>
      <c r="O154" s="46"/>
    </row>
    <row r="155" s="1" customFormat="1" spans="1:15">
      <c r="A155" s="24">
        <v>35</v>
      </c>
      <c r="B155" s="33" t="s">
        <v>32</v>
      </c>
      <c r="C155" s="33"/>
      <c r="D155" s="33" t="s">
        <v>253</v>
      </c>
      <c r="E155" s="34"/>
      <c r="F155" s="24"/>
      <c r="G155" s="34"/>
      <c r="H155" s="34"/>
      <c r="I155" s="49"/>
      <c r="J155" s="34"/>
      <c r="K155" s="48"/>
      <c r="L155" s="17"/>
      <c r="M155" s="32"/>
      <c r="N155" s="28">
        <f>SUM(N121:N154)</f>
        <v>7643.55772629</v>
      </c>
      <c r="O155" s="46"/>
    </row>
    <row r="156" s="1" customFormat="1" spans="1:15">
      <c r="A156" s="24" t="s">
        <v>254</v>
      </c>
      <c r="B156" s="22" t="s">
        <v>296</v>
      </c>
      <c r="C156" s="22" t="s">
        <v>172</v>
      </c>
      <c r="D156" s="22" t="s">
        <v>173</v>
      </c>
      <c r="E156" s="34"/>
      <c r="F156" s="24"/>
      <c r="G156" s="34"/>
      <c r="H156" s="34"/>
      <c r="I156" s="49"/>
      <c r="J156" s="34"/>
      <c r="K156" s="48"/>
      <c r="L156" s="17"/>
      <c r="M156" s="32"/>
      <c r="N156" s="28"/>
      <c r="O156" s="46"/>
    </row>
    <row r="157" s="1" customFormat="1" ht="48" outlineLevel="1" spans="1:15">
      <c r="A157" s="24">
        <v>1</v>
      </c>
      <c r="B157" s="25" t="s">
        <v>256</v>
      </c>
      <c r="C157" s="26" t="s">
        <v>257</v>
      </c>
      <c r="D157" s="25" t="s">
        <v>258</v>
      </c>
      <c r="E157" s="24">
        <v>1</v>
      </c>
      <c r="F157" s="24">
        <v>80</v>
      </c>
      <c r="G157" s="24">
        <f>H157*(1+I157)</f>
        <v>650</v>
      </c>
      <c r="H157" s="24">
        <v>650</v>
      </c>
      <c r="I157" s="49">
        <v>0</v>
      </c>
      <c r="J157" s="24">
        <v>15</v>
      </c>
      <c r="K157" s="48">
        <f t="shared" si="23"/>
        <v>104.3</v>
      </c>
      <c r="L157" s="17">
        <f t="shared" si="24"/>
        <v>76.437</v>
      </c>
      <c r="M157" s="32">
        <f t="shared" ref="M157:M173" si="25">F157+G157+J157+K157+L157</f>
        <v>925.737</v>
      </c>
      <c r="N157" s="28">
        <f t="shared" ref="N157:N173" si="26">M157*E157</f>
        <v>925.737</v>
      </c>
      <c r="O157" s="46" t="s">
        <v>116</v>
      </c>
    </row>
    <row r="158" s="1" customFormat="1" ht="48" outlineLevel="1" spans="1:15">
      <c r="A158" s="24">
        <v>2</v>
      </c>
      <c r="B158" s="25" t="s">
        <v>259</v>
      </c>
      <c r="C158" s="26" t="s">
        <v>293</v>
      </c>
      <c r="D158" s="25" t="s">
        <v>258</v>
      </c>
      <c r="E158" s="24">
        <v>1</v>
      </c>
      <c r="F158" s="24">
        <v>300</v>
      </c>
      <c r="G158" s="24">
        <f>H158*(1+I158)</f>
        <v>750</v>
      </c>
      <c r="H158" s="24">
        <v>750</v>
      </c>
      <c r="I158" s="50">
        <v>0</v>
      </c>
      <c r="J158" s="24">
        <v>10</v>
      </c>
      <c r="K158" s="48">
        <f t="shared" si="23"/>
        <v>148.4</v>
      </c>
      <c r="L158" s="17">
        <f t="shared" si="24"/>
        <v>108.756</v>
      </c>
      <c r="M158" s="32">
        <f t="shared" si="25"/>
        <v>1317.156</v>
      </c>
      <c r="N158" s="28">
        <f t="shared" si="26"/>
        <v>1317.156</v>
      </c>
      <c r="O158" s="46" t="s">
        <v>261</v>
      </c>
    </row>
    <row r="159" s="1" customFormat="1" ht="48" outlineLevel="1" spans="1:15">
      <c r="A159" s="24">
        <v>3</v>
      </c>
      <c r="B159" s="25" t="s">
        <v>262</v>
      </c>
      <c r="C159" s="26" t="s">
        <v>263</v>
      </c>
      <c r="D159" s="25" t="s">
        <v>258</v>
      </c>
      <c r="E159" s="24">
        <v>1</v>
      </c>
      <c r="F159" s="24">
        <v>80</v>
      </c>
      <c r="G159" s="24">
        <f>H159*(1+I159)</f>
        <v>580</v>
      </c>
      <c r="H159" s="24">
        <v>580</v>
      </c>
      <c r="I159" s="50">
        <v>0</v>
      </c>
      <c r="J159" s="24">
        <v>20</v>
      </c>
      <c r="K159" s="48">
        <f t="shared" si="23"/>
        <v>95.2</v>
      </c>
      <c r="L159" s="17">
        <f t="shared" si="24"/>
        <v>69.768</v>
      </c>
      <c r="M159" s="32">
        <f t="shared" si="25"/>
        <v>844.968</v>
      </c>
      <c r="N159" s="28">
        <f t="shared" si="26"/>
        <v>844.968</v>
      </c>
      <c r="O159" s="46" t="s">
        <v>116</v>
      </c>
    </row>
    <row r="160" s="1" customFormat="1" ht="60" outlineLevel="1" spans="1:15">
      <c r="A160" s="24">
        <v>4</v>
      </c>
      <c r="B160" s="25" t="s">
        <v>264</v>
      </c>
      <c r="C160" s="26" t="s">
        <v>265</v>
      </c>
      <c r="D160" s="25" t="s">
        <v>258</v>
      </c>
      <c r="E160" s="24">
        <v>1</v>
      </c>
      <c r="F160" s="24">
        <v>100</v>
      </c>
      <c r="G160" s="24">
        <f>H160*(1+I160)</f>
        <v>1580</v>
      </c>
      <c r="H160" s="24">
        <v>1580</v>
      </c>
      <c r="I160" s="50">
        <v>0</v>
      </c>
      <c r="J160" s="24">
        <v>30</v>
      </c>
      <c r="K160" s="48">
        <f t="shared" si="23"/>
        <v>239.4</v>
      </c>
      <c r="L160" s="17">
        <f t="shared" si="24"/>
        <v>175.446</v>
      </c>
      <c r="M160" s="32">
        <f t="shared" si="25"/>
        <v>2124.846</v>
      </c>
      <c r="N160" s="28">
        <f t="shared" si="26"/>
        <v>2124.846</v>
      </c>
      <c r="O160" s="46" t="s">
        <v>116</v>
      </c>
    </row>
    <row r="161" s="1" customFormat="1" ht="48" outlineLevel="1" spans="1:15">
      <c r="A161" s="24">
        <v>5</v>
      </c>
      <c r="B161" s="25" t="s">
        <v>266</v>
      </c>
      <c r="C161" s="26" t="s">
        <v>267</v>
      </c>
      <c r="D161" s="25" t="s">
        <v>258</v>
      </c>
      <c r="E161" s="24">
        <v>1</v>
      </c>
      <c r="F161" s="24">
        <v>15</v>
      </c>
      <c r="G161" s="24">
        <f>H161*(1+I161)</f>
        <v>40</v>
      </c>
      <c r="H161" s="24">
        <v>40</v>
      </c>
      <c r="I161" s="50">
        <v>0</v>
      </c>
      <c r="J161" s="24">
        <v>5</v>
      </c>
      <c r="K161" s="48">
        <f t="shared" si="23"/>
        <v>8.4</v>
      </c>
      <c r="L161" s="17">
        <f t="shared" si="24"/>
        <v>6.156</v>
      </c>
      <c r="M161" s="32">
        <f t="shared" si="25"/>
        <v>74.556</v>
      </c>
      <c r="N161" s="28">
        <f t="shared" si="26"/>
        <v>74.556</v>
      </c>
      <c r="O161" s="46" t="s">
        <v>116</v>
      </c>
    </row>
    <row r="162" s="1" customFormat="1" ht="48" outlineLevel="1" spans="1:15">
      <c r="A162" s="24">
        <v>6</v>
      </c>
      <c r="B162" s="25" t="s">
        <v>268</v>
      </c>
      <c r="C162" s="26" t="s">
        <v>269</v>
      </c>
      <c r="D162" s="25" t="s">
        <v>258</v>
      </c>
      <c r="E162" s="24">
        <v>1</v>
      </c>
      <c r="F162" s="24">
        <v>15</v>
      </c>
      <c r="G162" s="24">
        <f t="shared" ref="G162:G173" si="27">H162*(1+I162)</f>
        <v>30</v>
      </c>
      <c r="H162" s="24">
        <v>30</v>
      </c>
      <c r="I162" s="50">
        <v>0</v>
      </c>
      <c r="J162" s="24">
        <v>2</v>
      </c>
      <c r="K162" s="48">
        <f t="shared" si="23"/>
        <v>6.58</v>
      </c>
      <c r="L162" s="17">
        <f t="shared" si="24"/>
        <v>4.8222</v>
      </c>
      <c r="M162" s="32">
        <f t="shared" si="25"/>
        <v>58.4022</v>
      </c>
      <c r="N162" s="28">
        <f t="shared" si="26"/>
        <v>58.4022</v>
      </c>
      <c r="O162" s="46" t="s">
        <v>116</v>
      </c>
    </row>
    <row r="163" s="1" customFormat="1" ht="33.75" outlineLevel="1" spans="1:15">
      <c r="A163" s="24">
        <v>7</v>
      </c>
      <c r="B163" s="35" t="s">
        <v>270</v>
      </c>
      <c r="C163" s="36" t="s">
        <v>271</v>
      </c>
      <c r="D163" s="35" t="s">
        <v>258</v>
      </c>
      <c r="E163" s="24">
        <v>2</v>
      </c>
      <c r="F163" s="24">
        <v>15</v>
      </c>
      <c r="G163" s="24">
        <f t="shared" si="27"/>
        <v>30</v>
      </c>
      <c r="H163" s="24">
        <v>30</v>
      </c>
      <c r="I163" s="50">
        <v>0</v>
      </c>
      <c r="J163" s="24">
        <v>2</v>
      </c>
      <c r="K163" s="48">
        <f t="shared" si="23"/>
        <v>6.58</v>
      </c>
      <c r="L163" s="17">
        <f t="shared" si="24"/>
        <v>4.8222</v>
      </c>
      <c r="M163" s="32">
        <f t="shared" si="25"/>
        <v>58.4022</v>
      </c>
      <c r="N163" s="28">
        <f t="shared" si="26"/>
        <v>116.8044</v>
      </c>
      <c r="O163" s="46" t="s">
        <v>116</v>
      </c>
    </row>
    <row r="164" s="1" customFormat="1" ht="36" outlineLevel="1" spans="1:15">
      <c r="A164" s="24">
        <v>8</v>
      </c>
      <c r="B164" s="25" t="s">
        <v>272</v>
      </c>
      <c r="C164" s="26" t="s">
        <v>273</v>
      </c>
      <c r="D164" s="25" t="s">
        <v>258</v>
      </c>
      <c r="E164" s="24">
        <v>1</v>
      </c>
      <c r="F164" s="24">
        <v>100</v>
      </c>
      <c r="G164" s="24">
        <f t="shared" si="27"/>
        <v>1500</v>
      </c>
      <c r="H164" s="24">
        <v>1500</v>
      </c>
      <c r="I164" s="50">
        <v>0</v>
      </c>
      <c r="J164" s="24">
        <v>20</v>
      </c>
      <c r="K164" s="48">
        <f t="shared" si="23"/>
        <v>226.8</v>
      </c>
      <c r="L164" s="17">
        <f t="shared" si="24"/>
        <v>166.212</v>
      </c>
      <c r="M164" s="32">
        <f t="shared" si="25"/>
        <v>2013.012</v>
      </c>
      <c r="N164" s="28">
        <f t="shared" si="26"/>
        <v>2013.012</v>
      </c>
      <c r="O164" s="46" t="s">
        <v>274</v>
      </c>
    </row>
    <row r="165" s="1" customFormat="1" ht="36" outlineLevel="1" spans="1:15">
      <c r="A165" s="24">
        <v>9</v>
      </c>
      <c r="B165" s="25" t="s">
        <v>275</v>
      </c>
      <c r="C165" s="26" t="s">
        <v>276</v>
      </c>
      <c r="D165" s="25" t="s">
        <v>258</v>
      </c>
      <c r="E165" s="24">
        <v>1</v>
      </c>
      <c r="F165" s="24">
        <v>300</v>
      </c>
      <c r="G165" s="24">
        <f t="shared" si="27"/>
        <v>600</v>
      </c>
      <c r="H165" s="24">
        <v>600</v>
      </c>
      <c r="I165" s="50">
        <v>0</v>
      </c>
      <c r="J165" s="24">
        <v>30</v>
      </c>
      <c r="K165" s="48">
        <f t="shared" si="23"/>
        <v>130.2</v>
      </c>
      <c r="L165" s="17">
        <f t="shared" si="24"/>
        <v>95.418</v>
      </c>
      <c r="M165" s="32">
        <f t="shared" si="25"/>
        <v>1155.618</v>
      </c>
      <c r="N165" s="28">
        <f t="shared" si="26"/>
        <v>1155.618</v>
      </c>
      <c r="O165" s="46" t="s">
        <v>274</v>
      </c>
    </row>
    <row r="166" s="1" customFormat="1" ht="60" outlineLevel="1" spans="1:15">
      <c r="A166" s="24">
        <v>10</v>
      </c>
      <c r="B166" s="25" t="s">
        <v>277</v>
      </c>
      <c r="C166" s="26" t="s">
        <v>278</v>
      </c>
      <c r="D166" s="25" t="s">
        <v>258</v>
      </c>
      <c r="E166" s="24">
        <v>1</v>
      </c>
      <c r="F166" s="24">
        <v>80</v>
      </c>
      <c r="G166" s="24">
        <f t="shared" si="27"/>
        <v>650</v>
      </c>
      <c r="H166" s="24">
        <v>650</v>
      </c>
      <c r="I166" s="50">
        <v>0</v>
      </c>
      <c r="J166" s="24">
        <v>10</v>
      </c>
      <c r="K166" s="48">
        <f t="shared" si="23"/>
        <v>103.6</v>
      </c>
      <c r="L166" s="17">
        <f t="shared" si="24"/>
        <v>75.924</v>
      </c>
      <c r="M166" s="32">
        <f t="shared" si="25"/>
        <v>919.524</v>
      </c>
      <c r="N166" s="28">
        <f t="shared" si="26"/>
        <v>919.524</v>
      </c>
      <c r="O166" s="46" t="s">
        <v>116</v>
      </c>
    </row>
    <row r="167" s="1" customFormat="1" ht="48" outlineLevel="1" spans="1:15">
      <c r="A167" s="24">
        <v>11</v>
      </c>
      <c r="B167" s="25" t="s">
        <v>279</v>
      </c>
      <c r="C167" s="26" t="s">
        <v>280</v>
      </c>
      <c r="D167" s="25" t="s">
        <v>115</v>
      </c>
      <c r="E167" s="24">
        <v>1</v>
      </c>
      <c r="F167" s="24">
        <v>5</v>
      </c>
      <c r="G167" s="24">
        <f t="shared" si="27"/>
        <v>22</v>
      </c>
      <c r="H167" s="24">
        <v>22</v>
      </c>
      <c r="I167" s="50">
        <v>0</v>
      </c>
      <c r="J167" s="24">
        <v>2</v>
      </c>
      <c r="K167" s="48">
        <f t="shared" si="23"/>
        <v>4.06</v>
      </c>
      <c r="L167" s="17">
        <f t="shared" si="24"/>
        <v>2.9754</v>
      </c>
      <c r="M167" s="32">
        <f t="shared" si="25"/>
        <v>36.0354</v>
      </c>
      <c r="N167" s="28">
        <f t="shared" si="26"/>
        <v>36.0354</v>
      </c>
      <c r="O167" s="46" t="s">
        <v>281</v>
      </c>
    </row>
    <row r="168" s="1" customFormat="1" ht="48" outlineLevel="1" spans="1:15">
      <c r="A168" s="24">
        <v>12</v>
      </c>
      <c r="B168" s="25" t="s">
        <v>279</v>
      </c>
      <c r="C168" s="26" t="s">
        <v>282</v>
      </c>
      <c r="D168" s="25" t="s">
        <v>115</v>
      </c>
      <c r="E168" s="24">
        <v>1</v>
      </c>
      <c r="F168" s="24">
        <v>5</v>
      </c>
      <c r="G168" s="24">
        <f t="shared" si="27"/>
        <v>20</v>
      </c>
      <c r="H168" s="24">
        <v>20</v>
      </c>
      <c r="I168" s="50">
        <v>0</v>
      </c>
      <c r="J168" s="24">
        <v>2</v>
      </c>
      <c r="K168" s="48">
        <f t="shared" si="23"/>
        <v>3.78</v>
      </c>
      <c r="L168" s="17">
        <f t="shared" si="24"/>
        <v>2.7702</v>
      </c>
      <c r="M168" s="32">
        <f t="shared" si="25"/>
        <v>33.5502</v>
      </c>
      <c r="N168" s="28">
        <f t="shared" si="26"/>
        <v>33.5502</v>
      </c>
      <c r="O168" s="46" t="s">
        <v>281</v>
      </c>
    </row>
    <row r="169" s="1" customFormat="1" ht="36" outlineLevel="1" spans="1:15">
      <c r="A169" s="24">
        <v>13</v>
      </c>
      <c r="B169" s="25" t="s">
        <v>283</v>
      </c>
      <c r="C169" s="26" t="s">
        <v>284</v>
      </c>
      <c r="D169" s="25" t="s">
        <v>115</v>
      </c>
      <c r="E169" s="24">
        <v>1</v>
      </c>
      <c r="F169" s="24">
        <v>15</v>
      </c>
      <c r="G169" s="24">
        <f t="shared" si="27"/>
        <v>50</v>
      </c>
      <c r="H169" s="24">
        <v>50</v>
      </c>
      <c r="I169" s="50">
        <v>0</v>
      </c>
      <c r="J169" s="24">
        <v>5</v>
      </c>
      <c r="K169" s="48">
        <f t="shared" si="23"/>
        <v>9.8</v>
      </c>
      <c r="L169" s="17">
        <f t="shared" si="24"/>
        <v>7.182</v>
      </c>
      <c r="M169" s="32">
        <f t="shared" si="25"/>
        <v>86.982</v>
      </c>
      <c r="N169" s="28">
        <f t="shared" si="26"/>
        <v>86.982</v>
      </c>
      <c r="O169" s="46"/>
    </row>
    <row r="170" s="1" customFormat="1" ht="48" outlineLevel="1" spans="1:15">
      <c r="A170" s="24">
        <v>14</v>
      </c>
      <c r="B170" s="25" t="s">
        <v>285</v>
      </c>
      <c r="C170" s="37" t="s">
        <v>286</v>
      </c>
      <c r="D170" s="32" t="s">
        <v>61</v>
      </c>
      <c r="E170" s="38">
        <v>4.3</v>
      </c>
      <c r="F170" s="24">
        <v>12</v>
      </c>
      <c r="G170" s="24">
        <f t="shared" si="27"/>
        <v>7.35</v>
      </c>
      <c r="H170" s="24">
        <v>7</v>
      </c>
      <c r="I170" s="50">
        <v>0.05</v>
      </c>
      <c r="J170" s="24">
        <v>1</v>
      </c>
      <c r="K170" s="48">
        <f t="shared" si="23"/>
        <v>2.849</v>
      </c>
      <c r="L170" s="17">
        <f t="shared" si="24"/>
        <v>2.08791</v>
      </c>
      <c r="M170" s="32">
        <f t="shared" si="25"/>
        <v>25.28691</v>
      </c>
      <c r="N170" s="28">
        <f t="shared" si="26"/>
        <v>108.733713</v>
      </c>
      <c r="O170" s="46" t="s">
        <v>281</v>
      </c>
    </row>
    <row r="171" s="1" customFormat="1" ht="48" outlineLevel="1" spans="1:15">
      <c r="A171" s="24">
        <v>15</v>
      </c>
      <c r="B171" s="25" t="s">
        <v>285</v>
      </c>
      <c r="C171" s="37" t="s">
        <v>287</v>
      </c>
      <c r="D171" s="32" t="s">
        <v>61</v>
      </c>
      <c r="E171" s="38">
        <v>10.58</v>
      </c>
      <c r="F171" s="24">
        <v>12</v>
      </c>
      <c r="G171" s="24">
        <f t="shared" si="27"/>
        <v>5.25</v>
      </c>
      <c r="H171" s="24">
        <v>5</v>
      </c>
      <c r="I171" s="50">
        <v>0.05</v>
      </c>
      <c r="J171" s="24">
        <v>1</v>
      </c>
      <c r="K171" s="48">
        <f t="shared" si="23"/>
        <v>2.555</v>
      </c>
      <c r="L171" s="17">
        <f t="shared" si="24"/>
        <v>1.87245</v>
      </c>
      <c r="M171" s="32">
        <f t="shared" si="25"/>
        <v>22.67745</v>
      </c>
      <c r="N171" s="28">
        <f t="shared" si="26"/>
        <v>239.927421</v>
      </c>
      <c r="O171" s="46" t="s">
        <v>281</v>
      </c>
    </row>
    <row r="172" s="1" customFormat="1" ht="48" outlineLevel="1" spans="1:15">
      <c r="A172" s="24">
        <v>16</v>
      </c>
      <c r="B172" s="25" t="s">
        <v>285</v>
      </c>
      <c r="C172" s="37" t="s">
        <v>288</v>
      </c>
      <c r="D172" s="32" t="s">
        <v>61</v>
      </c>
      <c r="E172" s="38">
        <v>0.5</v>
      </c>
      <c r="F172" s="24">
        <v>12</v>
      </c>
      <c r="G172" s="24">
        <f t="shared" si="27"/>
        <v>8.4</v>
      </c>
      <c r="H172" s="24">
        <v>8</v>
      </c>
      <c r="I172" s="50">
        <v>0.05</v>
      </c>
      <c r="J172" s="24">
        <v>1</v>
      </c>
      <c r="K172" s="48">
        <f t="shared" si="23"/>
        <v>2.996</v>
      </c>
      <c r="L172" s="17">
        <f t="shared" si="24"/>
        <v>2.19564</v>
      </c>
      <c r="M172" s="32">
        <f t="shared" si="25"/>
        <v>26.59164</v>
      </c>
      <c r="N172" s="28">
        <f t="shared" si="26"/>
        <v>13.29582</v>
      </c>
      <c r="O172" s="46" t="s">
        <v>281</v>
      </c>
    </row>
    <row r="173" s="1" customFormat="1" ht="48" outlineLevel="1" spans="1:15">
      <c r="A173" s="24">
        <v>17</v>
      </c>
      <c r="B173" s="25" t="s">
        <v>285</v>
      </c>
      <c r="C173" s="37" t="s">
        <v>289</v>
      </c>
      <c r="D173" s="32" t="s">
        <v>61</v>
      </c>
      <c r="E173" s="38">
        <v>6.91</v>
      </c>
      <c r="F173" s="24">
        <v>12</v>
      </c>
      <c r="G173" s="24">
        <f t="shared" si="27"/>
        <v>6.3</v>
      </c>
      <c r="H173" s="24">
        <v>6</v>
      </c>
      <c r="I173" s="50">
        <v>0.05</v>
      </c>
      <c r="J173" s="24">
        <v>1</v>
      </c>
      <c r="K173" s="48">
        <f t="shared" si="23"/>
        <v>2.702</v>
      </c>
      <c r="L173" s="17">
        <f t="shared" si="24"/>
        <v>1.98018</v>
      </c>
      <c r="M173" s="32">
        <f t="shared" si="25"/>
        <v>23.98218</v>
      </c>
      <c r="N173" s="28">
        <f t="shared" si="26"/>
        <v>165.7168638</v>
      </c>
      <c r="O173" s="46" t="s">
        <v>281</v>
      </c>
    </row>
    <row r="174" s="1" customFormat="1" spans="1:15">
      <c r="A174" s="24">
        <v>18</v>
      </c>
      <c r="B174" s="33" t="s">
        <v>32</v>
      </c>
      <c r="C174" s="33"/>
      <c r="D174" s="33" t="s">
        <v>253</v>
      </c>
      <c r="E174" s="34"/>
      <c r="F174" s="24"/>
      <c r="G174" s="34"/>
      <c r="H174" s="34"/>
      <c r="I174" s="49"/>
      <c r="J174" s="34"/>
      <c r="K174" s="48"/>
      <c r="L174" s="17"/>
      <c r="M174" s="32"/>
      <c r="N174" s="28">
        <f>SUM(N157:N173)</f>
        <v>10234.8650178</v>
      </c>
      <c r="O174" s="46"/>
    </row>
    <row r="175" s="1" customFormat="1" spans="1:15">
      <c r="A175" s="24" t="s">
        <v>133</v>
      </c>
      <c r="B175" s="33" t="s">
        <v>297</v>
      </c>
      <c r="C175" s="33" t="s">
        <v>172</v>
      </c>
      <c r="D175" s="33" t="s">
        <v>253</v>
      </c>
      <c r="E175" s="34"/>
      <c r="F175" s="24"/>
      <c r="G175" s="34"/>
      <c r="H175" s="34"/>
      <c r="I175" s="49"/>
      <c r="J175" s="34"/>
      <c r="K175" s="48"/>
      <c r="L175" s="17"/>
      <c r="M175" s="32"/>
      <c r="N175" s="28">
        <f>N174+N155</f>
        <v>17878.42274409</v>
      </c>
      <c r="O175" s="46"/>
    </row>
    <row r="176" s="1" customFormat="1" spans="1:15">
      <c r="A176" s="22" t="s">
        <v>51</v>
      </c>
      <c r="B176" s="22" t="s">
        <v>298</v>
      </c>
      <c r="C176" s="22" t="s">
        <v>172</v>
      </c>
      <c r="D176" s="22" t="s">
        <v>173</v>
      </c>
      <c r="E176" s="23"/>
      <c r="F176" s="17"/>
      <c r="G176" s="17"/>
      <c r="H176" s="17"/>
      <c r="I176" s="43"/>
      <c r="J176" s="17"/>
      <c r="K176" s="48"/>
      <c r="L176" s="17"/>
      <c r="M176" s="17"/>
      <c r="N176" s="17"/>
      <c r="O176" s="46"/>
    </row>
    <row r="177" s="1" customFormat="1" ht="48" outlineLevel="1" spans="1:15">
      <c r="A177" s="24">
        <v>1</v>
      </c>
      <c r="B177" s="25" t="s">
        <v>174</v>
      </c>
      <c r="C177" s="26" t="s">
        <v>175</v>
      </c>
      <c r="D177" s="25" t="s">
        <v>115</v>
      </c>
      <c r="E177" s="27">
        <v>4</v>
      </c>
      <c r="F177" s="28">
        <v>15</v>
      </c>
      <c r="G177" s="28">
        <f t="shared" ref="G177:G184" si="28">H177*(1+I177)</f>
        <v>25.3</v>
      </c>
      <c r="H177" s="28">
        <v>25.3</v>
      </c>
      <c r="I177" s="47">
        <v>0</v>
      </c>
      <c r="J177" s="28">
        <v>1</v>
      </c>
      <c r="K177" s="48">
        <f t="shared" si="23"/>
        <v>5.782</v>
      </c>
      <c r="L177" s="17">
        <f t="shared" si="24"/>
        <v>4.23738</v>
      </c>
      <c r="M177" s="32">
        <f t="shared" ref="M175:M211" si="29">F177+G177+J177+K177+L177</f>
        <v>51.31938</v>
      </c>
      <c r="N177" s="28">
        <f t="shared" ref="N177:N210" si="30">M177*E177</f>
        <v>205.27752</v>
      </c>
      <c r="O177" s="46" t="s">
        <v>176</v>
      </c>
    </row>
    <row r="178" s="1" customFormat="1" ht="48" outlineLevel="1" spans="1:15">
      <c r="A178" s="24">
        <v>2</v>
      </c>
      <c r="B178" s="25" t="s">
        <v>181</v>
      </c>
      <c r="C178" s="26" t="s">
        <v>182</v>
      </c>
      <c r="D178" s="25" t="s">
        <v>115</v>
      </c>
      <c r="E178" s="27">
        <v>1</v>
      </c>
      <c r="F178" s="28">
        <v>15</v>
      </c>
      <c r="G178" s="28">
        <f t="shared" si="28"/>
        <v>55</v>
      </c>
      <c r="H178" s="28">
        <v>55</v>
      </c>
      <c r="I178" s="47">
        <v>0</v>
      </c>
      <c r="J178" s="28">
        <v>1</v>
      </c>
      <c r="K178" s="48">
        <f t="shared" si="23"/>
        <v>9.94</v>
      </c>
      <c r="L178" s="17">
        <f t="shared" si="24"/>
        <v>7.2846</v>
      </c>
      <c r="M178" s="32">
        <f t="shared" si="29"/>
        <v>88.2246</v>
      </c>
      <c r="N178" s="28">
        <f t="shared" si="30"/>
        <v>88.2246</v>
      </c>
      <c r="O178" s="46" t="s">
        <v>176</v>
      </c>
    </row>
    <row r="179" s="1" customFormat="1" ht="48" outlineLevel="1" spans="1:15">
      <c r="A179" s="24">
        <v>3</v>
      </c>
      <c r="B179" s="25" t="s">
        <v>183</v>
      </c>
      <c r="C179" s="26" t="s">
        <v>184</v>
      </c>
      <c r="D179" s="25" t="s">
        <v>115</v>
      </c>
      <c r="E179" s="27">
        <v>3</v>
      </c>
      <c r="F179" s="28">
        <v>18</v>
      </c>
      <c r="G179" s="28">
        <f t="shared" si="28"/>
        <v>200</v>
      </c>
      <c r="H179" s="28">
        <v>200</v>
      </c>
      <c r="I179" s="47">
        <v>0</v>
      </c>
      <c r="J179" s="28">
        <v>1</v>
      </c>
      <c r="K179" s="48">
        <f t="shared" si="23"/>
        <v>30.66</v>
      </c>
      <c r="L179" s="17">
        <f t="shared" si="24"/>
        <v>22.4694</v>
      </c>
      <c r="M179" s="32">
        <f t="shared" si="29"/>
        <v>272.1294</v>
      </c>
      <c r="N179" s="28">
        <f t="shared" si="30"/>
        <v>816.3882</v>
      </c>
      <c r="O179" s="46" t="s">
        <v>176</v>
      </c>
    </row>
    <row r="180" s="1" customFormat="1" ht="48" outlineLevel="1" spans="1:15">
      <c r="A180" s="24">
        <v>4</v>
      </c>
      <c r="B180" s="25" t="s">
        <v>185</v>
      </c>
      <c r="C180" s="26" t="s">
        <v>186</v>
      </c>
      <c r="D180" s="25" t="s">
        <v>115</v>
      </c>
      <c r="E180" s="27">
        <v>1</v>
      </c>
      <c r="F180" s="29">
        <v>18</v>
      </c>
      <c r="G180" s="28">
        <f t="shared" si="28"/>
        <v>110</v>
      </c>
      <c r="H180" s="28">
        <v>110</v>
      </c>
      <c r="I180" s="47">
        <v>0</v>
      </c>
      <c r="J180" s="28">
        <v>1</v>
      </c>
      <c r="K180" s="48">
        <f t="shared" si="23"/>
        <v>18.06</v>
      </c>
      <c r="L180" s="17">
        <f t="shared" si="24"/>
        <v>13.2354</v>
      </c>
      <c r="M180" s="32">
        <f t="shared" si="29"/>
        <v>160.2954</v>
      </c>
      <c r="N180" s="28">
        <f t="shared" si="30"/>
        <v>160.2954</v>
      </c>
      <c r="O180" s="46" t="s">
        <v>176</v>
      </c>
    </row>
    <row r="181" s="1" customFormat="1" ht="48" outlineLevel="1" spans="1:15">
      <c r="A181" s="24">
        <v>5</v>
      </c>
      <c r="B181" s="25" t="s">
        <v>187</v>
      </c>
      <c r="C181" s="26" t="s">
        <v>188</v>
      </c>
      <c r="D181" s="25" t="s">
        <v>115</v>
      </c>
      <c r="E181" s="27">
        <v>1</v>
      </c>
      <c r="F181" s="28">
        <v>30</v>
      </c>
      <c r="G181" s="28">
        <f t="shared" si="28"/>
        <v>500</v>
      </c>
      <c r="H181" s="28">
        <v>500</v>
      </c>
      <c r="I181" s="47">
        <v>0</v>
      </c>
      <c r="J181" s="28">
        <v>10</v>
      </c>
      <c r="K181" s="48">
        <f t="shared" si="23"/>
        <v>75.6</v>
      </c>
      <c r="L181" s="17">
        <f t="shared" si="24"/>
        <v>55.404</v>
      </c>
      <c r="M181" s="32">
        <f t="shared" si="29"/>
        <v>671.004</v>
      </c>
      <c r="N181" s="28">
        <f t="shared" si="30"/>
        <v>671.004</v>
      </c>
      <c r="O181" s="46" t="s">
        <v>176</v>
      </c>
    </row>
    <row r="182" s="1" customFormat="1" ht="48" outlineLevel="1" spans="1:15">
      <c r="A182" s="24">
        <v>6</v>
      </c>
      <c r="B182" s="25" t="s">
        <v>189</v>
      </c>
      <c r="C182" s="26" t="s">
        <v>190</v>
      </c>
      <c r="D182" s="25" t="s">
        <v>115</v>
      </c>
      <c r="E182" s="27">
        <v>1</v>
      </c>
      <c r="F182" s="28">
        <v>18</v>
      </c>
      <c r="G182" s="28">
        <f t="shared" si="28"/>
        <v>60</v>
      </c>
      <c r="H182" s="28">
        <v>60</v>
      </c>
      <c r="I182" s="47">
        <v>0</v>
      </c>
      <c r="J182" s="28">
        <v>1.5</v>
      </c>
      <c r="K182" s="48">
        <f t="shared" si="23"/>
        <v>11.13</v>
      </c>
      <c r="L182" s="17">
        <f t="shared" si="24"/>
        <v>8.1567</v>
      </c>
      <c r="M182" s="32">
        <f t="shared" si="29"/>
        <v>98.7867</v>
      </c>
      <c r="N182" s="28">
        <f t="shared" si="30"/>
        <v>98.7867</v>
      </c>
      <c r="O182" s="46" t="s">
        <v>176</v>
      </c>
    </row>
    <row r="183" s="1" customFormat="1" ht="36" outlineLevel="1" spans="1:15">
      <c r="A183" s="24">
        <v>7</v>
      </c>
      <c r="B183" s="25" t="s">
        <v>191</v>
      </c>
      <c r="C183" s="26" t="s">
        <v>192</v>
      </c>
      <c r="D183" s="25" t="s">
        <v>115</v>
      </c>
      <c r="E183" s="27">
        <v>1</v>
      </c>
      <c r="F183" s="28">
        <v>15</v>
      </c>
      <c r="G183" s="28">
        <f t="shared" si="28"/>
        <v>50</v>
      </c>
      <c r="H183" s="28">
        <v>50</v>
      </c>
      <c r="I183" s="47">
        <v>0</v>
      </c>
      <c r="J183" s="28">
        <v>1.5</v>
      </c>
      <c r="K183" s="48">
        <f t="shared" si="23"/>
        <v>9.31</v>
      </c>
      <c r="L183" s="17">
        <f t="shared" si="24"/>
        <v>6.8229</v>
      </c>
      <c r="M183" s="32">
        <f t="shared" si="29"/>
        <v>82.6329</v>
      </c>
      <c r="N183" s="28">
        <f t="shared" si="30"/>
        <v>82.6329</v>
      </c>
      <c r="O183" s="46" t="s">
        <v>176</v>
      </c>
    </row>
    <row r="184" s="1" customFormat="1" ht="48" outlineLevel="1" spans="1:15">
      <c r="A184" s="24">
        <v>8</v>
      </c>
      <c r="B184" s="25" t="s">
        <v>195</v>
      </c>
      <c r="C184" s="26" t="s">
        <v>196</v>
      </c>
      <c r="D184" s="25" t="s">
        <v>115</v>
      </c>
      <c r="E184" s="27">
        <v>17</v>
      </c>
      <c r="F184" s="28">
        <v>8</v>
      </c>
      <c r="G184" s="28">
        <f t="shared" si="28"/>
        <v>16</v>
      </c>
      <c r="H184" s="28">
        <v>16</v>
      </c>
      <c r="I184" s="47">
        <v>0</v>
      </c>
      <c r="J184" s="28">
        <v>0.5</v>
      </c>
      <c r="K184" s="48">
        <f t="shared" si="23"/>
        <v>3.43</v>
      </c>
      <c r="L184" s="17">
        <f t="shared" si="24"/>
        <v>2.5137</v>
      </c>
      <c r="M184" s="32">
        <f t="shared" si="29"/>
        <v>30.4437</v>
      </c>
      <c r="N184" s="28">
        <f t="shared" si="30"/>
        <v>517.5429</v>
      </c>
      <c r="O184" s="46" t="s">
        <v>197</v>
      </c>
    </row>
    <row r="185" s="1" customFormat="1" ht="48" outlineLevel="1" spans="1:15">
      <c r="A185" s="24">
        <v>9</v>
      </c>
      <c r="B185" s="25" t="s">
        <v>198</v>
      </c>
      <c r="C185" s="26" t="s">
        <v>199</v>
      </c>
      <c r="D185" s="25" t="s">
        <v>115</v>
      </c>
      <c r="E185" s="27">
        <v>1</v>
      </c>
      <c r="F185" s="28">
        <v>8</v>
      </c>
      <c r="G185" s="28">
        <f t="shared" ref="G185:G210" si="31">H185*(1+I185)</f>
        <v>18</v>
      </c>
      <c r="H185" s="28">
        <v>18</v>
      </c>
      <c r="I185" s="47">
        <v>0</v>
      </c>
      <c r="J185" s="28">
        <v>0.5</v>
      </c>
      <c r="K185" s="48">
        <f t="shared" si="23"/>
        <v>3.71</v>
      </c>
      <c r="L185" s="17">
        <f t="shared" si="24"/>
        <v>2.7189</v>
      </c>
      <c r="M185" s="32">
        <f t="shared" si="29"/>
        <v>32.9289</v>
      </c>
      <c r="N185" s="28">
        <f t="shared" si="30"/>
        <v>32.9289</v>
      </c>
      <c r="O185" s="46" t="s">
        <v>197</v>
      </c>
    </row>
    <row r="186" s="1" customFormat="1" ht="48" outlineLevel="1" spans="1:15">
      <c r="A186" s="24">
        <v>10</v>
      </c>
      <c r="B186" s="25" t="s">
        <v>200</v>
      </c>
      <c r="C186" s="26" t="s">
        <v>201</v>
      </c>
      <c r="D186" s="25" t="s">
        <v>115</v>
      </c>
      <c r="E186" s="27">
        <v>1</v>
      </c>
      <c r="F186" s="28">
        <v>8</v>
      </c>
      <c r="G186" s="28">
        <f t="shared" si="31"/>
        <v>18</v>
      </c>
      <c r="H186" s="28">
        <v>18</v>
      </c>
      <c r="I186" s="47">
        <v>0</v>
      </c>
      <c r="J186" s="28">
        <v>0.5</v>
      </c>
      <c r="K186" s="48">
        <f t="shared" si="23"/>
        <v>3.71</v>
      </c>
      <c r="L186" s="17">
        <f t="shared" si="24"/>
        <v>2.7189</v>
      </c>
      <c r="M186" s="32">
        <f t="shared" si="29"/>
        <v>32.9289</v>
      </c>
      <c r="N186" s="28">
        <f t="shared" si="30"/>
        <v>32.9289</v>
      </c>
      <c r="O186" s="46" t="s">
        <v>197</v>
      </c>
    </row>
    <row r="187" s="1" customFormat="1" ht="48" outlineLevel="1" spans="1:15">
      <c r="A187" s="24">
        <v>11</v>
      </c>
      <c r="B187" s="25" t="s">
        <v>202</v>
      </c>
      <c r="C187" s="26" t="s">
        <v>203</v>
      </c>
      <c r="D187" s="25" t="s">
        <v>115</v>
      </c>
      <c r="E187" s="27">
        <v>1</v>
      </c>
      <c r="F187" s="28">
        <v>8</v>
      </c>
      <c r="G187" s="28">
        <f t="shared" si="31"/>
        <v>27</v>
      </c>
      <c r="H187" s="28">
        <v>27</v>
      </c>
      <c r="I187" s="47">
        <v>0</v>
      </c>
      <c r="J187" s="28">
        <v>0.5</v>
      </c>
      <c r="K187" s="48">
        <f t="shared" si="23"/>
        <v>4.97</v>
      </c>
      <c r="L187" s="17">
        <f t="shared" si="24"/>
        <v>3.6423</v>
      </c>
      <c r="M187" s="32">
        <f t="shared" si="29"/>
        <v>44.1123</v>
      </c>
      <c r="N187" s="28">
        <f t="shared" si="30"/>
        <v>44.1123</v>
      </c>
      <c r="O187" s="46" t="s">
        <v>197</v>
      </c>
    </row>
    <row r="188" s="1" customFormat="1" ht="48" outlineLevel="1" spans="1:15">
      <c r="A188" s="24">
        <v>12</v>
      </c>
      <c r="B188" s="25" t="s">
        <v>204</v>
      </c>
      <c r="C188" s="26" t="s">
        <v>205</v>
      </c>
      <c r="D188" s="25" t="s">
        <v>115</v>
      </c>
      <c r="E188" s="27">
        <v>1</v>
      </c>
      <c r="F188" s="28">
        <v>8</v>
      </c>
      <c r="G188" s="28">
        <f t="shared" si="31"/>
        <v>27</v>
      </c>
      <c r="H188" s="28">
        <v>27</v>
      </c>
      <c r="I188" s="47">
        <v>0</v>
      </c>
      <c r="J188" s="28">
        <v>0.5</v>
      </c>
      <c r="K188" s="48">
        <f t="shared" si="23"/>
        <v>4.97</v>
      </c>
      <c r="L188" s="17">
        <f t="shared" si="24"/>
        <v>3.6423</v>
      </c>
      <c r="M188" s="32">
        <f t="shared" si="29"/>
        <v>44.1123</v>
      </c>
      <c r="N188" s="28">
        <f t="shared" si="30"/>
        <v>44.1123</v>
      </c>
      <c r="O188" s="46" t="s">
        <v>197</v>
      </c>
    </row>
    <row r="189" s="1" customFormat="1" ht="48" outlineLevel="1" spans="1:15">
      <c r="A189" s="24">
        <v>13</v>
      </c>
      <c r="B189" s="25" t="s">
        <v>206</v>
      </c>
      <c r="C189" s="26" t="s">
        <v>207</v>
      </c>
      <c r="D189" s="25" t="s">
        <v>115</v>
      </c>
      <c r="E189" s="27">
        <v>1</v>
      </c>
      <c r="F189" s="28">
        <v>8</v>
      </c>
      <c r="G189" s="28">
        <f t="shared" si="31"/>
        <v>46</v>
      </c>
      <c r="H189" s="28">
        <v>46</v>
      </c>
      <c r="I189" s="47">
        <v>0</v>
      </c>
      <c r="J189" s="28">
        <v>0.5</v>
      </c>
      <c r="K189" s="48">
        <f t="shared" si="23"/>
        <v>7.63</v>
      </c>
      <c r="L189" s="17">
        <f t="shared" si="24"/>
        <v>5.5917</v>
      </c>
      <c r="M189" s="32">
        <f t="shared" si="29"/>
        <v>67.7217</v>
      </c>
      <c r="N189" s="28">
        <f t="shared" si="30"/>
        <v>67.7217</v>
      </c>
      <c r="O189" s="46" t="s">
        <v>197</v>
      </c>
    </row>
    <row r="190" s="1" customFormat="1" ht="48" outlineLevel="1" spans="1:15">
      <c r="A190" s="24">
        <v>14</v>
      </c>
      <c r="B190" s="25" t="s">
        <v>208</v>
      </c>
      <c r="C190" s="26" t="s">
        <v>209</v>
      </c>
      <c r="D190" s="25" t="s">
        <v>115</v>
      </c>
      <c r="E190" s="27">
        <v>1</v>
      </c>
      <c r="F190" s="28">
        <v>8</v>
      </c>
      <c r="G190" s="28">
        <f t="shared" si="31"/>
        <v>27</v>
      </c>
      <c r="H190" s="28">
        <v>27</v>
      </c>
      <c r="I190" s="47">
        <v>0</v>
      </c>
      <c r="J190" s="28">
        <v>0.5</v>
      </c>
      <c r="K190" s="48">
        <f t="shared" si="23"/>
        <v>4.97</v>
      </c>
      <c r="L190" s="17">
        <f t="shared" si="24"/>
        <v>3.6423</v>
      </c>
      <c r="M190" s="32">
        <f t="shared" si="29"/>
        <v>44.1123</v>
      </c>
      <c r="N190" s="28">
        <f t="shared" si="30"/>
        <v>44.1123</v>
      </c>
      <c r="O190" s="46" t="s">
        <v>197</v>
      </c>
    </row>
    <row r="191" s="1" customFormat="1" ht="48" outlineLevel="1" spans="1:15">
      <c r="A191" s="24">
        <v>15</v>
      </c>
      <c r="B191" s="25" t="s">
        <v>210</v>
      </c>
      <c r="C191" s="26" t="s">
        <v>211</v>
      </c>
      <c r="D191" s="25" t="s">
        <v>115</v>
      </c>
      <c r="E191" s="27">
        <v>1</v>
      </c>
      <c r="F191" s="28">
        <v>8</v>
      </c>
      <c r="G191" s="28">
        <f t="shared" si="31"/>
        <v>18</v>
      </c>
      <c r="H191" s="28">
        <v>18</v>
      </c>
      <c r="I191" s="47">
        <v>0</v>
      </c>
      <c r="J191" s="28">
        <v>0.5</v>
      </c>
      <c r="K191" s="48">
        <f t="shared" si="23"/>
        <v>3.71</v>
      </c>
      <c r="L191" s="17">
        <f t="shared" si="24"/>
        <v>2.7189</v>
      </c>
      <c r="M191" s="32">
        <f t="shared" si="29"/>
        <v>32.9289</v>
      </c>
      <c r="N191" s="28">
        <f t="shared" si="30"/>
        <v>32.9289</v>
      </c>
      <c r="O191" s="46" t="s">
        <v>197</v>
      </c>
    </row>
    <row r="192" s="1" customFormat="1" ht="48" outlineLevel="1" spans="1:15">
      <c r="A192" s="24">
        <v>16</v>
      </c>
      <c r="B192" s="25" t="s">
        <v>212</v>
      </c>
      <c r="C192" s="26" t="s">
        <v>213</v>
      </c>
      <c r="D192" s="25" t="s">
        <v>115</v>
      </c>
      <c r="E192" s="27">
        <v>2</v>
      </c>
      <c r="F192" s="28">
        <v>8</v>
      </c>
      <c r="G192" s="28">
        <f t="shared" si="31"/>
        <v>35.2</v>
      </c>
      <c r="H192" s="28">
        <v>35.2</v>
      </c>
      <c r="I192" s="47">
        <v>0</v>
      </c>
      <c r="J192" s="28">
        <v>0.5</v>
      </c>
      <c r="K192" s="48">
        <f t="shared" si="23"/>
        <v>6.118</v>
      </c>
      <c r="L192" s="17">
        <f t="shared" si="24"/>
        <v>4.48362</v>
      </c>
      <c r="M192" s="32">
        <f t="shared" si="29"/>
        <v>54.30162</v>
      </c>
      <c r="N192" s="28">
        <f t="shared" si="30"/>
        <v>108.60324</v>
      </c>
      <c r="O192" s="46" t="s">
        <v>197</v>
      </c>
    </row>
    <row r="193" s="1" customFormat="1" ht="48" outlineLevel="1" spans="1:15">
      <c r="A193" s="24">
        <v>17</v>
      </c>
      <c r="B193" s="25" t="s">
        <v>214</v>
      </c>
      <c r="C193" s="26" t="s">
        <v>215</v>
      </c>
      <c r="D193" s="25" t="s">
        <v>115</v>
      </c>
      <c r="E193" s="27">
        <v>3</v>
      </c>
      <c r="F193" s="28">
        <v>8</v>
      </c>
      <c r="G193" s="28">
        <f t="shared" si="31"/>
        <v>35.2</v>
      </c>
      <c r="H193" s="28">
        <v>35.2</v>
      </c>
      <c r="I193" s="47">
        <v>0</v>
      </c>
      <c r="J193" s="28">
        <v>0.5</v>
      </c>
      <c r="K193" s="48">
        <f t="shared" si="23"/>
        <v>6.118</v>
      </c>
      <c r="L193" s="17">
        <f t="shared" si="24"/>
        <v>4.48362</v>
      </c>
      <c r="M193" s="32">
        <f t="shared" si="29"/>
        <v>54.30162</v>
      </c>
      <c r="N193" s="28">
        <f t="shared" si="30"/>
        <v>162.90486</v>
      </c>
      <c r="O193" s="46" t="s">
        <v>197</v>
      </c>
    </row>
    <row r="194" s="1" customFormat="1" ht="48" outlineLevel="1" spans="1:15">
      <c r="A194" s="24">
        <v>18</v>
      </c>
      <c r="B194" s="25" t="s">
        <v>216</v>
      </c>
      <c r="C194" s="26" t="s">
        <v>217</v>
      </c>
      <c r="D194" s="25" t="s">
        <v>115</v>
      </c>
      <c r="E194" s="27">
        <v>2</v>
      </c>
      <c r="F194" s="28">
        <v>8</v>
      </c>
      <c r="G194" s="28">
        <f t="shared" si="31"/>
        <v>27</v>
      </c>
      <c r="H194" s="28">
        <v>27</v>
      </c>
      <c r="I194" s="47">
        <v>0</v>
      </c>
      <c r="J194" s="28">
        <v>0.5</v>
      </c>
      <c r="K194" s="48">
        <f t="shared" si="23"/>
        <v>4.97</v>
      </c>
      <c r="L194" s="17">
        <f t="shared" si="24"/>
        <v>3.6423</v>
      </c>
      <c r="M194" s="32">
        <f t="shared" si="29"/>
        <v>44.1123</v>
      </c>
      <c r="N194" s="28">
        <f t="shared" si="30"/>
        <v>88.2246</v>
      </c>
      <c r="O194" s="46" t="s">
        <v>197</v>
      </c>
    </row>
    <row r="195" s="1" customFormat="1" ht="48" outlineLevel="1" spans="1:15">
      <c r="A195" s="24">
        <v>19</v>
      </c>
      <c r="B195" s="25" t="s">
        <v>218</v>
      </c>
      <c r="C195" s="26" t="s">
        <v>219</v>
      </c>
      <c r="D195" s="25" t="s">
        <v>115</v>
      </c>
      <c r="E195" s="27">
        <v>1</v>
      </c>
      <c r="F195" s="28">
        <v>8</v>
      </c>
      <c r="G195" s="28">
        <f t="shared" si="31"/>
        <v>27</v>
      </c>
      <c r="H195" s="28">
        <v>27</v>
      </c>
      <c r="I195" s="47">
        <v>0</v>
      </c>
      <c r="J195" s="28">
        <v>0.5</v>
      </c>
      <c r="K195" s="48">
        <f t="shared" si="23"/>
        <v>4.97</v>
      </c>
      <c r="L195" s="17">
        <f t="shared" si="24"/>
        <v>3.6423</v>
      </c>
      <c r="M195" s="32">
        <f t="shared" si="29"/>
        <v>44.1123</v>
      </c>
      <c r="N195" s="28">
        <f t="shared" si="30"/>
        <v>44.1123</v>
      </c>
      <c r="O195" s="46" t="s">
        <v>197</v>
      </c>
    </row>
    <row r="196" s="1" customFormat="1" ht="48" outlineLevel="1" spans="1:15">
      <c r="A196" s="24">
        <v>20</v>
      </c>
      <c r="B196" s="25" t="s">
        <v>220</v>
      </c>
      <c r="C196" s="26" t="s">
        <v>221</v>
      </c>
      <c r="D196" s="25" t="s">
        <v>115</v>
      </c>
      <c r="E196" s="27">
        <v>3</v>
      </c>
      <c r="F196" s="28">
        <v>8</v>
      </c>
      <c r="G196" s="28">
        <f t="shared" si="31"/>
        <v>16.5</v>
      </c>
      <c r="H196" s="28">
        <v>16.5</v>
      </c>
      <c r="I196" s="47">
        <v>0</v>
      </c>
      <c r="J196" s="28">
        <v>0.5</v>
      </c>
      <c r="K196" s="48">
        <f t="shared" si="23"/>
        <v>3.5</v>
      </c>
      <c r="L196" s="17">
        <f t="shared" si="24"/>
        <v>2.565</v>
      </c>
      <c r="M196" s="32">
        <f t="shared" si="29"/>
        <v>31.065</v>
      </c>
      <c r="N196" s="28">
        <f t="shared" si="30"/>
        <v>93.195</v>
      </c>
      <c r="O196" s="46" t="s">
        <v>197</v>
      </c>
    </row>
    <row r="197" s="1" customFormat="1" ht="48" outlineLevel="1" spans="1:15">
      <c r="A197" s="24">
        <v>21</v>
      </c>
      <c r="B197" s="25" t="s">
        <v>222</v>
      </c>
      <c r="C197" s="26" t="s">
        <v>223</v>
      </c>
      <c r="D197" s="25" t="s">
        <v>115</v>
      </c>
      <c r="E197" s="27">
        <v>2</v>
      </c>
      <c r="F197" s="28">
        <v>8</v>
      </c>
      <c r="G197" s="28">
        <f t="shared" si="31"/>
        <v>18.2</v>
      </c>
      <c r="H197" s="28">
        <v>18.2</v>
      </c>
      <c r="I197" s="47">
        <v>0</v>
      </c>
      <c r="J197" s="28">
        <v>0.5</v>
      </c>
      <c r="K197" s="48">
        <f t="shared" si="23"/>
        <v>3.738</v>
      </c>
      <c r="L197" s="17">
        <f t="shared" si="24"/>
        <v>2.73942</v>
      </c>
      <c r="M197" s="32">
        <f t="shared" si="29"/>
        <v>33.17742</v>
      </c>
      <c r="N197" s="28">
        <f t="shared" si="30"/>
        <v>66.35484</v>
      </c>
      <c r="O197" s="46" t="s">
        <v>197</v>
      </c>
    </row>
    <row r="198" s="1" customFormat="1" ht="48" outlineLevel="1" spans="1:15">
      <c r="A198" s="24">
        <v>22</v>
      </c>
      <c r="B198" s="25" t="s">
        <v>224</v>
      </c>
      <c r="C198" s="26" t="s">
        <v>225</v>
      </c>
      <c r="D198" s="25" t="s">
        <v>115</v>
      </c>
      <c r="E198" s="27">
        <v>2</v>
      </c>
      <c r="F198" s="28">
        <v>8</v>
      </c>
      <c r="G198" s="28">
        <f t="shared" si="31"/>
        <v>30.25</v>
      </c>
      <c r="H198" s="28">
        <v>30.25</v>
      </c>
      <c r="I198" s="47">
        <v>0</v>
      </c>
      <c r="J198" s="28">
        <v>0.5</v>
      </c>
      <c r="K198" s="48">
        <f t="shared" si="23"/>
        <v>5.425</v>
      </c>
      <c r="L198" s="17">
        <f t="shared" si="24"/>
        <v>3.97575</v>
      </c>
      <c r="M198" s="32">
        <f t="shared" si="29"/>
        <v>48.15075</v>
      </c>
      <c r="N198" s="28">
        <f t="shared" si="30"/>
        <v>96.3015</v>
      </c>
      <c r="O198" s="46" t="s">
        <v>197</v>
      </c>
    </row>
    <row r="199" s="1" customFormat="1" ht="48" outlineLevel="1" spans="1:15">
      <c r="A199" s="24">
        <v>23</v>
      </c>
      <c r="B199" s="25" t="s">
        <v>226</v>
      </c>
      <c r="C199" s="26" t="s">
        <v>227</v>
      </c>
      <c r="D199" s="25" t="s">
        <v>115</v>
      </c>
      <c r="E199" s="27">
        <v>1</v>
      </c>
      <c r="F199" s="28">
        <v>10</v>
      </c>
      <c r="G199" s="28">
        <f t="shared" si="31"/>
        <v>63.8</v>
      </c>
      <c r="H199" s="28">
        <v>63.8</v>
      </c>
      <c r="I199" s="47">
        <v>0</v>
      </c>
      <c r="J199" s="28">
        <v>0.5</v>
      </c>
      <c r="K199" s="48">
        <f t="shared" ref="K199:K267" si="32">(F199+G199+J199)*$K$4</f>
        <v>10.402</v>
      </c>
      <c r="L199" s="17">
        <f t="shared" ref="L199:L267" si="33">(F199+G199+J199+K199)*$L$4</f>
        <v>7.62318</v>
      </c>
      <c r="M199" s="32">
        <f t="shared" si="29"/>
        <v>92.32518</v>
      </c>
      <c r="N199" s="28">
        <f t="shared" si="30"/>
        <v>92.32518</v>
      </c>
      <c r="O199" s="46" t="s">
        <v>228</v>
      </c>
    </row>
    <row r="200" s="1" customFormat="1" ht="60" outlineLevel="1" spans="1:15">
      <c r="A200" s="24">
        <v>24</v>
      </c>
      <c r="B200" s="25" t="s">
        <v>229</v>
      </c>
      <c r="C200" s="26" t="s">
        <v>230</v>
      </c>
      <c r="D200" s="25" t="s">
        <v>115</v>
      </c>
      <c r="E200" s="27">
        <v>1</v>
      </c>
      <c r="F200" s="28">
        <v>10</v>
      </c>
      <c r="G200" s="28">
        <f t="shared" si="31"/>
        <v>5</v>
      </c>
      <c r="H200" s="28">
        <v>5</v>
      </c>
      <c r="I200" s="47">
        <v>0</v>
      </c>
      <c r="J200" s="28">
        <v>0.5</v>
      </c>
      <c r="K200" s="48">
        <f t="shared" si="32"/>
        <v>2.17</v>
      </c>
      <c r="L200" s="17">
        <f t="shared" si="33"/>
        <v>1.5903</v>
      </c>
      <c r="M200" s="32">
        <f t="shared" si="29"/>
        <v>19.2603</v>
      </c>
      <c r="N200" s="28">
        <f t="shared" si="30"/>
        <v>19.2603</v>
      </c>
      <c r="O200" s="46" t="s">
        <v>231</v>
      </c>
    </row>
    <row r="201" s="1" customFormat="1" ht="48" outlineLevel="1" spans="1:15">
      <c r="A201" s="24">
        <v>25</v>
      </c>
      <c r="B201" s="25" t="s">
        <v>232</v>
      </c>
      <c r="C201" s="26" t="s">
        <v>233</v>
      </c>
      <c r="D201" s="25" t="s">
        <v>115</v>
      </c>
      <c r="E201" s="27">
        <v>1</v>
      </c>
      <c r="F201" s="28">
        <v>30</v>
      </c>
      <c r="G201" s="28">
        <f t="shared" si="31"/>
        <v>45</v>
      </c>
      <c r="H201" s="28">
        <v>45</v>
      </c>
      <c r="I201" s="47">
        <v>0</v>
      </c>
      <c r="J201" s="28">
        <v>0.5</v>
      </c>
      <c r="K201" s="48">
        <f t="shared" si="32"/>
        <v>10.57</v>
      </c>
      <c r="L201" s="17">
        <f t="shared" si="33"/>
        <v>7.7463</v>
      </c>
      <c r="M201" s="32">
        <f t="shared" si="29"/>
        <v>93.8163</v>
      </c>
      <c r="N201" s="28">
        <f t="shared" si="30"/>
        <v>93.8163</v>
      </c>
      <c r="O201" s="46" t="s">
        <v>176</v>
      </c>
    </row>
    <row r="202" s="1" customFormat="1" ht="36" outlineLevel="1" spans="1:15">
      <c r="A202" s="24">
        <v>26</v>
      </c>
      <c r="B202" s="25" t="s">
        <v>234</v>
      </c>
      <c r="C202" s="26" t="s">
        <v>235</v>
      </c>
      <c r="D202" s="25" t="s">
        <v>115</v>
      </c>
      <c r="E202" s="27">
        <v>5</v>
      </c>
      <c r="F202" s="28">
        <v>8</v>
      </c>
      <c r="G202" s="28">
        <f t="shared" si="31"/>
        <v>10.78</v>
      </c>
      <c r="H202" s="28">
        <v>10.78</v>
      </c>
      <c r="I202" s="47">
        <v>0</v>
      </c>
      <c r="J202" s="28">
        <v>0.5</v>
      </c>
      <c r="K202" s="48">
        <f t="shared" si="32"/>
        <v>2.6992</v>
      </c>
      <c r="L202" s="17">
        <f t="shared" si="33"/>
        <v>1.978128</v>
      </c>
      <c r="M202" s="32">
        <f t="shared" si="29"/>
        <v>23.957328</v>
      </c>
      <c r="N202" s="28">
        <f t="shared" si="30"/>
        <v>119.78664</v>
      </c>
      <c r="O202" s="46" t="s">
        <v>197</v>
      </c>
    </row>
    <row r="203" s="1" customFormat="1" ht="36" outlineLevel="1" spans="1:15">
      <c r="A203" s="24">
        <v>27</v>
      </c>
      <c r="B203" s="25" t="s">
        <v>236</v>
      </c>
      <c r="C203" s="26" t="s">
        <v>237</v>
      </c>
      <c r="D203" s="25" t="s">
        <v>115</v>
      </c>
      <c r="E203" s="27">
        <v>1</v>
      </c>
      <c r="F203" s="28">
        <v>8</v>
      </c>
      <c r="G203" s="28">
        <f t="shared" si="31"/>
        <v>30.25</v>
      </c>
      <c r="H203" s="28">
        <v>30.25</v>
      </c>
      <c r="I203" s="47">
        <v>0</v>
      </c>
      <c r="J203" s="28">
        <v>0.5</v>
      </c>
      <c r="K203" s="48">
        <f t="shared" si="32"/>
        <v>5.425</v>
      </c>
      <c r="L203" s="17">
        <f t="shared" si="33"/>
        <v>3.97575</v>
      </c>
      <c r="M203" s="32">
        <f t="shared" si="29"/>
        <v>48.15075</v>
      </c>
      <c r="N203" s="28">
        <f t="shared" si="30"/>
        <v>48.15075</v>
      </c>
      <c r="O203" s="46" t="s">
        <v>197</v>
      </c>
    </row>
    <row r="204" s="1" customFormat="1" ht="36" outlineLevel="1" spans="1:15">
      <c r="A204" s="24">
        <v>28</v>
      </c>
      <c r="B204" s="25" t="s">
        <v>238</v>
      </c>
      <c r="C204" s="26" t="s">
        <v>239</v>
      </c>
      <c r="D204" s="25" t="s">
        <v>115</v>
      </c>
      <c r="E204" s="27">
        <v>1</v>
      </c>
      <c r="F204" s="28">
        <v>8</v>
      </c>
      <c r="G204" s="28">
        <f t="shared" si="31"/>
        <v>22</v>
      </c>
      <c r="H204" s="28">
        <v>22</v>
      </c>
      <c r="I204" s="47">
        <v>0</v>
      </c>
      <c r="J204" s="28">
        <v>0.5</v>
      </c>
      <c r="K204" s="48">
        <f t="shared" si="32"/>
        <v>4.27</v>
      </c>
      <c r="L204" s="17">
        <f t="shared" si="33"/>
        <v>3.1293</v>
      </c>
      <c r="M204" s="32">
        <f t="shared" si="29"/>
        <v>37.8993</v>
      </c>
      <c r="N204" s="28">
        <f t="shared" si="30"/>
        <v>37.8993</v>
      </c>
      <c r="O204" s="46" t="s">
        <v>197</v>
      </c>
    </row>
    <row r="205" s="1" customFormat="1" ht="36" outlineLevel="1" spans="1:15">
      <c r="A205" s="24">
        <v>29</v>
      </c>
      <c r="B205" s="25" t="s">
        <v>240</v>
      </c>
      <c r="C205" s="26" t="s">
        <v>241</v>
      </c>
      <c r="D205" s="25" t="s">
        <v>115</v>
      </c>
      <c r="E205" s="27">
        <f>1+2</f>
        <v>3</v>
      </c>
      <c r="F205" s="28">
        <v>8</v>
      </c>
      <c r="G205" s="28">
        <f t="shared" si="31"/>
        <v>33.55</v>
      </c>
      <c r="H205" s="28">
        <v>33.55</v>
      </c>
      <c r="I205" s="47">
        <v>0</v>
      </c>
      <c r="J205" s="28">
        <v>0.5</v>
      </c>
      <c r="K205" s="48">
        <f t="shared" si="32"/>
        <v>5.887</v>
      </c>
      <c r="L205" s="17">
        <f t="shared" si="33"/>
        <v>4.31433</v>
      </c>
      <c r="M205" s="32">
        <f t="shared" si="29"/>
        <v>52.25133</v>
      </c>
      <c r="N205" s="28">
        <f t="shared" si="30"/>
        <v>156.75399</v>
      </c>
      <c r="O205" s="46" t="s">
        <v>197</v>
      </c>
    </row>
    <row r="206" s="1" customFormat="1" ht="48" outlineLevel="1" spans="1:15">
      <c r="A206" s="24">
        <v>30</v>
      </c>
      <c r="B206" s="30" t="s">
        <v>242</v>
      </c>
      <c r="C206" s="31" t="s">
        <v>243</v>
      </c>
      <c r="D206" s="32" t="s">
        <v>61</v>
      </c>
      <c r="E206" s="32">
        <v>174.92</v>
      </c>
      <c r="F206" s="28">
        <v>3</v>
      </c>
      <c r="G206" s="28">
        <f t="shared" si="31"/>
        <v>1.575</v>
      </c>
      <c r="H206" s="28">
        <v>1.5</v>
      </c>
      <c r="I206" s="47">
        <v>0.05</v>
      </c>
      <c r="J206" s="28">
        <v>0.3</v>
      </c>
      <c r="K206" s="48">
        <f t="shared" si="32"/>
        <v>0.6825</v>
      </c>
      <c r="L206" s="17">
        <f t="shared" si="33"/>
        <v>0.500175</v>
      </c>
      <c r="M206" s="32">
        <f t="shared" si="29"/>
        <v>6.057675</v>
      </c>
      <c r="N206" s="28">
        <f t="shared" si="30"/>
        <v>1059.608511</v>
      </c>
      <c r="O206" s="46" t="s">
        <v>244</v>
      </c>
    </row>
    <row r="207" s="1" customFormat="1" ht="48" outlineLevel="1" spans="1:15">
      <c r="A207" s="24">
        <v>31</v>
      </c>
      <c r="B207" s="30" t="s">
        <v>242</v>
      </c>
      <c r="C207" s="31" t="s">
        <v>245</v>
      </c>
      <c r="D207" s="32" t="s">
        <v>61</v>
      </c>
      <c r="E207" s="32">
        <v>305.46</v>
      </c>
      <c r="F207" s="28">
        <v>3</v>
      </c>
      <c r="G207" s="28">
        <f t="shared" si="31"/>
        <v>2.415</v>
      </c>
      <c r="H207" s="28">
        <v>2.3</v>
      </c>
      <c r="I207" s="47">
        <v>0.05</v>
      </c>
      <c r="J207" s="28">
        <v>0.3</v>
      </c>
      <c r="K207" s="48">
        <f t="shared" si="32"/>
        <v>0.8001</v>
      </c>
      <c r="L207" s="17">
        <f t="shared" si="33"/>
        <v>0.586359</v>
      </c>
      <c r="M207" s="32">
        <f t="shared" si="29"/>
        <v>7.101459</v>
      </c>
      <c r="N207" s="28">
        <f t="shared" si="30"/>
        <v>2169.21166614</v>
      </c>
      <c r="O207" s="46" t="s">
        <v>244</v>
      </c>
    </row>
    <row r="208" s="1" customFormat="1" ht="48" outlineLevel="1" spans="1:15">
      <c r="A208" s="24">
        <v>32</v>
      </c>
      <c r="B208" s="30" t="s">
        <v>246</v>
      </c>
      <c r="C208" s="31" t="s">
        <v>247</v>
      </c>
      <c r="D208" s="32" t="s">
        <v>61</v>
      </c>
      <c r="E208" s="32">
        <v>16.06</v>
      </c>
      <c r="F208" s="28">
        <v>5</v>
      </c>
      <c r="G208" s="28">
        <f t="shared" si="31"/>
        <v>2.625</v>
      </c>
      <c r="H208" s="28">
        <v>2.5</v>
      </c>
      <c r="I208" s="47">
        <v>0.05</v>
      </c>
      <c r="J208" s="28">
        <v>0.5</v>
      </c>
      <c r="K208" s="48">
        <f t="shared" si="32"/>
        <v>1.1375</v>
      </c>
      <c r="L208" s="17">
        <f t="shared" si="33"/>
        <v>0.833625</v>
      </c>
      <c r="M208" s="32">
        <f t="shared" si="29"/>
        <v>10.096125</v>
      </c>
      <c r="N208" s="28">
        <f t="shared" si="30"/>
        <v>162.1437675</v>
      </c>
      <c r="O208" s="46" t="s">
        <v>248</v>
      </c>
    </row>
    <row r="209" s="1" customFormat="1" ht="48" outlineLevel="1" spans="1:15">
      <c r="A209" s="24">
        <v>33</v>
      </c>
      <c r="B209" s="30" t="s">
        <v>249</v>
      </c>
      <c r="C209" s="31" t="s">
        <v>250</v>
      </c>
      <c r="D209" s="32" t="s">
        <v>61</v>
      </c>
      <c r="E209" s="32">
        <v>3.56</v>
      </c>
      <c r="F209" s="28">
        <v>5</v>
      </c>
      <c r="G209" s="28">
        <f t="shared" si="31"/>
        <v>1.575</v>
      </c>
      <c r="H209" s="28">
        <v>1.5</v>
      </c>
      <c r="I209" s="47">
        <v>0.05</v>
      </c>
      <c r="J209" s="28">
        <v>0.5</v>
      </c>
      <c r="K209" s="48">
        <f t="shared" si="32"/>
        <v>0.9905</v>
      </c>
      <c r="L209" s="17">
        <f t="shared" si="33"/>
        <v>0.725895</v>
      </c>
      <c r="M209" s="32">
        <f t="shared" si="29"/>
        <v>8.791395</v>
      </c>
      <c r="N209" s="28">
        <f t="shared" si="30"/>
        <v>31.2973662</v>
      </c>
      <c r="O209" s="46"/>
    </row>
    <row r="210" s="1" customFormat="1" ht="48" outlineLevel="1" spans="1:15">
      <c r="A210" s="24">
        <v>34</v>
      </c>
      <c r="B210" s="30" t="s">
        <v>251</v>
      </c>
      <c r="C210" s="31" t="s">
        <v>252</v>
      </c>
      <c r="D210" s="32" t="s">
        <v>61</v>
      </c>
      <c r="E210" s="32">
        <v>4.79</v>
      </c>
      <c r="F210" s="28">
        <v>5</v>
      </c>
      <c r="G210" s="28">
        <f t="shared" si="31"/>
        <v>3.675</v>
      </c>
      <c r="H210" s="28">
        <v>3.5</v>
      </c>
      <c r="I210" s="47">
        <v>0.05</v>
      </c>
      <c r="J210" s="28">
        <v>0.5</v>
      </c>
      <c r="K210" s="48">
        <f t="shared" si="32"/>
        <v>1.2845</v>
      </c>
      <c r="L210" s="17">
        <f t="shared" si="33"/>
        <v>0.941355</v>
      </c>
      <c r="M210" s="32">
        <f t="shared" si="29"/>
        <v>11.400855</v>
      </c>
      <c r="N210" s="28">
        <f t="shared" si="30"/>
        <v>54.61009545</v>
      </c>
      <c r="O210" s="46"/>
    </row>
    <row r="211" s="1" customFormat="1" spans="1:15">
      <c r="A211" s="24">
        <v>35</v>
      </c>
      <c r="B211" s="33" t="s">
        <v>32</v>
      </c>
      <c r="C211" s="33"/>
      <c r="D211" s="33" t="s">
        <v>253</v>
      </c>
      <c r="E211" s="34"/>
      <c r="F211" s="24"/>
      <c r="G211" s="34"/>
      <c r="H211" s="34"/>
      <c r="I211" s="49"/>
      <c r="J211" s="34"/>
      <c r="K211" s="48"/>
      <c r="L211" s="17"/>
      <c r="M211" s="32"/>
      <c r="N211" s="28">
        <f>SUM(N177:N210)</f>
        <v>7643.55772629</v>
      </c>
      <c r="O211" s="46"/>
    </row>
    <row r="212" s="1" customFormat="1" spans="1:15">
      <c r="A212" s="24" t="s">
        <v>254</v>
      </c>
      <c r="B212" s="22" t="s">
        <v>299</v>
      </c>
      <c r="C212" s="22" t="s">
        <v>172</v>
      </c>
      <c r="D212" s="22" t="s">
        <v>173</v>
      </c>
      <c r="E212" s="34"/>
      <c r="F212" s="24"/>
      <c r="G212" s="34"/>
      <c r="H212" s="34"/>
      <c r="I212" s="49"/>
      <c r="J212" s="34"/>
      <c r="K212" s="48"/>
      <c r="L212" s="17"/>
      <c r="M212" s="32"/>
      <c r="N212" s="28"/>
      <c r="O212" s="46"/>
    </row>
    <row r="213" s="1" customFormat="1" ht="48" outlineLevel="1" spans="1:15">
      <c r="A213" s="24">
        <v>1</v>
      </c>
      <c r="B213" s="25" t="s">
        <v>256</v>
      </c>
      <c r="C213" s="26" t="s">
        <v>257</v>
      </c>
      <c r="D213" s="25" t="s">
        <v>258</v>
      </c>
      <c r="E213" s="24">
        <v>1</v>
      </c>
      <c r="F213" s="24">
        <v>80</v>
      </c>
      <c r="G213" s="24">
        <f>H213*(1+I213)</f>
        <v>650</v>
      </c>
      <c r="H213" s="24">
        <v>650</v>
      </c>
      <c r="I213" s="49">
        <v>0</v>
      </c>
      <c r="J213" s="24">
        <v>15</v>
      </c>
      <c r="K213" s="48">
        <f t="shared" si="32"/>
        <v>104.3</v>
      </c>
      <c r="L213" s="17">
        <f t="shared" si="33"/>
        <v>76.437</v>
      </c>
      <c r="M213" s="32">
        <f t="shared" ref="M213:M229" si="34">F213+G213+J213+K213+L213</f>
        <v>925.737</v>
      </c>
      <c r="N213" s="28">
        <f t="shared" ref="N213:N229" si="35">M213*E213</f>
        <v>925.737</v>
      </c>
      <c r="O213" s="46" t="s">
        <v>116</v>
      </c>
    </row>
    <row r="214" s="1" customFormat="1" ht="48" outlineLevel="1" spans="1:15">
      <c r="A214" s="24">
        <v>2</v>
      </c>
      <c r="B214" s="25" t="s">
        <v>259</v>
      </c>
      <c r="C214" s="26" t="s">
        <v>293</v>
      </c>
      <c r="D214" s="25" t="s">
        <v>258</v>
      </c>
      <c r="E214" s="24">
        <v>1</v>
      </c>
      <c r="F214" s="24">
        <v>300</v>
      </c>
      <c r="G214" s="24">
        <f>H214*(1+I214)</f>
        <v>750</v>
      </c>
      <c r="H214" s="24">
        <v>750</v>
      </c>
      <c r="I214" s="50">
        <v>0</v>
      </c>
      <c r="J214" s="24">
        <v>10</v>
      </c>
      <c r="K214" s="48">
        <f t="shared" si="32"/>
        <v>148.4</v>
      </c>
      <c r="L214" s="17">
        <f t="shared" si="33"/>
        <v>108.756</v>
      </c>
      <c r="M214" s="32">
        <f t="shared" si="34"/>
        <v>1317.156</v>
      </c>
      <c r="N214" s="28">
        <f t="shared" si="35"/>
        <v>1317.156</v>
      </c>
      <c r="O214" s="46" t="s">
        <v>261</v>
      </c>
    </row>
    <row r="215" s="1" customFormat="1" ht="48" outlineLevel="1" spans="1:15">
      <c r="A215" s="24">
        <v>3</v>
      </c>
      <c r="B215" s="25" t="s">
        <v>262</v>
      </c>
      <c r="C215" s="26" t="s">
        <v>263</v>
      </c>
      <c r="D215" s="25" t="s">
        <v>258</v>
      </c>
      <c r="E215" s="24">
        <v>1</v>
      </c>
      <c r="F215" s="24">
        <v>80</v>
      </c>
      <c r="G215" s="24">
        <f>H215*(1+I215)</f>
        <v>580</v>
      </c>
      <c r="H215" s="24">
        <v>580</v>
      </c>
      <c r="I215" s="50">
        <v>0</v>
      </c>
      <c r="J215" s="24">
        <v>20</v>
      </c>
      <c r="K215" s="48">
        <f t="shared" si="32"/>
        <v>95.2</v>
      </c>
      <c r="L215" s="17">
        <f t="shared" si="33"/>
        <v>69.768</v>
      </c>
      <c r="M215" s="32">
        <f t="shared" si="34"/>
        <v>844.968</v>
      </c>
      <c r="N215" s="28">
        <f t="shared" si="35"/>
        <v>844.968</v>
      </c>
      <c r="O215" s="46" t="s">
        <v>116</v>
      </c>
    </row>
    <row r="216" s="1" customFormat="1" ht="60" outlineLevel="1" spans="1:15">
      <c r="A216" s="24">
        <v>4</v>
      </c>
      <c r="B216" s="25" t="s">
        <v>264</v>
      </c>
      <c r="C216" s="26" t="s">
        <v>265</v>
      </c>
      <c r="D216" s="25" t="s">
        <v>258</v>
      </c>
      <c r="E216" s="24">
        <v>1</v>
      </c>
      <c r="F216" s="24">
        <v>100</v>
      </c>
      <c r="G216" s="24">
        <f>H216*(1+I216)</f>
        <v>1580</v>
      </c>
      <c r="H216" s="24">
        <v>1580</v>
      </c>
      <c r="I216" s="50">
        <v>0</v>
      </c>
      <c r="J216" s="24">
        <v>30</v>
      </c>
      <c r="K216" s="48">
        <f t="shared" si="32"/>
        <v>239.4</v>
      </c>
      <c r="L216" s="17">
        <f t="shared" si="33"/>
        <v>175.446</v>
      </c>
      <c r="M216" s="32">
        <f t="shared" si="34"/>
        <v>2124.846</v>
      </c>
      <c r="N216" s="28">
        <f t="shared" si="35"/>
        <v>2124.846</v>
      </c>
      <c r="O216" s="46" t="s">
        <v>116</v>
      </c>
    </row>
    <row r="217" s="1" customFormat="1" ht="48" outlineLevel="1" spans="1:15">
      <c r="A217" s="24">
        <v>5</v>
      </c>
      <c r="B217" s="25" t="s">
        <v>266</v>
      </c>
      <c r="C217" s="26" t="s">
        <v>267</v>
      </c>
      <c r="D217" s="25" t="s">
        <v>258</v>
      </c>
      <c r="E217" s="24">
        <v>1</v>
      </c>
      <c r="F217" s="24">
        <v>15</v>
      </c>
      <c r="G217" s="24">
        <f>H217*(1+I217)</f>
        <v>40</v>
      </c>
      <c r="H217" s="24">
        <v>40</v>
      </c>
      <c r="I217" s="50">
        <v>0</v>
      </c>
      <c r="J217" s="24">
        <v>5</v>
      </c>
      <c r="K217" s="48">
        <f t="shared" si="32"/>
        <v>8.4</v>
      </c>
      <c r="L217" s="17">
        <f t="shared" si="33"/>
        <v>6.156</v>
      </c>
      <c r="M217" s="32">
        <f t="shared" si="34"/>
        <v>74.556</v>
      </c>
      <c r="N217" s="28">
        <f t="shared" si="35"/>
        <v>74.556</v>
      </c>
      <c r="O217" s="46" t="s">
        <v>116</v>
      </c>
    </row>
    <row r="218" s="1" customFormat="1" ht="48" outlineLevel="1" spans="1:15">
      <c r="A218" s="24">
        <v>6</v>
      </c>
      <c r="B218" s="25" t="s">
        <v>268</v>
      </c>
      <c r="C218" s="26" t="s">
        <v>269</v>
      </c>
      <c r="D218" s="25" t="s">
        <v>258</v>
      </c>
      <c r="E218" s="24">
        <v>1</v>
      </c>
      <c r="F218" s="24">
        <v>15</v>
      </c>
      <c r="G218" s="34">
        <f t="shared" ref="G218:G229" si="36">H218*(1+I218)</f>
        <v>30</v>
      </c>
      <c r="H218" s="34">
        <v>30</v>
      </c>
      <c r="I218" s="49">
        <v>0</v>
      </c>
      <c r="J218" s="34">
        <v>2</v>
      </c>
      <c r="K218" s="48">
        <f t="shared" si="32"/>
        <v>6.58</v>
      </c>
      <c r="L218" s="17">
        <f t="shared" si="33"/>
        <v>4.8222</v>
      </c>
      <c r="M218" s="32">
        <f t="shared" si="34"/>
        <v>58.4022</v>
      </c>
      <c r="N218" s="28">
        <f t="shared" si="35"/>
        <v>58.4022</v>
      </c>
      <c r="O218" s="46" t="s">
        <v>116</v>
      </c>
    </row>
    <row r="219" s="1" customFormat="1" ht="33.75" outlineLevel="1" spans="1:15">
      <c r="A219" s="24">
        <v>7</v>
      </c>
      <c r="B219" s="35" t="s">
        <v>270</v>
      </c>
      <c r="C219" s="36" t="s">
        <v>271</v>
      </c>
      <c r="D219" s="35" t="s">
        <v>258</v>
      </c>
      <c r="E219" s="24">
        <v>2</v>
      </c>
      <c r="F219" s="24">
        <v>15</v>
      </c>
      <c r="G219" s="34">
        <f t="shared" si="36"/>
        <v>30</v>
      </c>
      <c r="H219" s="34">
        <v>30</v>
      </c>
      <c r="I219" s="49">
        <v>0</v>
      </c>
      <c r="J219" s="34">
        <v>2</v>
      </c>
      <c r="K219" s="48">
        <f t="shared" si="32"/>
        <v>6.58</v>
      </c>
      <c r="L219" s="17">
        <f t="shared" si="33"/>
        <v>4.8222</v>
      </c>
      <c r="M219" s="32">
        <f t="shared" si="34"/>
        <v>58.4022</v>
      </c>
      <c r="N219" s="28">
        <f t="shared" si="35"/>
        <v>116.8044</v>
      </c>
      <c r="O219" s="46" t="s">
        <v>116</v>
      </c>
    </row>
    <row r="220" s="1" customFormat="1" ht="36" outlineLevel="1" spans="1:15">
      <c r="A220" s="24">
        <v>8</v>
      </c>
      <c r="B220" s="25" t="s">
        <v>272</v>
      </c>
      <c r="C220" s="26" t="s">
        <v>273</v>
      </c>
      <c r="D220" s="25" t="s">
        <v>258</v>
      </c>
      <c r="E220" s="24">
        <v>1</v>
      </c>
      <c r="F220" s="24">
        <v>100</v>
      </c>
      <c r="G220" s="24">
        <f t="shared" si="36"/>
        <v>1500</v>
      </c>
      <c r="H220" s="24">
        <v>1500</v>
      </c>
      <c r="I220" s="50">
        <v>0</v>
      </c>
      <c r="J220" s="24">
        <v>20</v>
      </c>
      <c r="K220" s="48">
        <f t="shared" si="32"/>
        <v>226.8</v>
      </c>
      <c r="L220" s="17">
        <f t="shared" si="33"/>
        <v>166.212</v>
      </c>
      <c r="M220" s="32">
        <f t="shared" si="34"/>
        <v>2013.012</v>
      </c>
      <c r="N220" s="28">
        <f t="shared" si="35"/>
        <v>2013.012</v>
      </c>
      <c r="O220" s="46" t="s">
        <v>274</v>
      </c>
    </row>
    <row r="221" s="1" customFormat="1" ht="36" outlineLevel="1" spans="1:15">
      <c r="A221" s="24">
        <v>9</v>
      </c>
      <c r="B221" s="25" t="s">
        <v>275</v>
      </c>
      <c r="C221" s="26" t="s">
        <v>276</v>
      </c>
      <c r="D221" s="25" t="s">
        <v>258</v>
      </c>
      <c r="E221" s="24">
        <v>1</v>
      </c>
      <c r="F221" s="24">
        <v>300</v>
      </c>
      <c r="G221" s="24">
        <f t="shared" si="36"/>
        <v>600</v>
      </c>
      <c r="H221" s="24">
        <v>600</v>
      </c>
      <c r="I221" s="50">
        <v>0</v>
      </c>
      <c r="J221" s="24">
        <v>30</v>
      </c>
      <c r="K221" s="48">
        <f t="shared" si="32"/>
        <v>130.2</v>
      </c>
      <c r="L221" s="17">
        <f t="shared" si="33"/>
        <v>95.418</v>
      </c>
      <c r="M221" s="32">
        <f t="shared" si="34"/>
        <v>1155.618</v>
      </c>
      <c r="N221" s="28">
        <f t="shared" si="35"/>
        <v>1155.618</v>
      </c>
      <c r="O221" s="46" t="s">
        <v>274</v>
      </c>
    </row>
    <row r="222" s="1" customFormat="1" ht="60" outlineLevel="1" spans="1:15">
      <c r="A222" s="24">
        <v>10</v>
      </c>
      <c r="B222" s="25" t="s">
        <v>277</v>
      </c>
      <c r="C222" s="26" t="s">
        <v>278</v>
      </c>
      <c r="D222" s="25" t="s">
        <v>258</v>
      </c>
      <c r="E222" s="24">
        <v>1</v>
      </c>
      <c r="F222" s="24">
        <v>80</v>
      </c>
      <c r="G222" s="24">
        <f t="shared" si="36"/>
        <v>650</v>
      </c>
      <c r="H222" s="24">
        <v>650</v>
      </c>
      <c r="I222" s="50">
        <v>0</v>
      </c>
      <c r="J222" s="24">
        <v>10</v>
      </c>
      <c r="K222" s="48">
        <f t="shared" si="32"/>
        <v>103.6</v>
      </c>
      <c r="L222" s="17">
        <f t="shared" si="33"/>
        <v>75.924</v>
      </c>
      <c r="M222" s="32">
        <f t="shared" si="34"/>
        <v>919.524</v>
      </c>
      <c r="N222" s="28">
        <f t="shared" si="35"/>
        <v>919.524</v>
      </c>
      <c r="O222" s="46" t="s">
        <v>116</v>
      </c>
    </row>
    <row r="223" s="1" customFormat="1" ht="48" outlineLevel="1" spans="1:15">
      <c r="A223" s="24">
        <v>11</v>
      </c>
      <c r="B223" s="25" t="s">
        <v>279</v>
      </c>
      <c r="C223" s="26" t="s">
        <v>280</v>
      </c>
      <c r="D223" s="25" t="s">
        <v>115</v>
      </c>
      <c r="E223" s="24">
        <v>1</v>
      </c>
      <c r="F223" s="24">
        <v>5</v>
      </c>
      <c r="G223" s="24">
        <f t="shared" si="36"/>
        <v>22</v>
      </c>
      <c r="H223" s="24">
        <v>22</v>
      </c>
      <c r="I223" s="50">
        <v>0</v>
      </c>
      <c r="J223" s="24">
        <v>2</v>
      </c>
      <c r="K223" s="48">
        <f t="shared" si="32"/>
        <v>4.06</v>
      </c>
      <c r="L223" s="17">
        <f t="shared" si="33"/>
        <v>2.9754</v>
      </c>
      <c r="M223" s="32">
        <f t="shared" si="34"/>
        <v>36.0354</v>
      </c>
      <c r="N223" s="28">
        <f t="shared" si="35"/>
        <v>36.0354</v>
      </c>
      <c r="O223" s="46" t="s">
        <v>281</v>
      </c>
    </row>
    <row r="224" s="1" customFormat="1" ht="48" outlineLevel="1" spans="1:15">
      <c r="A224" s="24">
        <v>12</v>
      </c>
      <c r="B224" s="25" t="s">
        <v>279</v>
      </c>
      <c r="C224" s="26" t="s">
        <v>282</v>
      </c>
      <c r="D224" s="25" t="s">
        <v>115</v>
      </c>
      <c r="E224" s="24">
        <v>1</v>
      </c>
      <c r="F224" s="24">
        <v>5</v>
      </c>
      <c r="G224" s="24">
        <f t="shared" si="36"/>
        <v>20</v>
      </c>
      <c r="H224" s="24">
        <v>20</v>
      </c>
      <c r="I224" s="50">
        <v>0</v>
      </c>
      <c r="J224" s="24">
        <v>2</v>
      </c>
      <c r="K224" s="48">
        <f t="shared" si="32"/>
        <v>3.78</v>
      </c>
      <c r="L224" s="17">
        <f t="shared" si="33"/>
        <v>2.7702</v>
      </c>
      <c r="M224" s="32">
        <f t="shared" si="34"/>
        <v>33.5502</v>
      </c>
      <c r="N224" s="28">
        <f t="shared" si="35"/>
        <v>33.5502</v>
      </c>
      <c r="O224" s="46" t="s">
        <v>281</v>
      </c>
    </row>
    <row r="225" s="1" customFormat="1" ht="36" outlineLevel="1" spans="1:15">
      <c r="A225" s="24">
        <v>13</v>
      </c>
      <c r="B225" s="25" t="s">
        <v>283</v>
      </c>
      <c r="C225" s="26" t="s">
        <v>284</v>
      </c>
      <c r="D225" s="25" t="s">
        <v>115</v>
      </c>
      <c r="E225" s="24">
        <v>1</v>
      </c>
      <c r="F225" s="24">
        <v>15</v>
      </c>
      <c r="G225" s="24">
        <f t="shared" si="36"/>
        <v>50</v>
      </c>
      <c r="H225" s="24">
        <v>50</v>
      </c>
      <c r="I225" s="50">
        <v>0</v>
      </c>
      <c r="J225" s="24">
        <v>5</v>
      </c>
      <c r="K225" s="48">
        <f t="shared" si="32"/>
        <v>9.8</v>
      </c>
      <c r="L225" s="17">
        <f t="shared" si="33"/>
        <v>7.182</v>
      </c>
      <c r="M225" s="32">
        <f t="shared" si="34"/>
        <v>86.982</v>
      </c>
      <c r="N225" s="28">
        <f t="shared" si="35"/>
        <v>86.982</v>
      </c>
      <c r="O225" s="46"/>
    </row>
    <row r="226" s="1" customFormat="1" ht="48" outlineLevel="1" spans="1:15">
      <c r="A226" s="24">
        <v>14</v>
      </c>
      <c r="B226" s="25" t="s">
        <v>285</v>
      </c>
      <c r="C226" s="37" t="s">
        <v>286</v>
      </c>
      <c r="D226" s="32" t="s">
        <v>61</v>
      </c>
      <c r="E226" s="38">
        <v>4.3</v>
      </c>
      <c r="F226" s="24">
        <v>12</v>
      </c>
      <c r="G226" s="24">
        <f t="shared" si="36"/>
        <v>7.35</v>
      </c>
      <c r="H226" s="24">
        <v>7</v>
      </c>
      <c r="I226" s="50">
        <v>0.05</v>
      </c>
      <c r="J226" s="24">
        <v>1</v>
      </c>
      <c r="K226" s="48">
        <f t="shared" si="32"/>
        <v>2.849</v>
      </c>
      <c r="L226" s="17">
        <f t="shared" si="33"/>
        <v>2.08791</v>
      </c>
      <c r="M226" s="32">
        <f t="shared" si="34"/>
        <v>25.28691</v>
      </c>
      <c r="N226" s="28">
        <f t="shared" si="35"/>
        <v>108.733713</v>
      </c>
      <c r="O226" s="46" t="s">
        <v>281</v>
      </c>
    </row>
    <row r="227" s="1" customFormat="1" ht="48" outlineLevel="1" spans="1:15">
      <c r="A227" s="24">
        <v>15</v>
      </c>
      <c r="B227" s="25" t="s">
        <v>285</v>
      </c>
      <c r="C227" s="37" t="s">
        <v>287</v>
      </c>
      <c r="D227" s="32" t="s">
        <v>61</v>
      </c>
      <c r="E227" s="38">
        <v>10.58</v>
      </c>
      <c r="F227" s="24">
        <v>12</v>
      </c>
      <c r="G227" s="24">
        <f t="shared" si="36"/>
        <v>5.25</v>
      </c>
      <c r="H227" s="24">
        <v>5</v>
      </c>
      <c r="I227" s="50">
        <v>0.05</v>
      </c>
      <c r="J227" s="24">
        <v>1</v>
      </c>
      <c r="K227" s="48">
        <f t="shared" si="32"/>
        <v>2.555</v>
      </c>
      <c r="L227" s="17">
        <f t="shared" si="33"/>
        <v>1.87245</v>
      </c>
      <c r="M227" s="32">
        <f t="shared" si="34"/>
        <v>22.67745</v>
      </c>
      <c r="N227" s="28">
        <f t="shared" si="35"/>
        <v>239.927421</v>
      </c>
      <c r="O227" s="46" t="s">
        <v>281</v>
      </c>
    </row>
    <row r="228" s="1" customFormat="1" ht="48" outlineLevel="1" spans="1:15">
      <c r="A228" s="24">
        <v>16</v>
      </c>
      <c r="B228" s="25" t="s">
        <v>285</v>
      </c>
      <c r="C228" s="37" t="s">
        <v>288</v>
      </c>
      <c r="D228" s="32" t="s">
        <v>61</v>
      </c>
      <c r="E228" s="38">
        <v>0.5</v>
      </c>
      <c r="F228" s="24">
        <v>12</v>
      </c>
      <c r="G228" s="24">
        <f t="shared" si="36"/>
        <v>8.4</v>
      </c>
      <c r="H228" s="24">
        <v>8</v>
      </c>
      <c r="I228" s="50">
        <v>0.05</v>
      </c>
      <c r="J228" s="24">
        <v>1</v>
      </c>
      <c r="K228" s="48">
        <f t="shared" si="32"/>
        <v>2.996</v>
      </c>
      <c r="L228" s="17">
        <f t="shared" si="33"/>
        <v>2.19564</v>
      </c>
      <c r="M228" s="32">
        <f t="shared" si="34"/>
        <v>26.59164</v>
      </c>
      <c r="N228" s="28">
        <f t="shared" si="35"/>
        <v>13.29582</v>
      </c>
      <c r="O228" s="46" t="s">
        <v>281</v>
      </c>
    </row>
    <row r="229" s="1" customFormat="1" ht="48" outlineLevel="1" spans="1:15">
      <c r="A229" s="24">
        <v>17</v>
      </c>
      <c r="B229" s="25" t="s">
        <v>285</v>
      </c>
      <c r="C229" s="37" t="s">
        <v>289</v>
      </c>
      <c r="D229" s="32" t="s">
        <v>61</v>
      </c>
      <c r="E229" s="38">
        <v>6.91</v>
      </c>
      <c r="F229" s="24">
        <v>12</v>
      </c>
      <c r="G229" s="24">
        <f t="shared" si="36"/>
        <v>6.3</v>
      </c>
      <c r="H229" s="24">
        <v>6</v>
      </c>
      <c r="I229" s="50">
        <v>0.05</v>
      </c>
      <c r="J229" s="24">
        <v>1</v>
      </c>
      <c r="K229" s="48">
        <f t="shared" si="32"/>
        <v>2.702</v>
      </c>
      <c r="L229" s="17">
        <f t="shared" si="33"/>
        <v>1.98018</v>
      </c>
      <c r="M229" s="32">
        <f t="shared" si="34"/>
        <v>23.98218</v>
      </c>
      <c r="N229" s="28">
        <f t="shared" si="35"/>
        <v>165.7168638</v>
      </c>
      <c r="O229" s="46" t="s">
        <v>281</v>
      </c>
    </row>
    <row r="230" s="1" customFormat="1" spans="1:15">
      <c r="A230" s="24">
        <v>18</v>
      </c>
      <c r="B230" s="33" t="s">
        <v>32</v>
      </c>
      <c r="C230" s="33"/>
      <c r="D230" s="33" t="s">
        <v>253</v>
      </c>
      <c r="E230" s="34"/>
      <c r="F230" s="24"/>
      <c r="G230" s="34"/>
      <c r="H230" s="34"/>
      <c r="I230" s="49"/>
      <c r="J230" s="34"/>
      <c r="K230" s="48"/>
      <c r="L230" s="17"/>
      <c r="M230" s="32"/>
      <c r="N230" s="28">
        <f>SUM(N213:N229)</f>
        <v>10234.8650178</v>
      </c>
      <c r="O230" s="46"/>
    </row>
    <row r="231" s="1" customFormat="1" spans="1:15">
      <c r="A231" s="24" t="s">
        <v>133</v>
      </c>
      <c r="B231" s="33" t="s">
        <v>300</v>
      </c>
      <c r="C231" s="33" t="s">
        <v>172</v>
      </c>
      <c r="D231" s="33" t="s">
        <v>253</v>
      </c>
      <c r="E231" s="34"/>
      <c r="F231" s="24"/>
      <c r="G231" s="34"/>
      <c r="H231" s="34"/>
      <c r="I231" s="49"/>
      <c r="J231" s="34"/>
      <c r="K231" s="48"/>
      <c r="L231" s="17"/>
      <c r="M231" s="32"/>
      <c r="N231" s="28">
        <f>N211+N230</f>
        <v>17878.42274409</v>
      </c>
      <c r="O231" s="46"/>
    </row>
    <row r="232" s="1" customFormat="1" spans="1:15">
      <c r="A232" s="22" t="s">
        <v>51</v>
      </c>
      <c r="B232" s="22" t="s">
        <v>301</v>
      </c>
      <c r="C232" s="22" t="s">
        <v>172</v>
      </c>
      <c r="D232" s="22" t="s">
        <v>173</v>
      </c>
      <c r="E232" s="23"/>
      <c r="F232" s="17"/>
      <c r="G232" s="17"/>
      <c r="H232" s="17"/>
      <c r="I232" s="43"/>
      <c r="J232" s="17"/>
      <c r="K232" s="48"/>
      <c r="L232" s="17"/>
      <c r="M232" s="17"/>
      <c r="N232" s="17"/>
      <c r="O232" s="46"/>
    </row>
    <row r="233" s="1" customFormat="1" ht="48" outlineLevel="1" spans="1:15">
      <c r="A233" s="24">
        <v>1</v>
      </c>
      <c r="B233" s="25" t="s">
        <v>174</v>
      </c>
      <c r="C233" s="26" t="s">
        <v>175</v>
      </c>
      <c r="D233" s="25" t="s">
        <v>115</v>
      </c>
      <c r="E233" s="27">
        <v>7</v>
      </c>
      <c r="F233" s="28">
        <v>15</v>
      </c>
      <c r="G233" s="28">
        <f t="shared" ref="G233:G242" si="37">H233*(1+I233)</f>
        <v>25.3</v>
      </c>
      <c r="H233" s="28">
        <v>25.3</v>
      </c>
      <c r="I233" s="47">
        <v>0</v>
      </c>
      <c r="J233" s="28">
        <v>1</v>
      </c>
      <c r="K233" s="48">
        <f t="shared" si="32"/>
        <v>5.782</v>
      </c>
      <c r="L233" s="17">
        <f t="shared" si="33"/>
        <v>4.23738</v>
      </c>
      <c r="M233" s="32">
        <f t="shared" ref="M231:M261" si="38">F233+G233+J233+K233+L233</f>
        <v>51.31938</v>
      </c>
      <c r="N233" s="28">
        <f t="shared" ref="N233:N261" si="39">M233*E233</f>
        <v>359.23566</v>
      </c>
      <c r="O233" s="46" t="s">
        <v>176</v>
      </c>
    </row>
    <row r="234" s="1" customFormat="1" ht="48" outlineLevel="1" spans="1:15">
      <c r="A234" s="24">
        <v>2</v>
      </c>
      <c r="B234" s="25" t="s">
        <v>177</v>
      </c>
      <c r="C234" s="26" t="s">
        <v>178</v>
      </c>
      <c r="D234" s="25" t="s">
        <v>115</v>
      </c>
      <c r="E234" s="27">
        <v>1</v>
      </c>
      <c r="F234" s="28">
        <v>15</v>
      </c>
      <c r="G234" s="28">
        <f t="shared" si="37"/>
        <v>20</v>
      </c>
      <c r="H234" s="28">
        <v>20</v>
      </c>
      <c r="I234" s="47">
        <v>0</v>
      </c>
      <c r="J234" s="28">
        <v>1</v>
      </c>
      <c r="K234" s="48">
        <f t="shared" si="32"/>
        <v>5.04</v>
      </c>
      <c r="L234" s="17">
        <f t="shared" si="33"/>
        <v>3.6936</v>
      </c>
      <c r="M234" s="32">
        <f t="shared" si="38"/>
        <v>44.7336</v>
      </c>
      <c r="N234" s="28">
        <f t="shared" si="39"/>
        <v>44.7336</v>
      </c>
      <c r="O234" s="46" t="s">
        <v>176</v>
      </c>
    </row>
    <row r="235" s="1" customFormat="1" ht="48" outlineLevel="1" spans="1:15">
      <c r="A235" s="24">
        <v>3</v>
      </c>
      <c r="B235" s="25" t="s">
        <v>179</v>
      </c>
      <c r="C235" s="26" t="s">
        <v>180</v>
      </c>
      <c r="D235" s="25" t="s">
        <v>115</v>
      </c>
      <c r="E235" s="27">
        <v>1</v>
      </c>
      <c r="F235" s="28">
        <v>15</v>
      </c>
      <c r="G235" s="28">
        <f t="shared" si="37"/>
        <v>25</v>
      </c>
      <c r="H235" s="28">
        <v>25</v>
      </c>
      <c r="I235" s="47">
        <v>0</v>
      </c>
      <c r="J235" s="28">
        <v>1</v>
      </c>
      <c r="K235" s="48">
        <f t="shared" si="32"/>
        <v>5.74</v>
      </c>
      <c r="L235" s="17">
        <f t="shared" si="33"/>
        <v>4.2066</v>
      </c>
      <c r="M235" s="32">
        <f t="shared" si="38"/>
        <v>50.9466</v>
      </c>
      <c r="N235" s="28">
        <f t="shared" si="39"/>
        <v>50.9466</v>
      </c>
      <c r="O235" s="46" t="s">
        <v>176</v>
      </c>
    </row>
    <row r="236" s="1" customFormat="1" ht="48" outlineLevel="1" spans="1:15">
      <c r="A236" s="24">
        <v>4</v>
      </c>
      <c r="B236" s="25" t="s">
        <v>183</v>
      </c>
      <c r="C236" s="26" t="s">
        <v>184</v>
      </c>
      <c r="D236" s="25" t="s">
        <v>115</v>
      </c>
      <c r="E236" s="27">
        <v>3</v>
      </c>
      <c r="F236" s="28">
        <v>18</v>
      </c>
      <c r="G236" s="28">
        <f t="shared" si="37"/>
        <v>200</v>
      </c>
      <c r="H236" s="28">
        <v>200</v>
      </c>
      <c r="I236" s="47">
        <v>0</v>
      </c>
      <c r="J236" s="28">
        <v>1</v>
      </c>
      <c r="K236" s="48">
        <f t="shared" si="32"/>
        <v>30.66</v>
      </c>
      <c r="L236" s="17">
        <f t="shared" si="33"/>
        <v>22.4694</v>
      </c>
      <c r="M236" s="32">
        <f t="shared" si="38"/>
        <v>272.1294</v>
      </c>
      <c r="N236" s="28">
        <f t="shared" si="39"/>
        <v>816.3882</v>
      </c>
      <c r="O236" s="46" t="s">
        <v>176</v>
      </c>
    </row>
    <row r="237" s="1" customFormat="1" ht="48" outlineLevel="1" spans="1:15">
      <c r="A237" s="24">
        <v>5</v>
      </c>
      <c r="B237" s="25" t="s">
        <v>185</v>
      </c>
      <c r="C237" s="26" t="s">
        <v>186</v>
      </c>
      <c r="D237" s="25" t="s">
        <v>115</v>
      </c>
      <c r="E237" s="27">
        <v>1</v>
      </c>
      <c r="F237" s="29">
        <v>18</v>
      </c>
      <c r="G237" s="28">
        <f t="shared" si="37"/>
        <v>110</v>
      </c>
      <c r="H237" s="28">
        <v>110</v>
      </c>
      <c r="I237" s="47">
        <v>0</v>
      </c>
      <c r="J237" s="28">
        <v>1</v>
      </c>
      <c r="K237" s="48">
        <f t="shared" si="32"/>
        <v>18.06</v>
      </c>
      <c r="L237" s="17">
        <f t="shared" si="33"/>
        <v>13.2354</v>
      </c>
      <c r="M237" s="32">
        <f t="shared" si="38"/>
        <v>160.2954</v>
      </c>
      <c r="N237" s="28">
        <f t="shared" si="39"/>
        <v>160.2954</v>
      </c>
      <c r="O237" s="46" t="s">
        <v>176</v>
      </c>
    </row>
    <row r="238" s="1" customFormat="1" ht="48" outlineLevel="1" spans="1:15">
      <c r="A238" s="24">
        <v>6</v>
      </c>
      <c r="B238" s="25" t="s">
        <v>187</v>
      </c>
      <c r="C238" s="26" t="s">
        <v>188</v>
      </c>
      <c r="D238" s="25" t="s">
        <v>115</v>
      </c>
      <c r="E238" s="27">
        <v>1</v>
      </c>
      <c r="F238" s="28">
        <v>30</v>
      </c>
      <c r="G238" s="28">
        <f t="shared" si="37"/>
        <v>500</v>
      </c>
      <c r="H238" s="28">
        <v>500</v>
      </c>
      <c r="I238" s="47">
        <v>0</v>
      </c>
      <c r="J238" s="28">
        <v>10</v>
      </c>
      <c r="K238" s="48">
        <f t="shared" si="32"/>
        <v>75.6</v>
      </c>
      <c r="L238" s="17">
        <f t="shared" si="33"/>
        <v>55.404</v>
      </c>
      <c r="M238" s="32">
        <f t="shared" si="38"/>
        <v>671.004</v>
      </c>
      <c r="N238" s="28">
        <f t="shared" si="39"/>
        <v>671.004</v>
      </c>
      <c r="O238" s="46" t="s">
        <v>176</v>
      </c>
    </row>
    <row r="239" s="1" customFormat="1" ht="48" outlineLevel="1" spans="1:15">
      <c r="A239" s="24">
        <v>7</v>
      </c>
      <c r="B239" s="25" t="s">
        <v>189</v>
      </c>
      <c r="C239" s="26" t="s">
        <v>190</v>
      </c>
      <c r="D239" s="25" t="s">
        <v>115</v>
      </c>
      <c r="E239" s="27">
        <v>1</v>
      </c>
      <c r="F239" s="28">
        <v>18</v>
      </c>
      <c r="G239" s="28">
        <f t="shared" si="37"/>
        <v>60</v>
      </c>
      <c r="H239" s="28">
        <v>60</v>
      </c>
      <c r="I239" s="47">
        <v>0</v>
      </c>
      <c r="J239" s="28">
        <v>1.5</v>
      </c>
      <c r="K239" s="48">
        <f t="shared" si="32"/>
        <v>11.13</v>
      </c>
      <c r="L239" s="17">
        <f t="shared" si="33"/>
        <v>8.1567</v>
      </c>
      <c r="M239" s="32">
        <f t="shared" si="38"/>
        <v>98.7867</v>
      </c>
      <c r="N239" s="28">
        <f t="shared" si="39"/>
        <v>98.7867</v>
      </c>
      <c r="O239" s="46" t="s">
        <v>176</v>
      </c>
    </row>
    <row r="240" s="1" customFormat="1" ht="36" outlineLevel="1" spans="1:15">
      <c r="A240" s="24">
        <v>8</v>
      </c>
      <c r="B240" s="25" t="s">
        <v>191</v>
      </c>
      <c r="C240" s="26" t="s">
        <v>192</v>
      </c>
      <c r="D240" s="25" t="s">
        <v>115</v>
      </c>
      <c r="E240" s="27">
        <v>3</v>
      </c>
      <c r="F240" s="28">
        <v>15</v>
      </c>
      <c r="G240" s="28">
        <f t="shared" si="37"/>
        <v>50</v>
      </c>
      <c r="H240" s="28">
        <v>50</v>
      </c>
      <c r="I240" s="47">
        <v>0</v>
      </c>
      <c r="J240" s="28">
        <v>1.5</v>
      </c>
      <c r="K240" s="48">
        <f t="shared" si="32"/>
        <v>9.31</v>
      </c>
      <c r="L240" s="17">
        <f t="shared" si="33"/>
        <v>6.8229</v>
      </c>
      <c r="M240" s="32">
        <f t="shared" si="38"/>
        <v>82.6329</v>
      </c>
      <c r="N240" s="28">
        <f t="shared" si="39"/>
        <v>247.8987</v>
      </c>
      <c r="O240" s="46" t="s">
        <v>176</v>
      </c>
    </row>
    <row r="241" s="1" customFormat="1" ht="36" outlineLevel="1" spans="1:15">
      <c r="A241" s="24">
        <v>9</v>
      </c>
      <c r="B241" s="25" t="s">
        <v>193</v>
      </c>
      <c r="C241" s="26" t="s">
        <v>194</v>
      </c>
      <c r="D241" s="25" t="s">
        <v>115</v>
      </c>
      <c r="E241" s="27">
        <v>1</v>
      </c>
      <c r="F241" s="28">
        <v>5</v>
      </c>
      <c r="G241" s="28">
        <f t="shared" si="37"/>
        <v>45</v>
      </c>
      <c r="H241" s="28">
        <v>45</v>
      </c>
      <c r="I241" s="47">
        <v>0</v>
      </c>
      <c r="J241" s="28">
        <v>1.5</v>
      </c>
      <c r="K241" s="48">
        <f t="shared" si="32"/>
        <v>7.21</v>
      </c>
      <c r="L241" s="17">
        <f t="shared" si="33"/>
        <v>5.2839</v>
      </c>
      <c r="M241" s="32">
        <f t="shared" si="38"/>
        <v>63.9939</v>
      </c>
      <c r="N241" s="28">
        <f t="shared" si="39"/>
        <v>63.9939</v>
      </c>
      <c r="O241" s="46" t="s">
        <v>176</v>
      </c>
    </row>
    <row r="242" s="1" customFormat="1" ht="48" outlineLevel="1" spans="1:15">
      <c r="A242" s="24">
        <v>10</v>
      </c>
      <c r="B242" s="25" t="s">
        <v>195</v>
      </c>
      <c r="C242" s="26" t="s">
        <v>196</v>
      </c>
      <c r="D242" s="25" t="s">
        <v>115</v>
      </c>
      <c r="E242" s="27">
        <v>20</v>
      </c>
      <c r="F242" s="28">
        <v>8</v>
      </c>
      <c r="G242" s="28">
        <f t="shared" si="37"/>
        <v>16</v>
      </c>
      <c r="H242" s="28">
        <v>16</v>
      </c>
      <c r="I242" s="47">
        <v>0</v>
      </c>
      <c r="J242" s="28">
        <v>0.5</v>
      </c>
      <c r="K242" s="48">
        <f t="shared" si="32"/>
        <v>3.43</v>
      </c>
      <c r="L242" s="17">
        <f t="shared" si="33"/>
        <v>2.5137</v>
      </c>
      <c r="M242" s="32">
        <f t="shared" si="38"/>
        <v>30.4437</v>
      </c>
      <c r="N242" s="28">
        <f t="shared" si="39"/>
        <v>608.874</v>
      </c>
      <c r="O242" s="46" t="s">
        <v>197</v>
      </c>
    </row>
    <row r="243" s="1" customFormat="1" ht="48" outlineLevel="1" spans="1:15">
      <c r="A243" s="24">
        <v>11</v>
      </c>
      <c r="B243" s="25" t="s">
        <v>198</v>
      </c>
      <c r="C243" s="26" t="s">
        <v>199</v>
      </c>
      <c r="D243" s="25" t="s">
        <v>115</v>
      </c>
      <c r="E243" s="27">
        <v>1</v>
      </c>
      <c r="F243" s="28">
        <v>8</v>
      </c>
      <c r="G243" s="28">
        <f t="shared" ref="G243:G267" si="40">H243*(1+I243)</f>
        <v>18</v>
      </c>
      <c r="H243" s="28">
        <v>18</v>
      </c>
      <c r="I243" s="47">
        <v>0</v>
      </c>
      <c r="J243" s="28">
        <v>0.5</v>
      </c>
      <c r="K243" s="48">
        <f t="shared" si="32"/>
        <v>3.71</v>
      </c>
      <c r="L243" s="17">
        <f t="shared" si="33"/>
        <v>2.7189</v>
      </c>
      <c r="M243" s="32">
        <f t="shared" si="38"/>
        <v>32.9289</v>
      </c>
      <c r="N243" s="28">
        <f t="shared" si="39"/>
        <v>32.9289</v>
      </c>
      <c r="O243" s="46" t="s">
        <v>197</v>
      </c>
    </row>
    <row r="244" s="1" customFormat="1" ht="48" outlineLevel="1" spans="1:15">
      <c r="A244" s="24">
        <v>12</v>
      </c>
      <c r="B244" s="25" t="s">
        <v>200</v>
      </c>
      <c r="C244" s="26" t="s">
        <v>201</v>
      </c>
      <c r="D244" s="25" t="s">
        <v>115</v>
      </c>
      <c r="E244" s="27">
        <v>1</v>
      </c>
      <c r="F244" s="28">
        <v>8</v>
      </c>
      <c r="G244" s="28">
        <f t="shared" si="40"/>
        <v>18</v>
      </c>
      <c r="H244" s="28">
        <v>18</v>
      </c>
      <c r="I244" s="47">
        <v>0</v>
      </c>
      <c r="J244" s="28">
        <v>0.5</v>
      </c>
      <c r="K244" s="48">
        <f t="shared" si="32"/>
        <v>3.71</v>
      </c>
      <c r="L244" s="17">
        <f t="shared" si="33"/>
        <v>2.7189</v>
      </c>
      <c r="M244" s="32">
        <f t="shared" si="38"/>
        <v>32.9289</v>
      </c>
      <c r="N244" s="28">
        <f t="shared" si="39"/>
        <v>32.9289</v>
      </c>
      <c r="O244" s="46" t="s">
        <v>197</v>
      </c>
    </row>
    <row r="245" s="1" customFormat="1" ht="48" outlineLevel="1" spans="1:15">
      <c r="A245" s="24">
        <v>13</v>
      </c>
      <c r="B245" s="25" t="s">
        <v>202</v>
      </c>
      <c r="C245" s="26" t="s">
        <v>203</v>
      </c>
      <c r="D245" s="25" t="s">
        <v>115</v>
      </c>
      <c r="E245" s="27">
        <v>1</v>
      </c>
      <c r="F245" s="28">
        <v>8</v>
      </c>
      <c r="G245" s="28">
        <f t="shared" si="40"/>
        <v>27</v>
      </c>
      <c r="H245" s="28">
        <v>27</v>
      </c>
      <c r="I245" s="47">
        <v>0</v>
      </c>
      <c r="J245" s="28">
        <v>0.5</v>
      </c>
      <c r="K245" s="48">
        <f t="shared" si="32"/>
        <v>4.97</v>
      </c>
      <c r="L245" s="17">
        <f t="shared" si="33"/>
        <v>3.6423</v>
      </c>
      <c r="M245" s="32">
        <f t="shared" si="38"/>
        <v>44.1123</v>
      </c>
      <c r="N245" s="28">
        <f t="shared" si="39"/>
        <v>44.1123</v>
      </c>
      <c r="O245" s="46" t="s">
        <v>197</v>
      </c>
    </row>
    <row r="246" s="1" customFormat="1" ht="48" outlineLevel="1" spans="1:15">
      <c r="A246" s="24">
        <v>14</v>
      </c>
      <c r="B246" s="25" t="s">
        <v>204</v>
      </c>
      <c r="C246" s="26" t="s">
        <v>205</v>
      </c>
      <c r="D246" s="25" t="s">
        <v>115</v>
      </c>
      <c r="E246" s="27">
        <v>1</v>
      </c>
      <c r="F246" s="28">
        <v>8</v>
      </c>
      <c r="G246" s="28">
        <f t="shared" si="40"/>
        <v>27</v>
      </c>
      <c r="H246" s="28">
        <v>27</v>
      </c>
      <c r="I246" s="47">
        <v>0</v>
      </c>
      <c r="J246" s="28">
        <v>0.5</v>
      </c>
      <c r="K246" s="48">
        <f t="shared" si="32"/>
        <v>4.97</v>
      </c>
      <c r="L246" s="17">
        <f t="shared" si="33"/>
        <v>3.6423</v>
      </c>
      <c r="M246" s="32">
        <f t="shared" si="38"/>
        <v>44.1123</v>
      </c>
      <c r="N246" s="28">
        <f t="shared" si="39"/>
        <v>44.1123</v>
      </c>
      <c r="O246" s="46" t="s">
        <v>197</v>
      </c>
    </row>
    <row r="247" s="1" customFormat="1" ht="48" outlineLevel="1" spans="1:15">
      <c r="A247" s="24">
        <v>15</v>
      </c>
      <c r="B247" s="25" t="s">
        <v>206</v>
      </c>
      <c r="C247" s="26" t="s">
        <v>207</v>
      </c>
      <c r="D247" s="25" t="s">
        <v>115</v>
      </c>
      <c r="E247" s="27">
        <v>1</v>
      </c>
      <c r="F247" s="28">
        <v>8</v>
      </c>
      <c r="G247" s="28">
        <f t="shared" si="40"/>
        <v>46</v>
      </c>
      <c r="H247" s="28">
        <v>46</v>
      </c>
      <c r="I247" s="47">
        <v>0</v>
      </c>
      <c r="J247" s="28">
        <v>0.5</v>
      </c>
      <c r="K247" s="48">
        <f t="shared" si="32"/>
        <v>7.63</v>
      </c>
      <c r="L247" s="17">
        <f t="shared" si="33"/>
        <v>5.5917</v>
      </c>
      <c r="M247" s="32">
        <f t="shared" si="38"/>
        <v>67.7217</v>
      </c>
      <c r="N247" s="28">
        <f t="shared" si="39"/>
        <v>67.7217</v>
      </c>
      <c r="O247" s="46" t="s">
        <v>197</v>
      </c>
    </row>
    <row r="248" s="1" customFormat="1" ht="48" outlineLevel="1" spans="1:15">
      <c r="A248" s="24">
        <v>16</v>
      </c>
      <c r="B248" s="25" t="s">
        <v>208</v>
      </c>
      <c r="C248" s="26" t="s">
        <v>209</v>
      </c>
      <c r="D248" s="25" t="s">
        <v>115</v>
      </c>
      <c r="E248" s="27">
        <v>1</v>
      </c>
      <c r="F248" s="28">
        <v>8</v>
      </c>
      <c r="G248" s="28">
        <f t="shared" si="40"/>
        <v>27</v>
      </c>
      <c r="H248" s="28">
        <v>27</v>
      </c>
      <c r="I248" s="47">
        <v>0</v>
      </c>
      <c r="J248" s="28">
        <v>0.5</v>
      </c>
      <c r="K248" s="48">
        <f t="shared" si="32"/>
        <v>4.97</v>
      </c>
      <c r="L248" s="17">
        <f t="shared" si="33"/>
        <v>3.6423</v>
      </c>
      <c r="M248" s="32">
        <f t="shared" si="38"/>
        <v>44.1123</v>
      </c>
      <c r="N248" s="28">
        <f t="shared" si="39"/>
        <v>44.1123</v>
      </c>
      <c r="O248" s="46" t="s">
        <v>197</v>
      </c>
    </row>
    <row r="249" s="1" customFormat="1" ht="48" outlineLevel="1" spans="1:15">
      <c r="A249" s="24">
        <v>17</v>
      </c>
      <c r="B249" s="25" t="s">
        <v>210</v>
      </c>
      <c r="C249" s="26" t="s">
        <v>211</v>
      </c>
      <c r="D249" s="25" t="s">
        <v>115</v>
      </c>
      <c r="E249" s="27">
        <v>1</v>
      </c>
      <c r="F249" s="28">
        <v>8</v>
      </c>
      <c r="G249" s="28">
        <f t="shared" si="40"/>
        <v>18</v>
      </c>
      <c r="H249" s="28">
        <v>18</v>
      </c>
      <c r="I249" s="47">
        <v>0</v>
      </c>
      <c r="J249" s="28">
        <v>0.5</v>
      </c>
      <c r="K249" s="48">
        <f t="shared" si="32"/>
        <v>3.71</v>
      </c>
      <c r="L249" s="17">
        <f t="shared" si="33"/>
        <v>2.7189</v>
      </c>
      <c r="M249" s="32">
        <f t="shared" si="38"/>
        <v>32.9289</v>
      </c>
      <c r="N249" s="28">
        <f t="shared" si="39"/>
        <v>32.9289</v>
      </c>
      <c r="O249" s="46" t="s">
        <v>197</v>
      </c>
    </row>
    <row r="250" s="1" customFormat="1" ht="48" outlineLevel="1" spans="1:15">
      <c r="A250" s="24">
        <v>18</v>
      </c>
      <c r="B250" s="25" t="s">
        <v>212</v>
      </c>
      <c r="C250" s="26" t="s">
        <v>213</v>
      </c>
      <c r="D250" s="25" t="s">
        <v>115</v>
      </c>
      <c r="E250" s="27">
        <v>3</v>
      </c>
      <c r="F250" s="28">
        <v>8</v>
      </c>
      <c r="G250" s="28">
        <f t="shared" si="40"/>
        <v>35.2</v>
      </c>
      <c r="H250" s="28">
        <v>35.2</v>
      </c>
      <c r="I250" s="47">
        <v>0</v>
      </c>
      <c r="J250" s="28">
        <v>0.5</v>
      </c>
      <c r="K250" s="48">
        <f t="shared" si="32"/>
        <v>6.118</v>
      </c>
      <c r="L250" s="17">
        <f t="shared" si="33"/>
        <v>4.48362</v>
      </c>
      <c r="M250" s="32">
        <f t="shared" si="38"/>
        <v>54.30162</v>
      </c>
      <c r="N250" s="28">
        <f t="shared" si="39"/>
        <v>162.90486</v>
      </c>
      <c r="O250" s="46" t="s">
        <v>197</v>
      </c>
    </row>
    <row r="251" s="1" customFormat="1" ht="48" outlineLevel="1" spans="1:15">
      <c r="A251" s="24">
        <v>19</v>
      </c>
      <c r="B251" s="25" t="s">
        <v>214</v>
      </c>
      <c r="C251" s="26" t="s">
        <v>215</v>
      </c>
      <c r="D251" s="25" t="s">
        <v>115</v>
      </c>
      <c r="E251" s="27">
        <v>3</v>
      </c>
      <c r="F251" s="28">
        <v>8</v>
      </c>
      <c r="G251" s="28">
        <f t="shared" si="40"/>
        <v>35.2</v>
      </c>
      <c r="H251" s="28">
        <v>35.2</v>
      </c>
      <c r="I251" s="47">
        <v>0</v>
      </c>
      <c r="J251" s="28">
        <v>0.5</v>
      </c>
      <c r="K251" s="48">
        <f t="shared" si="32"/>
        <v>6.118</v>
      </c>
      <c r="L251" s="17">
        <f t="shared" si="33"/>
        <v>4.48362</v>
      </c>
      <c r="M251" s="32">
        <f t="shared" si="38"/>
        <v>54.30162</v>
      </c>
      <c r="N251" s="28">
        <f t="shared" si="39"/>
        <v>162.90486</v>
      </c>
      <c r="O251" s="46" t="s">
        <v>197</v>
      </c>
    </row>
    <row r="252" s="1" customFormat="1" ht="48" outlineLevel="1" spans="1:15">
      <c r="A252" s="24">
        <v>20</v>
      </c>
      <c r="B252" s="25" t="s">
        <v>216</v>
      </c>
      <c r="C252" s="26" t="s">
        <v>217</v>
      </c>
      <c r="D252" s="25" t="s">
        <v>115</v>
      </c>
      <c r="E252" s="27">
        <v>2</v>
      </c>
      <c r="F252" s="28">
        <v>8</v>
      </c>
      <c r="G252" s="28">
        <f t="shared" si="40"/>
        <v>27</v>
      </c>
      <c r="H252" s="28">
        <v>27</v>
      </c>
      <c r="I252" s="47">
        <v>0</v>
      </c>
      <c r="J252" s="28">
        <v>0.5</v>
      </c>
      <c r="K252" s="48">
        <f t="shared" si="32"/>
        <v>4.97</v>
      </c>
      <c r="L252" s="17">
        <f t="shared" si="33"/>
        <v>3.6423</v>
      </c>
      <c r="M252" s="32">
        <f t="shared" si="38"/>
        <v>44.1123</v>
      </c>
      <c r="N252" s="28">
        <f t="shared" si="39"/>
        <v>88.2246</v>
      </c>
      <c r="O252" s="46" t="s">
        <v>197</v>
      </c>
    </row>
    <row r="253" s="1" customFormat="1" ht="48" outlineLevel="1" spans="1:15">
      <c r="A253" s="24">
        <v>21</v>
      </c>
      <c r="B253" s="25" t="s">
        <v>218</v>
      </c>
      <c r="C253" s="26" t="s">
        <v>219</v>
      </c>
      <c r="D253" s="25" t="s">
        <v>115</v>
      </c>
      <c r="E253" s="27">
        <v>1</v>
      </c>
      <c r="F253" s="28">
        <v>8</v>
      </c>
      <c r="G253" s="28">
        <f t="shared" si="40"/>
        <v>27</v>
      </c>
      <c r="H253" s="28">
        <v>27</v>
      </c>
      <c r="I253" s="47">
        <v>0</v>
      </c>
      <c r="J253" s="28">
        <v>0.5</v>
      </c>
      <c r="K253" s="48">
        <f t="shared" si="32"/>
        <v>4.97</v>
      </c>
      <c r="L253" s="17">
        <f t="shared" si="33"/>
        <v>3.6423</v>
      </c>
      <c r="M253" s="32">
        <f t="shared" si="38"/>
        <v>44.1123</v>
      </c>
      <c r="N253" s="28">
        <f t="shared" si="39"/>
        <v>44.1123</v>
      </c>
      <c r="O253" s="46" t="s">
        <v>197</v>
      </c>
    </row>
    <row r="254" s="1" customFormat="1" ht="48" outlineLevel="1" spans="1:15">
      <c r="A254" s="24">
        <v>22</v>
      </c>
      <c r="B254" s="25" t="s">
        <v>220</v>
      </c>
      <c r="C254" s="26" t="s">
        <v>221</v>
      </c>
      <c r="D254" s="25" t="s">
        <v>115</v>
      </c>
      <c r="E254" s="27">
        <v>3</v>
      </c>
      <c r="F254" s="28">
        <v>8</v>
      </c>
      <c r="G254" s="28">
        <f t="shared" si="40"/>
        <v>16.5</v>
      </c>
      <c r="H254" s="28">
        <v>16.5</v>
      </c>
      <c r="I254" s="47">
        <v>0</v>
      </c>
      <c r="J254" s="28">
        <v>0.5</v>
      </c>
      <c r="K254" s="48">
        <f t="shared" si="32"/>
        <v>3.5</v>
      </c>
      <c r="L254" s="17">
        <f t="shared" si="33"/>
        <v>2.565</v>
      </c>
      <c r="M254" s="32">
        <f t="shared" si="38"/>
        <v>31.065</v>
      </c>
      <c r="N254" s="28">
        <f t="shared" si="39"/>
        <v>93.195</v>
      </c>
      <c r="O254" s="46" t="s">
        <v>197</v>
      </c>
    </row>
    <row r="255" s="1" customFormat="1" ht="48" outlineLevel="1" spans="1:15">
      <c r="A255" s="24">
        <v>23</v>
      </c>
      <c r="B255" s="25" t="s">
        <v>222</v>
      </c>
      <c r="C255" s="26" t="s">
        <v>223</v>
      </c>
      <c r="D255" s="25" t="s">
        <v>115</v>
      </c>
      <c r="E255" s="27">
        <v>4</v>
      </c>
      <c r="F255" s="28">
        <v>8</v>
      </c>
      <c r="G255" s="28">
        <f t="shared" si="40"/>
        <v>18.2</v>
      </c>
      <c r="H255" s="28">
        <v>18.2</v>
      </c>
      <c r="I255" s="47">
        <v>0</v>
      </c>
      <c r="J255" s="28">
        <v>0.5</v>
      </c>
      <c r="K255" s="48">
        <f t="shared" si="32"/>
        <v>3.738</v>
      </c>
      <c r="L255" s="17">
        <f t="shared" si="33"/>
        <v>2.73942</v>
      </c>
      <c r="M255" s="32">
        <f t="shared" si="38"/>
        <v>33.17742</v>
      </c>
      <c r="N255" s="28">
        <f t="shared" si="39"/>
        <v>132.70968</v>
      </c>
      <c r="O255" s="46" t="s">
        <v>197</v>
      </c>
    </row>
    <row r="256" s="1" customFormat="1" ht="48" outlineLevel="1" spans="1:15">
      <c r="A256" s="24">
        <v>24</v>
      </c>
      <c r="B256" s="25" t="s">
        <v>224</v>
      </c>
      <c r="C256" s="26" t="s">
        <v>225</v>
      </c>
      <c r="D256" s="25" t="s">
        <v>115</v>
      </c>
      <c r="E256" s="27">
        <v>2</v>
      </c>
      <c r="F256" s="28">
        <v>8</v>
      </c>
      <c r="G256" s="28">
        <f t="shared" si="40"/>
        <v>30.25</v>
      </c>
      <c r="H256" s="28">
        <v>30.25</v>
      </c>
      <c r="I256" s="47">
        <v>0</v>
      </c>
      <c r="J256" s="28">
        <v>0.5</v>
      </c>
      <c r="K256" s="48">
        <f t="shared" si="32"/>
        <v>5.425</v>
      </c>
      <c r="L256" s="17">
        <f t="shared" si="33"/>
        <v>3.97575</v>
      </c>
      <c r="M256" s="32">
        <f t="shared" si="38"/>
        <v>48.15075</v>
      </c>
      <c r="N256" s="28">
        <f t="shared" si="39"/>
        <v>96.3015</v>
      </c>
      <c r="O256" s="46" t="s">
        <v>197</v>
      </c>
    </row>
    <row r="257" s="1" customFormat="1" ht="48" outlineLevel="1" spans="1:15">
      <c r="A257" s="24">
        <v>25</v>
      </c>
      <c r="B257" s="25" t="s">
        <v>226</v>
      </c>
      <c r="C257" s="26" t="s">
        <v>227</v>
      </c>
      <c r="D257" s="25" t="s">
        <v>115</v>
      </c>
      <c r="E257" s="27">
        <v>1</v>
      </c>
      <c r="F257" s="28">
        <v>10</v>
      </c>
      <c r="G257" s="28">
        <f t="shared" si="40"/>
        <v>63.8</v>
      </c>
      <c r="H257" s="28">
        <v>63.8</v>
      </c>
      <c r="I257" s="47">
        <v>0</v>
      </c>
      <c r="J257" s="28">
        <v>0.5</v>
      </c>
      <c r="K257" s="48">
        <f t="shared" si="32"/>
        <v>10.402</v>
      </c>
      <c r="L257" s="17">
        <f t="shared" si="33"/>
        <v>7.62318</v>
      </c>
      <c r="M257" s="32">
        <f t="shared" si="38"/>
        <v>92.32518</v>
      </c>
      <c r="N257" s="28">
        <f t="shared" si="39"/>
        <v>92.32518</v>
      </c>
      <c r="O257" s="46" t="s">
        <v>228</v>
      </c>
    </row>
    <row r="258" s="1" customFormat="1" ht="60" outlineLevel="1" spans="1:15">
      <c r="A258" s="24">
        <v>26</v>
      </c>
      <c r="B258" s="25" t="s">
        <v>229</v>
      </c>
      <c r="C258" s="26" t="s">
        <v>230</v>
      </c>
      <c r="D258" s="25" t="s">
        <v>115</v>
      </c>
      <c r="E258" s="27">
        <v>1</v>
      </c>
      <c r="F258" s="28">
        <v>10</v>
      </c>
      <c r="G258" s="28">
        <f t="shared" si="40"/>
        <v>5</v>
      </c>
      <c r="H258" s="28">
        <v>5</v>
      </c>
      <c r="I258" s="47">
        <v>0</v>
      </c>
      <c r="J258" s="28">
        <v>0.5</v>
      </c>
      <c r="K258" s="48">
        <f t="shared" si="32"/>
        <v>2.17</v>
      </c>
      <c r="L258" s="17">
        <f t="shared" si="33"/>
        <v>1.5903</v>
      </c>
      <c r="M258" s="32">
        <f t="shared" si="38"/>
        <v>19.2603</v>
      </c>
      <c r="N258" s="28">
        <f t="shared" si="39"/>
        <v>19.2603</v>
      </c>
      <c r="O258" s="46" t="s">
        <v>231</v>
      </c>
    </row>
    <row r="259" s="1" customFormat="1" ht="48" outlineLevel="1" spans="1:15">
      <c r="A259" s="24">
        <v>27</v>
      </c>
      <c r="B259" s="25" t="s">
        <v>232</v>
      </c>
      <c r="C259" s="26" t="s">
        <v>233</v>
      </c>
      <c r="D259" s="25" t="s">
        <v>115</v>
      </c>
      <c r="E259" s="27">
        <v>1</v>
      </c>
      <c r="F259" s="28">
        <v>30</v>
      </c>
      <c r="G259" s="28">
        <f t="shared" si="40"/>
        <v>45</v>
      </c>
      <c r="H259" s="28">
        <v>45</v>
      </c>
      <c r="I259" s="47">
        <v>0</v>
      </c>
      <c r="J259" s="28">
        <v>0.5</v>
      </c>
      <c r="K259" s="48">
        <f t="shared" si="32"/>
        <v>10.57</v>
      </c>
      <c r="L259" s="17">
        <f t="shared" si="33"/>
        <v>7.7463</v>
      </c>
      <c r="M259" s="32">
        <f t="shared" si="38"/>
        <v>93.8163</v>
      </c>
      <c r="N259" s="28">
        <f t="shared" si="39"/>
        <v>93.8163</v>
      </c>
      <c r="O259" s="46" t="s">
        <v>176</v>
      </c>
    </row>
    <row r="260" s="1" customFormat="1" ht="36" outlineLevel="1" spans="1:15">
      <c r="A260" s="24">
        <v>28</v>
      </c>
      <c r="B260" s="25" t="s">
        <v>234</v>
      </c>
      <c r="C260" s="26" t="s">
        <v>235</v>
      </c>
      <c r="D260" s="25" t="s">
        <v>115</v>
      </c>
      <c r="E260" s="27">
        <v>4</v>
      </c>
      <c r="F260" s="28">
        <v>8</v>
      </c>
      <c r="G260" s="28">
        <f t="shared" si="40"/>
        <v>10.78</v>
      </c>
      <c r="H260" s="28">
        <v>10.78</v>
      </c>
      <c r="I260" s="47">
        <v>0</v>
      </c>
      <c r="J260" s="28">
        <v>0.5</v>
      </c>
      <c r="K260" s="48">
        <f t="shared" si="32"/>
        <v>2.6992</v>
      </c>
      <c r="L260" s="17">
        <f t="shared" si="33"/>
        <v>1.978128</v>
      </c>
      <c r="M260" s="32">
        <f t="shared" si="38"/>
        <v>23.957328</v>
      </c>
      <c r="N260" s="28">
        <f t="shared" si="39"/>
        <v>95.829312</v>
      </c>
      <c r="O260" s="46" t="s">
        <v>197</v>
      </c>
    </row>
    <row r="261" s="1" customFormat="1" ht="36" outlineLevel="1" spans="1:15">
      <c r="A261" s="24">
        <v>29</v>
      </c>
      <c r="B261" s="25" t="s">
        <v>236</v>
      </c>
      <c r="C261" s="26" t="s">
        <v>237</v>
      </c>
      <c r="D261" s="25" t="s">
        <v>115</v>
      </c>
      <c r="E261" s="27">
        <v>2</v>
      </c>
      <c r="F261" s="28">
        <v>8</v>
      </c>
      <c r="G261" s="28">
        <f t="shared" si="40"/>
        <v>30.25</v>
      </c>
      <c r="H261" s="28">
        <v>30.25</v>
      </c>
      <c r="I261" s="47">
        <v>0</v>
      </c>
      <c r="J261" s="28">
        <v>0.5</v>
      </c>
      <c r="K261" s="48">
        <f t="shared" si="32"/>
        <v>5.425</v>
      </c>
      <c r="L261" s="17">
        <f t="shared" si="33"/>
        <v>3.97575</v>
      </c>
      <c r="M261" s="32">
        <f t="shared" si="38"/>
        <v>48.15075</v>
      </c>
      <c r="N261" s="28">
        <f t="shared" si="39"/>
        <v>96.3015</v>
      </c>
      <c r="O261" s="46" t="s">
        <v>197</v>
      </c>
    </row>
    <row r="262" s="1" customFormat="1" ht="36" outlineLevel="1" spans="1:15">
      <c r="A262" s="24">
        <v>30</v>
      </c>
      <c r="B262" s="25" t="s">
        <v>240</v>
      </c>
      <c r="C262" s="26" t="s">
        <v>241</v>
      </c>
      <c r="D262" s="25" t="s">
        <v>115</v>
      </c>
      <c r="E262" s="27">
        <f>2+2</f>
        <v>4</v>
      </c>
      <c r="F262" s="28">
        <v>8</v>
      </c>
      <c r="G262" s="28">
        <f t="shared" si="40"/>
        <v>33.55</v>
      </c>
      <c r="H262" s="28">
        <v>33.55</v>
      </c>
      <c r="I262" s="47">
        <v>0</v>
      </c>
      <c r="J262" s="28">
        <v>0.5</v>
      </c>
      <c r="K262" s="48">
        <f t="shared" si="32"/>
        <v>5.887</v>
      </c>
      <c r="L262" s="17">
        <f t="shared" si="33"/>
        <v>4.31433</v>
      </c>
      <c r="M262" s="32">
        <f t="shared" ref="M262:M268" si="41">F262+G262+J262+K262+L262</f>
        <v>52.25133</v>
      </c>
      <c r="N262" s="28">
        <f t="shared" ref="N262:N267" si="42">M262*E262</f>
        <v>209.00532</v>
      </c>
      <c r="O262" s="46" t="s">
        <v>197</v>
      </c>
    </row>
    <row r="263" s="1" customFormat="1" ht="48" outlineLevel="1" spans="1:15">
      <c r="A263" s="24">
        <v>31</v>
      </c>
      <c r="B263" s="30" t="s">
        <v>242</v>
      </c>
      <c r="C263" s="31" t="s">
        <v>243</v>
      </c>
      <c r="D263" s="32" t="s">
        <v>61</v>
      </c>
      <c r="E263" s="32">
        <v>190.42</v>
      </c>
      <c r="F263" s="28">
        <v>3</v>
      </c>
      <c r="G263" s="28">
        <f t="shared" si="40"/>
        <v>1.575</v>
      </c>
      <c r="H263" s="28">
        <v>1.5</v>
      </c>
      <c r="I263" s="47">
        <v>0.05</v>
      </c>
      <c r="J263" s="28">
        <v>0.3</v>
      </c>
      <c r="K263" s="48">
        <f t="shared" si="32"/>
        <v>0.6825</v>
      </c>
      <c r="L263" s="17">
        <f t="shared" si="33"/>
        <v>0.500175</v>
      </c>
      <c r="M263" s="32">
        <f t="shared" si="41"/>
        <v>6.057675</v>
      </c>
      <c r="N263" s="28">
        <f t="shared" si="42"/>
        <v>1153.5024735</v>
      </c>
      <c r="O263" s="46" t="s">
        <v>244</v>
      </c>
    </row>
    <row r="264" s="1" customFormat="1" ht="48" outlineLevel="1" spans="1:15">
      <c r="A264" s="24">
        <v>32</v>
      </c>
      <c r="B264" s="30" t="s">
        <v>242</v>
      </c>
      <c r="C264" s="31" t="s">
        <v>245</v>
      </c>
      <c r="D264" s="32" t="s">
        <v>61</v>
      </c>
      <c r="E264" s="32">
        <v>364.79</v>
      </c>
      <c r="F264" s="28">
        <v>3</v>
      </c>
      <c r="G264" s="28">
        <f t="shared" si="40"/>
        <v>2.415</v>
      </c>
      <c r="H264" s="28">
        <v>2.3</v>
      </c>
      <c r="I264" s="47">
        <v>0.05</v>
      </c>
      <c r="J264" s="28">
        <v>0.3</v>
      </c>
      <c r="K264" s="48">
        <f t="shared" si="32"/>
        <v>0.8001</v>
      </c>
      <c r="L264" s="17">
        <f t="shared" si="33"/>
        <v>0.586359</v>
      </c>
      <c r="M264" s="32">
        <f t="shared" si="41"/>
        <v>7.101459</v>
      </c>
      <c r="N264" s="28">
        <f t="shared" si="42"/>
        <v>2590.54122861</v>
      </c>
      <c r="O264" s="46" t="s">
        <v>244</v>
      </c>
    </row>
    <row r="265" s="1" customFormat="1" ht="48" outlineLevel="1" spans="1:15">
      <c r="A265" s="24">
        <v>33</v>
      </c>
      <c r="B265" s="30" t="s">
        <v>246</v>
      </c>
      <c r="C265" s="31" t="s">
        <v>247</v>
      </c>
      <c r="D265" s="32" t="s">
        <v>61</v>
      </c>
      <c r="E265" s="32">
        <v>23.79</v>
      </c>
      <c r="F265" s="28">
        <v>5</v>
      </c>
      <c r="G265" s="28">
        <f t="shared" si="40"/>
        <v>2.625</v>
      </c>
      <c r="H265" s="28">
        <v>2.5</v>
      </c>
      <c r="I265" s="47">
        <v>0.05</v>
      </c>
      <c r="J265" s="28">
        <v>0.5</v>
      </c>
      <c r="K265" s="48">
        <f t="shared" si="32"/>
        <v>1.1375</v>
      </c>
      <c r="L265" s="17">
        <f t="shared" si="33"/>
        <v>0.833625</v>
      </c>
      <c r="M265" s="32">
        <f t="shared" si="41"/>
        <v>10.096125</v>
      </c>
      <c r="N265" s="28">
        <f t="shared" si="42"/>
        <v>240.18681375</v>
      </c>
      <c r="O265" s="46" t="s">
        <v>248</v>
      </c>
    </row>
    <row r="266" s="1" customFormat="1" ht="48" outlineLevel="1" spans="1:15">
      <c r="A266" s="24">
        <v>34</v>
      </c>
      <c r="B266" s="30" t="s">
        <v>249</v>
      </c>
      <c r="C266" s="31" t="s">
        <v>250</v>
      </c>
      <c r="D266" s="32" t="s">
        <v>61</v>
      </c>
      <c r="E266" s="32">
        <v>5.64</v>
      </c>
      <c r="F266" s="28">
        <v>5</v>
      </c>
      <c r="G266" s="28">
        <f t="shared" si="40"/>
        <v>1.575</v>
      </c>
      <c r="H266" s="28">
        <v>1.5</v>
      </c>
      <c r="I266" s="47">
        <v>0.05</v>
      </c>
      <c r="J266" s="28">
        <v>0.5</v>
      </c>
      <c r="K266" s="48">
        <f t="shared" si="32"/>
        <v>0.9905</v>
      </c>
      <c r="L266" s="17">
        <f t="shared" si="33"/>
        <v>0.725895</v>
      </c>
      <c r="M266" s="32">
        <f t="shared" si="41"/>
        <v>8.791395</v>
      </c>
      <c r="N266" s="28">
        <f t="shared" si="42"/>
        <v>49.5834678</v>
      </c>
      <c r="O266" s="46"/>
    </row>
    <row r="267" s="1" customFormat="1" ht="48" outlineLevel="1" spans="1:15">
      <c r="A267" s="24">
        <v>35</v>
      </c>
      <c r="B267" s="30" t="s">
        <v>251</v>
      </c>
      <c r="C267" s="31" t="s">
        <v>252</v>
      </c>
      <c r="D267" s="32" t="s">
        <v>61</v>
      </c>
      <c r="E267" s="32">
        <v>5.18</v>
      </c>
      <c r="F267" s="28">
        <v>5</v>
      </c>
      <c r="G267" s="28">
        <f t="shared" si="40"/>
        <v>3.675</v>
      </c>
      <c r="H267" s="28">
        <v>3.5</v>
      </c>
      <c r="I267" s="47">
        <v>0.05</v>
      </c>
      <c r="J267" s="28">
        <v>0.5</v>
      </c>
      <c r="K267" s="48">
        <f t="shared" si="32"/>
        <v>1.2845</v>
      </c>
      <c r="L267" s="17">
        <f t="shared" si="33"/>
        <v>0.941355</v>
      </c>
      <c r="M267" s="32">
        <f t="shared" si="41"/>
        <v>11.400855</v>
      </c>
      <c r="N267" s="28">
        <f t="shared" si="42"/>
        <v>59.0564289</v>
      </c>
      <c r="O267" s="46"/>
    </row>
    <row r="268" s="1" customFormat="1" spans="1:15">
      <c r="A268" s="24">
        <v>36</v>
      </c>
      <c r="B268" s="33" t="s">
        <v>32</v>
      </c>
      <c r="C268" s="33"/>
      <c r="D268" s="33" t="s">
        <v>253</v>
      </c>
      <c r="E268" s="34"/>
      <c r="F268" s="24"/>
      <c r="G268" s="34"/>
      <c r="H268" s="34"/>
      <c r="I268" s="49"/>
      <c r="J268" s="34"/>
      <c r="K268" s="48"/>
      <c r="L268" s="17"/>
      <c r="M268" s="32"/>
      <c r="N268" s="28">
        <f>SUM(N233:N267)</f>
        <v>8900.76318456</v>
      </c>
      <c r="O268" s="46"/>
    </row>
    <row r="269" s="1" customFormat="1" spans="1:15">
      <c r="A269" s="24" t="s">
        <v>254</v>
      </c>
      <c r="B269" s="22" t="s">
        <v>302</v>
      </c>
      <c r="C269" s="22" t="s">
        <v>172</v>
      </c>
      <c r="D269" s="22" t="s">
        <v>173</v>
      </c>
      <c r="E269" s="34"/>
      <c r="F269" s="24"/>
      <c r="G269" s="34"/>
      <c r="H269" s="34"/>
      <c r="I269" s="49"/>
      <c r="J269" s="34"/>
      <c r="K269" s="48"/>
      <c r="L269" s="17"/>
      <c r="M269" s="32"/>
      <c r="N269" s="28"/>
      <c r="O269" s="46"/>
    </row>
    <row r="270" s="1" customFormat="1" ht="48" outlineLevel="1" spans="1:15">
      <c r="A270" s="24">
        <v>1</v>
      </c>
      <c r="B270" s="25" t="s">
        <v>256</v>
      </c>
      <c r="C270" s="26" t="s">
        <v>257</v>
      </c>
      <c r="D270" s="25" t="s">
        <v>258</v>
      </c>
      <c r="E270" s="24">
        <v>1</v>
      </c>
      <c r="F270" s="24">
        <v>80</v>
      </c>
      <c r="G270" s="24">
        <f>H270*(1+I270)</f>
        <v>650</v>
      </c>
      <c r="H270" s="24">
        <v>650</v>
      </c>
      <c r="I270" s="49">
        <v>0</v>
      </c>
      <c r="J270" s="24">
        <v>15</v>
      </c>
      <c r="K270" s="48">
        <f>(F270+G270+J270)*$K$4</f>
        <v>104.3</v>
      </c>
      <c r="L270" s="17">
        <f>(F270+G270+J270+K270)*$L$4</f>
        <v>76.437</v>
      </c>
      <c r="M270" s="32">
        <f t="shared" ref="M270:M286" si="43">F270+G270+J270+K270+L270</f>
        <v>925.737</v>
      </c>
      <c r="N270" s="28">
        <f t="shared" ref="N270:N286" si="44">M270*E270</f>
        <v>925.737</v>
      </c>
      <c r="O270" s="46" t="s">
        <v>116</v>
      </c>
    </row>
    <row r="271" s="1" customFormat="1" ht="48" outlineLevel="1" spans="1:15">
      <c r="A271" s="24">
        <v>2</v>
      </c>
      <c r="B271" s="25" t="s">
        <v>259</v>
      </c>
      <c r="C271" s="26" t="s">
        <v>293</v>
      </c>
      <c r="D271" s="25" t="s">
        <v>258</v>
      </c>
      <c r="E271" s="24">
        <v>1</v>
      </c>
      <c r="F271" s="24">
        <v>300</v>
      </c>
      <c r="G271" s="24">
        <f>H271*(1+I271)</f>
        <v>750</v>
      </c>
      <c r="H271" s="24">
        <v>750</v>
      </c>
      <c r="I271" s="50">
        <v>0</v>
      </c>
      <c r="J271" s="24">
        <v>10</v>
      </c>
      <c r="K271" s="48">
        <f>(F271+G271+J271)*$K$4</f>
        <v>148.4</v>
      </c>
      <c r="L271" s="17">
        <f>(F271+G271+J271+K271)*$L$4</f>
        <v>108.756</v>
      </c>
      <c r="M271" s="32">
        <f t="shared" si="43"/>
        <v>1317.156</v>
      </c>
      <c r="N271" s="28">
        <f t="shared" si="44"/>
        <v>1317.156</v>
      </c>
      <c r="O271" s="46" t="s">
        <v>261</v>
      </c>
    </row>
    <row r="272" s="1" customFormat="1" ht="48" outlineLevel="1" spans="1:15">
      <c r="A272" s="24">
        <v>3</v>
      </c>
      <c r="B272" s="25" t="s">
        <v>262</v>
      </c>
      <c r="C272" s="26" t="s">
        <v>263</v>
      </c>
      <c r="D272" s="25" t="s">
        <v>258</v>
      </c>
      <c r="E272" s="24">
        <v>1</v>
      </c>
      <c r="F272" s="24">
        <v>80</v>
      </c>
      <c r="G272" s="24">
        <f>H272*(1+I272)</f>
        <v>580</v>
      </c>
      <c r="H272" s="24">
        <v>580</v>
      </c>
      <c r="I272" s="50">
        <v>0</v>
      </c>
      <c r="J272" s="24">
        <v>20</v>
      </c>
      <c r="K272" s="48">
        <f>(F272+G272+J272)*$K$4</f>
        <v>95.2</v>
      </c>
      <c r="L272" s="17">
        <f>(F272+G272+J272+K272)*$L$4</f>
        <v>69.768</v>
      </c>
      <c r="M272" s="32">
        <f t="shared" si="43"/>
        <v>844.968</v>
      </c>
      <c r="N272" s="28">
        <f t="shared" si="44"/>
        <v>844.968</v>
      </c>
      <c r="O272" s="46" t="s">
        <v>116</v>
      </c>
    </row>
    <row r="273" s="1" customFormat="1" ht="60" outlineLevel="1" spans="1:15">
      <c r="A273" s="24">
        <v>4</v>
      </c>
      <c r="B273" s="25" t="s">
        <v>264</v>
      </c>
      <c r="C273" s="26" t="s">
        <v>303</v>
      </c>
      <c r="D273" s="25" t="s">
        <v>258</v>
      </c>
      <c r="E273" s="24">
        <v>1</v>
      </c>
      <c r="F273" s="24">
        <v>100</v>
      </c>
      <c r="G273" s="24">
        <f>H273*(1+I273)</f>
        <v>1580</v>
      </c>
      <c r="H273" s="24">
        <v>1580</v>
      </c>
      <c r="I273" s="50">
        <v>0</v>
      </c>
      <c r="J273" s="24">
        <v>30</v>
      </c>
      <c r="K273" s="48">
        <f>(F273+G273+J273)*$K$4</f>
        <v>239.4</v>
      </c>
      <c r="L273" s="17">
        <f>(F273+G273+J273+K273)*$L$4</f>
        <v>175.446</v>
      </c>
      <c r="M273" s="32">
        <f t="shared" si="43"/>
        <v>2124.846</v>
      </c>
      <c r="N273" s="28">
        <f t="shared" si="44"/>
        <v>2124.846</v>
      </c>
      <c r="O273" s="46" t="s">
        <v>116</v>
      </c>
    </row>
    <row r="274" s="1" customFormat="1" ht="48" outlineLevel="1" spans="1:15">
      <c r="A274" s="24">
        <v>5</v>
      </c>
      <c r="B274" s="25" t="s">
        <v>266</v>
      </c>
      <c r="C274" s="26" t="s">
        <v>267</v>
      </c>
      <c r="D274" s="25" t="s">
        <v>258</v>
      </c>
      <c r="E274" s="24">
        <v>1</v>
      </c>
      <c r="F274" s="24">
        <v>15</v>
      </c>
      <c r="G274" s="24">
        <f>H274*(1+I274)</f>
        <v>40</v>
      </c>
      <c r="H274" s="24">
        <v>40</v>
      </c>
      <c r="I274" s="50">
        <v>0</v>
      </c>
      <c r="J274" s="24">
        <v>5</v>
      </c>
      <c r="K274" s="48">
        <f>(F274+G274+J274)*$K$4</f>
        <v>8.4</v>
      </c>
      <c r="L274" s="17">
        <f>(F274+G274+J274+K274)*$L$4</f>
        <v>6.156</v>
      </c>
      <c r="M274" s="32">
        <f t="shared" si="43"/>
        <v>74.556</v>
      </c>
      <c r="N274" s="28">
        <f t="shared" si="44"/>
        <v>74.556</v>
      </c>
      <c r="O274" s="46" t="s">
        <v>116</v>
      </c>
    </row>
    <row r="275" s="1" customFormat="1" ht="48" outlineLevel="1" spans="1:15">
      <c r="A275" s="24">
        <v>6</v>
      </c>
      <c r="B275" s="25" t="s">
        <v>268</v>
      </c>
      <c r="C275" s="26" t="s">
        <v>269</v>
      </c>
      <c r="D275" s="25" t="s">
        <v>258</v>
      </c>
      <c r="E275" s="24">
        <v>1</v>
      </c>
      <c r="F275" s="24">
        <v>15</v>
      </c>
      <c r="G275" s="34">
        <f t="shared" ref="G275:G286" si="45">H275*(1+I275)</f>
        <v>30</v>
      </c>
      <c r="H275" s="34">
        <v>30</v>
      </c>
      <c r="I275" s="49">
        <v>0</v>
      </c>
      <c r="J275" s="34">
        <v>2</v>
      </c>
      <c r="K275" s="48">
        <f>(F275+G275+J275)*$K$4</f>
        <v>6.58</v>
      </c>
      <c r="L275" s="17">
        <f>(F275+G275+J275+K275)*$L$4</f>
        <v>4.8222</v>
      </c>
      <c r="M275" s="32">
        <f t="shared" si="43"/>
        <v>58.4022</v>
      </c>
      <c r="N275" s="28">
        <f t="shared" si="44"/>
        <v>58.4022</v>
      </c>
      <c r="O275" s="46" t="s">
        <v>116</v>
      </c>
    </row>
    <row r="276" s="1" customFormat="1" ht="33.75" outlineLevel="1" spans="1:15">
      <c r="A276" s="24">
        <v>7</v>
      </c>
      <c r="B276" s="35" t="s">
        <v>270</v>
      </c>
      <c r="C276" s="36" t="s">
        <v>271</v>
      </c>
      <c r="D276" s="35" t="s">
        <v>258</v>
      </c>
      <c r="E276" s="24">
        <v>2</v>
      </c>
      <c r="F276" s="24">
        <v>15</v>
      </c>
      <c r="G276" s="34">
        <f t="shared" si="45"/>
        <v>30</v>
      </c>
      <c r="H276" s="34">
        <v>30</v>
      </c>
      <c r="I276" s="49">
        <v>0</v>
      </c>
      <c r="J276" s="34">
        <v>2</v>
      </c>
      <c r="K276" s="48">
        <f>(F276+G276+J276)*$K$4</f>
        <v>6.58</v>
      </c>
      <c r="L276" s="17">
        <f>(F276+G276+J276+K276)*$L$4</f>
        <v>4.8222</v>
      </c>
      <c r="M276" s="32">
        <f t="shared" si="43"/>
        <v>58.4022</v>
      </c>
      <c r="N276" s="28">
        <f t="shared" si="44"/>
        <v>116.8044</v>
      </c>
      <c r="O276" s="46" t="s">
        <v>116</v>
      </c>
    </row>
    <row r="277" s="1" customFormat="1" ht="36" outlineLevel="1" spans="1:15">
      <c r="A277" s="24">
        <v>8</v>
      </c>
      <c r="B277" s="25" t="s">
        <v>272</v>
      </c>
      <c r="C277" s="26" t="s">
        <v>273</v>
      </c>
      <c r="D277" s="25" t="s">
        <v>258</v>
      </c>
      <c r="E277" s="24">
        <v>1</v>
      </c>
      <c r="F277" s="24">
        <v>100</v>
      </c>
      <c r="G277" s="24">
        <f t="shared" si="45"/>
        <v>1500</v>
      </c>
      <c r="H277" s="24">
        <v>1500</v>
      </c>
      <c r="I277" s="50">
        <v>0</v>
      </c>
      <c r="J277" s="24">
        <v>20</v>
      </c>
      <c r="K277" s="48">
        <f>(F277+G277+J277)*$K$4</f>
        <v>226.8</v>
      </c>
      <c r="L277" s="17">
        <f>(F277+G277+J277+K277)*$L$4</f>
        <v>166.212</v>
      </c>
      <c r="M277" s="32">
        <f t="shared" si="43"/>
        <v>2013.012</v>
      </c>
      <c r="N277" s="28">
        <f t="shared" si="44"/>
        <v>2013.012</v>
      </c>
      <c r="O277" s="46" t="s">
        <v>274</v>
      </c>
    </row>
    <row r="278" s="1" customFormat="1" ht="36" outlineLevel="1" spans="1:15">
      <c r="A278" s="24">
        <v>9</v>
      </c>
      <c r="B278" s="25" t="s">
        <v>275</v>
      </c>
      <c r="C278" s="26" t="s">
        <v>276</v>
      </c>
      <c r="D278" s="25" t="s">
        <v>258</v>
      </c>
      <c r="E278" s="24">
        <v>1</v>
      </c>
      <c r="F278" s="24">
        <v>300</v>
      </c>
      <c r="G278" s="24">
        <f t="shared" si="45"/>
        <v>600</v>
      </c>
      <c r="H278" s="24">
        <v>600</v>
      </c>
      <c r="I278" s="50">
        <v>0</v>
      </c>
      <c r="J278" s="24">
        <v>30</v>
      </c>
      <c r="K278" s="48">
        <f>(F278+G278+J278)*$K$4</f>
        <v>130.2</v>
      </c>
      <c r="L278" s="17">
        <f>(F278+G278+J278+K278)*$L$4</f>
        <v>95.418</v>
      </c>
      <c r="M278" s="32">
        <f t="shared" si="43"/>
        <v>1155.618</v>
      </c>
      <c r="N278" s="28">
        <f t="shared" si="44"/>
        <v>1155.618</v>
      </c>
      <c r="O278" s="46" t="s">
        <v>274</v>
      </c>
    </row>
    <row r="279" s="1" customFormat="1" ht="60" outlineLevel="1" spans="1:15">
      <c r="A279" s="24">
        <v>10</v>
      </c>
      <c r="B279" s="25" t="s">
        <v>277</v>
      </c>
      <c r="C279" s="26" t="s">
        <v>265</v>
      </c>
      <c r="D279" s="25" t="s">
        <v>258</v>
      </c>
      <c r="E279" s="24">
        <v>1</v>
      </c>
      <c r="F279" s="24">
        <v>80</v>
      </c>
      <c r="G279" s="24">
        <f t="shared" si="45"/>
        <v>650</v>
      </c>
      <c r="H279" s="24">
        <v>650</v>
      </c>
      <c r="I279" s="50">
        <v>0</v>
      </c>
      <c r="J279" s="24">
        <v>10</v>
      </c>
      <c r="K279" s="48">
        <f>(F279+G279+J279)*$K$4</f>
        <v>103.6</v>
      </c>
      <c r="L279" s="17">
        <f>(F279+G279+J279+K279)*$L$4</f>
        <v>75.924</v>
      </c>
      <c r="M279" s="32">
        <f t="shared" si="43"/>
        <v>919.524</v>
      </c>
      <c r="N279" s="28">
        <f t="shared" si="44"/>
        <v>919.524</v>
      </c>
      <c r="O279" s="46" t="s">
        <v>116</v>
      </c>
    </row>
    <row r="280" s="1" customFormat="1" ht="48" outlineLevel="1" spans="1:15">
      <c r="A280" s="24">
        <v>11</v>
      </c>
      <c r="B280" s="25" t="s">
        <v>279</v>
      </c>
      <c r="C280" s="26" t="s">
        <v>280</v>
      </c>
      <c r="D280" s="25" t="s">
        <v>115</v>
      </c>
      <c r="E280" s="24">
        <v>1</v>
      </c>
      <c r="F280" s="24">
        <v>5</v>
      </c>
      <c r="G280" s="24">
        <f t="shared" si="45"/>
        <v>22</v>
      </c>
      <c r="H280" s="24">
        <v>22</v>
      </c>
      <c r="I280" s="50">
        <v>0</v>
      </c>
      <c r="J280" s="24">
        <v>2</v>
      </c>
      <c r="K280" s="48">
        <f>(F280+G280+J280)*$K$4</f>
        <v>4.06</v>
      </c>
      <c r="L280" s="17">
        <f>(F280+G280+J280+K280)*$L$4</f>
        <v>2.9754</v>
      </c>
      <c r="M280" s="32">
        <f t="shared" si="43"/>
        <v>36.0354</v>
      </c>
      <c r="N280" s="28">
        <f t="shared" si="44"/>
        <v>36.0354</v>
      </c>
      <c r="O280" s="46" t="s">
        <v>281</v>
      </c>
    </row>
    <row r="281" s="1" customFormat="1" ht="48" outlineLevel="1" spans="1:15">
      <c r="A281" s="24">
        <v>12</v>
      </c>
      <c r="B281" s="25" t="s">
        <v>279</v>
      </c>
      <c r="C281" s="26" t="s">
        <v>282</v>
      </c>
      <c r="D281" s="25" t="s">
        <v>115</v>
      </c>
      <c r="E281" s="24">
        <v>1</v>
      </c>
      <c r="F281" s="24">
        <v>5</v>
      </c>
      <c r="G281" s="24">
        <f t="shared" si="45"/>
        <v>20</v>
      </c>
      <c r="H281" s="24">
        <v>20</v>
      </c>
      <c r="I281" s="50">
        <v>0</v>
      </c>
      <c r="J281" s="24">
        <v>2</v>
      </c>
      <c r="K281" s="48">
        <f>(F281+G281+J281)*$K$4</f>
        <v>3.78</v>
      </c>
      <c r="L281" s="17">
        <f>(F281+G281+J281+K281)*$L$4</f>
        <v>2.7702</v>
      </c>
      <c r="M281" s="32">
        <f t="shared" si="43"/>
        <v>33.5502</v>
      </c>
      <c r="N281" s="28">
        <f t="shared" si="44"/>
        <v>33.5502</v>
      </c>
      <c r="O281" s="46" t="s">
        <v>281</v>
      </c>
    </row>
    <row r="282" s="1" customFormat="1" ht="36" outlineLevel="1" spans="1:15">
      <c r="A282" s="24">
        <v>13</v>
      </c>
      <c r="B282" s="25" t="s">
        <v>283</v>
      </c>
      <c r="C282" s="26" t="s">
        <v>284</v>
      </c>
      <c r="D282" s="25" t="s">
        <v>115</v>
      </c>
      <c r="E282" s="24">
        <v>1</v>
      </c>
      <c r="F282" s="24">
        <v>15</v>
      </c>
      <c r="G282" s="24">
        <f t="shared" si="45"/>
        <v>50</v>
      </c>
      <c r="H282" s="24">
        <v>50</v>
      </c>
      <c r="I282" s="50">
        <v>0</v>
      </c>
      <c r="J282" s="24">
        <v>5</v>
      </c>
      <c r="K282" s="48">
        <f>(F282+G282+J282)*$K$4</f>
        <v>9.8</v>
      </c>
      <c r="L282" s="17">
        <f>(F282+G282+J282+K282)*$L$4</f>
        <v>7.182</v>
      </c>
      <c r="M282" s="32">
        <f t="shared" si="43"/>
        <v>86.982</v>
      </c>
      <c r="N282" s="28">
        <f t="shared" si="44"/>
        <v>86.982</v>
      </c>
      <c r="O282" s="46"/>
    </row>
    <row r="283" s="1" customFormat="1" ht="48" outlineLevel="1" spans="1:15">
      <c r="A283" s="24">
        <v>14</v>
      </c>
      <c r="B283" s="25" t="s">
        <v>285</v>
      </c>
      <c r="C283" s="37" t="s">
        <v>286</v>
      </c>
      <c r="D283" s="32" t="s">
        <v>61</v>
      </c>
      <c r="E283" s="38">
        <v>6.38</v>
      </c>
      <c r="F283" s="24">
        <v>12</v>
      </c>
      <c r="G283" s="24">
        <f t="shared" si="45"/>
        <v>7.35</v>
      </c>
      <c r="H283" s="24">
        <v>7</v>
      </c>
      <c r="I283" s="50">
        <v>0.05</v>
      </c>
      <c r="J283" s="24">
        <v>1</v>
      </c>
      <c r="K283" s="48">
        <f>(F283+G283+J283)*$K$4</f>
        <v>2.849</v>
      </c>
      <c r="L283" s="17">
        <f>(F283+G283+J283+K283)*$L$4</f>
        <v>2.08791</v>
      </c>
      <c r="M283" s="32">
        <f t="shared" si="43"/>
        <v>25.28691</v>
      </c>
      <c r="N283" s="28">
        <f t="shared" si="44"/>
        <v>161.3304858</v>
      </c>
      <c r="O283" s="46" t="s">
        <v>281</v>
      </c>
    </row>
    <row r="284" s="1" customFormat="1" ht="48" outlineLevel="1" spans="1:15">
      <c r="A284" s="24">
        <v>15</v>
      </c>
      <c r="B284" s="25" t="s">
        <v>285</v>
      </c>
      <c r="C284" s="37" t="s">
        <v>287</v>
      </c>
      <c r="D284" s="32" t="s">
        <v>61</v>
      </c>
      <c r="E284" s="38">
        <v>5.85</v>
      </c>
      <c r="F284" s="24">
        <v>12</v>
      </c>
      <c r="G284" s="24">
        <f t="shared" si="45"/>
        <v>5.25</v>
      </c>
      <c r="H284" s="24">
        <v>5</v>
      </c>
      <c r="I284" s="50">
        <v>0.05</v>
      </c>
      <c r="J284" s="24">
        <v>1</v>
      </c>
      <c r="K284" s="48">
        <f>(F284+G284+J284)*$K$4</f>
        <v>2.555</v>
      </c>
      <c r="L284" s="17">
        <f>(F284+G284+J284+K284)*$L$4</f>
        <v>1.87245</v>
      </c>
      <c r="M284" s="32">
        <f t="shared" si="43"/>
        <v>22.67745</v>
      </c>
      <c r="N284" s="28">
        <f t="shared" si="44"/>
        <v>132.6630825</v>
      </c>
      <c r="O284" s="46" t="s">
        <v>281</v>
      </c>
    </row>
    <row r="285" s="1" customFormat="1" ht="48" outlineLevel="1" spans="1:15">
      <c r="A285" s="24">
        <v>16</v>
      </c>
      <c r="B285" s="25" t="s">
        <v>285</v>
      </c>
      <c r="C285" s="37" t="s">
        <v>288</v>
      </c>
      <c r="D285" s="32" t="s">
        <v>61</v>
      </c>
      <c r="E285" s="38">
        <v>2.31</v>
      </c>
      <c r="F285" s="24">
        <v>12</v>
      </c>
      <c r="G285" s="24">
        <f t="shared" si="45"/>
        <v>8.4</v>
      </c>
      <c r="H285" s="24">
        <v>8</v>
      </c>
      <c r="I285" s="50">
        <v>0.05</v>
      </c>
      <c r="J285" s="24">
        <v>1</v>
      </c>
      <c r="K285" s="48">
        <f>(F285+G285+J285)*$K$4</f>
        <v>2.996</v>
      </c>
      <c r="L285" s="17">
        <f>(F285+G285+J285+K285)*$L$4</f>
        <v>2.19564</v>
      </c>
      <c r="M285" s="32">
        <f t="shared" si="43"/>
        <v>26.59164</v>
      </c>
      <c r="N285" s="28">
        <f t="shared" si="44"/>
        <v>61.4266884</v>
      </c>
      <c r="O285" s="46" t="s">
        <v>281</v>
      </c>
    </row>
    <row r="286" s="1" customFormat="1" ht="48" outlineLevel="1" spans="1:15">
      <c r="A286" s="24">
        <v>17</v>
      </c>
      <c r="B286" s="25" t="s">
        <v>285</v>
      </c>
      <c r="C286" s="37" t="s">
        <v>289</v>
      </c>
      <c r="D286" s="32" t="s">
        <v>61</v>
      </c>
      <c r="E286" s="38">
        <v>6.63</v>
      </c>
      <c r="F286" s="24">
        <v>12</v>
      </c>
      <c r="G286" s="24">
        <f t="shared" si="45"/>
        <v>6.3</v>
      </c>
      <c r="H286" s="24">
        <v>6</v>
      </c>
      <c r="I286" s="50">
        <v>0.05</v>
      </c>
      <c r="J286" s="24">
        <v>1</v>
      </c>
      <c r="K286" s="48">
        <f>(F286+G286+J286)*$K$4</f>
        <v>2.702</v>
      </c>
      <c r="L286" s="17">
        <f>(F286+G286+J286+K286)*$L$4</f>
        <v>1.98018</v>
      </c>
      <c r="M286" s="32">
        <f t="shared" si="43"/>
        <v>23.98218</v>
      </c>
      <c r="N286" s="28">
        <f t="shared" si="44"/>
        <v>159.0018534</v>
      </c>
      <c r="O286" s="46" t="s">
        <v>281</v>
      </c>
    </row>
    <row r="287" s="1" customFormat="1" spans="1:15">
      <c r="A287" s="24">
        <v>18</v>
      </c>
      <c r="B287" s="33" t="s">
        <v>32</v>
      </c>
      <c r="C287" s="33"/>
      <c r="D287" s="33" t="s">
        <v>253</v>
      </c>
      <c r="E287" s="34"/>
      <c r="F287" s="24"/>
      <c r="G287" s="34"/>
      <c r="H287" s="34"/>
      <c r="I287" s="49"/>
      <c r="J287" s="34"/>
      <c r="K287" s="34"/>
      <c r="L287" s="34"/>
      <c r="M287" s="32"/>
      <c r="N287" s="28">
        <f>SUM(N270:N286)</f>
        <v>10221.6133101</v>
      </c>
      <c r="O287" s="46"/>
    </row>
    <row r="288" s="1" customFormat="1" spans="1:15">
      <c r="A288" s="24" t="s">
        <v>133</v>
      </c>
      <c r="B288" s="33" t="s">
        <v>304</v>
      </c>
      <c r="C288" s="33" t="s">
        <v>172</v>
      </c>
      <c r="D288" s="33" t="s">
        <v>253</v>
      </c>
      <c r="E288" s="34"/>
      <c r="F288" s="24"/>
      <c r="G288" s="34"/>
      <c r="H288" s="34"/>
      <c r="I288" s="49"/>
      <c r="J288" s="34"/>
      <c r="K288" s="34"/>
      <c r="L288" s="34"/>
      <c r="M288" s="32"/>
      <c r="N288" s="28">
        <f>N268+N287</f>
        <v>19122.37649466</v>
      </c>
      <c r="O288" s="46"/>
    </row>
  </sheetData>
  <autoFilter ref="A3:O288">
    <extLst/>
  </autoFilter>
  <mergeCells count="12">
    <mergeCell ref="A1:O1"/>
    <mergeCell ref="F2:L2"/>
    <mergeCell ref="A2:A4"/>
    <mergeCell ref="B2:B4"/>
    <mergeCell ref="C2:C4"/>
    <mergeCell ref="D2:D4"/>
    <mergeCell ref="E2:E4"/>
    <mergeCell ref="F3:F4"/>
    <mergeCell ref="J3:J4"/>
    <mergeCell ref="M2:M4"/>
    <mergeCell ref="N2:N4"/>
    <mergeCell ref="O2:O4"/>
  </mergeCells>
  <dataValidations count="2">
    <dataValidation type="list" allowBlank="1" showInputMessage="1" showErrorMessage="1" sqref="D6 D7 D8 D9 D10 D11 D46 D47 D48 D49 D50 D51 D52 D53 D54 D55 D56 D57 D65 D66 D67 D68 D102 D103 D104 D105 D106 D107 D108 D109 D110 D111 D112 D113 D121 D122 D123 D124 D158 D159 D160 D161 D162 D163 D164 D165 D166 D167 D168 D169 D177 D178 D179 D180 D214 D215 D216 D217 D218 D219 D220 D221 D222 D223 D224 D225 D233 D234 D235 D236 D237 D271 D272 D273 D274 D275 D276 D277 D278 D279 D280 D281 D282">
      <formula1>"m,m²,樘,套,件,项,个"</formula1>
    </dataValidation>
    <dataValidation type="list" allowBlank="1" showInputMessage="1" showErrorMessage="1" sqref="D45 D101 D157 D213 D270">
      <formula1>"m,m²,樘,套,件,项"</formula1>
    </dataValidation>
  </dataValidations>
  <pageMargins left="0.75" right="0.75" top="1" bottom="1" header="0.5" footer="0.5"/>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清单报价说明</vt:lpstr>
      <vt:lpstr>汇总表</vt:lpstr>
      <vt:lpstr>户内精装修</vt:lpstr>
      <vt:lpstr>安装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333</dc:creator>
  <cp:lastModifiedBy>不要总是（圈a）我</cp:lastModifiedBy>
  <dcterms:created xsi:type="dcterms:W3CDTF">2022-09-22T08:35:00Z</dcterms:created>
  <dcterms:modified xsi:type="dcterms:W3CDTF">2023-07-05T01:30:32Z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7C1652D3F9E24E04B35447C6D6761C9C</vt:lpwstr>
  </property>
  <property fmtid="{D5CDD505-2E9C-101B-9397-08002B2CF9AE}" pid="3" name="KSOProductBuildVer">
    <vt:lpwstr>2052-11.1.0.14309</vt:lpwstr>
  </property>
  <property fmtid="{D5CDD505-2E9C-101B-9397-08002B2CF9AE}" pid="4" name="KSOReadingLayout">
    <vt:bool>true</vt:bool>
  </property>
</Properties>
</file>