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59"/>
  </bookViews>
  <sheets>
    <sheet name="3#5#9#11#8#楼梯栏杆" sheetId="6" r:id="rId1"/>
    <sheet name="04、工程量计算书" sheetId="5" r:id="rId2"/>
  </sheets>
  <definedNames>
    <definedName name="_xlnm._FilterDatabase" localSheetId="1" hidden="1">'04、工程量计算书'!$A$3:$M$13</definedName>
  </definedNames>
  <calcPr calcId="144525"/>
</workbook>
</file>

<file path=xl/sharedStrings.xml><?xml version="1.0" encoding="utf-8"?>
<sst xmlns="http://schemas.openxmlformats.org/spreadsheetml/2006/main" count="176" uniqueCount="103">
  <si>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</si>
  <si>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</si>
  <si>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</si>
  <si>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</si>
  <si>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</si>
  <si>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</si>
  <si>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</si>
  <si>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</si>
  <si>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</si>
  <si>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</si>
  <si>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</si>
  <si>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</si>
  <si>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</si>
  <si>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</si>
  <si>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</si>
  <si>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</si>
  <si>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</si>
  <si>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</si>
  <si>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</si>
  <si>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</si>
  <si>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</si>
  <si>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</si>
  <si>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</si>
  <si>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</si>
  <si>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</si>
  <si>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</si>
  <si>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</si>
  <si>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</si>
  <si>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</si>
  <si>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</si>
  <si>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</si>
  <si>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3#楼地下室部分</t>
  </si>
  <si>
    <t>5#楼地下室部分</t>
  </si>
  <si>
    <t>8#楼地下室部分</t>
  </si>
  <si>
    <t>9#楼地下室部分</t>
  </si>
  <si>
    <t>11#楼地下室部分</t>
  </si>
  <si>
    <t>6#楼栏杆百叶</t>
  </si>
  <si>
    <t>10#楼栏杆百叶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</si>
  <si>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</si>
  <si>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</si>
  <si>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</si>
  <si>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</si>
  <si>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</si>
  <si>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</si>
  <si>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</si>
  <si>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</si>
  <si>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</si>
  <si>
    <t>3#、5#、8#、9#、11#楼楼梯栏杆</t>
  </si>
  <si>
    <t>6#楼、10#楼栏杆百叶及3#5#8#9#11#楼地下楼梯栏杆进度款明细表</t>
  </si>
  <si>
    <t>部位</t>
  </si>
  <si>
    <t>名称</t>
  </si>
  <si>
    <t>规格</t>
  </si>
  <si>
    <t>3#、5#、8#、9#、11#楼</t>
  </si>
  <si>
    <t>单位</t>
  </si>
  <si>
    <t>负1层</t>
  </si>
  <si>
    <t>1层</t>
  </si>
  <si>
    <t>2层</t>
  </si>
  <si>
    <t>3层</t>
  </si>
  <si>
    <t>4-7层</t>
  </si>
  <si>
    <t>8层</t>
  </si>
  <si>
    <t>含税13%
综合单价(元)</t>
  </si>
  <si>
    <t>含税金额(元)</t>
  </si>
  <si>
    <t>3#楼梯栏杆</t>
  </si>
  <si>
    <t>塑木扶手栏杆</t>
  </si>
  <si>
    <t>m</t>
  </si>
  <si>
    <t>靠墙扶手</t>
  </si>
  <si>
    <t>5#楼梯栏杆</t>
  </si>
  <si>
    <t>8#楼梯栏杆</t>
  </si>
  <si>
    <t>9#楼梯栏杆</t>
  </si>
  <si>
    <t>11#楼梯栏杆</t>
  </si>
  <si>
    <t>6#楼</t>
  </si>
  <si>
    <t>4-8层</t>
  </si>
  <si>
    <t>9层</t>
  </si>
  <si>
    <t>飘窗栏杆</t>
  </si>
  <si>
    <t>A1-TCLG01</t>
  </si>
  <si>
    <t>900mm</t>
  </si>
  <si>
    <t>阳台栏杆</t>
  </si>
  <si>
    <t>A1-YTLG01</t>
  </si>
  <si>
    <t>800mm L&gt;4m</t>
  </si>
  <si>
    <t>百叶窗</t>
  </si>
  <si>
    <t>A1-BY03</t>
  </si>
  <si>
    <t>1*2.3</t>
  </si>
  <si>
    <t>㎡</t>
  </si>
  <si>
    <t>A1-BY04</t>
  </si>
  <si>
    <t>1*2</t>
  </si>
  <si>
    <t>A1-BY05</t>
  </si>
  <si>
    <t>空调板栏杆</t>
  </si>
  <si>
    <t>A1-ACLG01</t>
  </si>
  <si>
    <t>600高</t>
  </si>
  <si>
    <t>A1-YTLG02</t>
  </si>
  <si>
    <t>800mm L≤4M</t>
  </si>
  <si>
    <t>A1-YTLG03</t>
  </si>
  <si>
    <t>10#楼</t>
  </si>
  <si>
    <t>负一层</t>
  </si>
  <si>
    <t>D1-BY01</t>
  </si>
  <si>
    <t>1*2.35</t>
  </si>
  <si>
    <t>D1-BY02</t>
  </si>
  <si>
    <t>1*2.05</t>
  </si>
  <si>
    <t>D1-TCLG01</t>
  </si>
  <si>
    <t>D1-TCLG02</t>
  </si>
  <si>
    <t>D1-YTLG01</t>
  </si>
  <si>
    <t>D1-ACLG01</t>
  </si>
  <si>
    <t>600mm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</si>
</sst>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.00;[Red]0.00"/>
    <numFmt numFmtId="178" formatCode="0.0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name val="宋体"/>
      <charset val="134"/>
      <scheme val="minor"/>
    </font>
    <font>
      <b/>
      <sz val="8"/>
      <name val="微软雅黑"/>
      <charset val="134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8" borderId="14" applyNumberFormat="0" applyAlignment="0" applyProtection="0">
      <alignment vertical="center"/>
    </xf>
    <xf numFmtId="0" fontId="24" fillId="8" borderId="13" applyNumberFormat="0" applyAlignment="0" applyProtection="0">
      <alignment vertical="center"/>
    </xf>
    <xf numFmtId="0" fontId="25" fillId="9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/>
    </xf>
    <xf numFmtId="178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Fill="1" applyAlignment="1">
      <alignment horizontal="center" vertical="center"/>
    </xf>
    <xf numFmtId="178" fontId="0" fillId="0" borderId="0" xfId="3" applyNumberFormat="1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0" fontId="5" fillId="0" borderId="0" xfId="0" applyNumberFormat="1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10" fontId="6" fillId="2" borderId="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2" fontId="7" fillId="3" borderId="5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178" fontId="7" fillId="3" borderId="5" xfId="0" applyNumberFormat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2" fontId="7" fillId="4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2" fontId="7" fillId="4" borderId="5" xfId="0" applyNumberFormat="1" applyFont="1" applyFill="1" applyBorder="1" applyAlignment="1">
      <alignment horizontal="center" vertical="center" wrapText="1"/>
    </xf>
    <xf numFmtId="178" fontId="7" fillId="4" borderId="5" xfId="0" applyNumberFormat="1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10" fontId="11" fillId="5" borderId="5" xfId="3" applyNumberFormat="1" applyFont="1" applyFill="1" applyBorder="1" applyAlignment="1">
      <alignment horizontal="center" vertical="center"/>
    </xf>
    <xf numFmtId="178" fontId="11" fillId="5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0" fontId="11" fillId="0" borderId="5" xfId="3" applyNumberFormat="1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10" fontId="12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/>
    </xf>
    <xf numFmtId="10" fontId="13" fillId="0" borderId="0" xfId="0" applyNumberFormat="1" applyFont="1" applyFill="1" applyAlignment="1">
      <alignment vertical="center"/>
    </xf>
    <xf numFmtId="0" fontId="13" fillId="0" borderId="0" xfId="0" applyFont="1" applyFill="1" applyBorder="1" applyAlignment="1">
      <alignment horizontal="right" vertical="center" wrapText="1"/>
    </xf>
    <xf numFmtId="178" fontId="5" fillId="0" borderId="0" xfId="3" applyNumberFormat="1" applyFont="1" applyAlignment="1">
      <alignment horizontal="center" vertical="center"/>
    </xf>
    <xf numFmtId="178" fontId="6" fillId="2" borderId="5" xfId="3" applyNumberFormat="1" applyFont="1" applyFill="1" applyBorder="1" applyAlignment="1">
      <alignment horizontal="center" vertical="center" wrapText="1"/>
    </xf>
    <xf numFmtId="9" fontId="7" fillId="3" borderId="5" xfId="0" applyNumberFormat="1" applyFont="1" applyFill="1" applyBorder="1" applyAlignment="1">
      <alignment horizontal="center" vertical="center" wrapText="1"/>
    </xf>
    <xf numFmtId="178" fontId="7" fillId="3" borderId="5" xfId="3" applyNumberFormat="1" applyFont="1" applyFill="1" applyBorder="1" applyAlignment="1">
      <alignment horizontal="center" vertical="center" wrapText="1"/>
    </xf>
    <xf numFmtId="10" fontId="7" fillId="3" borderId="5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9" fontId="7" fillId="4" borderId="5" xfId="0" applyNumberFormat="1" applyFont="1" applyFill="1" applyBorder="1" applyAlignment="1">
      <alignment horizontal="center" vertical="center" wrapText="1"/>
    </xf>
    <xf numFmtId="178" fontId="7" fillId="4" borderId="5" xfId="3" applyNumberFormat="1" applyFont="1" applyFill="1" applyBorder="1" applyAlignment="1">
      <alignment horizontal="center" vertical="center" wrapText="1"/>
    </xf>
    <xf numFmtId="10" fontId="7" fillId="4" borderId="5" xfId="0" applyNumberFormat="1" applyFont="1" applyFill="1" applyBorder="1" applyAlignment="1">
      <alignment horizontal="center" vertical="center"/>
    </xf>
    <xf numFmtId="9" fontId="12" fillId="5" borderId="5" xfId="0" applyNumberFormat="1" applyFont="1" applyFill="1" applyBorder="1" applyAlignment="1">
      <alignment horizontal="center" vertical="center" wrapText="1"/>
    </xf>
    <xf numFmtId="10" fontId="11" fillId="5" borderId="5" xfId="0" applyNumberFormat="1" applyFont="1" applyFill="1" applyBorder="1" applyAlignment="1">
      <alignment horizontal="center" vertical="center"/>
    </xf>
    <xf numFmtId="178" fontId="11" fillId="5" borderId="5" xfId="0" applyNumberFormat="1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/>
    </xf>
    <xf numFmtId="178" fontId="11" fillId="0" borderId="5" xfId="3" applyNumberFormat="1" applyFont="1" applyBorder="1" applyAlignment="1">
      <alignment horizontal="center" vertical="center"/>
    </xf>
    <xf numFmtId="10" fontId="11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178" fontId="12" fillId="0" borderId="0" xfId="3" applyNumberFormat="1" applyFont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178" fontId="13" fillId="0" borderId="0" xfId="3" applyNumberFormat="1" applyFont="1" applyFill="1" applyAlignment="1">
      <alignment horizontal="center" vertical="center"/>
    </xf>
    <xf numFmtId="10" fontId="13" fillId="0" borderId="0" xfId="0" applyNumberFormat="1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top" wrapText="1"/>
    </xf>
    <xf numFmtId="178" fontId="13" fillId="0" borderId="0" xfId="3" applyNumberFormat="1" applyFont="1" applyFill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合肥万达文旅新城一期塔楼门窗测算2014.6.4（修改版）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abSelected="1" workbookViewId="0">
      <selection activeCell="J18" sqref="J18"/>
    </sheetView>
  </sheetViews>
  <sheetFormatPr defaultColWidth="9" defaultRowHeight="13.5"/>
  <cols>
    <col min="1" max="1" width="3.875" style="29" customWidth="1"/>
    <col min="2" max="2" width="12" style="29" customWidth="1"/>
    <col min="3" max="3" width="6.875" style="29" customWidth="1"/>
    <col min="4" max="5" width="7.625" style="29" customWidth="1"/>
    <col min="6" max="6" width="7.125" style="30" customWidth="1"/>
    <col min="7" max="7" width="6" style="29" customWidth="1"/>
    <col min="8" max="8" width="10.625" style="29" customWidth="1"/>
    <col min="9" max="9" width="8.375" style="29" customWidth="1"/>
    <col min="10" max="10" width="13.5" style="29" customWidth="1"/>
    <col min="11" max="11" width="7.5" style="31" customWidth="1"/>
    <col min="12" max="12" width="6.125" style="30" customWidth="1"/>
    <col min="13" max="13" width="8.25" style="29" customWidth="1"/>
    <col min="14" max="14" width="9.625" style="29" customWidth="1"/>
    <col min="15" max="15" width="11.625" style="29" customWidth="1"/>
    <col min="16" max="16384" width="9" style="29"/>
  </cols>
  <sheetData>
    <row r="1" s="29" customFormat="1" ht="27" customHeight="1" spans="1:15">
      <c r="A1" s="32" t="s">
        <v>0</v>
      </c>
      <c r="B1" s="33"/>
      <c r="C1" s="33"/>
      <c r="D1" s="33"/>
      <c r="E1" s="33"/>
      <c r="F1" s="34"/>
      <c r="G1" s="33"/>
      <c r="H1" s="33"/>
      <c r="I1" s="33"/>
      <c r="J1" s="33"/>
      <c r="K1" s="59"/>
      <c r="L1" s="34"/>
      <c r="M1" s="33"/>
      <c r="N1" s="33"/>
      <c r="O1" s="33"/>
    </row>
    <row r="2" s="29" customFormat="1" ht="29.1" customHeight="1" spans="1:15">
      <c r="A2" s="35" t="s">
        <v>1</v>
      </c>
      <c r="B2" s="35" t="s">
        <v>2</v>
      </c>
      <c r="C2" s="35" t="s">
        <v>3</v>
      </c>
      <c r="D2" s="35" t="s">
        <v>4</v>
      </c>
      <c r="E2" s="35" t="s">
        <v>5</v>
      </c>
      <c r="F2" s="36" t="s">
        <v>6</v>
      </c>
      <c r="G2" s="35"/>
      <c r="H2" s="35" t="s">
        <v>7</v>
      </c>
      <c r="I2" s="35"/>
      <c r="J2" s="35"/>
      <c r="K2" s="60" t="s">
        <v>8</v>
      </c>
      <c r="L2" s="36"/>
      <c r="M2" s="35" t="s">
        <v>9</v>
      </c>
      <c r="N2" s="35" t="s">
        <v>10</v>
      </c>
      <c r="O2" s="35" t="s">
        <v>11</v>
      </c>
    </row>
    <row r="3" s="29" customFormat="1" ht="27" spans="1:15">
      <c r="A3" s="35"/>
      <c r="B3" s="35"/>
      <c r="C3" s="35"/>
      <c r="D3" s="35"/>
      <c r="E3" s="35"/>
      <c r="F3" s="36" t="s">
        <v>12</v>
      </c>
      <c r="G3" s="35" t="s">
        <v>13</v>
      </c>
      <c r="H3" s="35" t="s">
        <v>14</v>
      </c>
      <c r="I3" s="35" t="s">
        <v>15</v>
      </c>
      <c r="J3" s="35" t="s">
        <v>16</v>
      </c>
      <c r="K3" s="60" t="s">
        <v>17</v>
      </c>
      <c r="L3" s="36" t="s">
        <v>18</v>
      </c>
      <c r="M3" s="35"/>
      <c r="N3" s="35"/>
      <c r="O3" s="35"/>
    </row>
    <row r="4" s="29" customFormat="1" ht="48.95" customHeight="1" spans="1:15">
      <c r="A4" s="37"/>
      <c r="B4" s="37"/>
      <c r="C4" s="38" t="s">
        <v>19</v>
      </c>
      <c r="D4" s="39" t="s">
        <v>20</v>
      </c>
      <c r="E4" s="39" t="s">
        <v>20</v>
      </c>
      <c r="F4" s="38" t="s">
        <v>21</v>
      </c>
      <c r="G4" s="40" t="s">
        <v>22</v>
      </c>
      <c r="H4" s="38" t="s">
        <v>23</v>
      </c>
      <c r="I4" s="61" t="s">
        <v>24</v>
      </c>
      <c r="J4" s="40" t="s">
        <v>25</v>
      </c>
      <c r="K4" s="62" t="s">
        <v>26</v>
      </c>
      <c r="L4" s="63" t="s">
        <v>27</v>
      </c>
      <c r="M4" s="40" t="s">
        <v>28</v>
      </c>
      <c r="N4" s="40" t="s">
        <v>29</v>
      </c>
      <c r="O4" s="64" t="s">
        <v>30</v>
      </c>
    </row>
    <row r="5" s="29" customFormat="1" ht="22" customHeight="1" spans="1:15">
      <c r="A5" s="41">
        <v>1</v>
      </c>
      <c r="B5" s="41" t="s">
        <v>31</v>
      </c>
      <c r="C5" s="42"/>
      <c r="D5" s="43"/>
      <c r="E5" s="43"/>
      <c r="F5" s="44"/>
      <c r="G5" s="45"/>
      <c r="H5" s="44">
        <f>'04、工程量计算书'!P4+'04、工程量计算书'!P5</f>
        <v>5294.52912</v>
      </c>
      <c r="I5" s="65">
        <v>0.8</v>
      </c>
      <c r="J5" s="45">
        <f t="shared" ref="J5:J11" si="0">H5*I5</f>
        <v>4235.623296</v>
      </c>
      <c r="K5" s="66"/>
      <c r="L5" s="67"/>
      <c r="M5" s="45"/>
      <c r="N5" s="45"/>
      <c r="O5" s="44"/>
    </row>
    <row r="6" s="29" customFormat="1" ht="22" customHeight="1" spans="1:15">
      <c r="A6" s="41">
        <v>2</v>
      </c>
      <c r="B6" s="41" t="s">
        <v>32</v>
      </c>
      <c r="C6" s="42"/>
      <c r="D6" s="43"/>
      <c r="E6" s="43"/>
      <c r="F6" s="44"/>
      <c r="G6" s="45"/>
      <c r="H6" s="44">
        <f>'04、工程量计算书'!P6+'04、工程量计算书'!P7</f>
        <v>2110.2878368</v>
      </c>
      <c r="I6" s="65">
        <v>0.8</v>
      </c>
      <c r="J6" s="45">
        <f t="shared" si="0"/>
        <v>1688.23026944</v>
      </c>
      <c r="K6" s="66"/>
      <c r="L6" s="67"/>
      <c r="M6" s="45"/>
      <c r="N6" s="45"/>
      <c r="O6" s="44"/>
    </row>
    <row r="7" s="29" customFormat="1" ht="22" customHeight="1" spans="1:15">
      <c r="A7" s="41">
        <v>3</v>
      </c>
      <c r="B7" s="41" t="s">
        <v>33</v>
      </c>
      <c r="C7" s="42"/>
      <c r="D7" s="43"/>
      <c r="E7" s="43"/>
      <c r="F7" s="44"/>
      <c r="G7" s="45"/>
      <c r="H7" s="44">
        <f>'04、工程量计算书'!P8+'04、工程量计算书'!P9</f>
        <v>1184.6446304</v>
      </c>
      <c r="I7" s="65">
        <v>0.8</v>
      </c>
      <c r="J7" s="45">
        <f t="shared" si="0"/>
        <v>947.71570432</v>
      </c>
      <c r="K7" s="66"/>
      <c r="L7" s="67"/>
      <c r="M7" s="45"/>
      <c r="N7" s="45"/>
      <c r="O7" s="44"/>
    </row>
    <row r="8" s="29" customFormat="1" ht="22" customHeight="1" spans="1:15">
      <c r="A8" s="41">
        <v>4</v>
      </c>
      <c r="B8" s="41" t="s">
        <v>34</v>
      </c>
      <c r="C8" s="42"/>
      <c r="D8" s="43"/>
      <c r="E8" s="43"/>
      <c r="F8" s="44"/>
      <c r="G8" s="45"/>
      <c r="H8" s="44">
        <f>'04、工程量计算书'!P10+'04、工程量计算书'!P11</f>
        <v>3696.4145968</v>
      </c>
      <c r="I8" s="65">
        <v>0.8</v>
      </c>
      <c r="J8" s="45">
        <f t="shared" si="0"/>
        <v>2957.13167744</v>
      </c>
      <c r="K8" s="66"/>
      <c r="L8" s="67"/>
      <c r="M8" s="45"/>
      <c r="N8" s="45"/>
      <c r="O8" s="44"/>
    </row>
    <row r="9" s="29" customFormat="1" ht="22" customHeight="1" spans="1:15">
      <c r="A9" s="41">
        <v>5</v>
      </c>
      <c r="B9" s="41" t="s">
        <v>35</v>
      </c>
      <c r="C9" s="42"/>
      <c r="D9" s="43"/>
      <c r="E9" s="43"/>
      <c r="F9" s="44"/>
      <c r="G9" s="45"/>
      <c r="H9" s="44">
        <f>'04、工程量计算书'!P12+'04、工程量计算书'!P13</f>
        <v>5244.8106568</v>
      </c>
      <c r="I9" s="65">
        <v>0.8</v>
      </c>
      <c r="J9" s="45">
        <f t="shared" si="0"/>
        <v>4195.84852544</v>
      </c>
      <c r="K9" s="66"/>
      <c r="L9" s="67"/>
      <c r="M9" s="45"/>
      <c r="N9" s="45"/>
      <c r="O9" s="44"/>
    </row>
    <row r="10" s="29" customFormat="1" ht="22" customHeight="1" spans="1:15">
      <c r="A10" s="41">
        <v>6</v>
      </c>
      <c r="B10" s="41" t="s">
        <v>36</v>
      </c>
      <c r="C10" s="42"/>
      <c r="D10" s="43"/>
      <c r="E10" s="43"/>
      <c r="F10" s="44"/>
      <c r="G10" s="45"/>
      <c r="H10" s="44">
        <f>'04、工程量计算书'!P17</f>
        <v>76947.7701740875</v>
      </c>
      <c r="I10" s="65">
        <v>0.8</v>
      </c>
      <c r="J10" s="45">
        <f t="shared" si="0"/>
        <v>61558.21613927</v>
      </c>
      <c r="K10" s="66"/>
      <c r="L10" s="67"/>
      <c r="M10" s="45"/>
      <c r="N10" s="45"/>
      <c r="O10" s="44"/>
    </row>
    <row r="11" s="29" customFormat="1" ht="22" customHeight="1" spans="1:15">
      <c r="A11" s="41">
        <v>7</v>
      </c>
      <c r="B11" s="41" t="s">
        <v>37</v>
      </c>
      <c r="C11" s="42"/>
      <c r="D11" s="43"/>
      <c r="E11" s="43"/>
      <c r="F11" s="44"/>
      <c r="G11" s="45"/>
      <c r="H11" s="44">
        <f>'04、工程量计算书'!P28</f>
        <v>62453.9558666255</v>
      </c>
      <c r="I11" s="65">
        <v>0.8</v>
      </c>
      <c r="J11" s="45">
        <f t="shared" si="0"/>
        <v>49963.1646933004</v>
      </c>
      <c r="K11" s="66"/>
      <c r="L11" s="67"/>
      <c r="M11" s="45"/>
      <c r="N11" s="45"/>
      <c r="O11" s="44"/>
    </row>
    <row r="12" s="29" customFormat="1" ht="22.5" spans="1:15">
      <c r="A12" s="46"/>
      <c r="B12" s="47" t="s">
        <v>38</v>
      </c>
      <c r="C12" s="47"/>
      <c r="D12" s="47"/>
      <c r="E12" s="46"/>
      <c r="F12" s="48"/>
      <c r="G12" s="49"/>
      <c r="H12" s="49"/>
      <c r="I12" s="68"/>
      <c r="J12" s="49">
        <f>J5+J6+J7+J8+J9+J10+J11</f>
        <v>125545.93030521</v>
      </c>
      <c r="K12" s="49"/>
      <c r="L12" s="69"/>
      <c r="M12" s="70" t="s">
        <v>39</v>
      </c>
      <c r="N12" s="70" t="s">
        <v>40</v>
      </c>
      <c r="O12" s="71"/>
    </row>
    <row r="13" s="29" customFormat="1" ht="24.95" customHeight="1" spans="1:15">
      <c r="A13" s="50"/>
      <c r="B13" s="50" t="s">
        <v>41</v>
      </c>
      <c r="C13" s="50"/>
      <c r="D13" s="50"/>
      <c r="E13" s="50"/>
      <c r="F13" s="51"/>
      <c r="G13" s="52"/>
      <c r="H13" s="52"/>
      <c r="I13" s="52"/>
      <c r="J13" s="52">
        <f>125000</f>
        <v>125000</v>
      </c>
      <c r="K13" s="72"/>
      <c r="L13" s="73"/>
      <c r="M13" s="52"/>
      <c r="N13" s="52"/>
      <c r="O13" s="74" t="s">
        <v>42</v>
      </c>
    </row>
    <row r="14" s="29" customFormat="1" ht="15" customHeight="1" spans="1:15">
      <c r="A14" s="53" t="s">
        <v>43</v>
      </c>
      <c r="B14" s="53"/>
      <c r="C14" s="53"/>
      <c r="D14" s="53"/>
      <c r="E14" s="53"/>
      <c r="F14" s="54"/>
      <c r="G14" s="53"/>
      <c r="H14" s="53"/>
      <c r="I14" s="53"/>
      <c r="J14" s="53"/>
      <c r="K14" s="75"/>
      <c r="L14" s="54"/>
      <c r="M14" s="53"/>
      <c r="N14" s="53"/>
      <c r="O14" s="53"/>
    </row>
    <row r="15" s="29" customFormat="1" ht="15" customHeight="1" spans="1:15">
      <c r="A15" s="53" t="s">
        <v>44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</row>
    <row r="16" s="29" customFormat="1" ht="30" customHeight="1" spans="1:15">
      <c r="A16" s="55"/>
      <c r="B16" s="56"/>
      <c r="C16" s="56"/>
      <c r="D16" s="56"/>
      <c r="E16" s="56"/>
      <c r="F16" s="57"/>
      <c r="G16" s="58" t="s">
        <v>45</v>
      </c>
      <c r="H16" s="58"/>
      <c r="I16" s="58"/>
      <c r="J16" s="76"/>
      <c r="K16" s="77"/>
      <c r="L16" s="78" t="s">
        <v>46</v>
      </c>
      <c r="M16" s="79"/>
      <c r="N16" s="56"/>
      <c r="O16" s="56"/>
    </row>
    <row r="17" s="29" customFormat="1" ht="28.5" customHeight="1" spans="1:15">
      <c r="A17" s="55"/>
      <c r="B17" s="56"/>
      <c r="C17" s="56"/>
      <c r="D17" s="56"/>
      <c r="E17" s="56"/>
      <c r="F17" s="57"/>
      <c r="J17" s="56"/>
      <c r="K17" s="80"/>
      <c r="L17" s="57"/>
      <c r="M17" s="56"/>
      <c r="N17" s="56"/>
      <c r="O17" s="56"/>
    </row>
  </sheetData>
  <mergeCells count="18">
    <mergeCell ref="A1:O1"/>
    <mergeCell ref="F2:G2"/>
    <mergeCell ref="H2:J2"/>
    <mergeCell ref="K2:L2"/>
    <mergeCell ref="B13:E13"/>
    <mergeCell ref="A14:O14"/>
    <mergeCell ref="A15:O15"/>
    <mergeCell ref="G16:I16"/>
    <mergeCell ref="J16:K16"/>
    <mergeCell ref="L16:M16"/>
    <mergeCell ref="A2:A3"/>
    <mergeCell ref="B2:B3"/>
    <mergeCell ref="C2:C3"/>
    <mergeCell ref="D2:D3"/>
    <mergeCell ref="E2:E3"/>
    <mergeCell ref="M2:M3"/>
    <mergeCell ref="N2:N3"/>
    <mergeCell ref="O2:O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4"/>
  <sheetViews>
    <sheetView zoomScale="85" zoomScaleNormal="85" topLeftCell="A10" workbookViewId="0">
      <selection activeCell="P28" sqref="P28"/>
    </sheetView>
  </sheetViews>
  <sheetFormatPr defaultColWidth="9" defaultRowHeight="13.5"/>
  <cols>
    <col min="1" max="1" width="4.375" style="1" customWidth="1"/>
    <col min="2" max="2" width="17.1333333333333" style="1" customWidth="1"/>
    <col min="3" max="3" width="12.5" style="1" customWidth="1"/>
    <col min="4" max="4" width="11.875" style="2" customWidth="1"/>
    <col min="5" max="5" width="4.375" style="1" customWidth="1"/>
    <col min="6" max="6" width="8.375" style="3" customWidth="1"/>
    <col min="7" max="9" width="6.375" style="3" customWidth="1"/>
    <col min="10" max="11" width="7.375" style="3" customWidth="1"/>
    <col min="12" max="12" width="7.125" style="3" customWidth="1"/>
    <col min="13" max="13" width="8.125" style="3" customWidth="1"/>
    <col min="14" max="14" width="11" style="3" customWidth="1"/>
    <col min="15" max="15" width="14.75" style="3" customWidth="1"/>
    <col min="16" max="16" width="12.625" style="3"/>
    <col min="17" max="16384" width="9" style="3"/>
  </cols>
  <sheetData>
    <row r="1" ht="42" customHeight="1" spans="1:22">
      <c r="A1" s="4" t="s">
        <v>47</v>
      </c>
      <c r="D1" s="1"/>
      <c r="F1" s="1"/>
      <c r="G1" s="1"/>
      <c r="H1" s="1"/>
      <c r="I1" s="1"/>
      <c r="J1" s="1"/>
      <c r="K1" s="1"/>
      <c r="L1" s="1"/>
      <c r="M1" s="1"/>
      <c r="N1" s="1"/>
      <c r="O1" s="1"/>
      <c r="S1" s="2" t="s">
        <v>48</v>
      </c>
      <c r="T1" s="2"/>
      <c r="U1" s="2"/>
      <c r="V1" s="2"/>
    </row>
    <row r="2" ht="18.75" customHeight="1" spans="1:12">
      <c r="A2" s="5" t="s">
        <v>1</v>
      </c>
      <c r="B2" s="5" t="s">
        <v>49</v>
      </c>
      <c r="C2" s="5" t="s">
        <v>50</v>
      </c>
      <c r="D2" s="6" t="s">
        <v>51</v>
      </c>
      <c r="E2" s="7" t="s">
        <v>52</v>
      </c>
      <c r="F2" s="8"/>
      <c r="G2" s="8"/>
      <c r="H2" s="8"/>
      <c r="I2" s="8"/>
      <c r="J2" s="8"/>
      <c r="K2" s="8"/>
      <c r="L2" s="8"/>
    </row>
    <row r="3" ht="27" spans="1:16">
      <c r="A3" s="9"/>
      <c r="B3" s="9"/>
      <c r="C3" s="9"/>
      <c r="D3" s="10"/>
      <c r="E3" s="9" t="s">
        <v>53</v>
      </c>
      <c r="F3" s="9" t="s">
        <v>54</v>
      </c>
      <c r="G3" s="11" t="s">
        <v>55</v>
      </c>
      <c r="H3" s="11" t="s">
        <v>56</v>
      </c>
      <c r="I3" s="11" t="s">
        <v>57</v>
      </c>
      <c r="J3" s="11" t="s">
        <v>58</v>
      </c>
      <c r="K3" s="11" t="s">
        <v>59</v>
      </c>
      <c r="L3" s="11"/>
      <c r="M3" s="11" t="s">
        <v>38</v>
      </c>
      <c r="N3" s="11"/>
      <c r="O3" s="23" t="s">
        <v>60</v>
      </c>
      <c r="P3" s="24" t="s">
        <v>61</v>
      </c>
    </row>
    <row r="4" ht="27" customHeight="1" spans="1:16">
      <c r="A4" s="9">
        <v>1</v>
      </c>
      <c r="B4" s="11" t="s">
        <v>62</v>
      </c>
      <c r="C4" s="9"/>
      <c r="D4" s="11" t="s">
        <v>63</v>
      </c>
      <c r="E4" s="9" t="s">
        <v>64</v>
      </c>
      <c r="F4" s="9">
        <f>(8.74+0.22*3)*3</f>
        <v>28.2</v>
      </c>
      <c r="G4" s="9"/>
      <c r="H4" s="9"/>
      <c r="I4" s="11"/>
      <c r="J4" s="11"/>
      <c r="K4" s="11"/>
      <c r="L4" s="11"/>
      <c r="M4" s="11">
        <f>G4+H4+I4+J4+K4+L4+F4</f>
        <v>28.2</v>
      </c>
      <c r="N4" s="11"/>
      <c r="O4" s="25">
        <v>179.67</v>
      </c>
      <c r="P4" s="25">
        <f>O4*M4</f>
        <v>5066.694</v>
      </c>
    </row>
    <row r="5" ht="27" customHeight="1" spans="1:16">
      <c r="A5" s="9"/>
      <c r="B5" s="11"/>
      <c r="C5" s="9"/>
      <c r="D5" s="11" t="s">
        <v>65</v>
      </c>
      <c r="E5" s="9" t="s">
        <v>64</v>
      </c>
      <c r="F5" s="9"/>
      <c r="G5" s="9">
        <v>4.65</v>
      </c>
      <c r="H5" s="9"/>
      <c r="I5" s="11"/>
      <c r="J5" s="11"/>
      <c r="K5" s="11"/>
      <c r="L5" s="11"/>
      <c r="M5" s="11">
        <f>G5+H5+I5+J5+K5+L5+F5</f>
        <v>4.65</v>
      </c>
      <c r="N5" s="11"/>
      <c r="O5" s="25">
        <v>48.9968</v>
      </c>
      <c r="P5" s="25">
        <f>O5*M5</f>
        <v>227.83512</v>
      </c>
    </row>
    <row r="6" ht="27" customHeight="1" spans="1:16">
      <c r="A6" s="9">
        <v>2</v>
      </c>
      <c r="B6" s="11" t="s">
        <v>66</v>
      </c>
      <c r="C6" s="9"/>
      <c r="D6" s="11" t="s">
        <v>63</v>
      </c>
      <c r="E6" s="9" t="s">
        <v>64</v>
      </c>
      <c r="F6" s="9">
        <v>10.552</v>
      </c>
      <c r="G6" s="11"/>
      <c r="H6" s="11"/>
      <c r="I6" s="11"/>
      <c r="J6" s="11"/>
      <c r="K6" s="11"/>
      <c r="L6" s="11"/>
      <c r="M6" s="11">
        <f>G6+H6+I6+J6+K6+L6+F6</f>
        <v>10.552</v>
      </c>
      <c r="N6" s="11"/>
      <c r="O6" s="11">
        <v>179.67</v>
      </c>
      <c r="P6" s="25">
        <f t="shared" ref="P5:P13" si="0">O6*M6</f>
        <v>1895.87784</v>
      </c>
    </row>
    <row r="7" ht="27" customHeight="1" spans="1:16">
      <c r="A7" s="9"/>
      <c r="B7" s="11"/>
      <c r="C7" s="9"/>
      <c r="D7" s="11" t="s">
        <v>65</v>
      </c>
      <c r="E7" s="9" t="s">
        <v>64</v>
      </c>
      <c r="F7" s="9"/>
      <c r="G7" s="11">
        <f>2.188*2</f>
        <v>4.376</v>
      </c>
      <c r="H7" s="11"/>
      <c r="I7" s="11"/>
      <c r="J7" s="11"/>
      <c r="K7" s="11"/>
      <c r="L7" s="11"/>
      <c r="M7" s="11">
        <f>G7+H7+I7+J7+K7+L7+F7</f>
        <v>4.376</v>
      </c>
      <c r="N7" s="11"/>
      <c r="O7" s="11">
        <v>48.9968</v>
      </c>
      <c r="P7" s="25">
        <f t="shared" si="0"/>
        <v>214.4099968</v>
      </c>
    </row>
    <row r="8" ht="27" customHeight="1" spans="1:16">
      <c r="A8" s="9">
        <v>3</v>
      </c>
      <c r="B8" s="11" t="s">
        <v>67</v>
      </c>
      <c r="C8" s="9"/>
      <c r="D8" s="11" t="s">
        <v>63</v>
      </c>
      <c r="E8" s="9" t="s">
        <v>64</v>
      </c>
      <c r="F8" s="9"/>
      <c r="G8" s="9"/>
      <c r="H8" s="11"/>
      <c r="I8" s="11"/>
      <c r="J8" s="11"/>
      <c r="K8" s="11"/>
      <c r="L8" s="11"/>
      <c r="M8" s="11">
        <f t="shared" ref="M8:M13" si="1">G8+H8+I8+J8+K8+L8+F8</f>
        <v>0</v>
      </c>
      <c r="N8" s="11"/>
      <c r="O8" s="11">
        <v>179.67</v>
      </c>
      <c r="P8" s="25">
        <f t="shared" si="0"/>
        <v>0</v>
      </c>
    </row>
    <row r="9" ht="27" customHeight="1" spans="1:16">
      <c r="A9" s="9"/>
      <c r="B9" s="11"/>
      <c r="C9" s="9"/>
      <c r="D9" s="11" t="s">
        <v>65</v>
      </c>
      <c r="E9" s="9" t="s">
        <v>64</v>
      </c>
      <c r="F9" s="9"/>
      <c r="G9" s="9">
        <f>(2.779+2.115+1.877+2.189+1.878+1.251)*2</f>
        <v>24.178</v>
      </c>
      <c r="H9" s="11"/>
      <c r="I9" s="11"/>
      <c r="J9" s="11"/>
      <c r="K9" s="11"/>
      <c r="L9" s="11"/>
      <c r="M9" s="11">
        <f t="shared" si="1"/>
        <v>24.178</v>
      </c>
      <c r="N9" s="11"/>
      <c r="O9" s="11">
        <v>48.9968</v>
      </c>
      <c r="P9" s="25">
        <f t="shared" si="0"/>
        <v>1184.6446304</v>
      </c>
    </row>
    <row r="10" ht="27" customHeight="1" spans="1:16">
      <c r="A10" s="9">
        <v>4</v>
      </c>
      <c r="B10" s="11" t="s">
        <v>68</v>
      </c>
      <c r="C10" s="9"/>
      <c r="D10" s="11" t="s">
        <v>63</v>
      </c>
      <c r="E10" s="9" t="s">
        <v>64</v>
      </c>
      <c r="F10" s="9">
        <f>(1.324+2.504+0.2+2.504+0.98+1.878+0.15*2)*2</f>
        <v>19.38</v>
      </c>
      <c r="G10" s="11"/>
      <c r="H10" s="11"/>
      <c r="I10" s="11"/>
      <c r="J10" s="11"/>
      <c r="K10" s="11"/>
      <c r="L10" s="11"/>
      <c r="M10" s="11">
        <f t="shared" si="1"/>
        <v>19.38</v>
      </c>
      <c r="N10" s="11"/>
      <c r="O10" s="11">
        <v>179.67</v>
      </c>
      <c r="P10" s="25">
        <f t="shared" si="0"/>
        <v>3482.0046</v>
      </c>
    </row>
    <row r="11" ht="27" customHeight="1" spans="1:16">
      <c r="A11" s="9"/>
      <c r="B11" s="11"/>
      <c r="C11" s="9"/>
      <c r="D11" s="11" t="s">
        <v>65</v>
      </c>
      <c r="E11" s="9" t="s">
        <v>64</v>
      </c>
      <c r="F11" s="9"/>
      <c r="G11" s="11">
        <f>2.188*2</f>
        <v>4.376</v>
      </c>
      <c r="H11" s="11"/>
      <c r="I11" s="11"/>
      <c r="J11" s="11"/>
      <c r="K11" s="11"/>
      <c r="L11" s="11"/>
      <c r="M11" s="11">
        <f t="shared" si="1"/>
        <v>4.376</v>
      </c>
      <c r="N11" s="11"/>
      <c r="O11" s="11">
        <v>48.9968</v>
      </c>
      <c r="P11" s="25">
        <f t="shared" si="0"/>
        <v>214.4099968</v>
      </c>
    </row>
    <row r="12" ht="27" customHeight="1" spans="1:16">
      <c r="A12" s="9">
        <v>5</v>
      </c>
      <c r="B12" s="11" t="s">
        <v>69</v>
      </c>
      <c r="C12" s="9"/>
      <c r="D12" s="11" t="s">
        <v>63</v>
      </c>
      <c r="E12" s="9" t="s">
        <v>64</v>
      </c>
      <c r="F12" s="12">
        <f>(1.63+2.253+2.253+2.013+5.25+0.15*4)*2</f>
        <v>27.998</v>
      </c>
      <c r="G12" s="11"/>
      <c r="H12" s="11"/>
      <c r="I12" s="11"/>
      <c r="J12" s="11"/>
      <c r="K12" s="11"/>
      <c r="L12" s="11"/>
      <c r="M12" s="11">
        <f t="shared" si="1"/>
        <v>27.998</v>
      </c>
      <c r="N12" s="11"/>
      <c r="O12" s="11">
        <v>179.67</v>
      </c>
      <c r="P12" s="25">
        <f t="shared" si="0"/>
        <v>5030.40066</v>
      </c>
    </row>
    <row r="13" ht="27" customHeight="1" spans="1:16">
      <c r="A13" s="9">
        <v>6</v>
      </c>
      <c r="B13" s="9"/>
      <c r="C13" s="9"/>
      <c r="D13" s="11" t="s">
        <v>65</v>
      </c>
      <c r="E13" s="9" t="s">
        <v>64</v>
      </c>
      <c r="F13" s="11"/>
      <c r="G13" s="11">
        <f>2.188*2</f>
        <v>4.376</v>
      </c>
      <c r="H13" s="11"/>
      <c r="I13" s="11"/>
      <c r="J13" s="11"/>
      <c r="K13" s="11"/>
      <c r="L13" s="11"/>
      <c r="M13" s="11">
        <f t="shared" si="1"/>
        <v>4.376</v>
      </c>
      <c r="N13" s="11"/>
      <c r="O13" s="11">
        <v>48.9968</v>
      </c>
      <c r="P13" s="25">
        <f t="shared" si="0"/>
        <v>214.4099968</v>
      </c>
    </row>
    <row r="15" spans="1:16">
      <c r="A15" s="13" t="s">
        <v>70</v>
      </c>
      <c r="B15" s="14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26"/>
      <c r="O15" s="11"/>
      <c r="P15" s="11"/>
    </row>
    <row r="16" spans="1:16">
      <c r="A16" s="5" t="s">
        <v>1</v>
      </c>
      <c r="B16" s="5" t="s">
        <v>49</v>
      </c>
      <c r="C16" s="5" t="s">
        <v>50</v>
      </c>
      <c r="D16" s="5" t="s">
        <v>51</v>
      </c>
      <c r="E16" s="5" t="s">
        <v>70</v>
      </c>
      <c r="F16" s="5"/>
      <c r="G16" s="5"/>
      <c r="H16" s="5"/>
      <c r="I16" s="5"/>
      <c r="J16" s="5"/>
      <c r="K16" s="5"/>
      <c r="L16" s="5"/>
      <c r="M16" s="5"/>
      <c r="O16" s="11"/>
      <c r="P16" s="11"/>
    </row>
    <row r="17" ht="21" customHeight="1" spans="1:16">
      <c r="A17" s="9"/>
      <c r="B17" s="9"/>
      <c r="C17" s="9"/>
      <c r="D17" s="9"/>
      <c r="E17" s="9" t="s">
        <v>53</v>
      </c>
      <c r="F17" s="9" t="s">
        <v>54</v>
      </c>
      <c r="G17" s="11" t="s">
        <v>55</v>
      </c>
      <c r="H17" s="11" t="s">
        <v>56</v>
      </c>
      <c r="I17" s="11" t="s">
        <v>57</v>
      </c>
      <c r="J17" s="11" t="s">
        <v>71</v>
      </c>
      <c r="K17" s="11" t="s">
        <v>72</v>
      </c>
      <c r="L17" s="11"/>
      <c r="M17" s="11"/>
      <c r="N17" s="26" t="s">
        <v>38</v>
      </c>
      <c r="O17" s="11"/>
      <c r="P17" s="11">
        <f>SUM(P18:P25)</f>
        <v>76947.7701740875</v>
      </c>
    </row>
    <row r="18" ht="27" customHeight="1" spans="1:16">
      <c r="A18" s="9">
        <v>1</v>
      </c>
      <c r="B18" s="9" t="s">
        <v>73</v>
      </c>
      <c r="C18" s="11" t="s">
        <v>74</v>
      </c>
      <c r="D18" s="10" t="s">
        <v>75</v>
      </c>
      <c r="E18" s="9" t="s">
        <v>64</v>
      </c>
      <c r="F18" s="9"/>
      <c r="G18" s="11">
        <f t="shared" ref="G18:I18" si="2">2*4</f>
        <v>8</v>
      </c>
      <c r="H18" s="11">
        <f t="shared" si="2"/>
        <v>8</v>
      </c>
      <c r="I18" s="11">
        <f t="shared" si="2"/>
        <v>8</v>
      </c>
      <c r="J18" s="11">
        <f>2*4*5</f>
        <v>40</v>
      </c>
      <c r="K18" s="11">
        <f>2*4</f>
        <v>8</v>
      </c>
      <c r="L18" s="11"/>
      <c r="M18" s="11"/>
      <c r="N18" s="13">
        <f t="shared" ref="N18:N26" si="3">G18+H18+I18+J18+K18+F18</f>
        <v>72</v>
      </c>
      <c r="O18" s="11">
        <v>84.9986</v>
      </c>
      <c r="P18" s="11">
        <f>O18*N18</f>
        <v>6119.8992</v>
      </c>
    </row>
    <row r="19" ht="27" customHeight="1" spans="1:16">
      <c r="A19" s="9">
        <v>2</v>
      </c>
      <c r="B19" s="11" t="s">
        <v>76</v>
      </c>
      <c r="C19" s="11" t="s">
        <v>77</v>
      </c>
      <c r="D19" s="5" t="s">
        <v>78</v>
      </c>
      <c r="E19" s="9" t="s">
        <v>64</v>
      </c>
      <c r="F19" s="9"/>
      <c r="G19" s="11">
        <f t="shared" ref="G19:I19" si="4">5.35*4</f>
        <v>21.4</v>
      </c>
      <c r="H19" s="11">
        <f t="shared" si="4"/>
        <v>21.4</v>
      </c>
      <c r="I19" s="11">
        <f t="shared" si="4"/>
        <v>21.4</v>
      </c>
      <c r="J19" s="11">
        <f>5.35*4*5</f>
        <v>107</v>
      </c>
      <c r="K19" s="11">
        <f>5.35*4</f>
        <v>21.4</v>
      </c>
      <c r="L19" s="11"/>
      <c r="M19" s="11"/>
      <c r="N19" s="13">
        <f t="shared" si="3"/>
        <v>192.6</v>
      </c>
      <c r="O19" s="11">
        <v>109.9942</v>
      </c>
      <c r="P19" s="11">
        <f>O19*N19</f>
        <v>21184.88292</v>
      </c>
    </row>
    <row r="20" ht="27" customHeight="1" spans="1:16">
      <c r="A20" s="9">
        <v>3</v>
      </c>
      <c r="B20" s="11" t="s">
        <v>79</v>
      </c>
      <c r="C20" s="11" t="s">
        <v>80</v>
      </c>
      <c r="D20" s="10" t="s">
        <v>81</v>
      </c>
      <c r="E20" s="9" t="s">
        <v>82</v>
      </c>
      <c r="F20" s="9"/>
      <c r="G20" s="11">
        <f>2.35*1*6</f>
        <v>14.1</v>
      </c>
      <c r="H20" s="11"/>
      <c r="I20" s="11">
        <f>2.35*1*6</f>
        <v>14.1</v>
      </c>
      <c r="J20" s="11">
        <f>2.35*1*6*5</f>
        <v>70.5</v>
      </c>
      <c r="K20" s="11"/>
      <c r="L20" s="11"/>
      <c r="M20" s="11"/>
      <c r="N20" s="13">
        <f t="shared" si="3"/>
        <v>98.7</v>
      </c>
      <c r="O20" s="11">
        <v>223.125034676058</v>
      </c>
      <c r="P20" s="11">
        <f>O20*N20</f>
        <v>22022.4409225269</v>
      </c>
    </row>
    <row r="21" ht="27" customHeight="1" spans="1:16">
      <c r="A21" s="9">
        <v>4</v>
      </c>
      <c r="B21" s="11" t="s">
        <v>79</v>
      </c>
      <c r="C21" s="11" t="s">
        <v>83</v>
      </c>
      <c r="D21" s="10" t="s">
        <v>84</v>
      </c>
      <c r="E21" s="9" t="s">
        <v>82</v>
      </c>
      <c r="F21" s="9"/>
      <c r="G21" s="11"/>
      <c r="H21" s="11">
        <f>1*2.05*6</f>
        <v>12.3</v>
      </c>
      <c r="I21" s="11"/>
      <c r="J21" s="11"/>
      <c r="K21" s="11">
        <f>1*2.05*6</f>
        <v>12.3</v>
      </c>
      <c r="L21" s="11"/>
      <c r="M21" s="11"/>
      <c r="N21" s="13">
        <f t="shared" si="3"/>
        <v>24.6</v>
      </c>
      <c r="O21" s="11">
        <v>223.125034676058</v>
      </c>
      <c r="P21" s="11">
        <f>O21*N21</f>
        <v>5488.87585303103</v>
      </c>
    </row>
    <row r="22" ht="27" customHeight="1" spans="1:16">
      <c r="A22" s="9"/>
      <c r="B22" s="11" t="s">
        <v>79</v>
      </c>
      <c r="C22" s="11" t="s">
        <v>85</v>
      </c>
      <c r="D22" s="10" t="s">
        <v>81</v>
      </c>
      <c r="E22" s="9" t="s">
        <v>82</v>
      </c>
      <c r="F22" s="9">
        <f>2.3*1*6</f>
        <v>13.8</v>
      </c>
      <c r="G22" s="11"/>
      <c r="H22" s="11"/>
      <c r="I22" s="11"/>
      <c r="J22" s="11"/>
      <c r="K22" s="11"/>
      <c r="L22" s="11"/>
      <c r="M22" s="11"/>
      <c r="N22" s="13">
        <f t="shared" si="3"/>
        <v>13.8</v>
      </c>
      <c r="O22" s="11">
        <v>223.125034676058</v>
      </c>
      <c r="P22" s="11">
        <f>O22*N22</f>
        <v>3079.1254785296</v>
      </c>
    </row>
    <row r="23" ht="27" customHeight="1" spans="1:16">
      <c r="A23" s="9">
        <v>5</v>
      </c>
      <c r="B23" s="9" t="s">
        <v>86</v>
      </c>
      <c r="C23" s="11" t="s">
        <v>87</v>
      </c>
      <c r="D23" s="11" t="s">
        <v>88</v>
      </c>
      <c r="E23" s="9" t="s">
        <v>64</v>
      </c>
      <c r="F23" s="9"/>
      <c r="G23" s="11">
        <f t="shared" ref="G23:I23" si="5">1.5*4</f>
        <v>6</v>
      </c>
      <c r="H23" s="11">
        <f t="shared" si="5"/>
        <v>6</v>
      </c>
      <c r="I23" s="11">
        <f t="shared" si="5"/>
        <v>6</v>
      </c>
      <c r="J23" s="11">
        <f>1.5*4*5</f>
        <v>30</v>
      </c>
      <c r="K23" s="11">
        <f>1.5*4</f>
        <v>6</v>
      </c>
      <c r="L23" s="11"/>
      <c r="M23" s="11"/>
      <c r="N23" s="13">
        <f t="shared" si="3"/>
        <v>54</v>
      </c>
      <c r="O23" s="11">
        <v>76.84</v>
      </c>
      <c r="P23" s="11">
        <f>O23*N23</f>
        <v>4149.36</v>
      </c>
    </row>
    <row r="24" ht="27" customHeight="1" spans="1:16">
      <c r="A24" s="9">
        <v>6</v>
      </c>
      <c r="B24" s="11" t="s">
        <v>76</v>
      </c>
      <c r="C24" s="11" t="s">
        <v>89</v>
      </c>
      <c r="D24" s="5" t="s">
        <v>90</v>
      </c>
      <c r="E24" s="9" t="s">
        <v>64</v>
      </c>
      <c r="F24" s="9"/>
      <c r="G24" s="11">
        <f>2.5*2</f>
        <v>5</v>
      </c>
      <c r="H24" s="11">
        <f>2.5*2</f>
        <v>5</v>
      </c>
      <c r="I24" s="11"/>
      <c r="J24" s="11"/>
      <c r="K24" s="11"/>
      <c r="L24" s="11"/>
      <c r="M24" s="11"/>
      <c r="N24" s="13">
        <f t="shared" si="3"/>
        <v>10</v>
      </c>
      <c r="O24" s="11">
        <v>107.9941</v>
      </c>
      <c r="P24" s="11">
        <f>O24*N24</f>
        <v>1079.941</v>
      </c>
    </row>
    <row r="25" ht="27" customHeight="1" spans="1:16">
      <c r="A25" s="9">
        <v>7</v>
      </c>
      <c r="B25" s="11" t="s">
        <v>76</v>
      </c>
      <c r="C25" s="11" t="s">
        <v>91</v>
      </c>
      <c r="D25" s="5" t="s">
        <v>90</v>
      </c>
      <c r="E25" s="9" t="s">
        <v>64</v>
      </c>
      <c r="F25" s="9"/>
      <c r="G25" s="11">
        <f>4*2</f>
        <v>8</v>
      </c>
      <c r="H25" s="11">
        <f>4*2</f>
        <v>8</v>
      </c>
      <c r="I25" s="11">
        <f>4*4</f>
        <v>16</v>
      </c>
      <c r="J25" s="11">
        <f>4*4*5</f>
        <v>80</v>
      </c>
      <c r="K25" s="11">
        <f>4*4</f>
        <v>16</v>
      </c>
      <c r="L25" s="11"/>
      <c r="M25" s="11"/>
      <c r="N25" s="13">
        <f t="shared" si="3"/>
        <v>128</v>
      </c>
      <c r="O25" s="11">
        <v>107.9941</v>
      </c>
      <c r="P25" s="11">
        <f>O25*N25</f>
        <v>13823.2448</v>
      </c>
    </row>
    <row r="26" ht="27" customHeight="1" spans="1:16">
      <c r="A26" s="15" t="s">
        <v>92</v>
      </c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O26" s="11"/>
      <c r="P26" s="11"/>
    </row>
    <row r="27" ht="27" customHeight="1" spans="1:16">
      <c r="A27" s="17" t="s">
        <v>1</v>
      </c>
      <c r="B27" s="17" t="s">
        <v>49</v>
      </c>
      <c r="C27" s="17" t="s">
        <v>50</v>
      </c>
      <c r="D27" s="17" t="s">
        <v>51</v>
      </c>
      <c r="E27" s="17" t="s">
        <v>53</v>
      </c>
      <c r="F27" s="18" t="s">
        <v>92</v>
      </c>
      <c r="G27" s="19"/>
      <c r="H27" s="19"/>
      <c r="I27" s="19"/>
      <c r="J27" s="19"/>
      <c r="K27" s="19"/>
      <c r="L27" s="27"/>
      <c r="M27" s="11"/>
      <c r="N27" s="26"/>
      <c r="O27" s="11"/>
      <c r="P27" s="11"/>
    </row>
    <row r="28" ht="27" customHeight="1" spans="1:16">
      <c r="A28" s="20"/>
      <c r="B28" s="21"/>
      <c r="C28" s="21"/>
      <c r="D28" s="21"/>
      <c r="E28" s="21"/>
      <c r="F28" s="21" t="s">
        <v>93</v>
      </c>
      <c r="G28" s="21" t="s">
        <v>55</v>
      </c>
      <c r="H28" s="21" t="s">
        <v>56</v>
      </c>
      <c r="I28" s="21" t="s">
        <v>57</v>
      </c>
      <c r="J28" s="21" t="s">
        <v>58</v>
      </c>
      <c r="K28" s="21" t="s">
        <v>59</v>
      </c>
      <c r="L28" s="21"/>
      <c r="M28" s="28"/>
      <c r="N28" s="26" t="s">
        <v>38</v>
      </c>
      <c r="O28" s="11"/>
      <c r="P28" s="11">
        <f>SUM(P29:P36)</f>
        <v>62453.9558666255</v>
      </c>
    </row>
    <row r="29" ht="27" customHeight="1" spans="1:16">
      <c r="A29" s="17">
        <v>1</v>
      </c>
      <c r="B29" s="22" t="s">
        <v>79</v>
      </c>
      <c r="C29" s="10" t="s">
        <v>94</v>
      </c>
      <c r="D29" s="10" t="s">
        <v>95</v>
      </c>
      <c r="E29" s="9" t="s">
        <v>82</v>
      </c>
      <c r="F29" s="9" t="s">
        <v>95</v>
      </c>
      <c r="G29" s="9"/>
      <c r="H29" s="9">
        <v>6</v>
      </c>
      <c r="I29" s="9"/>
      <c r="J29" s="9">
        <v>6</v>
      </c>
      <c r="K29" s="9">
        <f>6*4</f>
        <v>24</v>
      </c>
      <c r="L29" s="9"/>
      <c r="M29" s="5">
        <f t="shared" ref="M29:M34" si="6">SUM(G29:L29)</f>
        <v>36</v>
      </c>
      <c r="N29" s="7">
        <f>1*2.35*M29</f>
        <v>84.6</v>
      </c>
      <c r="O29" s="11">
        <v>223.125034676058</v>
      </c>
      <c r="P29" s="11">
        <f t="shared" ref="P26:P36" si="7">O29*N29</f>
        <v>18876.3779335945</v>
      </c>
    </row>
    <row r="30" ht="27" customHeight="1" spans="1:16">
      <c r="A30" s="17">
        <v>2</v>
      </c>
      <c r="B30" s="22" t="s">
        <v>79</v>
      </c>
      <c r="C30" s="9" t="s">
        <v>96</v>
      </c>
      <c r="D30" s="10" t="s">
        <v>97</v>
      </c>
      <c r="E30" s="9" t="s">
        <v>82</v>
      </c>
      <c r="F30" s="9" t="s">
        <v>97</v>
      </c>
      <c r="G30" s="9"/>
      <c r="H30" s="9"/>
      <c r="I30" s="9">
        <v>6</v>
      </c>
      <c r="J30" s="9"/>
      <c r="K30" s="9"/>
      <c r="L30" s="9">
        <v>6</v>
      </c>
      <c r="M30" s="5">
        <f t="shared" si="6"/>
        <v>12</v>
      </c>
      <c r="N30" s="13">
        <f>1*2.05*M30</f>
        <v>24.6</v>
      </c>
      <c r="O30" s="11">
        <v>223.125034676058</v>
      </c>
      <c r="P30" s="11">
        <f t="shared" si="7"/>
        <v>5488.87585303103</v>
      </c>
    </row>
    <row r="31" ht="27" customHeight="1" spans="1:16">
      <c r="A31" s="17">
        <v>3</v>
      </c>
      <c r="B31" s="11" t="s">
        <v>73</v>
      </c>
      <c r="C31" s="5" t="s">
        <v>98</v>
      </c>
      <c r="D31" s="10" t="s">
        <v>75</v>
      </c>
      <c r="E31" s="5" t="s">
        <v>64</v>
      </c>
      <c r="F31" s="5">
        <v>2</v>
      </c>
      <c r="G31" s="5">
        <v>0</v>
      </c>
      <c r="H31" s="5">
        <v>4</v>
      </c>
      <c r="I31" s="5">
        <v>4</v>
      </c>
      <c r="J31" s="5">
        <v>4</v>
      </c>
      <c r="K31" s="5">
        <f t="shared" ref="K31:K34" si="8">4*4</f>
        <v>16</v>
      </c>
      <c r="L31" s="5">
        <v>4</v>
      </c>
      <c r="M31" s="5">
        <f t="shared" si="6"/>
        <v>32</v>
      </c>
      <c r="N31" s="13">
        <f t="shared" ref="N31:N34" si="9">M31*F31</f>
        <v>64</v>
      </c>
      <c r="O31" s="11">
        <v>84.9986</v>
      </c>
      <c r="P31" s="11">
        <f t="shared" si="7"/>
        <v>5439.9104</v>
      </c>
    </row>
    <row r="32" ht="27" customHeight="1" spans="1:16">
      <c r="A32" s="17">
        <v>4</v>
      </c>
      <c r="B32" s="11" t="s">
        <v>73</v>
      </c>
      <c r="C32" s="5" t="s">
        <v>99</v>
      </c>
      <c r="D32" s="5" t="s">
        <v>75</v>
      </c>
      <c r="E32" s="5" t="s">
        <v>64</v>
      </c>
      <c r="F32" s="5">
        <v>1.8</v>
      </c>
      <c r="G32" s="5">
        <v>0</v>
      </c>
      <c r="H32" s="5">
        <v>4</v>
      </c>
      <c r="I32" s="5">
        <v>4</v>
      </c>
      <c r="J32" s="5">
        <v>4</v>
      </c>
      <c r="K32" s="5">
        <f t="shared" si="8"/>
        <v>16</v>
      </c>
      <c r="L32" s="5">
        <v>4</v>
      </c>
      <c r="M32" s="5">
        <f t="shared" si="6"/>
        <v>32</v>
      </c>
      <c r="N32" s="13">
        <f t="shared" si="9"/>
        <v>57.6</v>
      </c>
      <c r="O32" s="11">
        <v>84.9986</v>
      </c>
      <c r="P32" s="11">
        <f t="shared" si="7"/>
        <v>4895.91936</v>
      </c>
    </row>
    <row r="33" ht="27" customHeight="1" spans="1:16">
      <c r="A33" s="17">
        <v>5</v>
      </c>
      <c r="B33" s="9" t="s">
        <v>76</v>
      </c>
      <c r="C33" s="9" t="s">
        <v>100</v>
      </c>
      <c r="D33" s="5" t="s">
        <v>78</v>
      </c>
      <c r="E33" s="9" t="s">
        <v>64</v>
      </c>
      <c r="F33" s="9">
        <v>5.3</v>
      </c>
      <c r="G33" s="9">
        <v>0</v>
      </c>
      <c r="H33" s="9">
        <v>4</v>
      </c>
      <c r="I33" s="9">
        <v>4</v>
      </c>
      <c r="J33" s="9">
        <v>4</v>
      </c>
      <c r="K33" s="9">
        <f t="shared" si="8"/>
        <v>16</v>
      </c>
      <c r="L33" s="9">
        <v>4</v>
      </c>
      <c r="M33" s="5">
        <f t="shared" si="6"/>
        <v>32</v>
      </c>
      <c r="N33" s="13">
        <f t="shared" si="9"/>
        <v>169.6</v>
      </c>
      <c r="O33" s="11">
        <v>109.9942</v>
      </c>
      <c r="P33" s="11">
        <f t="shared" si="7"/>
        <v>18655.01632</v>
      </c>
    </row>
    <row r="34" ht="27" customHeight="1" spans="1:16">
      <c r="A34" s="17">
        <v>6</v>
      </c>
      <c r="B34" s="9" t="s">
        <v>86</v>
      </c>
      <c r="C34" s="9" t="s">
        <v>101</v>
      </c>
      <c r="D34" s="11" t="s">
        <v>102</v>
      </c>
      <c r="E34" s="9" t="s">
        <v>64</v>
      </c>
      <c r="F34" s="9">
        <v>3.7</v>
      </c>
      <c r="G34" s="9">
        <v>0</v>
      </c>
      <c r="H34" s="9">
        <v>4</v>
      </c>
      <c r="I34" s="9">
        <v>4</v>
      </c>
      <c r="J34" s="9">
        <v>4</v>
      </c>
      <c r="K34" s="9">
        <f t="shared" si="8"/>
        <v>16</v>
      </c>
      <c r="L34" s="9">
        <v>4</v>
      </c>
      <c r="M34" s="9">
        <f t="shared" si="6"/>
        <v>32</v>
      </c>
      <c r="N34" s="13">
        <f t="shared" si="9"/>
        <v>118.4</v>
      </c>
      <c r="O34" s="11">
        <v>76.84</v>
      </c>
      <c r="P34" s="11">
        <f t="shared" si="7"/>
        <v>9097.856</v>
      </c>
    </row>
  </sheetData>
  <autoFilter ref="A3:M13">
    <extLst/>
  </autoFilter>
  <mergeCells count="20">
    <mergeCell ref="A1:O1"/>
    <mergeCell ref="S1:V1"/>
    <mergeCell ref="E2:L2"/>
    <mergeCell ref="A15:B15"/>
    <mergeCell ref="E16:M16"/>
    <mergeCell ref="A26:B26"/>
    <mergeCell ref="F27:L27"/>
    <mergeCell ref="A2:A3"/>
    <mergeCell ref="A16:A17"/>
    <mergeCell ref="A27:A28"/>
    <mergeCell ref="B2:B3"/>
    <mergeCell ref="B16:B17"/>
    <mergeCell ref="B27:B28"/>
    <mergeCell ref="C2:C3"/>
    <mergeCell ref="C16:C17"/>
    <mergeCell ref="C27:C28"/>
    <mergeCell ref="D2:D3"/>
    <mergeCell ref="D16:D17"/>
    <mergeCell ref="D27:D28"/>
    <mergeCell ref="E27:E28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3#5#9#11#8#楼梯栏杆</vt:lpstr>
      <vt:lpstr>04、工程量计算书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不要总是（圈a）我</cp:lastModifiedBy>
  <dcterms:created xsi:type="dcterms:W3CDTF">2020-12-05T09:38:00Z</dcterms:created>
  <dcterms:modified xsi:type="dcterms:W3CDTF">2023-07-21T08:35:06Z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0D7F1678D3C946F78A472997CEACF851</vt:lpwstr>
  </property>
</Properties>
</file>