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5结算明细表" sheetId="85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8" hidden="1">'5结算明细表'!$A$3:$T$114</definedName>
    <definedName name="_xlnm.Print_Area" localSheetId="4">'1结算审批表'!$A$1:$D$15</definedName>
    <definedName name="_xlnm.Print_Area" localSheetId="6">'3工程结算汇总表'!$A$1:$H$33</definedName>
    <definedName name="_xlnm.Print_Area" localSheetId="5">'2资料存档目录'!$A$1:$F$23</definedName>
    <definedName name="_xlnm.Print_Area" localSheetId="7">'4结算明细汇总表'!$A$1:$G$12</definedName>
    <definedName name="_xlnm.Print_Area" localSheetId="8">'5结算明细表'!$A$1:$G$111</definedName>
    <definedName name="_xlnm.Print_Titles" localSheetId="8">'5结算明细表'!$1:$3</definedName>
  </definedNames>
  <calcPr calcId="144525" fullPrecision="0"/>
</workbook>
</file>

<file path=xl/sharedStrings.xml><?xml version="1.0" encoding="utf-8"?>
<sst xmlns="http://schemas.openxmlformats.org/spreadsheetml/2006/main" count="1038" uniqueCount="512">
  <si>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</si>
  <si>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</si>
  <si>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</si>
  <si>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</si>
  <si>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</si>
  <si>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</si>
  <si>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</si>
  <si>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</si>
  <si>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</si>
  <si>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</si>
  <si>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</si>
  <si>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</si>
  <si>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</si>
  <si>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</si>
  <si>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</si>
  <si>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</si>
  <si>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</si>
  <si>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</si>
  <si>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</si>
  <si>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</si>
  <si>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</si>
  <si>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</si>
  <si>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</si>
  <si>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</si>
  <si>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</si>
  <si>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</si>
  <si>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</si>
  <si>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</si>
  <si>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</si>
  <si>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</si>
  <si>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</si>
  <si>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</si>
  <si>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</si>
  <si>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</si>
  <si>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</si>
  <si>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</si>
  <si>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</si>
  <si>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</si>
  <si>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</si>
  <si>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</si>
  <si>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</si>
  <si>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</si>
  <si>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</si>
  <si>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</si>
  <si>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</si>
  <si>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</si>
  <si>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</si>
  <si>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</si>
  <si>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</si>
  <si>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</si>
  <si>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</si>
  <si>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</si>
  <si>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</si>
  <si>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</si>
  <si>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</si>
  <si>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</si>
  <si>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</si>
  <si>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</si>
  <si>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</si>
  <si>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</si>
  <si>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</si>
  <si>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</si>
  <si>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</si>
  <si>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</si>
  <si>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</si>
  <si>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</si>
  <si>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</si>
  <si>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</si>
  <si>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</si>
  <si>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</si>
  <si>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</si>
  <si>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</si>
  <si>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</si>
  <si>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</si>
  <si>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</si>
  <si>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</si>
  <si>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</si>
  <si>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</si>
  <si>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</si>
  <si>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</si>
  <si>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</si>
  <si>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</si>
  <si>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</si>
  <si>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</si>
  <si>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</si>
  <si>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</si>
  <si>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</si>
  <si>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</si>
  <si>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</si>
  <si>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</si>
  <si>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</si>
  <si>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</si>
  <si>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</si>
  <si>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</si>
  <si>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</si>
  <si>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</si>
  <si>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</si>
  <si>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</si>
  <si>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</si>
  <si>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</si>
  <si>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</si>
  <si>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</si>
  <si>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</si>
  <si>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</si>
  <si>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</si>
  <si>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</si>
  <si>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</si>
  <si>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</si>
  <si>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</si>
  <si>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</si>
  <si>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</si>
  <si>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</si>
  <si>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</si>
  <si>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</si>
  <si>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</si>
  <si>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</si>
  <si>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</si>
  <si>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</si>
  <si>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</si>
  <si>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</si>
  <si>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</si>
  <si>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</si>
  <si>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</si>
  <si>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</si>
  <si>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</si>
  <si>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</si>
  <si>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</si>
  <si>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</si>
  <si>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</si>
  <si>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</si>
  <si>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</si>
  <si>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</si>
  <si>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</si>
  <si>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</si>
  <si>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</si>
  <si>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</si>
  <si>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</si>
  <si>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</si>
  <si>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</si>
  <si>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</si>
  <si>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</si>
  <si>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</si>
  <si>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</si>
  <si>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</si>
  <si>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</si>
  <si>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</si>
  <si>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</si>
  <si>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</si>
  <si>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</si>
  <si>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</si>
  <si>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</si>
  <si>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</si>
  <si>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</si>
  <si>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</si>
  <si>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</si>
  <si>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</si>
  <si>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</si>
  <si>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</si>
  <si>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</si>
  <si>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</si>
  <si>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</si>
  <si>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</si>
  <si>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</si>
  <si>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</si>
  <si>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</si>
  <si>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</si>
  <si>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</si>
  <si>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</si>
  <si>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</si>
  <si>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</si>
  <si>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</si>
  <si>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</si>
  <si>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</si>
  <si>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</si>
  <si>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</si>
  <si>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</si>
  <si>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</si>
  <si>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</si>
  <si>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</si>
  <si>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</si>
  <si>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</si>
  <si>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</si>
  <si>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</si>
  <si>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</si>
  <si>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</si>
  <si>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</si>
  <si>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</si>
  <si>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</si>
  <si>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</si>
  <si>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</si>
  <si>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</si>
  <si>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</si>
  <si>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</si>
  <si>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</si>
  <si>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</si>
  <si>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</si>
  <si>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</si>
  <si>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</si>
  <si>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</si>
  <si>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</si>
  <si>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</si>
  <si>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</si>
  <si>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</si>
  <si>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</si>
  <si>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</si>
  <si>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</si>
  <si>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</si>
  <si>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</si>
  <si>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</si>
  <si>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</si>
  <si>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</si>
  <si>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</si>
  <si>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</si>
  <si>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</si>
  <si>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</si>
  <si>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</si>
  <si>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</si>
  <si>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</si>
  <si>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</si>
  <si>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</si>
  <si>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</si>
  <si>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</si>
  <si>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</si>
  <si>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</si>
  <si>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</si>
  <si>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</si>
  <si>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</si>
  <si>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</si>
  <si>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</si>
  <si>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</si>
  <si>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</si>
  <si>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</si>
  <si>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</si>
  <si>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</si>
  <si>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</si>
  <si>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</si>
  <si>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</si>
  <si>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</si>
  <si>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</si>
  <si>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</si>
  <si>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</si>
  <si>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</si>
  <si>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</si>
  <si>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</si>
  <si>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</si>
  <si>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</si>
  <si>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</si>
  <si>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</si>
  <si>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</si>
  <si>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</si>
  <si>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</si>
  <si>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</si>
  <si>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</si>
  <si>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</si>
  <si>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</si>
  <si>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</si>
  <si>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</si>
  <si>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</si>
  <si>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</si>
  <si>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</si>
  <si>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</si>
  <si>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</si>
  <si>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</si>
  <si>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</si>
  <si>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</si>
  <si>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</si>
  <si>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</si>
  <si>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</si>
  <si>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</si>
  <si>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</si>
  <si>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</si>
  <si>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</si>
  <si>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</si>
  <si>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</si>
  <si>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</si>
  <si>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</si>
  <si>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</si>
  <si>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</si>
  <si>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</si>
  <si>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</si>
  <si>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</si>
  <si>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</si>
  <si>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</si>
  <si>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</si>
  <si>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</si>
  <si>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</si>
  <si>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</si>
  <si>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</si>
  <si>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</si>
  <si>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</si>
  <si>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</si>
  <si>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</si>
  <si>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</si>
  <si>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</si>
  <si>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</si>
  <si>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</si>
  <si>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</si>
  <si>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</si>
  <si>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</si>
  <si>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</si>
  <si>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</si>
  <si>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</si>
  <si>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</si>
  <si>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</si>
  <si>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</si>
  <si>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</si>
  <si>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</si>
  <si>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</si>
  <si>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</si>
  <si>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</si>
  <si>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</si>
  <si>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</si>
  <si>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</si>
  <si>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</si>
  <si>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</si>
  <si>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</si>
  <si>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</si>
  <si>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</si>
  <si>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</si>
  <si>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</si>
  <si>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</si>
  <si>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</si>
  <si>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</si>
  <si>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</si>
  <si>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</si>
  <si>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</si>
  <si>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</si>
  <si>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</si>
  <si>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</si>
  <si>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</si>
  <si>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</si>
  <si>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</si>
  <si>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</si>
  <si>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</si>
  <si>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</si>
  <si>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</si>
  <si>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</si>
  <si>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</si>
  <si>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</si>
  <si>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</si>
  <si>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</si>
  <si>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</si>
  <si>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 xml:space="preserve">洛宁山水文苑项目建设工程勘察合同 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</si>
  <si>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</si>
  <si>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</si>
  <si>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</si>
  <si>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LNSSWY-QQ-009</t>
  </si>
  <si>
    <t>合同名称</t>
  </si>
  <si>
    <t>洛宁山水文苑项目建设工程勘察合同</t>
  </si>
  <si>
    <t>合同金额</t>
  </si>
  <si>
    <r>
      <rPr>
        <u/>
        <sz val="12"/>
        <rFont val="楷体_GB2312"/>
        <charset val="134"/>
      </rPr>
      <t>344700</t>
    </r>
    <r>
      <rPr>
        <sz val="12"/>
        <rFont val="楷体_GB2312"/>
        <charset val="134"/>
      </rPr>
      <t>元</t>
    </r>
  </si>
  <si>
    <t>施工单位名称</t>
  </si>
  <si>
    <t>河南工程水文地质勘察院有限公司</t>
  </si>
  <si>
    <t>乙方送审价</t>
  </si>
  <si>
    <t>288582元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</si>
  <si>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</si>
  <si>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</si>
  <si>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</si>
  <si>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</si>
  <si>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</si>
  <si>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</si>
  <si>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</si>
  <si>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</si>
  <si>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</si>
  <si>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</si>
  <si>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</si>
  <si>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</si>
  <si>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</si>
  <si>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</si>
  <si>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</si>
  <si>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</si>
  <si>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</si>
  <si>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</si>
  <si>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</si>
  <si>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</si>
  <si>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洛宁山水文苑项目建设工程勘察合同结算审批表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</si>
  <si>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</si>
  <si>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</si>
  <si>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</si>
  <si>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</si>
  <si>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</si>
  <si>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</si>
  <si>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</si>
  <si>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</si>
  <si>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</si>
  <si>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洛宁山水文苑项目建设工程勘察合同结算汇总表</t>
  </si>
  <si>
    <t>第4页</t>
  </si>
  <si>
    <t>复印件</t>
  </si>
  <si>
    <t>洛宁山水文苑项目建设工程勘察合同结算价明细汇总表</t>
  </si>
  <si>
    <t>第5页</t>
  </si>
  <si>
    <t>洛宁山水文苑项目建设工程勘察合同结算价明细表</t>
  </si>
  <si>
    <t>1份3页</t>
  </si>
  <si>
    <t>第6-8页</t>
  </si>
  <si>
    <t>结算通知书（合同编号：LNSSWY-QQ-009）</t>
  </si>
  <si>
    <t>第9页</t>
  </si>
  <si>
    <t>结算申请报告（合同编号：LNSSWY-QQ-009）</t>
  </si>
  <si>
    <t>第10页</t>
  </si>
  <si>
    <t>授权委托书</t>
  </si>
  <si>
    <t>第11页</t>
  </si>
  <si>
    <t>工程往来账目明细（合同编号：LNSSWY-QQ-009）</t>
  </si>
  <si>
    <t>第12页</t>
  </si>
  <si>
    <t>水电费结清证明（合同编号：LNSSWY-QQ-009）</t>
  </si>
  <si>
    <t>第13页</t>
  </si>
  <si>
    <t>洛宁山水文苑项目建设工程勘察合同（含审批表）（合同编号：LNSSWY-QQ-009）</t>
  </si>
  <si>
    <t>1份16页</t>
  </si>
  <si>
    <t>第14~29页</t>
  </si>
  <si>
    <t>工程结算资料核对确认表</t>
  </si>
  <si>
    <t>2份1页</t>
  </si>
  <si>
    <t>第30~31页</t>
  </si>
  <si>
    <t>施工单位报送资料</t>
  </si>
  <si>
    <t>1份8页</t>
  </si>
  <si>
    <t>第32~39页</t>
  </si>
  <si>
    <t>检测报告</t>
  </si>
  <si>
    <t>1份</t>
  </si>
  <si>
    <t>PDF格式，因报告原件在项目存档，且页数较多，结算存档为PDF格式，详见检测报告附件</t>
  </si>
  <si>
    <t>造价师：</t>
  </si>
  <si>
    <t>日期：</t>
  </si>
  <si>
    <t>工程结算汇总表</t>
  </si>
  <si>
    <t>合同编号：LNSSWY-QQ-009                          合同金额：344700元</t>
  </si>
  <si>
    <t>合同名称：洛宁山水文苑项目建设工程勘察合同</t>
  </si>
  <si>
    <t>甲    方：洛阳浩德浩康置业有限公司</t>
  </si>
  <si>
    <t>乙    方：河南工程水文地质勘察院有限公司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</si>
  <si>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</si>
  <si>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</si>
  <si>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</si>
  <si>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</si>
  <si>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</si>
  <si>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</si>
  <si>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初勘费用</t>
  </si>
  <si>
    <t>按合同条款“2.4、付款方式：（3）工程主体施工完成并验收通过后支付至结算款的100%，乙方出具初勘税票后，甲方支付给初勘单位初勘费用15000元。”</t>
  </si>
  <si>
    <t>扣款项目</t>
  </si>
  <si>
    <t>二</t>
  </si>
  <si>
    <t>其他费用合计</t>
  </si>
  <si>
    <t>协商结算舍尾数金额</t>
  </si>
  <si>
    <t>即经双方协议一致，合同内结算价为257400元</t>
  </si>
  <si>
    <t>……</t>
  </si>
  <si>
    <t>三</t>
  </si>
  <si>
    <t>[一]+[二]
工程结算金额</t>
  </si>
  <si>
    <t>（小写）</t>
  </si>
  <si>
    <t>乙方最终实际开票含税总金额为272400元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</si>
  <si>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</si>
  <si>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</si>
  <si>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</si>
  <si>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</si>
  <si>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</si>
  <si>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</si>
  <si>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</si>
  <si>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</si>
  <si>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</si>
  <si>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</si>
  <si>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</si>
  <si>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</si>
  <si>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</si>
  <si>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</si>
  <si>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</si>
  <si>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</si>
  <si>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</si>
  <si>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洛宁山水文苑项目建设工程勘察合同
结算价明细汇总表</t>
  </si>
  <si>
    <t>单位</t>
  </si>
  <si>
    <t>工程量</t>
  </si>
  <si>
    <t>单价（元）</t>
  </si>
  <si>
    <t>金额（元）</t>
  </si>
  <si>
    <r>
      <rPr>
        <sz val="14"/>
        <rFont val="宋体"/>
        <charset val="134"/>
      </rPr>
      <t>洛宁山水文苑项目建设工程勘察合同价格表</t>
    </r>
  </si>
  <si>
    <t>合同内结算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</si>
  <si>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</si>
  <si>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项目名称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</si>
  <si>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</si>
  <si>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暂定工程量</t>
    </r>
  </si>
  <si>
    <r>
      <rPr>
        <sz val="10"/>
        <rFont val="宋体"/>
        <charset val="134"/>
      </rPr>
      <t>含税单价（元）</t>
    </r>
  </si>
  <si>
    <r>
      <rPr>
        <sz val="10"/>
        <rFont val="宋体"/>
        <charset val="134"/>
      </rPr>
      <t>含税合价（元）</t>
    </r>
  </si>
  <si>
    <t>土层</t>
  </si>
  <si>
    <t>m</t>
  </si>
  <si>
    <t>合同无细砂夹圆砾、圆砾价格，经双方协商一致，同土层价格计入。</t>
  </si>
  <si>
    <r>
      <rPr>
        <sz val="10"/>
        <rFont val="宋体"/>
        <charset val="134"/>
      </rPr>
      <t>m</t>
    </r>
  </si>
  <si>
    <t>岩石层</t>
  </si>
  <si>
    <r>
      <rPr>
        <sz val="10"/>
        <rFont val="宋体"/>
        <charset val="134"/>
      </rPr>
      <t>岩石层</t>
    </r>
  </si>
  <si>
    <t>卵石层</t>
  </si>
  <si>
    <r>
      <rPr>
        <sz val="10"/>
        <rFont val="宋体"/>
        <charset val="134"/>
      </rPr>
      <t>卵石层</t>
    </r>
  </si>
  <si>
    <t>小计</t>
  </si>
  <si>
    <t>元</t>
  </si>
  <si>
    <t>经双方友好协商一致，该部分金额为</t>
  </si>
  <si>
    <t>舍尾数金额34元</t>
  </si>
  <si>
    <t>项</t>
  </si>
  <si>
    <t>合计</t>
  </si>
  <si>
    <t>甲方代表：                                   乙方代表：</t>
  </si>
  <si>
    <t>日期：                                        日期：</t>
  </si>
  <si>
    <t>洛宁山水文苑项目建设工程勘察合同
结算明细表</t>
  </si>
  <si>
    <t>图号</t>
  </si>
  <si>
    <t>孔号</t>
  </si>
  <si>
    <t>深度(m)</t>
  </si>
  <si>
    <t>施工方上报</t>
  </si>
  <si>
    <t>土层-60</t>
  </si>
  <si>
    <t>卵石层-220</t>
  </si>
  <si>
    <t>岩石层-160</t>
  </si>
  <si>
    <t>报告孔深</t>
  </si>
  <si>
    <t>孔深</t>
  </si>
  <si>
    <t>土</t>
  </si>
  <si>
    <t>卵石</t>
  </si>
  <si>
    <t>岩</t>
  </si>
  <si>
    <t>土差别</t>
  </si>
  <si>
    <t>卵石差别</t>
  </si>
  <si>
    <t>岩石差别</t>
  </si>
  <si>
    <t>7-7</t>
  </si>
  <si>
    <t>8-8</t>
  </si>
  <si>
    <t>1-1</t>
  </si>
  <si>
    <t>2-2</t>
  </si>
  <si>
    <t>3-3</t>
  </si>
  <si>
    <t>4-4</t>
  </si>
  <si>
    <t>5-5</t>
  </si>
  <si>
    <t>6-6</t>
  </si>
  <si>
    <t>详勘</t>
  </si>
  <si>
    <t>初勘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</si>
</sst>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9"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sz val="10.5"/>
      <name val="楷体_GB2312"/>
      <charset val="134"/>
    </font>
    <font>
      <sz val="14"/>
      <name val="宋体"/>
      <charset val="134"/>
    </font>
    <font>
      <sz val="10"/>
      <name val="宋体"/>
      <charset val="134"/>
    </font>
    <font>
      <b/>
      <sz val="14"/>
      <name val="楷体_GB2312"/>
      <charset val="134"/>
    </font>
    <font>
      <sz val="9"/>
      <name val="宋体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5" borderId="2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4" applyNumberFormat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38" fillId="7" borderId="24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176" fontId="9" fillId="0" borderId="6" xfId="5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5" xfId="5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10" fillId="0" borderId="6" xfId="5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7" xfId="50" applyFont="1" applyBorder="1" applyAlignment="1">
      <alignment horizontal="center" vertical="center" wrapText="1"/>
    </xf>
    <xf numFmtId="0" fontId="10" fillId="0" borderId="6" xfId="50" applyFont="1" applyBorder="1" applyAlignment="1">
      <alignment horizontal="center" vertical="center" wrapText="1"/>
    </xf>
    <xf numFmtId="0" fontId="10" fillId="0" borderId="7" xfId="50" applyFont="1" applyBorder="1" applyAlignment="1">
      <alignment horizontal="left" vertical="center" wrapText="1"/>
    </xf>
    <xf numFmtId="0" fontId="9" fillId="0" borderId="9" xfId="50" applyFont="1" applyBorder="1" applyAlignment="1">
      <alignment horizontal="center" vertical="center" wrapText="1"/>
    </xf>
    <xf numFmtId="0" fontId="9" fillId="0" borderId="10" xfId="50" applyFont="1" applyBorder="1" applyAlignment="1">
      <alignment horizontal="center" vertical="center" wrapText="1"/>
    </xf>
    <xf numFmtId="176" fontId="9" fillId="0" borderId="10" xfId="50" applyNumberFormat="1" applyFont="1" applyBorder="1" applyAlignment="1">
      <alignment horizontal="center" vertical="center" wrapText="1"/>
    </xf>
    <xf numFmtId="0" fontId="9" fillId="0" borderId="11" xfId="5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0" fillId="0" borderId="0" xfId="5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justify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justify" vertical="center" wrapText="1"/>
    </xf>
    <xf numFmtId="179" fontId="12" fillId="0" borderId="6" xfId="0" applyNumberFormat="1" applyFont="1" applyFill="1" applyBorder="1" applyAlignment="1">
      <alignment horizontal="justify" vertical="center" wrapText="1"/>
    </xf>
    <xf numFmtId="177" fontId="12" fillId="0" borderId="6" xfId="0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0" xfId="0" applyFont="1" applyFill="1" applyAlignment="1">
      <alignment horizontal="left" vertical="center" wrapText="1"/>
    </xf>
    <xf numFmtId="179" fontId="0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1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2" fillId="0" borderId="1" xfId="22" applyFont="1" applyFill="1" applyBorder="1" applyAlignment="1">
      <alignment horizontal="center" vertical="center" wrapText="1"/>
    </xf>
    <xf numFmtId="0" fontId="22" fillId="0" borderId="2" xfId="22" applyFont="1" applyFill="1" applyBorder="1" applyAlignment="1">
      <alignment horizontal="center" vertical="center" wrapText="1"/>
    </xf>
    <xf numFmtId="0" fontId="22" fillId="0" borderId="3" xfId="22" applyFont="1" applyFill="1" applyBorder="1" applyAlignment="1">
      <alignment horizontal="center" vertical="center" wrapText="1"/>
    </xf>
    <xf numFmtId="0" fontId="22" fillId="0" borderId="5" xfId="22" applyFont="1" applyFill="1" applyBorder="1" applyAlignment="1">
      <alignment horizontal="center" vertical="center" wrapText="1"/>
    </xf>
    <xf numFmtId="0" fontId="22" fillId="0" borderId="6" xfId="22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 wrapText="1"/>
    </xf>
    <xf numFmtId="178" fontId="26" fillId="0" borderId="7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left" wrapText="1"/>
    </xf>
    <xf numFmtId="0" fontId="12" fillId="0" borderId="7" xfId="0" applyNumberFormat="1" applyFont="1" applyFill="1" applyBorder="1" applyAlignment="1">
      <alignment horizontal="left" wrapText="1"/>
    </xf>
    <xf numFmtId="0" fontId="27" fillId="0" borderId="6" xfId="0" applyNumberFormat="1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left" wrapText="1"/>
    </xf>
    <xf numFmtId="0" fontId="12" fillId="0" borderId="11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justify"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3" borderId="6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0" xfId="0" applyFill="1">
      <alignment vertical="center"/>
    </xf>
    <xf numFmtId="0" fontId="0" fillId="0" borderId="18" xfId="0" applyBorder="1">
      <alignment vertical="center"/>
    </xf>
    <xf numFmtId="0" fontId="0" fillId="4" borderId="18" xfId="0" applyFill="1" applyBorder="1">
      <alignment vertical="center"/>
    </xf>
    <xf numFmtId="0" fontId="0" fillId="0" borderId="19" xfId="0" applyBorder="1">
      <alignment vertical="center"/>
    </xf>
    <xf numFmtId="0" fontId="0" fillId="4" borderId="20" xfId="0" applyFill="1" applyBorder="1">
      <alignment vertical="center"/>
    </xf>
    <xf numFmtId="0" fontId="0" fillId="0" borderId="20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28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</row>
    <row r="3" spans="1:28">
      <c r="A3" s="129" t="s">
        <v>29</v>
      </c>
      <c r="B3" s="129" t="s">
        <v>30</v>
      </c>
      <c r="C3" s="129"/>
      <c r="D3" s="129"/>
      <c r="E3" s="129"/>
      <c r="F3" s="129"/>
      <c r="G3" s="129">
        <v>1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>
        <f>SUM(E3:AA3)</f>
        <v>1</v>
      </c>
    </row>
    <row r="4" spans="1:28">
      <c r="A4" s="129" t="s">
        <v>31</v>
      </c>
      <c r="B4" s="129" t="s">
        <v>32</v>
      </c>
      <c r="C4" s="129"/>
      <c r="D4" s="129"/>
      <c r="E4" s="129">
        <v>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ref="AB4:AB67" si="0">SUM(E4:AA4)</f>
        <v>1</v>
      </c>
    </row>
    <row r="5" spans="1:28">
      <c r="A5" s="129" t="s">
        <v>33</v>
      </c>
      <c r="B5" s="129" t="s">
        <v>34</v>
      </c>
      <c r="C5" s="129"/>
      <c r="D5" s="129"/>
      <c r="E5" s="129">
        <v>1</v>
      </c>
      <c r="F5" s="129">
        <v>1</v>
      </c>
      <c r="G5" s="129">
        <v>1</v>
      </c>
      <c r="H5" s="129">
        <v>2</v>
      </c>
      <c r="I5" s="129">
        <v>2</v>
      </c>
      <c r="J5" s="129">
        <v>2</v>
      </c>
      <c r="K5" s="129">
        <v>2</v>
      </c>
      <c r="L5" s="129">
        <v>2</v>
      </c>
      <c r="M5" s="129">
        <v>2</v>
      </c>
      <c r="N5" s="129">
        <v>2</v>
      </c>
      <c r="O5" s="129">
        <v>2</v>
      </c>
      <c r="P5" s="129">
        <v>2</v>
      </c>
      <c r="Q5" s="129">
        <v>2</v>
      </c>
      <c r="R5" s="129">
        <v>2</v>
      </c>
      <c r="S5" s="129">
        <v>2</v>
      </c>
      <c r="T5" s="129">
        <v>2</v>
      </c>
      <c r="U5" s="129">
        <v>2</v>
      </c>
      <c r="V5" s="129">
        <v>2</v>
      </c>
      <c r="W5" s="129">
        <v>2</v>
      </c>
      <c r="X5" s="129">
        <v>2</v>
      </c>
      <c r="Y5" s="129">
        <v>2</v>
      </c>
      <c r="Z5" s="129">
        <v>2</v>
      </c>
      <c r="AA5" s="129">
        <v>1</v>
      </c>
      <c r="AB5" s="129">
        <f t="shared" si="0"/>
        <v>42</v>
      </c>
    </row>
    <row r="6" spans="1:28">
      <c r="A6" s="129" t="s">
        <v>35</v>
      </c>
      <c r="B6" s="129" t="s">
        <v>36</v>
      </c>
      <c r="C6" s="129"/>
      <c r="D6" s="129"/>
      <c r="E6" s="129">
        <v>1</v>
      </c>
      <c r="F6" s="129">
        <v>1</v>
      </c>
      <c r="G6" s="129">
        <v>1</v>
      </c>
      <c r="H6" s="129"/>
      <c r="I6" s="129">
        <v>1</v>
      </c>
      <c r="J6" s="129">
        <v>1</v>
      </c>
      <c r="K6" s="129">
        <v>1</v>
      </c>
      <c r="L6" s="129">
        <v>1</v>
      </c>
      <c r="M6" s="129">
        <v>1</v>
      </c>
      <c r="N6" s="129">
        <v>1</v>
      </c>
      <c r="O6" s="129">
        <v>1</v>
      </c>
      <c r="P6" s="129">
        <v>1</v>
      </c>
      <c r="Q6" s="129">
        <v>1</v>
      </c>
      <c r="R6" s="129">
        <v>1</v>
      </c>
      <c r="S6" s="129">
        <v>1</v>
      </c>
      <c r="T6" s="129">
        <v>1</v>
      </c>
      <c r="U6" s="129">
        <v>1</v>
      </c>
      <c r="V6" s="129">
        <v>1</v>
      </c>
      <c r="W6" s="129">
        <v>1</v>
      </c>
      <c r="X6" s="129">
        <v>1</v>
      </c>
      <c r="Y6" s="129">
        <v>1</v>
      </c>
      <c r="Z6" s="129">
        <v>1</v>
      </c>
      <c r="AA6" s="129"/>
      <c r="AB6" s="129">
        <f t="shared" si="0"/>
        <v>21</v>
      </c>
    </row>
    <row r="7" spans="1:28">
      <c r="A7" s="129" t="s">
        <v>37</v>
      </c>
      <c r="B7" s="129" t="s">
        <v>38</v>
      </c>
      <c r="C7" s="129"/>
      <c r="D7" s="129"/>
      <c r="E7" s="129">
        <v>1</v>
      </c>
      <c r="F7" s="129">
        <v>1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2</v>
      </c>
    </row>
    <row r="8" spans="1:28">
      <c r="A8" s="129" t="s">
        <v>39</v>
      </c>
      <c r="B8" s="129" t="s">
        <v>40</v>
      </c>
      <c r="C8" s="129"/>
      <c r="D8" s="129"/>
      <c r="E8" s="129">
        <v>1</v>
      </c>
      <c r="F8" s="129"/>
      <c r="G8" s="129">
        <v>4</v>
      </c>
      <c r="H8" s="129">
        <v>2</v>
      </c>
      <c r="I8" s="129">
        <v>2</v>
      </c>
      <c r="J8" s="129">
        <v>2</v>
      </c>
      <c r="K8" s="129">
        <v>2</v>
      </c>
      <c r="L8" s="129">
        <v>2</v>
      </c>
      <c r="M8" s="129">
        <v>2</v>
      </c>
      <c r="N8" s="129">
        <v>2</v>
      </c>
      <c r="O8" s="129">
        <v>2</v>
      </c>
      <c r="P8" s="129">
        <v>2</v>
      </c>
      <c r="Q8" s="129">
        <v>2</v>
      </c>
      <c r="R8" s="129">
        <v>2</v>
      </c>
      <c r="S8" s="129">
        <v>2</v>
      </c>
      <c r="T8" s="129">
        <v>2</v>
      </c>
      <c r="U8" s="129">
        <v>2</v>
      </c>
      <c r="V8" s="129">
        <v>2</v>
      </c>
      <c r="W8" s="129">
        <v>2</v>
      </c>
      <c r="X8" s="129">
        <v>2</v>
      </c>
      <c r="Y8" s="129">
        <v>2</v>
      </c>
      <c r="Z8" s="129">
        <v>2</v>
      </c>
      <c r="AA8" s="129"/>
      <c r="AB8" s="129">
        <f t="shared" si="0"/>
        <v>43</v>
      </c>
    </row>
    <row r="9" spans="1:28">
      <c r="A9" s="129" t="s">
        <v>41</v>
      </c>
      <c r="B9" s="129" t="s">
        <v>42</v>
      </c>
      <c r="C9" s="129"/>
      <c r="D9" s="129"/>
      <c r="E9" s="129"/>
      <c r="F9" s="129">
        <v>1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1</v>
      </c>
    </row>
    <row r="10" spans="1:28">
      <c r="A10" s="129" t="s">
        <v>43</v>
      </c>
      <c r="B10" s="129" t="s">
        <v>44</v>
      </c>
      <c r="C10" s="129"/>
      <c r="D10" s="129"/>
      <c r="E10" s="129"/>
      <c r="F10" s="129">
        <v>2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2</v>
      </c>
    </row>
    <row r="11" spans="1:28">
      <c r="A11" s="129" t="s">
        <v>45</v>
      </c>
      <c r="B11" s="129" t="s">
        <v>46</v>
      </c>
      <c r="C11" s="129"/>
      <c r="D11" s="129"/>
      <c r="E11" s="129"/>
      <c r="F11" s="129">
        <v>2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2</v>
      </c>
    </row>
    <row r="12" spans="1:28">
      <c r="A12" s="129" t="s">
        <v>47</v>
      </c>
      <c r="B12" s="129" t="s">
        <v>48</v>
      </c>
      <c r="C12" s="129"/>
      <c r="D12" s="129"/>
      <c r="E12" s="129"/>
      <c r="F12" s="129">
        <v>4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4</v>
      </c>
    </row>
    <row r="13" spans="1:28">
      <c r="A13" s="129" t="s">
        <v>49</v>
      </c>
      <c r="B13" s="129" t="s">
        <v>50</v>
      </c>
      <c r="C13" s="129"/>
      <c r="D13" s="129"/>
      <c r="E13" s="129"/>
      <c r="F13" s="129">
        <v>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1</v>
      </c>
    </row>
    <row r="14" spans="1:28">
      <c r="A14" s="129" t="s">
        <v>51</v>
      </c>
      <c r="B14" s="129" t="s">
        <v>52</v>
      </c>
      <c r="C14" s="129"/>
      <c r="D14" s="129"/>
      <c r="E14" s="129"/>
      <c r="F14" s="129">
        <v>1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>
        <f t="shared" si="0"/>
        <v>1</v>
      </c>
    </row>
    <row r="15" spans="1:28">
      <c r="A15" s="129" t="s">
        <v>53</v>
      </c>
      <c r="B15" s="129" t="s">
        <v>54</v>
      </c>
      <c r="C15" s="129"/>
      <c r="D15" s="129"/>
      <c r="E15" s="129"/>
      <c r="F15" s="129">
        <v>1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1</v>
      </c>
    </row>
    <row r="16" spans="1:28">
      <c r="A16" s="129" t="s">
        <v>55</v>
      </c>
      <c r="B16" s="129" t="s">
        <v>56</v>
      </c>
      <c r="C16" s="129"/>
      <c r="D16" s="129"/>
      <c r="E16" s="129"/>
      <c r="F16" s="129">
        <v>1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1</v>
      </c>
    </row>
    <row r="17" spans="1:28">
      <c r="A17" s="129" t="s">
        <v>57</v>
      </c>
      <c r="B17" s="129" t="s">
        <v>58</v>
      </c>
      <c r="C17" s="129"/>
      <c r="D17" s="129"/>
      <c r="E17" s="129"/>
      <c r="F17" s="129">
        <v>2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>
        <f t="shared" si="0"/>
        <v>2</v>
      </c>
    </row>
    <row r="18" spans="1:28">
      <c r="A18" s="129" t="s">
        <v>59</v>
      </c>
      <c r="B18" s="129" t="s">
        <v>60</v>
      </c>
      <c r="C18" s="129"/>
      <c r="D18" s="129"/>
      <c r="E18" s="129"/>
      <c r="F18" s="129">
        <v>1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1</v>
      </c>
    </row>
    <row r="19" spans="1:28">
      <c r="A19" s="129" t="s">
        <v>61</v>
      </c>
      <c r="B19" s="129" t="s">
        <v>62</v>
      </c>
      <c r="C19" s="129"/>
      <c r="D19" s="129"/>
      <c r="E19" s="129"/>
      <c r="F19" s="129">
        <v>1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>
        <f t="shared" si="0"/>
        <v>1</v>
      </c>
    </row>
    <row r="20" spans="1:28">
      <c r="A20" s="129" t="s">
        <v>63</v>
      </c>
      <c r="B20" s="129" t="s">
        <v>64</v>
      </c>
      <c r="C20" s="129"/>
      <c r="D20" s="129"/>
      <c r="E20" s="129"/>
      <c r="F20" s="129">
        <v>1</v>
      </c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1</v>
      </c>
    </row>
    <row r="21" spans="1:28">
      <c r="A21" s="129" t="s">
        <v>65</v>
      </c>
      <c r="B21" s="129" t="s">
        <v>66</v>
      </c>
      <c r="C21" s="129"/>
      <c r="D21" s="129"/>
      <c r="E21" s="129"/>
      <c r="F21" s="129">
        <v>7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>
        <f t="shared" si="0"/>
        <v>7</v>
      </c>
    </row>
    <row r="22" spans="1:28">
      <c r="A22" s="129" t="s">
        <v>67</v>
      </c>
      <c r="B22" s="129" t="s">
        <v>68</v>
      </c>
      <c r="C22" s="129"/>
      <c r="D22" s="129"/>
      <c r="E22" s="129"/>
      <c r="F22" s="129">
        <v>1</v>
      </c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1</v>
      </c>
    </row>
    <row r="23" spans="1:28">
      <c r="A23" s="129" t="s">
        <v>69</v>
      </c>
      <c r="B23" s="129" t="s">
        <v>70</v>
      </c>
      <c r="C23" s="129"/>
      <c r="D23" s="129"/>
      <c r="E23" s="129"/>
      <c r="F23" s="129">
        <v>6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6</v>
      </c>
    </row>
    <row r="24" spans="1:28">
      <c r="A24" s="129" t="s">
        <v>71</v>
      </c>
      <c r="B24" s="129" t="s">
        <v>72</v>
      </c>
      <c r="C24" s="129"/>
      <c r="D24" s="129"/>
      <c r="E24" s="129"/>
      <c r="F24" s="129">
        <v>4</v>
      </c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4</v>
      </c>
    </row>
    <row r="25" spans="1:28">
      <c r="A25" s="129" t="s">
        <v>73</v>
      </c>
      <c r="B25" s="129" t="s">
        <v>74</v>
      </c>
      <c r="C25" s="129"/>
      <c r="D25" s="129"/>
      <c r="E25" s="129"/>
      <c r="F25" s="129">
        <v>1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>
        <f t="shared" si="0"/>
        <v>1</v>
      </c>
    </row>
    <row r="26" spans="1:28">
      <c r="A26" s="129" t="s">
        <v>75</v>
      </c>
      <c r="B26" s="129" t="s">
        <v>76</v>
      </c>
      <c r="C26" s="129"/>
      <c r="D26" s="129"/>
      <c r="E26" s="129"/>
      <c r="F26" s="129">
        <v>1</v>
      </c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1</v>
      </c>
    </row>
    <row r="27" spans="1:28">
      <c r="A27" s="129" t="s">
        <v>77</v>
      </c>
      <c r="B27" s="129" t="s">
        <v>78</v>
      </c>
      <c r="C27" s="129"/>
      <c r="D27" s="129"/>
      <c r="E27" s="129"/>
      <c r="F27" s="129">
        <v>1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1</v>
      </c>
    </row>
    <row r="28" spans="1:28">
      <c r="A28" s="129" t="s">
        <v>79</v>
      </c>
      <c r="B28" s="129" t="s">
        <v>80</v>
      </c>
      <c r="C28" s="129"/>
      <c r="D28" s="129"/>
      <c r="E28" s="129"/>
      <c r="F28" s="129">
        <v>1</v>
      </c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</row>
    <row r="29" spans="1:28">
      <c r="A29" s="129" t="s">
        <v>81</v>
      </c>
      <c r="B29" s="129" t="s">
        <v>82</v>
      </c>
      <c r="C29" s="129"/>
      <c r="D29" s="129"/>
      <c r="E29" s="129"/>
      <c r="F29" s="129">
        <v>1</v>
      </c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>
        <f t="shared" si="0"/>
        <v>1</v>
      </c>
    </row>
    <row r="30" spans="1:28">
      <c r="A30" s="129" t="s">
        <v>83</v>
      </c>
      <c r="B30" s="129" t="s">
        <v>84</v>
      </c>
      <c r="C30" s="129"/>
      <c r="D30" s="129"/>
      <c r="E30" s="129"/>
      <c r="F30" s="129">
        <v>1</v>
      </c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1</v>
      </c>
    </row>
    <row r="31" spans="1:28">
      <c r="A31" s="129" t="s">
        <v>85</v>
      </c>
      <c r="B31" s="129" t="s">
        <v>86</v>
      </c>
      <c r="C31" s="129"/>
      <c r="D31" s="129"/>
      <c r="E31" s="129"/>
      <c r="F31" s="129">
        <v>1</v>
      </c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si="0"/>
        <v>1</v>
      </c>
    </row>
    <row r="32" spans="1:28">
      <c r="A32" s="129" t="s">
        <v>87</v>
      </c>
      <c r="B32" s="129" t="s">
        <v>88</v>
      </c>
      <c r="C32" s="129"/>
      <c r="D32" s="129"/>
      <c r="E32" s="129"/>
      <c r="F32" s="129"/>
      <c r="G32" s="129">
        <v>2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0"/>
        <v>2</v>
      </c>
    </row>
    <row r="33" spans="1:28">
      <c r="A33" s="129" t="s">
        <v>89</v>
      </c>
      <c r="B33" s="129" t="s">
        <v>90</v>
      </c>
      <c r="C33" s="129"/>
      <c r="D33" s="129"/>
      <c r="E33" s="129"/>
      <c r="F33" s="129"/>
      <c r="G33" s="129">
        <v>3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>
        <f t="shared" si="0"/>
        <v>3</v>
      </c>
    </row>
    <row r="34" spans="1:28">
      <c r="A34" s="129" t="s">
        <v>91</v>
      </c>
      <c r="B34" s="129" t="s">
        <v>92</v>
      </c>
      <c r="C34" s="129"/>
      <c r="D34" s="129"/>
      <c r="E34" s="129"/>
      <c r="F34" s="129"/>
      <c r="G34" s="129">
        <v>1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>
        <f t="shared" si="0"/>
        <v>1</v>
      </c>
    </row>
    <row r="35" spans="1:28">
      <c r="A35" s="129" t="s">
        <v>93</v>
      </c>
      <c r="B35" s="129" t="s">
        <v>94</v>
      </c>
      <c r="C35" s="129"/>
      <c r="D35" s="129"/>
      <c r="E35" s="129"/>
      <c r="F35" s="129"/>
      <c r="G35" s="129">
        <v>1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>
        <f t="shared" si="0"/>
        <v>1</v>
      </c>
    </row>
    <row r="36" spans="1:28">
      <c r="A36" s="129" t="s">
        <v>95</v>
      </c>
      <c r="B36" s="129" t="s">
        <v>96</v>
      </c>
      <c r="C36" s="129"/>
      <c r="D36" s="129"/>
      <c r="E36" s="129"/>
      <c r="F36" s="129"/>
      <c r="G36" s="129">
        <v>1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0"/>
        <v>1</v>
      </c>
    </row>
    <row r="37" spans="1:28">
      <c r="A37" s="129" t="s">
        <v>97</v>
      </c>
      <c r="B37" s="129" t="s">
        <v>98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0"/>
        <v>1</v>
      </c>
    </row>
    <row r="38" spans="1:28">
      <c r="A38" s="129" t="s">
        <v>99</v>
      </c>
      <c r="B38" s="129" t="s">
        <v>100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0"/>
        <v>1</v>
      </c>
    </row>
    <row r="39" spans="1:28">
      <c r="A39" s="129" t="s">
        <v>101</v>
      </c>
      <c r="B39" s="129" t="s">
        <v>102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0"/>
        <v>1</v>
      </c>
    </row>
    <row r="40" spans="1:28">
      <c r="A40" s="129" t="s">
        <v>103</v>
      </c>
      <c r="B40" s="129" t="s">
        <v>104</v>
      </c>
      <c r="C40" s="129"/>
      <c r="D40" s="129"/>
      <c r="E40" s="129"/>
      <c r="F40" s="129"/>
      <c r="G40" s="129">
        <v>1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>
        <f t="shared" si="0"/>
        <v>1</v>
      </c>
    </row>
    <row r="41" spans="1:28">
      <c r="A41" s="129" t="s">
        <v>105</v>
      </c>
      <c r="B41" s="129" t="s">
        <v>106</v>
      </c>
      <c r="C41" s="129"/>
      <c r="D41" s="129"/>
      <c r="E41" s="129"/>
      <c r="F41" s="129"/>
      <c r="G41" s="129">
        <v>1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>
        <f t="shared" si="0"/>
        <v>1</v>
      </c>
    </row>
    <row r="42" spans="1:28">
      <c r="A42" s="129" t="s">
        <v>107</v>
      </c>
      <c r="B42" s="129" t="s">
        <v>108</v>
      </c>
      <c r="C42" s="129"/>
      <c r="D42" s="129"/>
      <c r="E42" s="129"/>
      <c r="F42" s="129"/>
      <c r="G42" s="129">
        <v>1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>
        <f t="shared" si="0"/>
        <v>1</v>
      </c>
    </row>
    <row r="43" spans="1:28">
      <c r="A43" s="129" t="s">
        <v>109</v>
      </c>
      <c r="B43" s="129" t="s">
        <v>110</v>
      </c>
      <c r="C43" s="129"/>
      <c r="D43" s="129"/>
      <c r="E43" s="129"/>
      <c r="F43" s="129"/>
      <c r="G43" s="129">
        <v>1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>
        <f t="shared" si="0"/>
        <v>1</v>
      </c>
    </row>
    <row r="44" spans="1:28">
      <c r="A44" s="129" t="s">
        <v>111</v>
      </c>
      <c r="B44" s="129" t="s">
        <v>112</v>
      </c>
      <c r="C44" s="129"/>
      <c r="D44" s="129"/>
      <c r="E44" s="129"/>
      <c r="F44" s="129"/>
      <c r="G44" s="129">
        <v>1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>
        <f t="shared" si="0"/>
        <v>1</v>
      </c>
    </row>
    <row r="45" spans="1:28">
      <c r="A45" s="129" t="s">
        <v>113</v>
      </c>
      <c r="B45" s="129" t="s">
        <v>114</v>
      </c>
      <c r="C45" s="129"/>
      <c r="D45" s="129"/>
      <c r="E45" s="129"/>
      <c r="F45" s="129"/>
      <c r="G45" s="129">
        <v>6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>
        <f t="shared" si="0"/>
        <v>6</v>
      </c>
    </row>
    <row r="46" spans="1:28">
      <c r="A46" s="129" t="s">
        <v>115</v>
      </c>
      <c r="B46" s="129" t="s">
        <v>116</v>
      </c>
      <c r="C46" s="129"/>
      <c r="D46" s="129"/>
      <c r="E46" s="129"/>
      <c r="F46" s="129"/>
      <c r="G46" s="129">
        <v>1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>
        <f t="shared" si="0"/>
        <v>1</v>
      </c>
    </row>
    <row r="47" spans="1:28">
      <c r="A47" s="129" t="s">
        <v>117</v>
      </c>
      <c r="B47" s="131" t="s">
        <v>118</v>
      </c>
      <c r="C47" s="129"/>
      <c r="D47" s="129"/>
      <c r="E47" s="129"/>
      <c r="F47" s="129"/>
      <c r="G47" s="129">
        <v>1</v>
      </c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>
        <f t="shared" si="0"/>
        <v>1</v>
      </c>
    </row>
    <row r="48" spans="1:28">
      <c r="A48" s="129" t="s">
        <v>119</v>
      </c>
      <c r="B48" s="129" t="s">
        <v>120</v>
      </c>
      <c r="C48" s="129"/>
      <c r="D48" s="129"/>
      <c r="E48" s="129"/>
      <c r="F48" s="129"/>
      <c r="G48" s="129">
        <v>4</v>
      </c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>
        <f t="shared" si="0"/>
        <v>4</v>
      </c>
    </row>
    <row r="49" spans="1:28">
      <c r="A49" s="129" t="s">
        <v>121</v>
      </c>
      <c r="B49" s="129" t="s">
        <v>122</v>
      </c>
      <c r="C49" s="129"/>
      <c r="D49" s="129"/>
      <c r="E49" s="129"/>
      <c r="F49" s="129"/>
      <c r="G49" s="129">
        <v>1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>
        <f t="shared" si="0"/>
        <v>1</v>
      </c>
    </row>
    <row r="50" spans="1:28">
      <c r="A50" s="129" t="s">
        <v>123</v>
      </c>
      <c r="B50" s="129" t="s">
        <v>124</v>
      </c>
      <c r="C50" s="129"/>
      <c r="D50" s="129"/>
      <c r="E50" s="129"/>
      <c r="F50" s="129"/>
      <c r="G50" s="129">
        <v>1</v>
      </c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>
        <f t="shared" si="0"/>
        <v>1</v>
      </c>
    </row>
    <row r="51" spans="1:28">
      <c r="A51" s="129" t="s">
        <v>125</v>
      </c>
      <c r="B51" s="129" t="s">
        <v>126</v>
      </c>
      <c r="C51" s="129"/>
      <c r="D51" s="129"/>
      <c r="E51" s="129"/>
      <c r="F51" s="129"/>
      <c r="G51" s="129">
        <v>1</v>
      </c>
      <c r="H51" s="129">
        <v>2</v>
      </c>
      <c r="I51" s="129">
        <v>2</v>
      </c>
      <c r="J51" s="129">
        <v>2</v>
      </c>
      <c r="K51" s="129">
        <v>2</v>
      </c>
      <c r="L51" s="129">
        <v>2</v>
      </c>
      <c r="M51" s="129">
        <v>2</v>
      </c>
      <c r="N51" s="129">
        <v>2</v>
      </c>
      <c r="O51" s="129">
        <v>2</v>
      </c>
      <c r="P51" s="129">
        <v>2</v>
      </c>
      <c r="Q51" s="129">
        <v>2</v>
      </c>
      <c r="R51" s="129">
        <v>2</v>
      </c>
      <c r="S51" s="129">
        <v>2</v>
      </c>
      <c r="T51" s="129">
        <v>2</v>
      </c>
      <c r="U51" s="129">
        <v>2</v>
      </c>
      <c r="V51" s="129">
        <v>2</v>
      </c>
      <c r="W51" s="129">
        <v>2</v>
      </c>
      <c r="X51" s="129">
        <v>2</v>
      </c>
      <c r="Y51" s="129">
        <v>2</v>
      </c>
      <c r="Z51" s="129">
        <v>2</v>
      </c>
      <c r="AA51" s="129">
        <v>2</v>
      </c>
      <c r="AB51" s="129">
        <f t="shared" si="0"/>
        <v>41</v>
      </c>
    </row>
    <row r="52" spans="1:28">
      <c r="A52" s="129" t="s">
        <v>127</v>
      </c>
      <c r="B52" s="129" t="s">
        <v>128</v>
      </c>
      <c r="C52" s="129"/>
      <c r="D52" s="129"/>
      <c r="E52" s="129"/>
      <c r="F52" s="129"/>
      <c r="G52" s="129">
        <v>1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>
        <f t="shared" si="0"/>
        <v>1</v>
      </c>
    </row>
    <row r="53" spans="1:28">
      <c r="A53" s="129" t="s">
        <v>129</v>
      </c>
      <c r="B53" s="129" t="s">
        <v>130</v>
      </c>
      <c r="C53" s="129"/>
      <c r="D53" s="129"/>
      <c r="E53" s="129"/>
      <c r="F53" s="129"/>
      <c r="G53" s="129">
        <v>1</v>
      </c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>
        <f t="shared" si="0"/>
        <v>1</v>
      </c>
    </row>
    <row r="54" spans="1:28">
      <c r="A54" s="129" t="s">
        <v>131</v>
      </c>
      <c r="B54" s="129" t="s">
        <v>132</v>
      </c>
      <c r="C54" s="129"/>
      <c r="D54" s="129"/>
      <c r="E54" s="129"/>
      <c r="F54" s="129"/>
      <c r="G54" s="129">
        <v>1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>
        <f t="shared" si="0"/>
        <v>1</v>
      </c>
    </row>
    <row r="55" spans="1:28">
      <c r="A55" s="129" t="s">
        <v>133</v>
      </c>
      <c r="B55" s="130" t="s">
        <v>134</v>
      </c>
      <c r="C55" s="130"/>
      <c r="D55" s="130"/>
      <c r="E55" s="130"/>
      <c r="F55" s="130"/>
      <c r="G55" s="130">
        <v>1</v>
      </c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29">
        <f t="shared" si="0"/>
        <v>1</v>
      </c>
    </row>
    <row r="56" spans="1:28">
      <c r="A56" s="134" t="s">
        <v>135</v>
      </c>
      <c r="B56" s="129" t="s">
        <v>136</v>
      </c>
      <c r="C56" s="129"/>
      <c r="D56" s="129"/>
      <c r="E56" s="129"/>
      <c r="F56" s="129"/>
      <c r="G56" s="129">
        <v>2</v>
      </c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>
        <f t="shared" si="0"/>
        <v>2</v>
      </c>
    </row>
    <row r="57" spans="1:28">
      <c r="A57" s="134" t="s">
        <v>137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>
        <f t="shared" si="0"/>
        <v>0</v>
      </c>
    </row>
    <row r="58" spans="1:28">
      <c r="A58" s="134" t="s">
        <v>138</v>
      </c>
      <c r="B58" s="129" t="s">
        <v>139</v>
      </c>
      <c r="C58" s="129"/>
      <c r="D58" s="129"/>
      <c r="E58" s="129"/>
      <c r="F58" s="129"/>
      <c r="G58" s="129">
        <v>1</v>
      </c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>
        <f t="shared" si="0"/>
        <v>1</v>
      </c>
    </row>
    <row r="59" spans="1:28">
      <c r="A59" s="134" t="s">
        <v>140</v>
      </c>
      <c r="B59" s="129" t="s">
        <v>141</v>
      </c>
      <c r="C59" s="129"/>
      <c r="D59" s="129"/>
      <c r="E59" s="129"/>
      <c r="F59" s="129"/>
      <c r="G59" s="129"/>
      <c r="H59" s="129">
        <v>1</v>
      </c>
      <c r="I59" s="129">
        <v>1</v>
      </c>
      <c r="J59" s="129">
        <v>1</v>
      </c>
      <c r="K59" s="129">
        <v>1</v>
      </c>
      <c r="L59" s="129">
        <v>1</v>
      </c>
      <c r="M59" s="129">
        <v>1</v>
      </c>
      <c r="N59" s="129">
        <v>1</v>
      </c>
      <c r="O59" s="129">
        <v>1</v>
      </c>
      <c r="P59" s="129">
        <v>1</v>
      </c>
      <c r="Q59" s="129">
        <v>1</v>
      </c>
      <c r="R59" s="129">
        <v>1</v>
      </c>
      <c r="S59" s="129">
        <v>1</v>
      </c>
      <c r="T59" s="129">
        <v>1</v>
      </c>
      <c r="U59" s="129">
        <v>1</v>
      </c>
      <c r="V59" s="129">
        <v>1</v>
      </c>
      <c r="W59" s="129">
        <v>1</v>
      </c>
      <c r="X59" s="129">
        <v>1</v>
      </c>
      <c r="Y59" s="129">
        <v>1</v>
      </c>
      <c r="Z59" s="129">
        <v>1</v>
      </c>
      <c r="AA59" s="129"/>
      <c r="AB59" s="129">
        <f t="shared" si="0"/>
        <v>19</v>
      </c>
    </row>
    <row r="60" spans="1:28">
      <c r="A60" s="134" t="s">
        <v>142</v>
      </c>
      <c r="B60" s="129" t="s">
        <v>143</v>
      </c>
      <c r="C60" s="129"/>
      <c r="D60" s="129"/>
      <c r="E60" s="129"/>
      <c r="F60" s="129"/>
      <c r="G60" s="129"/>
      <c r="H60" s="129">
        <v>1</v>
      </c>
      <c r="I60" s="129">
        <v>1</v>
      </c>
      <c r="J60" s="129">
        <v>1</v>
      </c>
      <c r="K60" s="129">
        <v>1</v>
      </c>
      <c r="L60" s="129">
        <v>1</v>
      </c>
      <c r="M60" s="129">
        <v>1</v>
      </c>
      <c r="N60" s="129">
        <v>1</v>
      </c>
      <c r="O60" s="129">
        <v>1</v>
      </c>
      <c r="P60" s="129">
        <v>1</v>
      </c>
      <c r="Q60" s="129">
        <v>1</v>
      </c>
      <c r="R60" s="129">
        <v>1</v>
      </c>
      <c r="S60" s="129">
        <v>1</v>
      </c>
      <c r="T60" s="129">
        <v>1</v>
      </c>
      <c r="U60" s="129">
        <v>1</v>
      </c>
      <c r="V60" s="129">
        <v>1</v>
      </c>
      <c r="W60" s="129">
        <v>1</v>
      </c>
      <c r="X60" s="129">
        <v>1</v>
      </c>
      <c r="Y60" s="129">
        <v>1</v>
      </c>
      <c r="Z60" s="129">
        <v>1</v>
      </c>
      <c r="AA60" s="129"/>
      <c r="AB60" s="129">
        <f t="shared" si="0"/>
        <v>19</v>
      </c>
    </row>
    <row r="61" spans="1:28">
      <c r="A61" s="134" t="s">
        <v>144</v>
      </c>
      <c r="B61" s="129" t="s">
        <v>145</v>
      </c>
      <c r="C61" s="129"/>
      <c r="D61" s="129"/>
      <c r="E61" s="129"/>
      <c r="F61" s="129"/>
      <c r="G61" s="129"/>
      <c r="H61" s="129">
        <v>4</v>
      </c>
      <c r="I61" s="129">
        <v>4</v>
      </c>
      <c r="J61" s="129">
        <v>4</v>
      </c>
      <c r="K61" s="129">
        <v>4</v>
      </c>
      <c r="L61" s="129">
        <v>4</v>
      </c>
      <c r="M61" s="129">
        <v>4</v>
      </c>
      <c r="N61" s="129">
        <v>4</v>
      </c>
      <c r="O61" s="129">
        <v>4</v>
      </c>
      <c r="P61" s="129">
        <v>4</v>
      </c>
      <c r="Q61" s="129">
        <v>4</v>
      </c>
      <c r="R61" s="129">
        <v>4</v>
      </c>
      <c r="S61" s="129">
        <v>4</v>
      </c>
      <c r="T61" s="129">
        <v>4</v>
      </c>
      <c r="U61" s="129">
        <v>4</v>
      </c>
      <c r="V61" s="129">
        <v>4</v>
      </c>
      <c r="W61" s="129">
        <v>4</v>
      </c>
      <c r="X61" s="129">
        <v>4</v>
      </c>
      <c r="Y61" s="129">
        <v>4</v>
      </c>
      <c r="Z61" s="129">
        <v>4</v>
      </c>
      <c r="AA61" s="129"/>
      <c r="AB61" s="129">
        <f t="shared" si="0"/>
        <v>76</v>
      </c>
    </row>
    <row r="62" spans="1:28">
      <c r="A62" s="134" t="s">
        <v>146</v>
      </c>
      <c r="B62" s="129" t="s">
        <v>147</v>
      </c>
      <c r="C62" s="129"/>
      <c r="D62" s="129"/>
      <c r="E62" s="129"/>
      <c r="F62" s="129"/>
      <c r="G62" s="129"/>
      <c r="H62" s="129">
        <v>3</v>
      </c>
      <c r="I62" s="129">
        <v>3</v>
      </c>
      <c r="J62" s="129">
        <v>3</v>
      </c>
      <c r="K62" s="129">
        <v>3</v>
      </c>
      <c r="L62" s="129">
        <v>3</v>
      </c>
      <c r="M62" s="129">
        <v>3</v>
      </c>
      <c r="N62" s="129">
        <v>3</v>
      </c>
      <c r="O62" s="129">
        <v>3</v>
      </c>
      <c r="P62" s="129">
        <v>3</v>
      </c>
      <c r="Q62" s="129">
        <v>3</v>
      </c>
      <c r="R62" s="129">
        <v>3</v>
      </c>
      <c r="S62" s="129">
        <v>3</v>
      </c>
      <c r="T62" s="129">
        <v>3</v>
      </c>
      <c r="U62" s="129">
        <v>3</v>
      </c>
      <c r="V62" s="129">
        <v>3</v>
      </c>
      <c r="W62" s="129">
        <v>3</v>
      </c>
      <c r="X62" s="129">
        <v>3</v>
      </c>
      <c r="Y62" s="129">
        <v>3</v>
      </c>
      <c r="Z62" s="129">
        <v>3</v>
      </c>
      <c r="AA62" s="129"/>
      <c r="AB62" s="129">
        <f t="shared" si="0"/>
        <v>57</v>
      </c>
    </row>
    <row r="63" spans="1:28">
      <c r="A63" s="134" t="s">
        <v>148</v>
      </c>
      <c r="B63" s="129" t="s">
        <v>149</v>
      </c>
      <c r="C63" s="129"/>
      <c r="D63" s="129"/>
      <c r="E63" s="129"/>
      <c r="F63" s="129"/>
      <c r="G63" s="129"/>
      <c r="H63" s="129">
        <v>6</v>
      </c>
      <c r="I63" s="129">
        <v>6</v>
      </c>
      <c r="J63" s="129">
        <v>6</v>
      </c>
      <c r="K63" s="129">
        <v>6</v>
      </c>
      <c r="L63" s="129">
        <v>6</v>
      </c>
      <c r="M63" s="129">
        <v>6</v>
      </c>
      <c r="N63" s="129">
        <v>6</v>
      </c>
      <c r="O63" s="129">
        <v>6</v>
      </c>
      <c r="P63" s="129">
        <v>6</v>
      </c>
      <c r="Q63" s="129">
        <v>6</v>
      </c>
      <c r="R63" s="129">
        <v>6</v>
      </c>
      <c r="S63" s="129">
        <v>6</v>
      </c>
      <c r="T63" s="129">
        <v>6</v>
      </c>
      <c r="U63" s="129">
        <v>6</v>
      </c>
      <c r="V63" s="129">
        <v>6</v>
      </c>
      <c r="W63" s="129">
        <v>6</v>
      </c>
      <c r="X63" s="129">
        <v>6</v>
      </c>
      <c r="Y63" s="129">
        <v>6</v>
      </c>
      <c r="Z63" s="129">
        <v>6</v>
      </c>
      <c r="AA63" s="129"/>
      <c r="AB63" s="129">
        <f t="shared" si="0"/>
        <v>114</v>
      </c>
    </row>
    <row r="64" spans="1:28">
      <c r="A64" s="134" t="s">
        <v>150</v>
      </c>
      <c r="B64" s="129" t="s">
        <v>151</v>
      </c>
      <c r="C64" s="129"/>
      <c r="D64" s="129"/>
      <c r="E64" s="129"/>
      <c r="F64" s="129"/>
      <c r="G64" s="129"/>
      <c r="H64" s="129">
        <v>6</v>
      </c>
      <c r="I64" s="129">
        <v>6</v>
      </c>
      <c r="J64" s="129">
        <v>6</v>
      </c>
      <c r="K64" s="129">
        <v>6</v>
      </c>
      <c r="L64" s="129">
        <v>6</v>
      </c>
      <c r="M64" s="129">
        <v>6</v>
      </c>
      <c r="N64" s="129">
        <v>6</v>
      </c>
      <c r="O64" s="129">
        <v>6</v>
      </c>
      <c r="P64" s="129">
        <v>6</v>
      </c>
      <c r="Q64" s="129">
        <v>6</v>
      </c>
      <c r="R64" s="129">
        <v>6</v>
      </c>
      <c r="S64" s="129">
        <v>6</v>
      </c>
      <c r="T64" s="129">
        <v>6</v>
      </c>
      <c r="U64" s="129">
        <v>6</v>
      </c>
      <c r="V64" s="129">
        <v>6</v>
      </c>
      <c r="W64" s="129">
        <v>6</v>
      </c>
      <c r="X64" s="129">
        <v>6</v>
      </c>
      <c r="Y64" s="129">
        <v>6</v>
      </c>
      <c r="Z64" s="129">
        <v>6</v>
      </c>
      <c r="AA64" s="129"/>
      <c r="AB64" s="129">
        <f t="shared" si="0"/>
        <v>114</v>
      </c>
    </row>
    <row r="65" spans="1:28">
      <c r="A65" s="134" t="s">
        <v>152</v>
      </c>
      <c r="B65" s="129" t="s">
        <v>153</v>
      </c>
      <c r="C65" s="129"/>
      <c r="D65" s="129"/>
      <c r="E65" s="129"/>
      <c r="F65" s="129"/>
      <c r="G65" s="129"/>
      <c r="H65" s="129">
        <v>3</v>
      </c>
      <c r="I65" s="129">
        <v>1</v>
      </c>
      <c r="J65" s="129">
        <v>1</v>
      </c>
      <c r="K65" s="129">
        <v>1</v>
      </c>
      <c r="L65" s="129">
        <v>2</v>
      </c>
      <c r="M65" s="129">
        <v>1</v>
      </c>
      <c r="N65" s="129">
        <v>2</v>
      </c>
      <c r="O65" s="129">
        <v>1</v>
      </c>
      <c r="P65" s="129">
        <v>1</v>
      </c>
      <c r="Q65" s="129">
        <v>1</v>
      </c>
      <c r="R65" s="129">
        <v>1</v>
      </c>
      <c r="S65" s="129">
        <v>1</v>
      </c>
      <c r="T65" s="129">
        <v>1</v>
      </c>
      <c r="U65" s="129">
        <v>1</v>
      </c>
      <c r="V65" s="129">
        <v>1</v>
      </c>
      <c r="W65" s="129">
        <v>1</v>
      </c>
      <c r="X65" s="129">
        <v>1</v>
      </c>
      <c r="Y65" s="129">
        <v>1</v>
      </c>
      <c r="Z65" s="129">
        <v>1</v>
      </c>
      <c r="AA65" s="129"/>
      <c r="AB65" s="129">
        <f t="shared" si="0"/>
        <v>23</v>
      </c>
    </row>
    <row r="66" spans="1:28">
      <c r="A66" s="134" t="s">
        <v>154</v>
      </c>
      <c r="B66" s="129" t="s">
        <v>155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>
        <f t="shared" si="0"/>
        <v>0</v>
      </c>
    </row>
    <row r="67" spans="1:28">
      <c r="A67" s="134" t="s">
        <v>156</v>
      </c>
      <c r="B67" s="129" t="s">
        <v>157</v>
      </c>
      <c r="C67" s="129"/>
      <c r="D67" s="129"/>
      <c r="E67" s="129"/>
      <c r="F67" s="129"/>
      <c r="G67" s="129"/>
      <c r="H67" s="129">
        <v>1</v>
      </c>
      <c r="I67" s="129">
        <v>1</v>
      </c>
      <c r="J67" s="129">
        <v>1</v>
      </c>
      <c r="K67" s="129">
        <v>1</v>
      </c>
      <c r="L67" s="129">
        <v>1</v>
      </c>
      <c r="M67" s="129">
        <v>1</v>
      </c>
      <c r="N67" s="129">
        <v>1</v>
      </c>
      <c r="O67" s="129">
        <v>1</v>
      </c>
      <c r="P67" s="129">
        <v>1</v>
      </c>
      <c r="Q67" s="129">
        <v>1</v>
      </c>
      <c r="R67" s="129">
        <v>1</v>
      </c>
      <c r="S67" s="129">
        <v>1</v>
      </c>
      <c r="T67" s="129">
        <v>1</v>
      </c>
      <c r="U67" s="129">
        <v>1</v>
      </c>
      <c r="V67" s="129">
        <v>1</v>
      </c>
      <c r="W67" s="129">
        <v>1</v>
      </c>
      <c r="X67" s="129">
        <v>1</v>
      </c>
      <c r="Y67" s="129">
        <v>1</v>
      </c>
      <c r="Z67" s="129">
        <v>1</v>
      </c>
      <c r="AA67" s="129"/>
      <c r="AB67" s="129">
        <f t="shared" si="0"/>
        <v>19</v>
      </c>
    </row>
    <row r="68" spans="1:28">
      <c r="A68" s="134" t="s">
        <v>158</v>
      </c>
      <c r="B68" s="129" t="s">
        <v>159</v>
      </c>
      <c r="C68" s="129"/>
      <c r="D68" s="129"/>
      <c r="E68" s="129"/>
      <c r="F68" s="129"/>
      <c r="G68" s="129"/>
      <c r="H68" s="129">
        <v>2</v>
      </c>
      <c r="I68" s="129">
        <v>2</v>
      </c>
      <c r="J68" s="129">
        <v>2</v>
      </c>
      <c r="K68" s="129">
        <v>2</v>
      </c>
      <c r="L68" s="129">
        <v>2</v>
      </c>
      <c r="M68" s="129">
        <v>2</v>
      </c>
      <c r="N68" s="129">
        <v>2</v>
      </c>
      <c r="O68" s="129">
        <v>2</v>
      </c>
      <c r="P68" s="129">
        <v>2</v>
      </c>
      <c r="Q68" s="129">
        <v>2</v>
      </c>
      <c r="R68" s="129">
        <v>2</v>
      </c>
      <c r="S68" s="129">
        <v>2</v>
      </c>
      <c r="T68" s="129">
        <v>2</v>
      </c>
      <c r="U68" s="129">
        <v>2</v>
      </c>
      <c r="V68" s="129">
        <v>2</v>
      </c>
      <c r="W68" s="129">
        <v>2</v>
      </c>
      <c r="X68" s="129">
        <v>2</v>
      </c>
      <c r="Y68" s="129">
        <v>2</v>
      </c>
      <c r="Z68" s="129">
        <v>2</v>
      </c>
      <c r="AA68" s="129"/>
      <c r="AB68" s="129">
        <f t="shared" ref="AB68:AB91" si="1">SUM(E68:AA68)</f>
        <v>38</v>
      </c>
    </row>
    <row r="69" spans="1:28">
      <c r="A69" s="134" t="s">
        <v>160</v>
      </c>
      <c r="B69" s="129" t="s">
        <v>161</v>
      </c>
      <c r="C69" s="129"/>
      <c r="D69" s="129"/>
      <c r="E69" s="129"/>
      <c r="F69" s="129"/>
      <c r="G69" s="129"/>
      <c r="H69" s="129">
        <v>2</v>
      </c>
      <c r="I69" s="129">
        <v>1</v>
      </c>
      <c r="J69" s="129">
        <v>1</v>
      </c>
      <c r="K69" s="129">
        <v>1</v>
      </c>
      <c r="L69" s="129">
        <v>1</v>
      </c>
      <c r="M69" s="129">
        <v>1</v>
      </c>
      <c r="N69" s="129">
        <v>1</v>
      </c>
      <c r="O69" s="129">
        <v>1</v>
      </c>
      <c r="P69" s="129">
        <v>1</v>
      </c>
      <c r="Q69" s="129">
        <v>1</v>
      </c>
      <c r="R69" s="129">
        <v>1</v>
      </c>
      <c r="S69" s="129">
        <v>1</v>
      </c>
      <c r="T69" s="129">
        <v>1</v>
      </c>
      <c r="U69" s="129">
        <v>1</v>
      </c>
      <c r="V69" s="129">
        <v>1</v>
      </c>
      <c r="W69" s="129">
        <v>1</v>
      </c>
      <c r="X69" s="129">
        <v>1</v>
      </c>
      <c r="Y69" s="129">
        <v>1</v>
      </c>
      <c r="Z69" s="129">
        <v>1</v>
      </c>
      <c r="AA69" s="129"/>
      <c r="AB69" s="129">
        <f t="shared" si="1"/>
        <v>20</v>
      </c>
    </row>
    <row r="70" spans="1:28">
      <c r="A70" s="134" t="s">
        <v>162</v>
      </c>
      <c r="B70" s="129" t="s">
        <v>163</v>
      </c>
      <c r="C70" s="129"/>
      <c r="D70" s="129"/>
      <c r="E70" s="129"/>
      <c r="F70" s="129"/>
      <c r="G70" s="129"/>
      <c r="H70" s="129">
        <v>2</v>
      </c>
      <c r="I70" s="129">
        <v>2</v>
      </c>
      <c r="J70" s="129">
        <v>2</v>
      </c>
      <c r="K70" s="129">
        <v>2</v>
      </c>
      <c r="L70" s="129">
        <v>2</v>
      </c>
      <c r="M70" s="129">
        <v>2</v>
      </c>
      <c r="N70" s="129">
        <v>2</v>
      </c>
      <c r="O70" s="129">
        <v>2</v>
      </c>
      <c r="P70" s="129">
        <v>2</v>
      </c>
      <c r="Q70" s="129">
        <v>2</v>
      </c>
      <c r="R70" s="129">
        <v>2</v>
      </c>
      <c r="S70" s="129">
        <v>2</v>
      </c>
      <c r="T70" s="129">
        <v>2</v>
      </c>
      <c r="U70" s="129">
        <v>2</v>
      </c>
      <c r="V70" s="129">
        <v>2</v>
      </c>
      <c r="W70" s="129">
        <v>2</v>
      </c>
      <c r="X70" s="129">
        <v>2</v>
      </c>
      <c r="Y70" s="129">
        <v>2</v>
      </c>
      <c r="Z70" s="129">
        <v>2</v>
      </c>
      <c r="AA70" s="129"/>
      <c r="AB70" s="129">
        <f t="shared" si="1"/>
        <v>38</v>
      </c>
    </row>
    <row r="71" spans="1:28">
      <c r="A71" s="134" t="s">
        <v>164</v>
      </c>
      <c r="B71" s="129" t="s">
        <v>165</v>
      </c>
      <c r="C71" s="129"/>
      <c r="D71" s="129"/>
      <c r="E71" s="129"/>
      <c r="F71" s="129"/>
      <c r="G71" s="129"/>
      <c r="H71" s="129">
        <v>1</v>
      </c>
      <c r="I71" s="129">
        <v>1</v>
      </c>
      <c r="J71" s="129">
        <v>1</v>
      </c>
      <c r="K71" s="129">
        <v>1</v>
      </c>
      <c r="L71" s="129">
        <v>1</v>
      </c>
      <c r="M71" s="129">
        <v>1</v>
      </c>
      <c r="N71" s="129">
        <v>1</v>
      </c>
      <c r="O71" s="129">
        <v>1</v>
      </c>
      <c r="P71" s="129">
        <v>1</v>
      </c>
      <c r="Q71" s="129">
        <v>1</v>
      </c>
      <c r="R71" s="129">
        <v>1</v>
      </c>
      <c r="S71" s="129">
        <v>1</v>
      </c>
      <c r="T71" s="129">
        <v>1</v>
      </c>
      <c r="U71" s="129">
        <v>1</v>
      </c>
      <c r="V71" s="129">
        <v>1</v>
      </c>
      <c r="W71" s="129">
        <v>1</v>
      </c>
      <c r="X71" s="129">
        <v>1</v>
      </c>
      <c r="Y71" s="129">
        <v>1</v>
      </c>
      <c r="Z71" s="129">
        <v>1</v>
      </c>
      <c r="AA71" s="129"/>
      <c r="AB71" s="129">
        <f t="shared" si="1"/>
        <v>19</v>
      </c>
    </row>
    <row r="72" spans="1:28">
      <c r="A72" s="134" t="s">
        <v>166</v>
      </c>
      <c r="B72" s="129" t="s">
        <v>167</v>
      </c>
      <c r="C72" s="129"/>
      <c r="D72" s="129"/>
      <c r="E72" s="129"/>
      <c r="F72" s="129"/>
      <c r="G72" s="129"/>
      <c r="H72" s="129">
        <v>1</v>
      </c>
      <c r="I72" s="129">
        <v>1</v>
      </c>
      <c r="J72" s="129">
        <v>1</v>
      </c>
      <c r="K72" s="129">
        <v>1</v>
      </c>
      <c r="L72" s="129">
        <v>1</v>
      </c>
      <c r="M72" s="129">
        <v>1</v>
      </c>
      <c r="N72" s="129">
        <v>1</v>
      </c>
      <c r="O72" s="129">
        <v>1</v>
      </c>
      <c r="P72" s="129">
        <v>1</v>
      </c>
      <c r="Q72" s="129">
        <v>1</v>
      </c>
      <c r="R72" s="129">
        <v>1</v>
      </c>
      <c r="S72" s="129">
        <v>1</v>
      </c>
      <c r="T72" s="129">
        <v>1</v>
      </c>
      <c r="U72" s="129">
        <v>1</v>
      </c>
      <c r="V72" s="129">
        <v>1</v>
      </c>
      <c r="W72" s="129">
        <v>1</v>
      </c>
      <c r="X72" s="129">
        <v>1</v>
      </c>
      <c r="Y72" s="129">
        <v>1</v>
      </c>
      <c r="Z72" s="129">
        <v>1</v>
      </c>
      <c r="AA72" s="129"/>
      <c r="AB72" s="129">
        <f t="shared" si="1"/>
        <v>19</v>
      </c>
    </row>
    <row r="73" spans="1:28">
      <c r="A73" s="134" t="s">
        <v>168</v>
      </c>
      <c r="B73" s="129" t="s">
        <v>169</v>
      </c>
      <c r="C73" s="129"/>
      <c r="D73" s="129"/>
      <c r="E73" s="129"/>
      <c r="F73" s="129"/>
      <c r="G73" s="129"/>
      <c r="H73" s="129">
        <v>2</v>
      </c>
      <c r="I73" s="129">
        <v>2</v>
      </c>
      <c r="J73" s="129">
        <v>2</v>
      </c>
      <c r="K73" s="129">
        <v>2</v>
      </c>
      <c r="L73" s="129">
        <v>2</v>
      </c>
      <c r="M73" s="129">
        <v>2</v>
      </c>
      <c r="N73" s="129">
        <v>2</v>
      </c>
      <c r="O73" s="129">
        <v>2</v>
      </c>
      <c r="P73" s="129">
        <v>2</v>
      </c>
      <c r="Q73" s="129">
        <v>2</v>
      </c>
      <c r="R73" s="129">
        <v>2</v>
      </c>
      <c r="S73" s="129">
        <v>2</v>
      </c>
      <c r="T73" s="129">
        <v>2</v>
      </c>
      <c r="U73" s="129">
        <v>2</v>
      </c>
      <c r="V73" s="129">
        <v>2</v>
      </c>
      <c r="W73" s="129">
        <v>2</v>
      </c>
      <c r="X73" s="129">
        <v>2</v>
      </c>
      <c r="Y73" s="129">
        <v>2</v>
      </c>
      <c r="Z73" s="129">
        <v>2</v>
      </c>
      <c r="AA73" s="129"/>
      <c r="AB73" s="129">
        <f t="shared" si="1"/>
        <v>38</v>
      </c>
    </row>
    <row r="74" spans="1:28">
      <c r="A74" s="134" t="s">
        <v>170</v>
      </c>
      <c r="B74" s="129" t="s">
        <v>171</v>
      </c>
      <c r="C74" s="129"/>
      <c r="D74" s="129"/>
      <c r="E74" s="129"/>
      <c r="F74" s="129"/>
      <c r="G74" s="129"/>
      <c r="H74" s="129">
        <v>1</v>
      </c>
      <c r="I74" s="129">
        <v>1</v>
      </c>
      <c r="J74" s="129">
        <v>1</v>
      </c>
      <c r="K74" s="129">
        <v>1</v>
      </c>
      <c r="L74" s="129">
        <v>1</v>
      </c>
      <c r="M74" s="129">
        <v>1</v>
      </c>
      <c r="N74" s="129">
        <v>1</v>
      </c>
      <c r="O74" s="129">
        <v>1</v>
      </c>
      <c r="P74" s="129">
        <v>1</v>
      </c>
      <c r="Q74" s="129">
        <v>1</v>
      </c>
      <c r="R74" s="129">
        <v>1</v>
      </c>
      <c r="S74" s="129">
        <v>1</v>
      </c>
      <c r="T74" s="129">
        <v>1</v>
      </c>
      <c r="U74" s="129">
        <v>1</v>
      </c>
      <c r="V74" s="129">
        <v>1</v>
      </c>
      <c r="W74" s="129">
        <v>1</v>
      </c>
      <c r="X74" s="129">
        <v>1</v>
      </c>
      <c r="Y74" s="129">
        <v>1</v>
      </c>
      <c r="Z74" s="129">
        <v>1</v>
      </c>
      <c r="AA74" s="129"/>
      <c r="AB74" s="129">
        <f t="shared" si="1"/>
        <v>19</v>
      </c>
    </row>
    <row r="75" spans="1:28">
      <c r="A75" s="129" t="s">
        <v>172</v>
      </c>
      <c r="B75" s="129" t="s">
        <v>173</v>
      </c>
      <c r="C75" s="129"/>
      <c r="D75" s="129"/>
      <c r="E75" s="129"/>
      <c r="F75" s="129"/>
      <c r="G75" s="129"/>
      <c r="H75" s="129">
        <v>1</v>
      </c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>
        <f t="shared" si="1"/>
        <v>1</v>
      </c>
    </row>
    <row r="76" spans="1:28">
      <c r="A76" s="129" t="s">
        <v>174</v>
      </c>
      <c r="B76" s="129" t="s">
        <v>175</v>
      </c>
      <c r="C76" s="129"/>
      <c r="D76" s="129"/>
      <c r="E76" s="129"/>
      <c r="F76" s="129"/>
      <c r="G76" s="129"/>
      <c r="H76" s="129">
        <v>1</v>
      </c>
      <c r="I76" s="129">
        <v>1</v>
      </c>
      <c r="J76" s="129">
        <v>1</v>
      </c>
      <c r="K76" s="129">
        <v>1</v>
      </c>
      <c r="L76" s="129">
        <v>1</v>
      </c>
      <c r="M76" s="129">
        <v>1</v>
      </c>
      <c r="N76" s="129">
        <v>1</v>
      </c>
      <c r="O76" s="129">
        <v>1</v>
      </c>
      <c r="P76" s="129">
        <v>1</v>
      </c>
      <c r="Q76" s="129">
        <v>1</v>
      </c>
      <c r="R76" s="129">
        <v>1</v>
      </c>
      <c r="S76" s="129">
        <v>1</v>
      </c>
      <c r="T76" s="129">
        <v>1</v>
      </c>
      <c r="U76" s="129">
        <v>1</v>
      </c>
      <c r="V76" s="129">
        <v>1</v>
      </c>
      <c r="W76" s="129">
        <v>1</v>
      </c>
      <c r="X76" s="129">
        <v>1</v>
      </c>
      <c r="Y76" s="129">
        <v>1</v>
      </c>
      <c r="Z76" s="129">
        <v>1</v>
      </c>
      <c r="AA76" s="129"/>
      <c r="AB76" s="129">
        <f t="shared" si="1"/>
        <v>19</v>
      </c>
    </row>
    <row r="77" spans="1:28">
      <c r="A77" s="129" t="s">
        <v>176</v>
      </c>
      <c r="B77" s="129" t="s">
        <v>177</v>
      </c>
      <c r="C77" s="129"/>
      <c r="D77" s="129"/>
      <c r="E77" s="129"/>
      <c r="F77" s="129"/>
      <c r="G77" s="129"/>
      <c r="H77" s="129">
        <v>1</v>
      </c>
      <c r="I77" s="129">
        <v>1</v>
      </c>
      <c r="J77" s="129">
        <v>1</v>
      </c>
      <c r="K77" s="129">
        <v>1</v>
      </c>
      <c r="L77" s="129">
        <v>1</v>
      </c>
      <c r="M77" s="129">
        <v>1</v>
      </c>
      <c r="N77" s="129">
        <v>1</v>
      </c>
      <c r="O77" s="129">
        <v>1</v>
      </c>
      <c r="P77" s="129">
        <v>1</v>
      </c>
      <c r="Q77" s="129">
        <v>1</v>
      </c>
      <c r="R77" s="129">
        <v>1</v>
      </c>
      <c r="S77" s="129">
        <v>1</v>
      </c>
      <c r="T77" s="129">
        <v>1</v>
      </c>
      <c r="U77" s="129">
        <v>1</v>
      </c>
      <c r="V77" s="129">
        <v>1</v>
      </c>
      <c r="W77" s="129">
        <v>1</v>
      </c>
      <c r="X77" s="129">
        <v>1</v>
      </c>
      <c r="Y77" s="129">
        <v>1</v>
      </c>
      <c r="Z77" s="129">
        <v>1</v>
      </c>
      <c r="AA77" s="129"/>
      <c r="AB77" s="129">
        <f t="shared" si="1"/>
        <v>19</v>
      </c>
    </row>
    <row r="78" spans="1:28">
      <c r="A78" s="129" t="s">
        <v>178</v>
      </c>
      <c r="B78" s="129" t="s">
        <v>179</v>
      </c>
      <c r="C78" s="129"/>
      <c r="D78" s="129"/>
      <c r="E78" s="129"/>
      <c r="F78" s="129"/>
      <c r="G78" s="129"/>
      <c r="H78" s="129">
        <v>1</v>
      </c>
      <c r="I78" s="129">
        <v>1</v>
      </c>
      <c r="J78" s="129">
        <v>1</v>
      </c>
      <c r="K78" s="129">
        <v>1</v>
      </c>
      <c r="L78" s="129">
        <v>1</v>
      </c>
      <c r="M78" s="129">
        <v>1</v>
      </c>
      <c r="N78" s="129">
        <v>1</v>
      </c>
      <c r="O78" s="129">
        <v>1</v>
      </c>
      <c r="P78" s="129">
        <v>1</v>
      </c>
      <c r="Q78" s="129">
        <v>1</v>
      </c>
      <c r="R78" s="129">
        <v>1</v>
      </c>
      <c r="S78" s="129">
        <v>1</v>
      </c>
      <c r="T78" s="129">
        <v>1</v>
      </c>
      <c r="U78" s="129">
        <v>1</v>
      </c>
      <c r="V78" s="129">
        <v>1</v>
      </c>
      <c r="W78" s="129">
        <v>1</v>
      </c>
      <c r="X78" s="129">
        <v>1</v>
      </c>
      <c r="Y78" s="129">
        <v>1</v>
      </c>
      <c r="Z78" s="129">
        <v>1</v>
      </c>
      <c r="AA78" s="129"/>
      <c r="AB78" s="129">
        <f t="shared" si="1"/>
        <v>19</v>
      </c>
    </row>
    <row r="79" spans="1:28">
      <c r="A79" s="129" t="s">
        <v>180</v>
      </c>
      <c r="B79" s="129" t="s">
        <v>181</v>
      </c>
      <c r="C79" s="129"/>
      <c r="D79" s="129"/>
      <c r="E79" s="129"/>
      <c r="F79" s="129"/>
      <c r="G79" s="129"/>
      <c r="H79" s="129">
        <v>1</v>
      </c>
      <c r="I79" s="129">
        <v>1</v>
      </c>
      <c r="J79" s="129">
        <v>1</v>
      </c>
      <c r="K79" s="129">
        <v>1</v>
      </c>
      <c r="L79" s="129">
        <v>1</v>
      </c>
      <c r="M79" s="129">
        <v>1</v>
      </c>
      <c r="N79" s="129">
        <v>1</v>
      </c>
      <c r="O79" s="129">
        <v>1</v>
      </c>
      <c r="P79" s="129">
        <v>1</v>
      </c>
      <c r="Q79" s="129">
        <v>1</v>
      </c>
      <c r="R79" s="129">
        <v>1</v>
      </c>
      <c r="S79" s="129">
        <v>1</v>
      </c>
      <c r="T79" s="129">
        <v>1</v>
      </c>
      <c r="U79" s="129">
        <v>1</v>
      </c>
      <c r="V79" s="129">
        <v>1</v>
      </c>
      <c r="W79" s="129">
        <v>1</v>
      </c>
      <c r="X79" s="129">
        <v>1</v>
      </c>
      <c r="Y79" s="129">
        <v>1</v>
      </c>
      <c r="Z79" s="129">
        <v>1</v>
      </c>
      <c r="AA79" s="129"/>
      <c r="AB79" s="129">
        <f t="shared" si="1"/>
        <v>19</v>
      </c>
    </row>
    <row r="80" spans="1:28">
      <c r="A80" s="129" t="s">
        <v>182</v>
      </c>
      <c r="B80" s="129" t="s">
        <v>183</v>
      </c>
      <c r="C80" s="129"/>
      <c r="D80" s="129"/>
      <c r="E80" s="129"/>
      <c r="F80" s="129"/>
      <c r="G80" s="129"/>
      <c r="H80" s="129">
        <v>1</v>
      </c>
      <c r="I80" s="129">
        <v>1</v>
      </c>
      <c r="J80" s="129">
        <v>1</v>
      </c>
      <c r="K80" s="129">
        <v>1</v>
      </c>
      <c r="L80" s="129">
        <v>1</v>
      </c>
      <c r="M80" s="129">
        <v>1</v>
      </c>
      <c r="N80" s="129">
        <v>1</v>
      </c>
      <c r="O80" s="129">
        <v>1</v>
      </c>
      <c r="P80" s="129">
        <v>1</v>
      </c>
      <c r="Q80" s="129">
        <v>1</v>
      </c>
      <c r="R80" s="129">
        <v>1</v>
      </c>
      <c r="S80" s="129">
        <v>1</v>
      </c>
      <c r="T80" s="129">
        <v>1</v>
      </c>
      <c r="U80" s="129">
        <v>1</v>
      </c>
      <c r="V80" s="129">
        <v>1</v>
      </c>
      <c r="W80" s="129">
        <v>1</v>
      </c>
      <c r="X80" s="129">
        <v>1</v>
      </c>
      <c r="Y80" s="129">
        <v>1</v>
      </c>
      <c r="Z80" s="129">
        <v>1</v>
      </c>
      <c r="AA80" s="129"/>
      <c r="AB80" s="129">
        <f t="shared" si="1"/>
        <v>19</v>
      </c>
    </row>
    <row r="81" spans="1:28">
      <c r="A81" s="129" t="s">
        <v>184</v>
      </c>
      <c r="B81" s="129" t="s">
        <v>185</v>
      </c>
      <c r="C81" s="129"/>
      <c r="D81" s="129"/>
      <c r="E81" s="129"/>
      <c r="F81" s="129"/>
      <c r="G81" s="129"/>
      <c r="H81" s="129"/>
      <c r="I81" s="129">
        <v>2</v>
      </c>
      <c r="J81" s="129">
        <v>2</v>
      </c>
      <c r="K81" s="129">
        <v>2</v>
      </c>
      <c r="L81" s="129">
        <v>1</v>
      </c>
      <c r="M81" s="129">
        <v>2</v>
      </c>
      <c r="N81" s="129">
        <v>1</v>
      </c>
      <c r="O81" s="129">
        <v>2</v>
      </c>
      <c r="P81" s="129">
        <v>2</v>
      </c>
      <c r="Q81" s="129">
        <v>2</v>
      </c>
      <c r="R81" s="129">
        <v>2</v>
      </c>
      <c r="S81" s="129">
        <v>2</v>
      </c>
      <c r="T81" s="129">
        <v>2</v>
      </c>
      <c r="U81" s="129">
        <v>2</v>
      </c>
      <c r="V81" s="129">
        <v>2</v>
      </c>
      <c r="W81" s="129">
        <v>2</v>
      </c>
      <c r="X81" s="129">
        <v>2</v>
      </c>
      <c r="Y81" s="129">
        <v>2</v>
      </c>
      <c r="Z81" s="129">
        <v>2</v>
      </c>
      <c r="AA81" s="129"/>
      <c r="AB81" s="129">
        <f t="shared" si="1"/>
        <v>34</v>
      </c>
    </row>
    <row r="82" spans="1:28">
      <c r="A82" s="129" t="s">
        <v>186</v>
      </c>
      <c r="B82" s="129" t="s">
        <v>187</v>
      </c>
      <c r="C82" s="129"/>
      <c r="D82" s="129"/>
      <c r="E82" s="129"/>
      <c r="F82" s="129"/>
      <c r="G82" s="129"/>
      <c r="H82" s="129"/>
      <c r="I82" s="129">
        <v>1</v>
      </c>
      <c r="J82" s="129">
        <v>1</v>
      </c>
      <c r="K82" s="129">
        <v>1</v>
      </c>
      <c r="L82" s="129">
        <v>1</v>
      </c>
      <c r="M82" s="129">
        <v>1</v>
      </c>
      <c r="N82" s="129">
        <v>1</v>
      </c>
      <c r="O82" s="129">
        <v>1</v>
      </c>
      <c r="P82" s="129">
        <v>1</v>
      </c>
      <c r="Q82" s="129">
        <v>1</v>
      </c>
      <c r="R82" s="129">
        <v>1</v>
      </c>
      <c r="S82" s="129">
        <v>1</v>
      </c>
      <c r="T82" s="129">
        <v>1</v>
      </c>
      <c r="U82" s="129">
        <v>1</v>
      </c>
      <c r="V82" s="129">
        <v>1</v>
      </c>
      <c r="W82" s="129">
        <v>1</v>
      </c>
      <c r="X82" s="129">
        <v>1</v>
      </c>
      <c r="Y82" s="129">
        <v>1</v>
      </c>
      <c r="Z82" s="129">
        <v>1</v>
      </c>
      <c r="AA82" s="129"/>
      <c r="AB82" s="129">
        <f t="shared" si="1"/>
        <v>18</v>
      </c>
    </row>
    <row r="83" spans="1:28">
      <c r="A83" s="129" t="s">
        <v>188</v>
      </c>
      <c r="B83" s="129" t="s">
        <v>189</v>
      </c>
      <c r="C83" s="129"/>
      <c r="D83" s="129"/>
      <c r="E83" s="129"/>
      <c r="F83" s="129"/>
      <c r="G83" s="129">
        <v>1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>
        <f t="shared" si="1"/>
        <v>1</v>
      </c>
    </row>
    <row r="84" spans="1:28">
      <c r="A84" s="129" t="s">
        <v>190</v>
      </c>
      <c r="B84" s="129" t="s">
        <v>191</v>
      </c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>
        <v>2</v>
      </c>
      <c r="AB84" s="129">
        <f t="shared" si="1"/>
        <v>2</v>
      </c>
    </row>
    <row r="85" spans="1:28">
      <c r="A85" s="129" t="s">
        <v>192</v>
      </c>
      <c r="B85" s="129" t="s">
        <v>193</v>
      </c>
      <c r="C85" s="129"/>
      <c r="D85" s="129"/>
      <c r="E85" s="129"/>
      <c r="F85" s="129"/>
      <c r="G85" s="129">
        <v>1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>
        <f t="shared" si="1"/>
        <v>1</v>
      </c>
    </row>
    <row r="86" spans="1:28">
      <c r="A86" s="129" t="s">
        <v>194</v>
      </c>
      <c r="B86" s="129" t="s">
        <v>195</v>
      </c>
      <c r="C86" s="129"/>
      <c r="D86" s="129"/>
      <c r="E86" s="129"/>
      <c r="F86" s="129">
        <v>1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>
        <f t="shared" si="1"/>
        <v>1</v>
      </c>
    </row>
    <row r="87" spans="1:28">
      <c r="A87" s="129" t="s">
        <v>196</v>
      </c>
      <c r="B87" s="129" t="s">
        <v>155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>
        <f t="shared" si="1"/>
        <v>0</v>
      </c>
    </row>
    <row r="88" spans="1:28">
      <c r="A88" s="129" t="s">
        <v>197</v>
      </c>
      <c r="B88" s="129" t="s">
        <v>198</v>
      </c>
      <c r="C88" s="129"/>
      <c r="D88" s="129"/>
      <c r="E88" s="129"/>
      <c r="G88" s="129">
        <v>1</v>
      </c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>
        <f t="shared" si="1"/>
        <v>1</v>
      </c>
    </row>
    <row r="89" spans="1:28">
      <c r="A89" s="129" t="s">
        <v>199</v>
      </c>
      <c r="B89" s="129" t="s">
        <v>200</v>
      </c>
      <c r="C89" s="129"/>
      <c r="D89" s="129"/>
      <c r="E89" s="129"/>
      <c r="F89" s="129">
        <v>21</v>
      </c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>
        <f t="shared" si="1"/>
        <v>21</v>
      </c>
    </row>
    <row r="90" spans="1:28">
      <c r="A90" s="129" t="s">
        <v>201</v>
      </c>
      <c r="B90" s="129" t="s">
        <v>202</v>
      </c>
      <c r="C90" s="129"/>
      <c r="D90" s="129"/>
      <c r="E90" s="129"/>
      <c r="F90" s="129">
        <v>3</v>
      </c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>
        <f t="shared" si="1"/>
        <v>3</v>
      </c>
    </row>
    <row r="91" spans="1:28">
      <c r="A91" s="129" t="s">
        <v>203</v>
      </c>
      <c r="B91" s="129" t="s">
        <v>204</v>
      </c>
      <c r="C91" s="129"/>
      <c r="D91" s="129"/>
      <c r="E91" s="129">
        <v>1</v>
      </c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>
        <f t="shared" si="1"/>
        <v>1</v>
      </c>
    </row>
    <row r="92" spans="28:28">
      <c r="AB92" s="138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3" t="s">
        <v>205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29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  <c r="AC2" s="134" t="s">
        <v>206</v>
      </c>
    </row>
    <row r="3" spans="1:29">
      <c r="A3" s="129" t="s">
        <v>29</v>
      </c>
      <c r="B3" s="129" t="s">
        <v>38</v>
      </c>
      <c r="C3" s="129"/>
      <c r="D3" s="129"/>
      <c r="E3" s="129">
        <v>2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>
        <f t="shared" ref="AB3:AB66" si="0">SUM(E3:AA3)</f>
        <v>2</v>
      </c>
      <c r="AC3" s="134">
        <f t="shared" ref="AC3:AC34" si="1">C3*D3*AB3/1000000</f>
        <v>0</v>
      </c>
    </row>
    <row r="4" spans="1:29">
      <c r="A4" s="129" t="s">
        <v>31</v>
      </c>
      <c r="B4" s="129" t="s">
        <v>207</v>
      </c>
      <c r="C4" s="129"/>
      <c r="D4" s="129"/>
      <c r="E4" s="129">
        <v>3</v>
      </c>
      <c r="F4" s="129">
        <v>1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si="0"/>
        <v>4</v>
      </c>
      <c r="AC4" s="134">
        <f t="shared" si="1"/>
        <v>0</v>
      </c>
    </row>
    <row r="5" spans="1:29">
      <c r="A5" s="129" t="s">
        <v>33</v>
      </c>
      <c r="B5" s="129" t="s">
        <v>124</v>
      </c>
      <c r="C5" s="129"/>
      <c r="D5" s="129"/>
      <c r="E5" s="129">
        <v>2</v>
      </c>
      <c r="F5" s="129">
        <v>3</v>
      </c>
      <c r="G5" s="129"/>
      <c r="H5" s="129">
        <v>3</v>
      </c>
      <c r="I5" s="129">
        <v>3</v>
      </c>
      <c r="J5" s="129">
        <v>3</v>
      </c>
      <c r="K5" s="129">
        <v>3</v>
      </c>
      <c r="L5" s="129">
        <v>3</v>
      </c>
      <c r="M5" s="129">
        <v>3</v>
      </c>
      <c r="N5" s="129">
        <v>3</v>
      </c>
      <c r="O5" s="129">
        <v>3</v>
      </c>
      <c r="P5" s="129">
        <v>3</v>
      </c>
      <c r="Q5" s="129">
        <v>3</v>
      </c>
      <c r="R5" s="129">
        <v>3</v>
      </c>
      <c r="S5" s="129">
        <v>3</v>
      </c>
      <c r="T5" s="129">
        <v>3</v>
      </c>
      <c r="U5" s="129">
        <v>3</v>
      </c>
      <c r="V5" s="129">
        <v>3</v>
      </c>
      <c r="W5" s="129">
        <v>3</v>
      </c>
      <c r="X5" s="129"/>
      <c r="Y5" s="129"/>
      <c r="Z5" s="129"/>
      <c r="AA5" s="129"/>
      <c r="AB5" s="129">
        <f t="shared" si="0"/>
        <v>53</v>
      </c>
      <c r="AC5" s="134">
        <f t="shared" si="1"/>
        <v>0</v>
      </c>
    </row>
    <row r="6" spans="1:29">
      <c r="A6" s="129" t="s">
        <v>35</v>
      </c>
      <c r="B6" s="129" t="s">
        <v>208</v>
      </c>
      <c r="C6" s="129"/>
      <c r="D6" s="129"/>
      <c r="E6" s="129">
        <v>3</v>
      </c>
      <c r="F6" s="129">
        <v>3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>
        <f t="shared" si="0"/>
        <v>6</v>
      </c>
      <c r="AC6" s="134">
        <f t="shared" si="1"/>
        <v>0</v>
      </c>
    </row>
    <row r="7" spans="1:29">
      <c r="A7" s="129" t="s">
        <v>37</v>
      </c>
      <c r="B7" s="129" t="s">
        <v>86</v>
      </c>
      <c r="C7" s="129"/>
      <c r="D7" s="129"/>
      <c r="E7" s="129"/>
      <c r="F7" s="129">
        <v>1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1</v>
      </c>
      <c r="AC7" s="134">
        <f t="shared" si="1"/>
        <v>0</v>
      </c>
    </row>
    <row r="8" spans="1:29">
      <c r="A8" s="129" t="s">
        <v>39</v>
      </c>
      <c r="B8" s="129" t="s">
        <v>48</v>
      </c>
      <c r="C8" s="129"/>
      <c r="D8" s="129"/>
      <c r="E8" s="129"/>
      <c r="F8" s="129">
        <v>2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>
        <f t="shared" si="0"/>
        <v>2</v>
      </c>
      <c r="AC8" s="134">
        <f t="shared" si="1"/>
        <v>0</v>
      </c>
    </row>
    <row r="9" spans="1:29">
      <c r="A9" s="129" t="s">
        <v>41</v>
      </c>
      <c r="B9" s="129" t="s">
        <v>209</v>
      </c>
      <c r="C9" s="129"/>
      <c r="D9" s="129"/>
      <c r="E9" s="129"/>
      <c r="F9" s="129">
        <v>1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1</v>
      </c>
      <c r="AC9" s="134">
        <f t="shared" si="1"/>
        <v>0</v>
      </c>
    </row>
    <row r="10" spans="1:29">
      <c r="A10" s="129" t="s">
        <v>43</v>
      </c>
      <c r="B10" s="129" t="s">
        <v>210</v>
      </c>
      <c r="C10" s="129"/>
      <c r="D10" s="129"/>
      <c r="E10" s="129"/>
      <c r="F10" s="129">
        <v>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1</v>
      </c>
      <c r="AC10" s="134">
        <f t="shared" si="1"/>
        <v>0</v>
      </c>
    </row>
    <row r="11" spans="1:29">
      <c r="A11" s="129" t="s">
        <v>45</v>
      </c>
      <c r="B11" s="129" t="s">
        <v>211</v>
      </c>
      <c r="C11" s="129"/>
      <c r="D11" s="129"/>
      <c r="E11" s="129"/>
      <c r="F11" s="129">
        <v>1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1</v>
      </c>
      <c r="AC11" s="134">
        <f t="shared" si="1"/>
        <v>0</v>
      </c>
    </row>
    <row r="12" spans="1:29">
      <c r="A12" s="129" t="s">
        <v>47</v>
      </c>
      <c r="B12" s="129" t="s">
        <v>212</v>
      </c>
      <c r="C12" s="129"/>
      <c r="D12" s="129"/>
      <c r="E12" s="129"/>
      <c r="F12" s="129">
        <v>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1</v>
      </c>
      <c r="AC12" s="134">
        <f t="shared" si="1"/>
        <v>0</v>
      </c>
    </row>
    <row r="13" spans="1:29">
      <c r="A13" s="129" t="s">
        <v>49</v>
      </c>
      <c r="B13" s="129" t="s">
        <v>213</v>
      </c>
      <c r="C13" s="129"/>
      <c r="D13" s="129"/>
      <c r="E13" s="129"/>
      <c r="F13" s="129">
        <v>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1</v>
      </c>
      <c r="AC13" s="134">
        <f t="shared" si="1"/>
        <v>0</v>
      </c>
    </row>
    <row r="14" spans="1:29">
      <c r="A14" s="129" t="s">
        <v>51</v>
      </c>
      <c r="B14" s="129" t="s">
        <v>214</v>
      </c>
      <c r="C14" s="129"/>
      <c r="D14" s="129"/>
      <c r="E14" s="129"/>
      <c r="F14" s="129">
        <v>2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>
        <f t="shared" si="0"/>
        <v>2</v>
      </c>
      <c r="AC14" s="134">
        <f t="shared" si="1"/>
        <v>0</v>
      </c>
    </row>
    <row r="15" spans="1:29">
      <c r="A15" s="129" t="s">
        <v>53</v>
      </c>
      <c r="B15" s="129" t="s">
        <v>215</v>
      </c>
      <c r="C15" s="129"/>
      <c r="D15" s="129"/>
      <c r="E15" s="129"/>
      <c r="F15" s="129">
        <v>1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1</v>
      </c>
      <c r="AC15" s="134">
        <f t="shared" si="1"/>
        <v>0</v>
      </c>
    </row>
    <row r="16" spans="1:29">
      <c r="A16" s="129" t="s">
        <v>55</v>
      </c>
      <c r="B16" s="129" t="s">
        <v>44</v>
      </c>
      <c r="C16" s="129"/>
      <c r="D16" s="129"/>
      <c r="E16" s="129"/>
      <c r="F16" s="129">
        <v>1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1</v>
      </c>
      <c r="AC16" s="134">
        <f t="shared" si="1"/>
        <v>0</v>
      </c>
    </row>
    <row r="17" spans="1:29">
      <c r="A17" s="129" t="s">
        <v>57</v>
      </c>
      <c r="B17" s="129" t="s">
        <v>216</v>
      </c>
      <c r="C17" s="129"/>
      <c r="D17" s="129"/>
      <c r="E17" s="129"/>
      <c r="F17" s="129">
        <v>1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>
        <f t="shared" si="0"/>
        <v>1</v>
      </c>
      <c r="AC17" s="134">
        <f t="shared" si="1"/>
        <v>0</v>
      </c>
    </row>
    <row r="18" spans="1:29">
      <c r="A18" s="129" t="s">
        <v>59</v>
      </c>
      <c r="B18" s="129" t="s">
        <v>217</v>
      </c>
      <c r="C18" s="129"/>
      <c r="D18" s="129"/>
      <c r="E18" s="129"/>
      <c r="F18" s="129">
        <v>1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1</v>
      </c>
      <c r="AC18" s="134">
        <f t="shared" si="1"/>
        <v>0</v>
      </c>
    </row>
    <row r="19" spans="1:29">
      <c r="A19" s="129" t="s">
        <v>61</v>
      </c>
      <c r="B19" s="129" t="s">
        <v>218</v>
      </c>
      <c r="C19" s="129"/>
      <c r="D19" s="129"/>
      <c r="E19" s="129"/>
      <c r="F19" s="129">
        <v>2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>
        <f t="shared" si="0"/>
        <v>2</v>
      </c>
      <c r="AC19" s="134">
        <f t="shared" si="1"/>
        <v>0</v>
      </c>
    </row>
    <row r="20" spans="1:29">
      <c r="A20" s="129" t="s">
        <v>63</v>
      </c>
      <c r="B20" s="129" t="s">
        <v>219</v>
      </c>
      <c r="C20" s="129"/>
      <c r="D20" s="129"/>
      <c r="E20" s="129"/>
      <c r="F20" s="129">
        <v>1</v>
      </c>
      <c r="G20" s="129">
        <v>1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2</v>
      </c>
      <c r="AC20" s="134">
        <f t="shared" si="1"/>
        <v>0</v>
      </c>
    </row>
    <row r="21" spans="1:29">
      <c r="A21" s="129" t="s">
        <v>65</v>
      </c>
      <c r="B21" s="129" t="s">
        <v>220</v>
      </c>
      <c r="C21" s="129"/>
      <c r="D21" s="129"/>
      <c r="E21" s="129"/>
      <c r="F21" s="129">
        <v>2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>
        <f t="shared" si="0"/>
        <v>2</v>
      </c>
      <c r="AC21" s="134">
        <f t="shared" si="1"/>
        <v>0</v>
      </c>
    </row>
    <row r="22" spans="1:29">
      <c r="A22" s="129" t="s">
        <v>67</v>
      </c>
      <c r="B22" s="129" t="s">
        <v>204</v>
      </c>
      <c r="C22" s="129"/>
      <c r="D22" s="129"/>
      <c r="E22" s="129"/>
      <c r="F22" s="129">
        <v>2</v>
      </c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2</v>
      </c>
      <c r="AC22" s="134">
        <f t="shared" si="1"/>
        <v>0</v>
      </c>
    </row>
    <row r="23" spans="1:29">
      <c r="A23" s="129" t="s">
        <v>69</v>
      </c>
      <c r="B23" s="129" t="s">
        <v>221</v>
      </c>
      <c r="C23" s="129"/>
      <c r="D23" s="129"/>
      <c r="E23" s="129"/>
      <c r="F23" s="129">
        <v>3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3</v>
      </c>
      <c r="AC23" s="134">
        <f t="shared" si="1"/>
        <v>0</v>
      </c>
    </row>
    <row r="24" spans="1:29">
      <c r="A24" s="129" t="s">
        <v>71</v>
      </c>
      <c r="B24" s="129" t="s">
        <v>222</v>
      </c>
      <c r="C24" s="129"/>
      <c r="D24" s="129"/>
      <c r="E24" s="129"/>
      <c r="F24" s="129">
        <v>2</v>
      </c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2</v>
      </c>
      <c r="AC24" s="134">
        <f t="shared" si="1"/>
        <v>0</v>
      </c>
    </row>
    <row r="25" spans="1:29">
      <c r="A25" s="129" t="s">
        <v>223</v>
      </c>
      <c r="B25" s="129" t="s">
        <v>224</v>
      </c>
      <c r="C25" s="129"/>
      <c r="D25" s="129"/>
      <c r="E25" s="129"/>
      <c r="F25" s="129">
        <v>2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>
        <f t="shared" si="0"/>
        <v>2</v>
      </c>
      <c r="AC25" s="134">
        <f t="shared" si="1"/>
        <v>0</v>
      </c>
    </row>
    <row r="26" spans="1:29">
      <c r="A26" s="129" t="s">
        <v>73</v>
      </c>
      <c r="B26" s="129" t="s">
        <v>225</v>
      </c>
      <c r="C26" s="129"/>
      <c r="D26" s="129"/>
      <c r="E26" s="129"/>
      <c r="F26" s="129">
        <v>1</v>
      </c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1</v>
      </c>
      <c r="AC26" s="134">
        <f t="shared" si="1"/>
        <v>0</v>
      </c>
    </row>
    <row r="27" spans="1:29">
      <c r="A27" s="129" t="s">
        <v>75</v>
      </c>
      <c r="B27" s="129" t="s">
        <v>226</v>
      </c>
      <c r="C27" s="129"/>
      <c r="D27" s="129"/>
      <c r="E27" s="129"/>
      <c r="F27" s="129">
        <v>1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1</v>
      </c>
      <c r="AC27" s="134">
        <f t="shared" si="1"/>
        <v>0</v>
      </c>
    </row>
    <row r="28" spans="1:29">
      <c r="A28" s="129" t="s">
        <v>77</v>
      </c>
      <c r="B28" s="129" t="s">
        <v>110</v>
      </c>
      <c r="C28" s="129"/>
      <c r="D28" s="129"/>
      <c r="E28" s="129"/>
      <c r="F28" s="129"/>
      <c r="G28" s="129">
        <v>1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  <c r="AC28" s="134">
        <f t="shared" si="1"/>
        <v>0</v>
      </c>
    </row>
    <row r="29" spans="1:29">
      <c r="A29" s="129" t="s">
        <v>79</v>
      </c>
      <c r="B29" s="129" t="s">
        <v>90</v>
      </c>
      <c r="C29" s="129"/>
      <c r="D29" s="129"/>
      <c r="E29" s="129"/>
      <c r="F29" s="129"/>
      <c r="G29" s="129">
        <v>3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>
        <f t="shared" si="0"/>
        <v>3</v>
      </c>
      <c r="AC29" s="134">
        <f t="shared" si="1"/>
        <v>0</v>
      </c>
    </row>
    <row r="30" spans="1:29">
      <c r="A30" s="129" t="s">
        <v>81</v>
      </c>
      <c r="B30" s="129" t="s">
        <v>88</v>
      </c>
      <c r="C30" s="129"/>
      <c r="D30" s="129"/>
      <c r="E30" s="129"/>
      <c r="F30" s="129"/>
      <c r="G30" s="129">
        <v>1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1</v>
      </c>
      <c r="AC30" s="134">
        <f t="shared" si="1"/>
        <v>0</v>
      </c>
    </row>
    <row r="31" spans="1:29">
      <c r="A31" s="129" t="s">
        <v>83</v>
      </c>
      <c r="B31" s="129" t="s">
        <v>122</v>
      </c>
      <c r="C31" s="129"/>
      <c r="D31" s="129"/>
      <c r="E31" s="129"/>
      <c r="F31" s="129"/>
      <c r="G31" s="129">
        <v>5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si="0"/>
        <v>5</v>
      </c>
      <c r="AC31" s="134">
        <f t="shared" si="1"/>
        <v>0</v>
      </c>
    </row>
    <row r="32" spans="1:29">
      <c r="A32" s="129" t="s">
        <v>85</v>
      </c>
      <c r="B32" s="129" t="s">
        <v>227</v>
      </c>
      <c r="C32" s="129"/>
      <c r="D32" s="129"/>
      <c r="E32" s="129"/>
      <c r="F32" s="129"/>
      <c r="G32" s="129">
        <v>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0"/>
        <v>1</v>
      </c>
      <c r="AC32" s="134">
        <f t="shared" si="1"/>
        <v>0</v>
      </c>
    </row>
    <row r="33" spans="1:29">
      <c r="A33" s="129" t="s">
        <v>87</v>
      </c>
      <c r="B33" s="129" t="s">
        <v>228</v>
      </c>
      <c r="C33" s="129"/>
      <c r="D33" s="129"/>
      <c r="E33" s="129"/>
      <c r="F33" s="129"/>
      <c r="G33" s="129">
        <v>1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>
        <f t="shared" si="0"/>
        <v>1</v>
      </c>
      <c r="AC33" s="134">
        <f t="shared" si="1"/>
        <v>0</v>
      </c>
    </row>
    <row r="34" spans="1:29">
      <c r="A34" s="129" t="s">
        <v>89</v>
      </c>
      <c r="B34" s="129" t="s">
        <v>229</v>
      </c>
      <c r="C34" s="129"/>
      <c r="D34" s="129"/>
      <c r="E34" s="129"/>
      <c r="F34" s="129"/>
      <c r="G34" s="129">
        <v>1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>
        <f t="shared" si="0"/>
        <v>1</v>
      </c>
      <c r="AC34" s="134">
        <f t="shared" si="1"/>
        <v>0</v>
      </c>
    </row>
    <row r="35" spans="1:29">
      <c r="A35" s="129" t="s">
        <v>91</v>
      </c>
      <c r="B35" s="129" t="s">
        <v>112</v>
      </c>
      <c r="C35" s="129"/>
      <c r="D35" s="129"/>
      <c r="E35" s="129"/>
      <c r="F35" s="129"/>
      <c r="G35" s="129">
        <v>1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>
        <f t="shared" si="0"/>
        <v>1</v>
      </c>
      <c r="AC35" s="134">
        <f t="shared" ref="AC35:AC64" si="2">C35*D35*AB35/1000000</f>
        <v>0</v>
      </c>
    </row>
    <row r="36" spans="1:29">
      <c r="A36" s="129" t="s">
        <v>93</v>
      </c>
      <c r="B36" s="129" t="s">
        <v>139</v>
      </c>
      <c r="C36" s="129"/>
      <c r="D36" s="129"/>
      <c r="E36" s="129"/>
      <c r="F36" s="129"/>
      <c r="G36" s="129">
        <v>2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0"/>
        <v>2</v>
      </c>
      <c r="AC36" s="134">
        <f t="shared" si="2"/>
        <v>0</v>
      </c>
    </row>
    <row r="37" spans="1:29">
      <c r="A37" s="129" t="s">
        <v>95</v>
      </c>
      <c r="B37" s="129" t="s">
        <v>230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0"/>
        <v>1</v>
      </c>
      <c r="AC37" s="134">
        <f t="shared" si="2"/>
        <v>0</v>
      </c>
    </row>
    <row r="38" spans="1:29">
      <c r="A38" s="129" t="s">
        <v>97</v>
      </c>
      <c r="B38" s="129" t="s">
        <v>231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0"/>
        <v>1</v>
      </c>
      <c r="AC38" s="134">
        <f t="shared" si="2"/>
        <v>0</v>
      </c>
    </row>
    <row r="39" spans="1:29">
      <c r="A39" s="129" t="s">
        <v>99</v>
      </c>
      <c r="B39" s="129" t="s">
        <v>232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0"/>
        <v>1</v>
      </c>
      <c r="AC39" s="134">
        <f t="shared" si="2"/>
        <v>0</v>
      </c>
    </row>
    <row r="40" spans="1:29">
      <c r="A40" s="129" t="s">
        <v>101</v>
      </c>
      <c r="B40" s="129" t="s">
        <v>233</v>
      </c>
      <c r="C40" s="129"/>
      <c r="D40" s="129"/>
      <c r="E40" s="129"/>
      <c r="F40" s="129"/>
      <c r="G40" s="129">
        <v>1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>
        <f t="shared" si="0"/>
        <v>1</v>
      </c>
      <c r="AC40" s="134">
        <f t="shared" si="2"/>
        <v>0</v>
      </c>
    </row>
    <row r="41" spans="1:29">
      <c r="A41" s="129" t="s">
        <v>103</v>
      </c>
      <c r="B41" s="129" t="s">
        <v>234</v>
      </c>
      <c r="C41" s="129"/>
      <c r="D41" s="129"/>
      <c r="E41" s="129"/>
      <c r="F41" s="129"/>
      <c r="G41" s="129">
        <v>1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>
        <f t="shared" si="0"/>
        <v>1</v>
      </c>
      <c r="AC41" s="134">
        <f t="shared" si="2"/>
        <v>0</v>
      </c>
    </row>
    <row r="42" spans="1:29">
      <c r="A42" s="129" t="s">
        <v>105</v>
      </c>
      <c r="B42" s="129" t="s">
        <v>235</v>
      </c>
      <c r="C42" s="129"/>
      <c r="D42" s="129"/>
      <c r="E42" s="129"/>
      <c r="F42" s="129"/>
      <c r="G42" s="129">
        <v>2</v>
      </c>
      <c r="H42" s="129">
        <v>4</v>
      </c>
      <c r="I42" s="129">
        <v>4</v>
      </c>
      <c r="J42" s="129">
        <v>4</v>
      </c>
      <c r="K42" s="129">
        <v>4</v>
      </c>
      <c r="L42" s="129">
        <v>4</v>
      </c>
      <c r="M42" s="129">
        <v>4</v>
      </c>
      <c r="N42" s="129">
        <v>4</v>
      </c>
      <c r="O42" s="129">
        <v>4</v>
      </c>
      <c r="P42" s="129">
        <v>4</v>
      </c>
      <c r="Q42" s="129">
        <v>4</v>
      </c>
      <c r="R42" s="129">
        <v>4</v>
      </c>
      <c r="S42" s="129">
        <v>4</v>
      </c>
      <c r="T42" s="129">
        <v>4</v>
      </c>
      <c r="U42" s="129">
        <v>4</v>
      </c>
      <c r="V42" s="129">
        <v>4</v>
      </c>
      <c r="W42" s="129">
        <v>4</v>
      </c>
      <c r="X42" s="129"/>
      <c r="Y42" s="129"/>
      <c r="Z42" s="129"/>
      <c r="AA42" s="129"/>
      <c r="AB42" s="129">
        <f t="shared" si="0"/>
        <v>66</v>
      </c>
      <c r="AC42" s="134">
        <f t="shared" si="2"/>
        <v>0</v>
      </c>
    </row>
    <row r="43" spans="1:29">
      <c r="A43" s="129" t="s">
        <v>107</v>
      </c>
      <c r="B43" s="129" t="s">
        <v>236</v>
      </c>
      <c r="C43" s="129"/>
      <c r="D43" s="129"/>
      <c r="E43" s="129"/>
      <c r="F43" s="129"/>
      <c r="G43" s="129">
        <v>2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>
        <f t="shared" si="0"/>
        <v>2</v>
      </c>
      <c r="AC43" s="134">
        <f t="shared" si="2"/>
        <v>0</v>
      </c>
    </row>
    <row r="44" spans="1:29">
      <c r="A44" s="129" t="s">
        <v>109</v>
      </c>
      <c r="B44" s="129" t="s">
        <v>237</v>
      </c>
      <c r="C44" s="129"/>
      <c r="D44" s="129"/>
      <c r="E44" s="129"/>
      <c r="F44" s="129"/>
      <c r="G44" s="129">
        <v>2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>
        <f t="shared" si="0"/>
        <v>2</v>
      </c>
      <c r="AC44" s="134">
        <f t="shared" si="2"/>
        <v>0</v>
      </c>
    </row>
    <row r="45" spans="1:29">
      <c r="A45" s="129" t="s">
        <v>111</v>
      </c>
      <c r="B45" s="129" t="s">
        <v>238</v>
      </c>
      <c r="C45" s="129"/>
      <c r="D45" s="129"/>
      <c r="E45" s="129"/>
      <c r="F45" s="129"/>
      <c r="G45" s="129">
        <v>2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>
        <f t="shared" si="0"/>
        <v>2</v>
      </c>
      <c r="AC45" s="134">
        <f t="shared" si="2"/>
        <v>0</v>
      </c>
    </row>
    <row r="46" spans="1:29">
      <c r="A46" s="129" t="s">
        <v>113</v>
      </c>
      <c r="B46" s="129" t="s">
        <v>239</v>
      </c>
      <c r="C46" s="129"/>
      <c r="D46" s="129"/>
      <c r="E46" s="129"/>
      <c r="F46" s="129"/>
      <c r="G46" s="129">
        <v>1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>
        <f t="shared" si="0"/>
        <v>1</v>
      </c>
      <c r="AC46" s="134">
        <f t="shared" si="2"/>
        <v>0</v>
      </c>
    </row>
    <row r="47" spans="1:29">
      <c r="A47" s="129" t="s">
        <v>115</v>
      </c>
      <c r="B47" s="129" t="s">
        <v>153</v>
      </c>
      <c r="C47" s="129"/>
      <c r="D47" s="129"/>
      <c r="E47" s="129"/>
      <c r="F47" s="129"/>
      <c r="G47" s="129">
        <v>2</v>
      </c>
      <c r="H47" s="129">
        <v>12</v>
      </c>
      <c r="I47" s="129">
        <v>12</v>
      </c>
      <c r="J47" s="129">
        <v>12</v>
      </c>
      <c r="K47" s="129">
        <v>12</v>
      </c>
      <c r="L47" s="129">
        <v>12</v>
      </c>
      <c r="M47" s="129">
        <v>12</v>
      </c>
      <c r="N47" s="129">
        <v>12</v>
      </c>
      <c r="O47" s="129">
        <v>12</v>
      </c>
      <c r="P47" s="129">
        <v>12</v>
      </c>
      <c r="Q47" s="129">
        <v>12</v>
      </c>
      <c r="R47" s="129">
        <v>12</v>
      </c>
      <c r="S47" s="129">
        <v>12</v>
      </c>
      <c r="T47" s="129">
        <v>12</v>
      </c>
      <c r="U47" s="129">
        <v>12</v>
      </c>
      <c r="V47" s="129">
        <v>12</v>
      </c>
      <c r="W47" s="129">
        <v>12</v>
      </c>
      <c r="X47" s="129"/>
      <c r="Y47" s="129"/>
      <c r="Z47" s="129"/>
      <c r="AA47" s="129"/>
      <c r="AB47" s="129">
        <f t="shared" si="0"/>
        <v>194</v>
      </c>
      <c r="AC47" s="134">
        <f t="shared" si="2"/>
        <v>0</v>
      </c>
    </row>
    <row r="48" s="133" customFormat="1" spans="1:30">
      <c r="A48" s="132" t="s">
        <v>117</v>
      </c>
      <c r="B48" s="132" t="s">
        <v>240</v>
      </c>
      <c r="C48" s="132"/>
      <c r="D48" s="132"/>
      <c r="E48" s="132"/>
      <c r="F48" s="132"/>
      <c r="G48" s="132">
        <v>2</v>
      </c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>
        <f t="shared" si="0"/>
        <v>2</v>
      </c>
      <c r="AC48" s="135">
        <f t="shared" si="2"/>
        <v>0</v>
      </c>
      <c r="AD48" s="133" t="s">
        <v>241</v>
      </c>
    </row>
    <row r="49" spans="1:29">
      <c r="A49" s="129" t="s">
        <v>119</v>
      </c>
      <c r="B49" s="129" t="s">
        <v>242</v>
      </c>
      <c r="C49" s="129"/>
      <c r="D49" s="129"/>
      <c r="E49" s="129"/>
      <c r="F49" s="129"/>
      <c r="G49" s="129">
        <v>2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>
        <f t="shared" si="0"/>
        <v>2</v>
      </c>
      <c r="AC49" s="134">
        <f t="shared" si="2"/>
        <v>0</v>
      </c>
    </row>
    <row r="50" spans="1:29">
      <c r="A50" s="129" t="s">
        <v>121</v>
      </c>
      <c r="B50" s="129" t="s">
        <v>243</v>
      </c>
      <c r="C50" s="129"/>
      <c r="D50" s="129"/>
      <c r="E50" s="129"/>
      <c r="F50" s="129"/>
      <c r="G50" s="129">
        <v>2</v>
      </c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>
        <f t="shared" si="0"/>
        <v>2</v>
      </c>
      <c r="AC50" s="134">
        <f t="shared" si="2"/>
        <v>0</v>
      </c>
    </row>
    <row r="51" spans="1:29">
      <c r="A51" s="129" t="s">
        <v>123</v>
      </c>
      <c r="B51" s="129" t="s">
        <v>244</v>
      </c>
      <c r="C51" s="129"/>
      <c r="D51" s="129"/>
      <c r="E51" s="129"/>
      <c r="F51" s="129"/>
      <c r="G51" s="129">
        <v>1</v>
      </c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>
        <f t="shared" si="0"/>
        <v>1</v>
      </c>
      <c r="AC51" s="134">
        <f t="shared" si="2"/>
        <v>0</v>
      </c>
    </row>
    <row r="52" spans="1:29">
      <c r="A52" s="129" t="s">
        <v>125</v>
      </c>
      <c r="B52" s="129" t="s">
        <v>245</v>
      </c>
      <c r="C52" s="129"/>
      <c r="D52" s="129"/>
      <c r="E52" s="129"/>
      <c r="F52" s="129"/>
      <c r="G52" s="129">
        <v>3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>
        <f t="shared" si="0"/>
        <v>3</v>
      </c>
      <c r="AC52" s="134">
        <f t="shared" si="2"/>
        <v>0</v>
      </c>
    </row>
    <row r="53" spans="1:29">
      <c r="A53" s="129" t="s">
        <v>127</v>
      </c>
      <c r="B53" s="129" t="s">
        <v>246</v>
      </c>
      <c r="C53" s="129"/>
      <c r="D53" s="129"/>
      <c r="E53" s="129"/>
      <c r="F53" s="129"/>
      <c r="G53" s="129">
        <v>2</v>
      </c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>
        <f t="shared" si="0"/>
        <v>2</v>
      </c>
      <c r="AC53" s="134">
        <f t="shared" si="2"/>
        <v>0</v>
      </c>
    </row>
    <row r="54" spans="1:29">
      <c r="A54" s="129" t="s">
        <v>129</v>
      </c>
      <c r="B54" s="129" t="s">
        <v>247</v>
      </c>
      <c r="C54" s="129"/>
      <c r="D54" s="129"/>
      <c r="E54" s="129"/>
      <c r="F54" s="129"/>
      <c r="G54" s="129">
        <v>2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>
        <f t="shared" si="0"/>
        <v>2</v>
      </c>
      <c r="AC54" s="134">
        <f t="shared" si="2"/>
        <v>0</v>
      </c>
    </row>
    <row r="55" spans="1:29">
      <c r="A55" s="129" t="s">
        <v>131</v>
      </c>
      <c r="B55" s="130" t="s">
        <v>34</v>
      </c>
      <c r="C55" s="130"/>
      <c r="D55" s="130"/>
      <c r="E55" s="130"/>
      <c r="F55" s="130"/>
      <c r="G55" s="130">
        <v>3</v>
      </c>
      <c r="H55" s="130">
        <v>4</v>
      </c>
      <c r="I55" s="130">
        <v>4</v>
      </c>
      <c r="J55" s="130">
        <v>4</v>
      </c>
      <c r="K55" s="130">
        <v>4</v>
      </c>
      <c r="L55" s="130">
        <v>4</v>
      </c>
      <c r="M55" s="130">
        <v>4</v>
      </c>
      <c r="N55" s="130">
        <v>4</v>
      </c>
      <c r="O55" s="130">
        <v>4</v>
      </c>
      <c r="P55" s="130">
        <v>4</v>
      </c>
      <c r="Q55" s="130">
        <v>4</v>
      </c>
      <c r="R55" s="130">
        <v>4</v>
      </c>
      <c r="S55" s="130">
        <v>4</v>
      </c>
      <c r="T55" s="130">
        <v>4</v>
      </c>
      <c r="U55" s="130">
        <v>4</v>
      </c>
      <c r="V55" s="130">
        <v>4</v>
      </c>
      <c r="W55" s="130">
        <v>4</v>
      </c>
      <c r="X55" s="130"/>
      <c r="Y55" s="130"/>
      <c r="Z55" s="130"/>
      <c r="AA55" s="130"/>
      <c r="AB55" s="129">
        <f t="shared" si="0"/>
        <v>67</v>
      </c>
      <c r="AC55" s="136">
        <f t="shared" si="2"/>
        <v>0</v>
      </c>
    </row>
    <row r="56" spans="1:29">
      <c r="A56" s="129" t="s">
        <v>133</v>
      </c>
      <c r="B56" s="129" t="s">
        <v>248</v>
      </c>
      <c r="C56" s="129"/>
      <c r="D56" s="129"/>
      <c r="E56" s="129"/>
      <c r="F56" s="129"/>
      <c r="G56" s="129">
        <v>2</v>
      </c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>
        <f t="shared" si="0"/>
        <v>2</v>
      </c>
      <c r="AC56" s="134">
        <f t="shared" si="2"/>
        <v>0</v>
      </c>
    </row>
    <row r="57" spans="1:29">
      <c r="A57" s="129" t="s">
        <v>135</v>
      </c>
      <c r="B57" s="129" t="s">
        <v>249</v>
      </c>
      <c r="C57" s="129"/>
      <c r="D57" s="129"/>
      <c r="E57" s="129"/>
      <c r="F57" s="129"/>
      <c r="G57" s="129">
        <v>3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>
        <f t="shared" si="0"/>
        <v>3</v>
      </c>
      <c r="AC57" s="134">
        <f t="shared" si="2"/>
        <v>0</v>
      </c>
    </row>
    <row r="58" spans="1:29">
      <c r="A58" s="129" t="s">
        <v>137</v>
      </c>
      <c r="B58" s="129" t="s">
        <v>92</v>
      </c>
      <c r="C58" s="129"/>
      <c r="D58" s="129"/>
      <c r="E58" s="129"/>
      <c r="F58" s="129"/>
      <c r="G58" s="129">
        <v>2</v>
      </c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>
        <f t="shared" si="0"/>
        <v>2</v>
      </c>
      <c r="AC58" s="134">
        <f t="shared" si="2"/>
        <v>0</v>
      </c>
    </row>
    <row r="59" spans="1:29">
      <c r="A59" s="129" t="s">
        <v>138</v>
      </c>
      <c r="B59" s="129" t="s">
        <v>250</v>
      </c>
      <c r="C59" s="129"/>
      <c r="D59" s="129"/>
      <c r="E59" s="129"/>
      <c r="F59" s="129"/>
      <c r="G59" s="129">
        <v>2</v>
      </c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>
        <f t="shared" si="0"/>
        <v>2</v>
      </c>
      <c r="AC59" s="134">
        <f t="shared" si="2"/>
        <v>0</v>
      </c>
    </row>
    <row r="60" spans="1:29">
      <c r="A60" s="129" t="s">
        <v>140</v>
      </c>
      <c r="B60" s="129" t="s">
        <v>102</v>
      </c>
      <c r="C60" s="129"/>
      <c r="D60" s="129"/>
      <c r="E60" s="129"/>
      <c r="F60" s="129"/>
      <c r="G60" s="129">
        <v>1</v>
      </c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>
        <f t="shared" si="0"/>
        <v>1</v>
      </c>
      <c r="AC60" s="134">
        <f t="shared" si="2"/>
        <v>0</v>
      </c>
    </row>
    <row r="61" spans="1:29">
      <c r="A61" s="129" t="s">
        <v>142</v>
      </c>
      <c r="B61" s="129" t="s">
        <v>251</v>
      </c>
      <c r="C61" s="129"/>
      <c r="D61" s="129"/>
      <c r="E61" s="129"/>
      <c r="F61" s="129"/>
      <c r="G61" s="129">
        <v>1</v>
      </c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>
        <f t="shared" si="0"/>
        <v>1</v>
      </c>
      <c r="AC61" s="134">
        <f t="shared" si="2"/>
        <v>0</v>
      </c>
    </row>
    <row r="62" spans="1:29">
      <c r="A62" s="129" t="s">
        <v>144</v>
      </c>
      <c r="B62" s="129" t="s">
        <v>252</v>
      </c>
      <c r="C62" s="129"/>
      <c r="D62" s="129"/>
      <c r="E62" s="129"/>
      <c r="F62" s="129"/>
      <c r="G62" s="129"/>
      <c r="H62" s="129">
        <v>2</v>
      </c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>
        <f t="shared" si="0"/>
        <v>2</v>
      </c>
      <c r="AC62" s="134">
        <f t="shared" si="2"/>
        <v>0</v>
      </c>
    </row>
    <row r="63" spans="1:29">
      <c r="A63" s="129" t="s">
        <v>146</v>
      </c>
      <c r="B63" s="129" t="s">
        <v>141</v>
      </c>
      <c r="C63" s="129"/>
      <c r="D63" s="129"/>
      <c r="E63" s="129"/>
      <c r="F63" s="129"/>
      <c r="G63" s="129"/>
      <c r="H63" s="129">
        <v>2</v>
      </c>
      <c r="I63" s="129">
        <v>2</v>
      </c>
      <c r="J63" s="129">
        <v>2</v>
      </c>
      <c r="K63" s="129">
        <v>2</v>
      </c>
      <c r="L63" s="129">
        <v>2</v>
      </c>
      <c r="M63" s="129">
        <v>2</v>
      </c>
      <c r="N63" s="129">
        <v>2</v>
      </c>
      <c r="O63" s="129">
        <v>2</v>
      </c>
      <c r="P63" s="129">
        <v>2</v>
      </c>
      <c r="Q63" s="129">
        <v>2</v>
      </c>
      <c r="R63" s="129">
        <v>2</v>
      </c>
      <c r="S63" s="129">
        <v>2</v>
      </c>
      <c r="T63" s="129">
        <v>2</v>
      </c>
      <c r="U63" s="129">
        <v>2</v>
      </c>
      <c r="V63" s="129">
        <v>2</v>
      </c>
      <c r="W63" s="129">
        <v>2</v>
      </c>
      <c r="X63" s="129"/>
      <c r="Y63" s="129"/>
      <c r="Z63" s="129"/>
      <c r="AA63" s="129"/>
      <c r="AB63" s="129">
        <f t="shared" si="0"/>
        <v>32</v>
      </c>
      <c r="AC63" s="134">
        <f t="shared" si="2"/>
        <v>0</v>
      </c>
    </row>
    <row r="64" spans="1:29">
      <c r="A64" s="129" t="s">
        <v>148</v>
      </c>
      <c r="B64" s="129" t="s">
        <v>253</v>
      </c>
      <c r="C64" s="129"/>
      <c r="D64" s="129"/>
      <c r="E64" s="129"/>
      <c r="F64" s="129"/>
      <c r="G64" s="129"/>
      <c r="H64" s="129">
        <v>6</v>
      </c>
      <c r="I64" s="129">
        <v>6</v>
      </c>
      <c r="J64" s="129">
        <v>6</v>
      </c>
      <c r="K64" s="129">
        <v>6</v>
      </c>
      <c r="L64" s="129">
        <v>6</v>
      </c>
      <c r="M64" s="129">
        <v>6</v>
      </c>
      <c r="N64" s="129">
        <v>6</v>
      </c>
      <c r="O64" s="129">
        <v>6</v>
      </c>
      <c r="P64" s="129">
        <v>6</v>
      </c>
      <c r="Q64" s="129">
        <v>6</v>
      </c>
      <c r="R64" s="129">
        <v>6</v>
      </c>
      <c r="S64" s="129">
        <v>6</v>
      </c>
      <c r="T64" s="129">
        <v>6</v>
      </c>
      <c r="U64" s="129">
        <v>6</v>
      </c>
      <c r="V64" s="129">
        <v>6</v>
      </c>
      <c r="W64" s="129">
        <v>6</v>
      </c>
      <c r="X64" s="129"/>
      <c r="Y64" s="129"/>
      <c r="Z64" s="129"/>
      <c r="AA64" s="129"/>
      <c r="AB64" s="129">
        <f t="shared" si="0"/>
        <v>96</v>
      </c>
      <c r="AC64" s="134">
        <f t="shared" si="2"/>
        <v>0</v>
      </c>
    </row>
    <row r="65" spans="1:29">
      <c r="A65" s="129" t="s">
        <v>150</v>
      </c>
      <c r="B65" s="129" t="s">
        <v>254</v>
      </c>
      <c r="C65" s="129"/>
      <c r="D65" s="129"/>
      <c r="E65" s="129"/>
      <c r="F65" s="129"/>
      <c r="G65" s="129"/>
      <c r="H65" s="129">
        <v>2</v>
      </c>
      <c r="I65" s="129">
        <v>2</v>
      </c>
      <c r="J65" s="129">
        <v>2</v>
      </c>
      <c r="K65" s="129">
        <v>2</v>
      </c>
      <c r="L65" s="129">
        <v>6</v>
      </c>
      <c r="M65" s="129">
        <v>6</v>
      </c>
      <c r="N65" s="129">
        <v>6</v>
      </c>
      <c r="O65" s="129">
        <v>6</v>
      </c>
      <c r="P65" s="129">
        <v>6</v>
      </c>
      <c r="Q65" s="129">
        <v>6</v>
      </c>
      <c r="R65" s="129">
        <v>6</v>
      </c>
      <c r="S65" s="129">
        <v>6</v>
      </c>
      <c r="T65" s="129">
        <v>6</v>
      </c>
      <c r="U65" s="129">
        <v>6</v>
      </c>
      <c r="V65" s="129">
        <v>6</v>
      </c>
      <c r="W65" s="129">
        <v>6</v>
      </c>
      <c r="X65" s="129"/>
      <c r="Y65" s="129"/>
      <c r="Z65" s="129"/>
      <c r="AA65" s="129"/>
      <c r="AB65" s="129">
        <f t="shared" si="0"/>
        <v>80</v>
      </c>
      <c r="AC65" s="134">
        <f t="shared" ref="AC65:AC84" si="3">C65*D65*AB65/1000000</f>
        <v>0</v>
      </c>
    </row>
    <row r="66" spans="1:29">
      <c r="A66" s="129" t="s">
        <v>152</v>
      </c>
      <c r="B66" s="129" t="s">
        <v>143</v>
      </c>
      <c r="C66" s="129"/>
      <c r="D66" s="129"/>
      <c r="E66" s="129"/>
      <c r="F66" s="129"/>
      <c r="G66" s="129"/>
      <c r="H66" s="129">
        <v>10</v>
      </c>
      <c r="I66" s="129">
        <v>10</v>
      </c>
      <c r="J66" s="129">
        <v>10</v>
      </c>
      <c r="K66" s="129">
        <v>10</v>
      </c>
      <c r="L66" s="129">
        <v>9</v>
      </c>
      <c r="M66" s="129">
        <v>9</v>
      </c>
      <c r="N66" s="129">
        <v>9</v>
      </c>
      <c r="O66" s="129">
        <v>9</v>
      </c>
      <c r="P66" s="129">
        <v>9</v>
      </c>
      <c r="Q66" s="129">
        <v>9</v>
      </c>
      <c r="R66" s="129">
        <v>9</v>
      </c>
      <c r="S66" s="129">
        <v>9</v>
      </c>
      <c r="T66" s="129">
        <v>9</v>
      </c>
      <c r="U66" s="129">
        <v>9</v>
      </c>
      <c r="V66" s="129">
        <v>9</v>
      </c>
      <c r="W66" s="129">
        <v>9</v>
      </c>
      <c r="X66" s="129"/>
      <c r="Y66" s="129"/>
      <c r="Z66" s="129"/>
      <c r="AA66" s="129"/>
      <c r="AB66" s="129">
        <f t="shared" si="0"/>
        <v>148</v>
      </c>
      <c r="AC66" s="134">
        <f t="shared" si="3"/>
        <v>0</v>
      </c>
    </row>
    <row r="67" spans="1:29">
      <c r="A67" s="129" t="s">
        <v>154</v>
      </c>
      <c r="B67" s="129" t="s">
        <v>145</v>
      </c>
      <c r="C67" s="129"/>
      <c r="D67" s="129"/>
      <c r="E67" s="129"/>
      <c r="F67" s="129"/>
      <c r="G67" s="129"/>
      <c r="H67" s="129">
        <v>6</v>
      </c>
      <c r="I67" s="129">
        <v>6</v>
      </c>
      <c r="J67" s="129">
        <v>6</v>
      </c>
      <c r="K67" s="129">
        <v>6</v>
      </c>
      <c r="L67" s="129">
        <v>6</v>
      </c>
      <c r="M67" s="129">
        <v>6</v>
      </c>
      <c r="N67" s="129">
        <v>6</v>
      </c>
      <c r="O67" s="129">
        <v>6</v>
      </c>
      <c r="P67" s="129">
        <v>6</v>
      </c>
      <c r="Q67" s="129">
        <v>6</v>
      </c>
      <c r="R67" s="129">
        <v>6</v>
      </c>
      <c r="S67" s="129">
        <v>6</v>
      </c>
      <c r="T67" s="129">
        <v>6</v>
      </c>
      <c r="U67" s="129">
        <v>6</v>
      </c>
      <c r="V67" s="129">
        <v>6</v>
      </c>
      <c r="W67" s="129">
        <v>6</v>
      </c>
      <c r="X67" s="129"/>
      <c r="Y67" s="129"/>
      <c r="Z67" s="129"/>
      <c r="AA67" s="129"/>
      <c r="AB67" s="129">
        <f t="shared" ref="AB67:AB86" si="4">SUM(E67:AA67)</f>
        <v>96</v>
      </c>
      <c r="AC67" s="134">
        <f t="shared" si="3"/>
        <v>0</v>
      </c>
    </row>
    <row r="68" spans="1:29">
      <c r="A68" s="129" t="s">
        <v>156</v>
      </c>
      <c r="B68" s="129" t="s">
        <v>151</v>
      </c>
      <c r="C68" s="129"/>
      <c r="D68" s="129"/>
      <c r="E68" s="129"/>
      <c r="F68" s="129"/>
      <c r="G68" s="129"/>
      <c r="H68" s="129">
        <v>6</v>
      </c>
      <c r="I68" s="129">
        <v>6</v>
      </c>
      <c r="J68" s="129">
        <v>6</v>
      </c>
      <c r="K68" s="129">
        <v>6</v>
      </c>
      <c r="L68" s="129">
        <v>6</v>
      </c>
      <c r="M68" s="129">
        <v>6</v>
      </c>
      <c r="N68" s="129">
        <v>6</v>
      </c>
      <c r="O68" s="129">
        <v>6</v>
      </c>
      <c r="P68" s="129">
        <v>6</v>
      </c>
      <c r="Q68" s="129">
        <v>6</v>
      </c>
      <c r="R68" s="129">
        <v>6</v>
      </c>
      <c r="S68" s="129">
        <v>6</v>
      </c>
      <c r="T68" s="129">
        <v>6</v>
      </c>
      <c r="U68" s="129">
        <v>6</v>
      </c>
      <c r="V68" s="129">
        <v>6</v>
      </c>
      <c r="W68" s="129">
        <v>6</v>
      </c>
      <c r="X68" s="129"/>
      <c r="Y68" s="129"/>
      <c r="Z68" s="129"/>
      <c r="AA68" s="129"/>
      <c r="AB68" s="129">
        <f t="shared" si="4"/>
        <v>96</v>
      </c>
      <c r="AC68" s="134">
        <f t="shared" si="3"/>
        <v>0</v>
      </c>
    </row>
    <row r="69" spans="1:29">
      <c r="A69" s="129" t="s">
        <v>158</v>
      </c>
      <c r="B69" s="129" t="s">
        <v>255</v>
      </c>
      <c r="C69" s="129"/>
      <c r="D69" s="129"/>
      <c r="E69" s="129"/>
      <c r="F69" s="129"/>
      <c r="G69" s="129"/>
      <c r="H69" s="129">
        <v>3</v>
      </c>
      <c r="I69" s="129">
        <v>4</v>
      </c>
      <c r="J69" s="129">
        <v>4</v>
      </c>
      <c r="K69" s="129">
        <v>4</v>
      </c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>
        <f t="shared" si="4"/>
        <v>15</v>
      </c>
      <c r="AC69" s="134">
        <f t="shared" si="3"/>
        <v>0</v>
      </c>
    </row>
    <row r="70" spans="1:29">
      <c r="A70" s="129" t="s">
        <v>160</v>
      </c>
      <c r="B70" s="129" t="s">
        <v>256</v>
      </c>
      <c r="C70" s="129"/>
      <c r="D70" s="129"/>
      <c r="E70" s="129"/>
      <c r="F70" s="129"/>
      <c r="G70" s="129"/>
      <c r="H70" s="129">
        <v>2</v>
      </c>
      <c r="I70" s="129">
        <v>2</v>
      </c>
      <c r="J70" s="129">
        <v>2</v>
      </c>
      <c r="K70" s="129">
        <v>2</v>
      </c>
      <c r="L70" s="129">
        <v>2</v>
      </c>
      <c r="M70" s="129">
        <v>2</v>
      </c>
      <c r="N70" s="129">
        <v>2</v>
      </c>
      <c r="O70" s="129">
        <v>2</v>
      </c>
      <c r="P70" s="129">
        <v>2</v>
      </c>
      <c r="Q70" s="129">
        <v>2</v>
      </c>
      <c r="R70" s="129">
        <v>2</v>
      </c>
      <c r="S70" s="129">
        <v>2</v>
      </c>
      <c r="T70" s="129">
        <v>2</v>
      </c>
      <c r="U70" s="129">
        <v>2</v>
      </c>
      <c r="V70" s="129">
        <v>2</v>
      </c>
      <c r="W70" s="129">
        <v>2</v>
      </c>
      <c r="X70" s="129"/>
      <c r="Y70" s="129"/>
      <c r="Z70" s="129"/>
      <c r="AA70" s="129"/>
      <c r="AB70" s="129">
        <f t="shared" si="4"/>
        <v>32</v>
      </c>
      <c r="AC70" s="134">
        <f t="shared" si="3"/>
        <v>0</v>
      </c>
    </row>
    <row r="71" spans="1:29">
      <c r="A71" s="129" t="s">
        <v>162</v>
      </c>
      <c r="B71" s="129" t="s">
        <v>257</v>
      </c>
      <c r="C71" s="129"/>
      <c r="D71" s="129"/>
      <c r="E71" s="129"/>
      <c r="F71" s="129"/>
      <c r="G71" s="129"/>
      <c r="H71" s="129">
        <v>2</v>
      </c>
      <c r="I71" s="129">
        <v>2</v>
      </c>
      <c r="J71" s="129">
        <v>2</v>
      </c>
      <c r="K71" s="129">
        <v>2</v>
      </c>
      <c r="L71" s="129">
        <v>2</v>
      </c>
      <c r="M71" s="129">
        <v>2</v>
      </c>
      <c r="N71" s="129">
        <v>2</v>
      </c>
      <c r="O71" s="129">
        <v>2</v>
      </c>
      <c r="P71" s="129">
        <v>2</v>
      </c>
      <c r="Q71" s="129">
        <v>2</v>
      </c>
      <c r="R71" s="129">
        <v>2</v>
      </c>
      <c r="S71" s="129">
        <v>2</v>
      </c>
      <c r="T71" s="129">
        <v>2</v>
      </c>
      <c r="U71" s="129">
        <v>2</v>
      </c>
      <c r="V71" s="129">
        <v>2</v>
      </c>
      <c r="W71" s="129">
        <v>2</v>
      </c>
      <c r="X71" s="129"/>
      <c r="Y71" s="129"/>
      <c r="Z71" s="129"/>
      <c r="AA71" s="129"/>
      <c r="AB71" s="129">
        <f t="shared" si="4"/>
        <v>32</v>
      </c>
      <c r="AC71" s="134">
        <f t="shared" si="3"/>
        <v>0</v>
      </c>
    </row>
    <row r="72" spans="1:29">
      <c r="A72" s="129" t="s">
        <v>164</v>
      </c>
      <c r="B72" s="129" t="s">
        <v>258</v>
      </c>
      <c r="C72" s="129"/>
      <c r="D72" s="129"/>
      <c r="E72" s="129"/>
      <c r="F72" s="129"/>
      <c r="G72" s="129"/>
      <c r="H72" s="129">
        <v>2</v>
      </c>
      <c r="I72" s="129">
        <v>2</v>
      </c>
      <c r="J72" s="129">
        <v>2</v>
      </c>
      <c r="K72" s="129">
        <v>2</v>
      </c>
      <c r="L72" s="129">
        <v>2</v>
      </c>
      <c r="M72" s="129">
        <v>2</v>
      </c>
      <c r="N72" s="129">
        <v>2</v>
      </c>
      <c r="O72" s="129">
        <v>2</v>
      </c>
      <c r="P72" s="129">
        <v>2</v>
      </c>
      <c r="Q72" s="129">
        <v>2</v>
      </c>
      <c r="R72" s="129">
        <v>2</v>
      </c>
      <c r="S72" s="129">
        <v>2</v>
      </c>
      <c r="T72" s="129">
        <v>2</v>
      </c>
      <c r="U72" s="129">
        <v>2</v>
      </c>
      <c r="V72" s="129">
        <v>2</v>
      </c>
      <c r="W72" s="129">
        <v>2</v>
      </c>
      <c r="X72" s="129"/>
      <c r="Y72" s="129"/>
      <c r="Z72" s="129"/>
      <c r="AA72" s="129"/>
      <c r="AB72" s="129">
        <f t="shared" si="4"/>
        <v>32</v>
      </c>
      <c r="AC72" s="134">
        <f t="shared" si="3"/>
        <v>0</v>
      </c>
    </row>
    <row r="73" spans="1:29">
      <c r="A73" s="129" t="s">
        <v>166</v>
      </c>
      <c r="B73" s="129" t="s">
        <v>259</v>
      </c>
      <c r="C73" s="129"/>
      <c r="D73" s="129"/>
      <c r="E73" s="129"/>
      <c r="F73" s="129"/>
      <c r="G73" s="129"/>
      <c r="H73" s="129">
        <v>3</v>
      </c>
      <c r="I73" s="129">
        <v>3</v>
      </c>
      <c r="J73" s="129">
        <v>3</v>
      </c>
      <c r="K73" s="129">
        <v>3</v>
      </c>
      <c r="L73" s="129">
        <v>3</v>
      </c>
      <c r="M73" s="129">
        <v>3</v>
      </c>
      <c r="N73" s="129">
        <v>3</v>
      </c>
      <c r="O73" s="129">
        <v>3</v>
      </c>
      <c r="P73" s="129">
        <v>3</v>
      </c>
      <c r="Q73" s="129">
        <v>3</v>
      </c>
      <c r="R73" s="129">
        <v>3</v>
      </c>
      <c r="S73" s="129">
        <v>3</v>
      </c>
      <c r="T73" s="129">
        <v>3</v>
      </c>
      <c r="U73" s="129">
        <v>3</v>
      </c>
      <c r="V73" s="129">
        <v>3</v>
      </c>
      <c r="W73" s="129">
        <v>3</v>
      </c>
      <c r="X73" s="129"/>
      <c r="Y73" s="129"/>
      <c r="Z73" s="129"/>
      <c r="AA73" s="129"/>
      <c r="AB73" s="129">
        <f t="shared" si="4"/>
        <v>48</v>
      </c>
      <c r="AC73" s="134">
        <f t="shared" si="3"/>
        <v>0</v>
      </c>
    </row>
    <row r="74" spans="1:29">
      <c r="A74" s="129" t="s">
        <v>168</v>
      </c>
      <c r="B74" s="129" t="s">
        <v>260</v>
      </c>
      <c r="C74" s="129"/>
      <c r="D74" s="129"/>
      <c r="E74" s="129"/>
      <c r="F74" s="129"/>
      <c r="G74" s="129"/>
      <c r="H74" s="129">
        <v>3</v>
      </c>
      <c r="I74" s="129">
        <v>2</v>
      </c>
      <c r="J74" s="129">
        <v>2</v>
      </c>
      <c r="K74" s="129">
        <v>2</v>
      </c>
      <c r="L74" s="129">
        <v>6</v>
      </c>
      <c r="M74" s="129">
        <v>6</v>
      </c>
      <c r="N74" s="129">
        <v>6</v>
      </c>
      <c r="O74" s="129">
        <v>6</v>
      </c>
      <c r="P74" s="129">
        <v>6</v>
      </c>
      <c r="Q74" s="129">
        <v>6</v>
      </c>
      <c r="R74" s="129">
        <v>6</v>
      </c>
      <c r="S74" s="129">
        <v>6</v>
      </c>
      <c r="T74" s="129">
        <v>6</v>
      </c>
      <c r="U74" s="129">
        <v>6</v>
      </c>
      <c r="V74" s="129">
        <v>6</v>
      </c>
      <c r="W74" s="129">
        <v>6</v>
      </c>
      <c r="X74" s="129"/>
      <c r="Y74" s="129"/>
      <c r="Z74" s="129"/>
      <c r="AA74" s="129"/>
      <c r="AB74" s="129">
        <f t="shared" si="4"/>
        <v>81</v>
      </c>
      <c r="AC74" s="134">
        <f t="shared" si="3"/>
        <v>0</v>
      </c>
    </row>
    <row r="75" spans="1:29">
      <c r="A75" s="129" t="s">
        <v>170</v>
      </c>
      <c r="B75" s="129" t="s">
        <v>261</v>
      </c>
      <c r="C75" s="129"/>
      <c r="D75" s="129"/>
      <c r="E75" s="129"/>
      <c r="F75" s="129"/>
      <c r="G75" s="129"/>
      <c r="H75" s="129">
        <v>4</v>
      </c>
      <c r="I75" s="129">
        <v>4</v>
      </c>
      <c r="J75" s="129">
        <v>4</v>
      </c>
      <c r="K75" s="129">
        <v>4</v>
      </c>
      <c r="L75" s="129">
        <v>4</v>
      </c>
      <c r="M75" s="129">
        <v>4</v>
      </c>
      <c r="N75" s="129">
        <v>4</v>
      </c>
      <c r="O75" s="129">
        <v>4</v>
      </c>
      <c r="P75" s="129">
        <v>4</v>
      </c>
      <c r="Q75" s="129">
        <v>4</v>
      </c>
      <c r="R75" s="129">
        <v>4</v>
      </c>
      <c r="S75" s="129">
        <v>4</v>
      </c>
      <c r="T75" s="129">
        <v>4</v>
      </c>
      <c r="U75" s="129">
        <v>4</v>
      </c>
      <c r="V75" s="129">
        <v>4</v>
      </c>
      <c r="W75" s="129">
        <v>4</v>
      </c>
      <c r="X75" s="129"/>
      <c r="Y75" s="129"/>
      <c r="Z75" s="129"/>
      <c r="AA75" s="129"/>
      <c r="AB75" s="129">
        <f t="shared" si="4"/>
        <v>64</v>
      </c>
      <c r="AC75" s="134">
        <f t="shared" si="3"/>
        <v>0</v>
      </c>
    </row>
    <row r="76" spans="1:29">
      <c r="A76" s="129" t="s">
        <v>172</v>
      </c>
      <c r="B76" s="129" t="s">
        <v>179</v>
      </c>
      <c r="C76" s="129"/>
      <c r="D76" s="129"/>
      <c r="E76" s="129"/>
      <c r="F76" s="129"/>
      <c r="G76" s="129"/>
      <c r="H76" s="129"/>
      <c r="I76" s="129">
        <v>2</v>
      </c>
      <c r="J76" s="129">
        <v>2</v>
      </c>
      <c r="K76" s="129">
        <v>2</v>
      </c>
      <c r="L76" s="129">
        <v>2</v>
      </c>
      <c r="M76" s="129">
        <v>2</v>
      </c>
      <c r="N76" s="129">
        <v>2</v>
      </c>
      <c r="O76" s="129">
        <v>2</v>
      </c>
      <c r="P76" s="129">
        <v>2</v>
      </c>
      <c r="Q76" s="129">
        <v>2</v>
      </c>
      <c r="R76" s="129">
        <v>2</v>
      </c>
      <c r="S76" s="129">
        <v>2</v>
      </c>
      <c r="T76" s="129">
        <v>2</v>
      </c>
      <c r="U76" s="129">
        <v>2</v>
      </c>
      <c r="V76" s="129">
        <v>2</v>
      </c>
      <c r="W76" s="129">
        <v>2</v>
      </c>
      <c r="X76" s="129"/>
      <c r="Y76" s="129"/>
      <c r="Z76" s="129"/>
      <c r="AA76" s="129"/>
      <c r="AB76" s="129">
        <f t="shared" si="4"/>
        <v>30</v>
      </c>
      <c r="AC76" s="134">
        <f t="shared" si="3"/>
        <v>0</v>
      </c>
    </row>
    <row r="77" spans="1:29">
      <c r="A77" s="129" t="s">
        <v>174</v>
      </c>
      <c r="B77" s="129" t="s">
        <v>262</v>
      </c>
      <c r="C77" s="129"/>
      <c r="D77" s="129"/>
      <c r="E77" s="129"/>
      <c r="F77" s="129"/>
      <c r="G77" s="129"/>
      <c r="H77" s="129"/>
      <c r="I77" s="129">
        <v>4</v>
      </c>
      <c r="J77" s="129">
        <v>4</v>
      </c>
      <c r="K77" s="129">
        <v>4</v>
      </c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>
        <f t="shared" si="4"/>
        <v>12</v>
      </c>
      <c r="AC77" s="134">
        <f t="shared" si="3"/>
        <v>0</v>
      </c>
    </row>
    <row r="78" spans="1:29">
      <c r="A78" s="129" t="s">
        <v>176</v>
      </c>
      <c r="B78" s="129" t="s">
        <v>147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>
        <v>1</v>
      </c>
      <c r="M78" s="129">
        <v>1</v>
      </c>
      <c r="N78" s="129">
        <v>1</v>
      </c>
      <c r="O78" s="129">
        <v>1</v>
      </c>
      <c r="P78" s="129">
        <v>1</v>
      </c>
      <c r="Q78" s="129">
        <v>1</v>
      </c>
      <c r="R78" s="129">
        <v>1</v>
      </c>
      <c r="S78" s="129">
        <v>1</v>
      </c>
      <c r="T78" s="129">
        <v>1</v>
      </c>
      <c r="U78" s="129">
        <v>1</v>
      </c>
      <c r="V78" s="129">
        <v>1</v>
      </c>
      <c r="W78" s="129">
        <v>1</v>
      </c>
      <c r="X78" s="129"/>
      <c r="Y78" s="129"/>
      <c r="Z78" s="129"/>
      <c r="AA78" s="129"/>
      <c r="AB78" s="129">
        <f t="shared" si="4"/>
        <v>12</v>
      </c>
      <c r="AC78" s="134">
        <f t="shared" si="3"/>
        <v>0</v>
      </c>
    </row>
    <row r="79" spans="1:29">
      <c r="A79" s="129" t="s">
        <v>178</v>
      </c>
      <c r="B79" s="129" t="s">
        <v>191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>
        <v>6</v>
      </c>
      <c r="AB79" s="129">
        <f t="shared" si="4"/>
        <v>6</v>
      </c>
      <c r="AC79" s="134">
        <f t="shared" si="3"/>
        <v>0</v>
      </c>
    </row>
    <row r="80" spans="1:29">
      <c r="A80" s="129" t="s">
        <v>180</v>
      </c>
      <c r="B80" s="129" t="s">
        <v>263</v>
      </c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>
        <v>3</v>
      </c>
      <c r="AB80" s="129">
        <f t="shared" si="4"/>
        <v>3</v>
      </c>
      <c r="AC80" s="134">
        <f t="shared" si="3"/>
        <v>0</v>
      </c>
    </row>
    <row r="81" spans="1:29">
      <c r="A81" s="129" t="s">
        <v>182</v>
      </c>
      <c r="B81" s="129" t="s">
        <v>264</v>
      </c>
      <c r="C81" s="129"/>
      <c r="D81" s="129"/>
      <c r="E81" s="129"/>
      <c r="F81" s="129"/>
      <c r="G81" s="129">
        <v>3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>
        <f t="shared" si="4"/>
        <v>3</v>
      </c>
      <c r="AC81" s="134">
        <f t="shared" si="3"/>
        <v>0</v>
      </c>
    </row>
    <row r="82" spans="1:29">
      <c r="A82" s="129" t="s">
        <v>184</v>
      </c>
      <c r="B82" s="129" t="s">
        <v>265</v>
      </c>
      <c r="C82" s="129"/>
      <c r="D82" s="129"/>
      <c r="E82" s="129"/>
      <c r="F82" s="129">
        <v>1</v>
      </c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>
        <f t="shared" si="4"/>
        <v>1</v>
      </c>
      <c r="AC82" s="134">
        <f t="shared" si="3"/>
        <v>0</v>
      </c>
    </row>
    <row r="83" spans="1:29">
      <c r="A83" s="129" t="s">
        <v>186</v>
      </c>
      <c r="B83" s="129" t="s">
        <v>266</v>
      </c>
      <c r="C83" s="129"/>
      <c r="D83" s="129"/>
      <c r="E83" s="129"/>
      <c r="F83" s="129"/>
      <c r="G83" s="129">
        <v>2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>
        <f t="shared" si="4"/>
        <v>2</v>
      </c>
      <c r="AC83" s="129">
        <f t="shared" si="3"/>
        <v>0</v>
      </c>
    </row>
    <row r="84" spans="1:29">
      <c r="A84" s="129" t="s">
        <v>188</v>
      </c>
      <c r="B84" s="129" t="s">
        <v>267</v>
      </c>
      <c r="C84" s="129"/>
      <c r="D84" s="129"/>
      <c r="E84" s="129"/>
      <c r="F84" s="129"/>
      <c r="G84" s="129">
        <v>2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>
        <f t="shared" si="4"/>
        <v>2</v>
      </c>
      <c r="AC84" s="129">
        <f t="shared" si="3"/>
        <v>0</v>
      </c>
    </row>
    <row r="85" spans="1:29">
      <c r="A85" s="129" t="s">
        <v>190</v>
      </c>
      <c r="B85" s="129" t="s">
        <v>268</v>
      </c>
      <c r="C85" s="129"/>
      <c r="D85" s="129"/>
      <c r="E85" s="129"/>
      <c r="F85" s="129">
        <v>9</v>
      </c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>
        <f t="shared" si="4"/>
        <v>9</v>
      </c>
      <c r="AC85" s="129"/>
    </row>
    <row r="86" spans="1:29">
      <c r="A86" s="129" t="s">
        <v>192</v>
      </c>
      <c r="B86" s="129" t="s">
        <v>269</v>
      </c>
      <c r="C86" s="129"/>
      <c r="D86" s="129"/>
      <c r="E86" s="129"/>
      <c r="F86" s="129">
        <v>5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>
        <f t="shared" si="4"/>
        <v>5</v>
      </c>
      <c r="AC86" s="129"/>
    </row>
    <row r="87" spans="28:28">
      <c r="AB87" s="137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  <c r="AC2" s="129" t="s">
        <v>206</v>
      </c>
    </row>
    <row r="3" spans="1:29">
      <c r="A3" s="129" t="s">
        <v>29</v>
      </c>
      <c r="B3" s="129" t="s">
        <v>271</v>
      </c>
      <c r="C3" s="129">
        <v>900</v>
      </c>
      <c r="D3" s="129">
        <v>2200</v>
      </c>
      <c r="E3" s="129">
        <v>1</v>
      </c>
      <c r="F3" s="131">
        <v>1</v>
      </c>
      <c r="G3" s="129"/>
      <c r="H3" s="129">
        <v>1</v>
      </c>
      <c r="I3" s="129">
        <v>1</v>
      </c>
      <c r="J3" s="129">
        <v>1</v>
      </c>
      <c r="K3" s="129">
        <v>1</v>
      </c>
      <c r="L3" s="129">
        <v>1</v>
      </c>
      <c r="M3" s="129">
        <v>1</v>
      </c>
      <c r="N3" s="129">
        <v>1</v>
      </c>
      <c r="O3" s="129">
        <v>1</v>
      </c>
      <c r="P3" s="129">
        <v>1</v>
      </c>
      <c r="Q3" s="129">
        <v>1</v>
      </c>
      <c r="R3" s="129">
        <v>1</v>
      </c>
      <c r="S3" s="129">
        <v>1</v>
      </c>
      <c r="T3" s="129">
        <v>1</v>
      </c>
      <c r="U3" s="129">
        <v>1</v>
      </c>
      <c r="V3" s="129">
        <v>1</v>
      </c>
      <c r="W3" s="129">
        <v>1</v>
      </c>
      <c r="X3" s="129">
        <v>1</v>
      </c>
      <c r="Y3" s="129">
        <v>1</v>
      </c>
      <c r="Z3" s="129">
        <v>1</v>
      </c>
      <c r="AA3" s="129"/>
      <c r="AB3" s="129">
        <f>SUM(E3:AA3)</f>
        <v>21</v>
      </c>
      <c r="AC3" s="129"/>
    </row>
    <row r="4" spans="1:29">
      <c r="A4" s="129" t="s">
        <v>31</v>
      </c>
      <c r="B4" s="129" t="s">
        <v>40</v>
      </c>
      <c r="C4" s="129">
        <v>900</v>
      </c>
      <c r="D4" s="129">
        <v>1200</v>
      </c>
      <c r="E4" s="129">
        <v>2</v>
      </c>
      <c r="F4" s="131">
        <v>2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ref="AB4:AB61" si="0">SUM(E4:AA4)</f>
        <v>4</v>
      </c>
      <c r="AC4" s="129"/>
    </row>
    <row r="5" spans="1:29">
      <c r="A5" s="129" t="s">
        <v>33</v>
      </c>
      <c r="B5" s="129" t="s">
        <v>272</v>
      </c>
      <c r="C5" s="129">
        <v>1600</v>
      </c>
      <c r="D5" s="129">
        <v>1500</v>
      </c>
      <c r="E5" s="129">
        <v>1</v>
      </c>
      <c r="F5" s="131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>
        <f t="shared" si="0"/>
        <v>1</v>
      </c>
      <c r="AC5" s="129"/>
    </row>
    <row r="6" spans="1:29">
      <c r="A6" s="129" t="s">
        <v>35</v>
      </c>
      <c r="B6" s="129" t="s">
        <v>273</v>
      </c>
      <c r="C6" s="129">
        <v>1700</v>
      </c>
      <c r="D6" s="129">
        <v>2000</v>
      </c>
      <c r="E6" s="129">
        <v>1</v>
      </c>
      <c r="F6" s="131">
        <v>1</v>
      </c>
      <c r="G6" s="129"/>
      <c r="H6" s="129">
        <v>1</v>
      </c>
      <c r="I6" s="129">
        <v>1</v>
      </c>
      <c r="J6" s="129">
        <v>1</v>
      </c>
      <c r="K6" s="129">
        <v>1</v>
      </c>
      <c r="L6" s="129">
        <v>1</v>
      </c>
      <c r="M6" s="129">
        <v>1</v>
      </c>
      <c r="N6" s="129">
        <v>1</v>
      </c>
      <c r="O6" s="129">
        <v>1</v>
      </c>
      <c r="P6" s="129">
        <v>1</v>
      </c>
      <c r="Q6" s="129">
        <v>1</v>
      </c>
      <c r="R6" s="129">
        <v>1</v>
      </c>
      <c r="S6" s="129">
        <v>1</v>
      </c>
      <c r="T6" s="129">
        <v>1</v>
      </c>
      <c r="U6" s="129">
        <v>1</v>
      </c>
      <c r="V6" s="129">
        <v>1</v>
      </c>
      <c r="W6" s="129">
        <v>1</v>
      </c>
      <c r="X6" s="129">
        <v>1</v>
      </c>
      <c r="Y6" s="129">
        <v>1</v>
      </c>
      <c r="Z6" s="129">
        <v>1</v>
      </c>
      <c r="AA6" s="129"/>
      <c r="AB6" s="129">
        <f t="shared" si="0"/>
        <v>21</v>
      </c>
      <c r="AC6" s="129"/>
    </row>
    <row r="7" spans="1:29">
      <c r="A7" s="129" t="s">
        <v>37</v>
      </c>
      <c r="B7" s="129" t="s">
        <v>274</v>
      </c>
      <c r="C7" s="129">
        <v>3100</v>
      </c>
      <c r="D7" s="129">
        <v>2100</v>
      </c>
      <c r="E7" s="129"/>
      <c r="F7" s="129">
        <v>3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3</v>
      </c>
      <c r="AC7" s="129"/>
    </row>
    <row r="8" spans="1:29">
      <c r="A8" s="129" t="s">
        <v>39</v>
      </c>
      <c r="B8" s="132" t="s">
        <v>268</v>
      </c>
      <c r="C8" s="129">
        <v>1500</v>
      </c>
      <c r="D8" s="129">
        <v>2400</v>
      </c>
      <c r="E8" s="129"/>
      <c r="F8" s="129">
        <v>4</v>
      </c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>
        <f t="shared" si="0"/>
        <v>4</v>
      </c>
      <c r="AC8" s="129"/>
    </row>
    <row r="9" spans="1:29">
      <c r="A9" s="129" t="s">
        <v>41</v>
      </c>
      <c r="B9" s="129" t="s">
        <v>275</v>
      </c>
      <c r="C9" s="129"/>
      <c r="D9" s="129"/>
      <c r="E9" s="129"/>
      <c r="F9" s="129">
        <v>1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1</v>
      </c>
      <c r="AC9" s="129"/>
    </row>
    <row r="10" spans="1:29">
      <c r="A10" s="129" t="s">
        <v>43</v>
      </c>
      <c r="B10" s="129" t="s">
        <v>276</v>
      </c>
      <c r="C10" s="129"/>
      <c r="D10" s="129"/>
      <c r="E10" s="129"/>
      <c r="F10" s="129">
        <v>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1</v>
      </c>
      <c r="AC10" s="129"/>
    </row>
    <row r="11" spans="1:29">
      <c r="A11" s="129" t="s">
        <v>45</v>
      </c>
      <c r="B11" s="129" t="s">
        <v>70</v>
      </c>
      <c r="C11" s="129"/>
      <c r="D11" s="129"/>
      <c r="E11" s="129"/>
      <c r="F11" s="129">
        <v>5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5</v>
      </c>
      <c r="AC11" s="129"/>
    </row>
    <row r="12" spans="1:29">
      <c r="A12" s="129" t="s">
        <v>47</v>
      </c>
      <c r="B12" s="129" t="s">
        <v>277</v>
      </c>
      <c r="C12" s="129"/>
      <c r="D12" s="129"/>
      <c r="E12" s="129"/>
      <c r="F12" s="129">
        <v>2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2</v>
      </c>
      <c r="AC12" s="129"/>
    </row>
    <row r="13" spans="1:29">
      <c r="A13" s="129" t="s">
        <v>49</v>
      </c>
      <c r="B13" s="129" t="s">
        <v>278</v>
      </c>
      <c r="C13" s="129"/>
      <c r="D13" s="129"/>
      <c r="E13" s="129"/>
      <c r="F13" s="129">
        <v>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1</v>
      </c>
      <c r="AC13" s="129"/>
    </row>
    <row r="14" spans="1:29">
      <c r="A14" s="129" t="s">
        <v>51</v>
      </c>
      <c r="B14" s="129" t="s">
        <v>279</v>
      </c>
      <c r="C14" s="129"/>
      <c r="D14" s="129"/>
      <c r="E14" s="129"/>
      <c r="F14" s="129">
        <v>1</v>
      </c>
      <c r="G14" s="129"/>
      <c r="H14" s="129"/>
      <c r="I14" s="129"/>
      <c r="J14" s="129">
        <v>1</v>
      </c>
      <c r="K14" s="129">
        <v>1</v>
      </c>
      <c r="L14" s="129">
        <v>1</v>
      </c>
      <c r="M14" s="129">
        <v>1</v>
      </c>
      <c r="N14" s="129">
        <v>1</v>
      </c>
      <c r="O14" s="129">
        <v>1</v>
      </c>
      <c r="P14" s="129">
        <v>1</v>
      </c>
      <c r="Q14" s="129">
        <v>1</v>
      </c>
      <c r="R14" s="129">
        <v>1</v>
      </c>
      <c r="S14" s="129">
        <v>1</v>
      </c>
      <c r="T14" s="129">
        <v>1</v>
      </c>
      <c r="U14" s="129">
        <v>1</v>
      </c>
      <c r="V14" s="129">
        <v>1</v>
      </c>
      <c r="W14" s="129">
        <v>1</v>
      </c>
      <c r="X14" s="129">
        <v>1</v>
      </c>
      <c r="Y14" s="129">
        <v>1</v>
      </c>
      <c r="Z14" s="129">
        <v>1</v>
      </c>
      <c r="AA14" s="129"/>
      <c r="AB14" s="129">
        <f t="shared" si="0"/>
        <v>18</v>
      </c>
      <c r="AC14" s="129"/>
    </row>
    <row r="15" spans="1:29">
      <c r="A15" s="129" t="s">
        <v>53</v>
      </c>
      <c r="B15" s="129" t="s">
        <v>280</v>
      </c>
      <c r="C15" s="129"/>
      <c r="D15" s="129"/>
      <c r="E15" s="129"/>
      <c r="F15" s="129"/>
      <c r="G15" s="129">
        <v>3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3</v>
      </c>
      <c r="AC15" s="129"/>
    </row>
    <row r="16" spans="1:29">
      <c r="A16" s="129" t="s">
        <v>55</v>
      </c>
      <c r="B16" s="129" t="s">
        <v>281</v>
      </c>
      <c r="C16" s="129"/>
      <c r="D16" s="129"/>
      <c r="E16" s="129"/>
      <c r="F16" s="129"/>
      <c r="G16" s="129">
        <v>2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2</v>
      </c>
      <c r="AC16" s="129"/>
    </row>
    <row r="17" spans="1:29">
      <c r="A17" s="129" t="s">
        <v>57</v>
      </c>
      <c r="B17" s="129" t="s">
        <v>151</v>
      </c>
      <c r="C17" s="129"/>
      <c r="D17" s="129"/>
      <c r="E17" s="129"/>
      <c r="F17" s="129"/>
      <c r="G17" s="129">
        <v>3</v>
      </c>
      <c r="H17" s="129">
        <v>4</v>
      </c>
      <c r="I17" s="129">
        <v>4</v>
      </c>
      <c r="J17" s="129">
        <v>4</v>
      </c>
      <c r="K17" s="129">
        <v>4</v>
      </c>
      <c r="L17" s="129">
        <v>4</v>
      </c>
      <c r="M17" s="129">
        <v>4</v>
      </c>
      <c r="N17" s="129">
        <v>4</v>
      </c>
      <c r="O17" s="129">
        <v>4</v>
      </c>
      <c r="P17" s="129">
        <v>4</v>
      </c>
      <c r="Q17" s="129">
        <v>4</v>
      </c>
      <c r="R17" s="129">
        <v>4</v>
      </c>
      <c r="S17" s="129">
        <v>4</v>
      </c>
      <c r="T17" s="129">
        <v>4</v>
      </c>
      <c r="U17" s="129">
        <v>4</v>
      </c>
      <c r="V17" s="129">
        <v>4</v>
      </c>
      <c r="W17" s="129">
        <v>4</v>
      </c>
      <c r="X17" s="129">
        <v>4</v>
      </c>
      <c r="Y17" s="129">
        <v>4</v>
      </c>
      <c r="Z17" s="129">
        <v>4</v>
      </c>
      <c r="AA17" s="129"/>
      <c r="AB17" s="129">
        <f t="shared" si="0"/>
        <v>79</v>
      </c>
      <c r="AC17" s="129"/>
    </row>
    <row r="18" spans="1:29">
      <c r="A18" s="129" t="s">
        <v>59</v>
      </c>
      <c r="B18" s="129" t="s">
        <v>282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0</v>
      </c>
      <c r="AC18" s="129"/>
    </row>
    <row r="19" spans="1:29">
      <c r="A19" s="129" t="s">
        <v>61</v>
      </c>
      <c r="B19" s="129" t="s">
        <v>235</v>
      </c>
      <c r="C19" s="129"/>
      <c r="D19" s="129"/>
      <c r="E19" s="129"/>
      <c r="F19" s="129"/>
      <c r="G19" s="129">
        <v>5</v>
      </c>
      <c r="H19" s="129">
        <v>6</v>
      </c>
      <c r="I19" s="129">
        <v>6</v>
      </c>
      <c r="J19" s="129">
        <v>6</v>
      </c>
      <c r="K19" s="129">
        <v>6</v>
      </c>
      <c r="L19" s="129">
        <v>6</v>
      </c>
      <c r="M19" s="129">
        <v>6</v>
      </c>
      <c r="N19" s="129">
        <v>6</v>
      </c>
      <c r="O19" s="129">
        <v>6</v>
      </c>
      <c r="P19" s="129">
        <v>6</v>
      </c>
      <c r="Q19" s="129">
        <v>6</v>
      </c>
      <c r="R19" s="129">
        <v>6</v>
      </c>
      <c r="S19" s="129">
        <v>6</v>
      </c>
      <c r="T19" s="129">
        <v>6</v>
      </c>
      <c r="U19" s="129">
        <v>6</v>
      </c>
      <c r="V19" s="129">
        <v>6</v>
      </c>
      <c r="W19" s="129">
        <v>6</v>
      </c>
      <c r="X19" s="129">
        <v>6</v>
      </c>
      <c r="Y19" s="129">
        <v>6</v>
      </c>
      <c r="Z19" s="129">
        <v>6</v>
      </c>
      <c r="AA19" s="129"/>
      <c r="AB19" s="129">
        <f t="shared" si="0"/>
        <v>119</v>
      </c>
      <c r="AC19" s="129"/>
    </row>
    <row r="20" spans="1:29">
      <c r="A20" s="129" t="s">
        <v>63</v>
      </c>
      <c r="B20" s="129" t="s">
        <v>283</v>
      </c>
      <c r="C20" s="129"/>
      <c r="D20" s="129"/>
      <c r="E20" s="129"/>
      <c r="F20" s="129"/>
      <c r="G20" s="129">
        <v>1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1</v>
      </c>
      <c r="AC20" s="129"/>
    </row>
    <row r="21" spans="1:29">
      <c r="A21" s="129" t="s">
        <v>65</v>
      </c>
      <c r="B21" s="129" t="s">
        <v>153</v>
      </c>
      <c r="C21" s="129"/>
      <c r="D21" s="129"/>
      <c r="E21" s="129"/>
      <c r="F21" s="129"/>
      <c r="G21" s="129">
        <v>2</v>
      </c>
      <c r="H21" s="129">
        <v>4</v>
      </c>
      <c r="I21" s="129">
        <v>4</v>
      </c>
      <c r="J21" s="129">
        <v>4</v>
      </c>
      <c r="K21" s="129">
        <v>4</v>
      </c>
      <c r="L21" s="129">
        <v>4</v>
      </c>
      <c r="M21" s="129">
        <v>4</v>
      </c>
      <c r="N21" s="129">
        <v>4</v>
      </c>
      <c r="O21" s="129">
        <v>4</v>
      </c>
      <c r="P21" s="129">
        <v>4</v>
      </c>
      <c r="Q21" s="129">
        <v>4</v>
      </c>
      <c r="R21" s="129">
        <v>4</v>
      </c>
      <c r="S21" s="129">
        <v>4</v>
      </c>
      <c r="T21" s="129">
        <v>4</v>
      </c>
      <c r="U21" s="129">
        <v>4</v>
      </c>
      <c r="V21" s="129">
        <v>4</v>
      </c>
      <c r="W21" s="129">
        <v>4</v>
      </c>
      <c r="X21" s="129">
        <v>4</v>
      </c>
      <c r="Y21" s="129">
        <v>4</v>
      </c>
      <c r="Z21" s="129">
        <v>4</v>
      </c>
      <c r="AA21" s="129"/>
      <c r="AB21" s="129">
        <f t="shared" si="0"/>
        <v>78</v>
      </c>
      <c r="AC21" s="129"/>
    </row>
    <row r="22" spans="1:29">
      <c r="A22" s="129" t="s">
        <v>67</v>
      </c>
      <c r="B22" s="129" t="s">
        <v>284</v>
      </c>
      <c r="C22" s="129"/>
      <c r="D22" s="129"/>
      <c r="E22" s="129"/>
      <c r="F22" s="129"/>
      <c r="G22" s="129">
        <v>1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1</v>
      </c>
      <c r="AC22" s="129"/>
    </row>
    <row r="23" spans="1:29">
      <c r="A23" s="129" t="s">
        <v>69</v>
      </c>
      <c r="B23" s="129" t="s">
        <v>285</v>
      </c>
      <c r="C23" s="129"/>
      <c r="D23" s="129"/>
      <c r="E23" s="129"/>
      <c r="F23" s="129"/>
      <c r="G23" s="129">
        <v>1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1</v>
      </c>
      <c r="AC23" s="129"/>
    </row>
    <row r="24" spans="1:29">
      <c r="A24" s="129" t="s">
        <v>71</v>
      </c>
      <c r="B24" s="129" t="s">
        <v>286</v>
      </c>
      <c r="C24" s="129"/>
      <c r="D24" s="129"/>
      <c r="E24" s="129"/>
      <c r="F24" s="129"/>
      <c r="G24" s="129">
        <v>2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2</v>
      </c>
      <c r="AC24" s="129"/>
    </row>
    <row r="25" spans="1:29">
      <c r="A25" s="129" t="s">
        <v>223</v>
      </c>
      <c r="B25" s="129" t="s">
        <v>287</v>
      </c>
      <c r="C25" s="129"/>
      <c r="D25" s="129"/>
      <c r="E25" s="129"/>
      <c r="F25" s="129"/>
      <c r="G25" s="129">
        <v>2</v>
      </c>
      <c r="H25" s="129">
        <v>2</v>
      </c>
      <c r="I25" s="129">
        <v>2</v>
      </c>
      <c r="J25" s="129">
        <v>2</v>
      </c>
      <c r="K25" s="129">
        <v>2</v>
      </c>
      <c r="L25" s="129">
        <v>2</v>
      </c>
      <c r="M25" s="129">
        <v>2</v>
      </c>
      <c r="N25" s="129">
        <v>2</v>
      </c>
      <c r="O25" s="129">
        <v>2</v>
      </c>
      <c r="P25" s="129">
        <v>2</v>
      </c>
      <c r="Q25" s="129">
        <v>2</v>
      </c>
      <c r="R25" s="129">
        <v>2</v>
      </c>
      <c r="S25" s="129">
        <v>2</v>
      </c>
      <c r="T25" s="129">
        <v>2</v>
      </c>
      <c r="U25" s="129">
        <v>2</v>
      </c>
      <c r="V25" s="129">
        <v>2</v>
      </c>
      <c r="W25" s="129">
        <v>2</v>
      </c>
      <c r="X25" s="129">
        <v>2</v>
      </c>
      <c r="Y25" s="129"/>
      <c r="Z25" s="129">
        <v>2</v>
      </c>
      <c r="AA25" s="129"/>
      <c r="AB25" s="129">
        <f t="shared" si="0"/>
        <v>38</v>
      </c>
      <c r="AC25" s="129"/>
    </row>
    <row r="26" spans="1:29">
      <c r="A26" s="129" t="s">
        <v>73</v>
      </c>
      <c r="B26" s="129" t="s">
        <v>288</v>
      </c>
      <c r="C26" s="129"/>
      <c r="D26" s="129"/>
      <c r="E26" s="129"/>
      <c r="F26" s="129"/>
      <c r="G26" s="129">
        <v>2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2</v>
      </c>
      <c r="AC26" s="129"/>
    </row>
    <row r="27" spans="1:29">
      <c r="A27" s="129" t="s">
        <v>75</v>
      </c>
      <c r="B27" s="129" t="s">
        <v>289</v>
      </c>
      <c r="C27" s="129"/>
      <c r="D27" s="129"/>
      <c r="E27" s="129"/>
      <c r="F27" s="129"/>
      <c r="G27" s="129">
        <v>1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1</v>
      </c>
      <c r="AC27" s="129"/>
    </row>
    <row r="28" spans="1:29">
      <c r="A28" s="129" t="s">
        <v>77</v>
      </c>
      <c r="B28" s="129" t="s">
        <v>290</v>
      </c>
      <c r="C28" s="129"/>
      <c r="D28" s="129"/>
      <c r="E28" s="129"/>
      <c r="F28" s="129"/>
      <c r="G28" s="129">
        <v>1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  <c r="AC28" s="129"/>
    </row>
    <row r="29" spans="1:29">
      <c r="A29" s="129" t="s">
        <v>79</v>
      </c>
      <c r="B29" s="129" t="s">
        <v>252</v>
      </c>
      <c r="C29" s="129"/>
      <c r="D29" s="129"/>
      <c r="E29" s="129"/>
      <c r="F29" s="129"/>
      <c r="G29" s="129">
        <v>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>
        <f t="shared" si="0"/>
        <v>1</v>
      </c>
      <c r="AC29" s="129"/>
    </row>
    <row r="30" spans="1:29">
      <c r="A30" s="129" t="s">
        <v>81</v>
      </c>
      <c r="B30" s="129" t="s">
        <v>291</v>
      </c>
      <c r="C30" s="129"/>
      <c r="D30" s="129"/>
      <c r="E30" s="129"/>
      <c r="F30" s="129"/>
      <c r="G30" s="129">
        <v>2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2</v>
      </c>
      <c r="AC30" s="129"/>
    </row>
    <row r="31" spans="1:29">
      <c r="A31" s="129" t="s">
        <v>83</v>
      </c>
      <c r="B31" s="129" t="s">
        <v>292</v>
      </c>
      <c r="C31" s="129"/>
      <c r="D31" s="129"/>
      <c r="E31" s="129"/>
      <c r="F31" s="129"/>
      <c r="G31" s="129">
        <v>1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si="0"/>
        <v>1</v>
      </c>
      <c r="AC31" s="129"/>
    </row>
    <row r="32" spans="1:29">
      <c r="A32" s="129" t="s">
        <v>85</v>
      </c>
      <c r="B32" s="129" t="s">
        <v>293</v>
      </c>
      <c r="C32" s="129"/>
      <c r="D32" s="129"/>
      <c r="E32" s="129"/>
      <c r="F32" s="129"/>
      <c r="G32" s="129">
        <v>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0"/>
        <v>1</v>
      </c>
      <c r="AC32" s="129"/>
    </row>
    <row r="33" spans="1:29">
      <c r="A33" s="129" t="s">
        <v>87</v>
      </c>
      <c r="B33" s="129" t="s">
        <v>294</v>
      </c>
      <c r="C33" s="129"/>
      <c r="D33" s="129"/>
      <c r="E33" s="129"/>
      <c r="F33" s="129"/>
      <c r="G33" s="129">
        <v>2</v>
      </c>
      <c r="H33" s="129">
        <v>2</v>
      </c>
      <c r="I33" s="129">
        <v>2</v>
      </c>
      <c r="J33" s="129">
        <v>2</v>
      </c>
      <c r="K33" s="129">
        <v>2</v>
      </c>
      <c r="L33" s="129">
        <v>2</v>
      </c>
      <c r="M33" s="129">
        <v>2</v>
      </c>
      <c r="N33" s="129">
        <v>2</v>
      </c>
      <c r="O33" s="129">
        <v>2</v>
      </c>
      <c r="P33" s="129">
        <v>2</v>
      </c>
      <c r="Q33" s="129">
        <v>2</v>
      </c>
      <c r="R33" s="129">
        <v>2</v>
      </c>
      <c r="S33" s="129">
        <v>2</v>
      </c>
      <c r="T33" s="129">
        <v>2</v>
      </c>
      <c r="U33" s="129">
        <v>2</v>
      </c>
      <c r="V33" s="129">
        <v>2</v>
      </c>
      <c r="W33" s="129">
        <v>2</v>
      </c>
      <c r="X33" s="129">
        <v>2</v>
      </c>
      <c r="Y33" s="129"/>
      <c r="Z33" s="129">
        <v>2</v>
      </c>
      <c r="AA33" s="129"/>
      <c r="AB33" s="129">
        <f t="shared" si="0"/>
        <v>38</v>
      </c>
      <c r="AC33" s="129"/>
    </row>
    <row r="34" spans="1:29">
      <c r="A34" s="129" t="s">
        <v>89</v>
      </c>
      <c r="B34" s="129" t="s">
        <v>161</v>
      </c>
      <c r="C34" s="129"/>
      <c r="D34" s="129"/>
      <c r="E34" s="129"/>
      <c r="F34" s="129"/>
      <c r="G34" s="129">
        <v>2</v>
      </c>
      <c r="H34" s="129">
        <v>2</v>
      </c>
      <c r="I34" s="129">
        <v>2</v>
      </c>
      <c r="J34" s="129">
        <v>2</v>
      </c>
      <c r="K34" s="129">
        <v>2</v>
      </c>
      <c r="L34" s="129">
        <v>2</v>
      </c>
      <c r="M34" s="129">
        <v>2</v>
      </c>
      <c r="N34" s="129">
        <v>2</v>
      </c>
      <c r="O34" s="129">
        <v>2</v>
      </c>
      <c r="P34" s="129">
        <v>2</v>
      </c>
      <c r="Q34" s="129">
        <v>2</v>
      </c>
      <c r="R34" s="129">
        <v>2</v>
      </c>
      <c r="S34" s="129">
        <v>2</v>
      </c>
      <c r="T34" s="129">
        <v>2</v>
      </c>
      <c r="U34" s="129">
        <v>2</v>
      </c>
      <c r="V34" s="129">
        <v>2</v>
      </c>
      <c r="W34" s="129">
        <v>2</v>
      </c>
      <c r="X34" s="129">
        <v>2</v>
      </c>
      <c r="Y34" s="129"/>
      <c r="Z34" s="129">
        <v>2</v>
      </c>
      <c r="AA34" s="129"/>
      <c r="AB34" s="129">
        <f t="shared" si="0"/>
        <v>38</v>
      </c>
      <c r="AC34" s="129"/>
    </row>
    <row r="35" spans="1:29">
      <c r="A35" s="129" t="s">
        <v>91</v>
      </c>
      <c r="B35" s="129" t="s">
        <v>175</v>
      </c>
      <c r="C35" s="129"/>
      <c r="D35" s="129"/>
      <c r="E35" s="129"/>
      <c r="F35" s="129"/>
      <c r="G35" s="129"/>
      <c r="H35" s="129">
        <v>2</v>
      </c>
      <c r="I35" s="129">
        <v>2</v>
      </c>
      <c r="J35" s="129">
        <v>2</v>
      </c>
      <c r="K35" s="129">
        <v>2</v>
      </c>
      <c r="L35" s="129">
        <v>2</v>
      </c>
      <c r="M35" s="129">
        <v>2</v>
      </c>
      <c r="N35" s="129">
        <v>2</v>
      </c>
      <c r="O35" s="129">
        <v>2</v>
      </c>
      <c r="P35" s="129">
        <v>2</v>
      </c>
      <c r="Q35" s="129">
        <v>2</v>
      </c>
      <c r="R35" s="129">
        <v>2</v>
      </c>
      <c r="S35" s="129">
        <v>2</v>
      </c>
      <c r="T35" s="129">
        <v>2</v>
      </c>
      <c r="U35" s="129">
        <v>2</v>
      </c>
      <c r="V35" s="129">
        <v>2</v>
      </c>
      <c r="W35" s="129">
        <v>2</v>
      </c>
      <c r="X35" s="129">
        <v>2</v>
      </c>
      <c r="Y35" s="129">
        <v>2</v>
      </c>
      <c r="Z35" s="129">
        <v>2</v>
      </c>
      <c r="AA35" s="129"/>
      <c r="AB35" s="129">
        <f t="shared" si="0"/>
        <v>38</v>
      </c>
      <c r="AC35" s="129"/>
    </row>
    <row r="36" spans="1:29">
      <c r="A36" s="129" t="s">
        <v>93</v>
      </c>
      <c r="B36" s="129" t="s">
        <v>295</v>
      </c>
      <c r="C36" s="129"/>
      <c r="D36" s="129"/>
      <c r="E36" s="129"/>
      <c r="F36" s="129"/>
      <c r="G36" s="129">
        <v>1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0"/>
        <v>1</v>
      </c>
      <c r="AC36" s="129"/>
    </row>
    <row r="37" spans="1:29">
      <c r="A37" s="129" t="s">
        <v>95</v>
      </c>
      <c r="B37" s="129" t="s">
        <v>296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0"/>
        <v>1</v>
      </c>
      <c r="AC37" s="129"/>
    </row>
    <row r="38" spans="1:29">
      <c r="A38" s="129" t="s">
        <v>97</v>
      </c>
      <c r="B38" s="129" t="s">
        <v>297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0"/>
        <v>1</v>
      </c>
      <c r="AC38" s="129"/>
    </row>
    <row r="39" spans="1:29">
      <c r="A39" s="129" t="s">
        <v>99</v>
      </c>
      <c r="B39" s="129" t="s">
        <v>298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0"/>
        <v>1</v>
      </c>
      <c r="AC39" s="129"/>
    </row>
    <row r="40" spans="1:29">
      <c r="A40" s="129" t="s">
        <v>101</v>
      </c>
      <c r="B40" s="129" t="s">
        <v>169</v>
      </c>
      <c r="C40" s="129"/>
      <c r="D40" s="129"/>
      <c r="E40" s="129"/>
      <c r="F40" s="129"/>
      <c r="G40" s="129">
        <v>1</v>
      </c>
      <c r="H40" s="129">
        <v>2</v>
      </c>
      <c r="I40" s="129">
        <v>2</v>
      </c>
      <c r="J40" s="129">
        <v>2</v>
      </c>
      <c r="K40" s="129">
        <v>2</v>
      </c>
      <c r="L40" s="129">
        <v>2</v>
      </c>
      <c r="M40" s="129">
        <v>2</v>
      </c>
      <c r="N40" s="129">
        <v>2</v>
      </c>
      <c r="O40" s="129">
        <v>2</v>
      </c>
      <c r="P40" s="129">
        <v>2</v>
      </c>
      <c r="Q40" s="129">
        <v>2</v>
      </c>
      <c r="R40" s="129">
        <v>2</v>
      </c>
      <c r="S40" s="129">
        <v>2</v>
      </c>
      <c r="T40" s="129">
        <v>2</v>
      </c>
      <c r="U40" s="129">
        <v>2</v>
      </c>
      <c r="V40" s="129">
        <v>2</v>
      </c>
      <c r="W40" s="129">
        <v>2</v>
      </c>
      <c r="X40" s="129">
        <v>2</v>
      </c>
      <c r="Y40" s="129">
        <v>2</v>
      </c>
      <c r="Z40" s="129">
        <v>2</v>
      </c>
      <c r="AA40" s="129"/>
      <c r="AB40" s="129">
        <f t="shared" si="0"/>
        <v>39</v>
      </c>
      <c r="AC40" s="129"/>
    </row>
    <row r="41" spans="1:29">
      <c r="A41" s="129" t="s">
        <v>103</v>
      </c>
      <c r="B41" s="129" t="s">
        <v>299</v>
      </c>
      <c r="C41" s="129"/>
      <c r="D41" s="129"/>
      <c r="E41" s="129"/>
      <c r="F41" s="129"/>
      <c r="G41" s="129">
        <v>1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>
        <f t="shared" si="0"/>
        <v>1</v>
      </c>
      <c r="AC41" s="129"/>
    </row>
    <row r="42" spans="1:29">
      <c r="A42" s="129" t="s">
        <v>105</v>
      </c>
      <c r="B42" s="129" t="s">
        <v>141</v>
      </c>
      <c r="C42" s="129"/>
      <c r="D42" s="129"/>
      <c r="E42" s="129"/>
      <c r="F42" s="129"/>
      <c r="G42" s="129">
        <v>1</v>
      </c>
      <c r="H42" s="129">
        <v>2</v>
      </c>
      <c r="I42" s="129">
        <v>2</v>
      </c>
      <c r="J42" s="129">
        <v>2</v>
      </c>
      <c r="K42" s="129">
        <v>2</v>
      </c>
      <c r="L42" s="129">
        <v>2</v>
      </c>
      <c r="M42" s="129">
        <v>2</v>
      </c>
      <c r="N42" s="129">
        <v>2</v>
      </c>
      <c r="O42" s="129">
        <v>2</v>
      </c>
      <c r="P42" s="129">
        <v>2</v>
      </c>
      <c r="Q42" s="129">
        <v>2</v>
      </c>
      <c r="R42" s="129">
        <v>2</v>
      </c>
      <c r="S42" s="129">
        <v>2</v>
      </c>
      <c r="T42" s="129">
        <v>2</v>
      </c>
      <c r="U42" s="129">
        <v>2</v>
      </c>
      <c r="V42" s="129">
        <v>2</v>
      </c>
      <c r="W42" s="129">
        <v>2</v>
      </c>
      <c r="X42" s="129">
        <v>2</v>
      </c>
      <c r="Y42" s="129">
        <v>2</v>
      </c>
      <c r="Z42" s="129">
        <v>2</v>
      </c>
      <c r="AA42" s="129"/>
      <c r="AB42" s="129">
        <f t="shared" si="0"/>
        <v>39</v>
      </c>
      <c r="AC42" s="129"/>
    </row>
    <row r="43" spans="1:29">
      <c r="A43" s="129" t="s">
        <v>107</v>
      </c>
      <c r="B43" s="129" t="s">
        <v>143</v>
      </c>
      <c r="C43" s="129"/>
      <c r="D43" s="129"/>
      <c r="E43" s="129"/>
      <c r="F43" s="129"/>
      <c r="G43" s="129">
        <v>1</v>
      </c>
      <c r="H43" s="129">
        <v>2</v>
      </c>
      <c r="I43" s="129">
        <v>2</v>
      </c>
      <c r="J43" s="129">
        <v>2</v>
      </c>
      <c r="K43" s="129">
        <v>2</v>
      </c>
      <c r="L43" s="129">
        <v>2</v>
      </c>
      <c r="M43" s="129">
        <v>2</v>
      </c>
      <c r="N43" s="129">
        <v>2</v>
      </c>
      <c r="O43" s="129">
        <v>2</v>
      </c>
      <c r="P43" s="129">
        <v>2</v>
      </c>
      <c r="Q43" s="129">
        <v>2</v>
      </c>
      <c r="R43" s="129">
        <v>2</v>
      </c>
      <c r="S43" s="129">
        <v>2</v>
      </c>
      <c r="T43" s="129">
        <v>2</v>
      </c>
      <c r="U43" s="129">
        <v>2</v>
      </c>
      <c r="V43" s="129">
        <v>2</v>
      </c>
      <c r="W43" s="129">
        <v>2</v>
      </c>
      <c r="X43" s="129">
        <v>2</v>
      </c>
      <c r="Y43" s="129">
        <v>2</v>
      </c>
      <c r="Z43" s="129">
        <v>2</v>
      </c>
      <c r="AA43" s="129"/>
      <c r="AB43" s="129">
        <f t="shared" si="0"/>
        <v>39</v>
      </c>
      <c r="AC43" s="129"/>
    </row>
    <row r="44" spans="1:29">
      <c r="A44" s="129" t="s">
        <v>109</v>
      </c>
      <c r="B44" s="129" t="s">
        <v>147</v>
      </c>
      <c r="C44" s="129"/>
      <c r="D44" s="129"/>
      <c r="E44" s="129"/>
      <c r="F44" s="129"/>
      <c r="G44" s="129"/>
      <c r="H44" s="129">
        <v>3</v>
      </c>
      <c r="I44" s="129">
        <v>3</v>
      </c>
      <c r="J44" s="129">
        <v>3</v>
      </c>
      <c r="K44" s="129">
        <v>3</v>
      </c>
      <c r="L44" s="129">
        <v>3</v>
      </c>
      <c r="M44" s="129">
        <v>3</v>
      </c>
      <c r="N44" s="129">
        <v>3</v>
      </c>
      <c r="O44" s="129">
        <v>3</v>
      </c>
      <c r="P44" s="129">
        <v>3</v>
      </c>
      <c r="Q44" s="129">
        <v>3</v>
      </c>
      <c r="R44" s="129">
        <v>3</v>
      </c>
      <c r="S44" s="129">
        <v>3</v>
      </c>
      <c r="T44" s="129">
        <v>3</v>
      </c>
      <c r="U44" s="129">
        <v>3</v>
      </c>
      <c r="V44" s="129">
        <v>3</v>
      </c>
      <c r="W44" s="129">
        <v>3</v>
      </c>
      <c r="X44" s="129">
        <v>3</v>
      </c>
      <c r="Y44" s="129">
        <v>3</v>
      </c>
      <c r="Z44" s="129">
        <v>3</v>
      </c>
      <c r="AA44" s="129"/>
      <c r="AB44" s="129">
        <f t="shared" si="0"/>
        <v>57</v>
      </c>
      <c r="AC44" s="129"/>
    </row>
    <row r="45" spans="1:29">
      <c r="A45" s="129" t="s">
        <v>111</v>
      </c>
      <c r="B45" s="129" t="s">
        <v>157</v>
      </c>
      <c r="C45" s="129"/>
      <c r="D45" s="129"/>
      <c r="E45" s="129"/>
      <c r="F45" s="129"/>
      <c r="G45" s="129">
        <v>1</v>
      </c>
      <c r="H45" s="129">
        <v>2</v>
      </c>
      <c r="I45" s="129">
        <v>2</v>
      </c>
      <c r="J45" s="129">
        <v>2</v>
      </c>
      <c r="K45" s="129">
        <v>2</v>
      </c>
      <c r="L45" s="129">
        <v>2</v>
      </c>
      <c r="M45" s="129">
        <v>2</v>
      </c>
      <c r="N45" s="129">
        <v>2</v>
      </c>
      <c r="O45" s="129">
        <v>2</v>
      </c>
      <c r="P45" s="129">
        <v>2</v>
      </c>
      <c r="Q45" s="129">
        <v>2</v>
      </c>
      <c r="R45" s="129">
        <v>2</v>
      </c>
      <c r="S45" s="129">
        <v>2</v>
      </c>
      <c r="T45" s="129">
        <v>2</v>
      </c>
      <c r="U45" s="129">
        <v>2</v>
      </c>
      <c r="V45" s="129">
        <v>2</v>
      </c>
      <c r="W45" s="129">
        <v>2</v>
      </c>
      <c r="X45" s="129">
        <v>2</v>
      </c>
      <c r="Y45" s="129">
        <v>2</v>
      </c>
      <c r="Z45" s="129">
        <v>2</v>
      </c>
      <c r="AA45" s="129"/>
      <c r="AB45" s="129">
        <f t="shared" si="0"/>
        <v>39</v>
      </c>
      <c r="AC45" s="129"/>
    </row>
    <row r="46" spans="1:29">
      <c r="A46" s="129" t="s">
        <v>113</v>
      </c>
      <c r="B46" s="129" t="s">
        <v>159</v>
      </c>
      <c r="C46" s="129"/>
      <c r="D46" s="129"/>
      <c r="E46" s="129"/>
      <c r="F46" s="129"/>
      <c r="G46" s="129"/>
      <c r="H46" s="129">
        <v>1</v>
      </c>
      <c r="I46" s="129">
        <v>1</v>
      </c>
      <c r="J46" s="129">
        <v>1</v>
      </c>
      <c r="K46" s="129">
        <v>1</v>
      </c>
      <c r="L46" s="129">
        <v>1</v>
      </c>
      <c r="M46" s="129">
        <v>1</v>
      </c>
      <c r="N46" s="129">
        <v>1</v>
      </c>
      <c r="O46" s="129">
        <v>1</v>
      </c>
      <c r="P46" s="129">
        <v>1</v>
      </c>
      <c r="Q46" s="129">
        <v>1</v>
      </c>
      <c r="R46" s="129">
        <v>1</v>
      </c>
      <c r="S46" s="129">
        <v>1</v>
      </c>
      <c r="T46" s="129">
        <v>1</v>
      </c>
      <c r="U46" s="129">
        <v>1</v>
      </c>
      <c r="V46" s="129">
        <v>1</v>
      </c>
      <c r="W46" s="129">
        <v>1</v>
      </c>
      <c r="X46" s="129">
        <v>1</v>
      </c>
      <c r="Y46" s="129">
        <v>1</v>
      </c>
      <c r="Z46" s="129">
        <v>1</v>
      </c>
      <c r="AA46" s="129"/>
      <c r="AB46" s="129">
        <f t="shared" si="0"/>
        <v>19</v>
      </c>
      <c r="AC46" s="129"/>
    </row>
    <row r="47" spans="1:29">
      <c r="A47" s="129" t="s">
        <v>115</v>
      </c>
      <c r="B47" s="129" t="s">
        <v>300</v>
      </c>
      <c r="C47" s="129"/>
      <c r="D47" s="129"/>
      <c r="E47" s="129"/>
      <c r="F47" s="129"/>
      <c r="G47" s="129"/>
      <c r="H47" s="129">
        <v>2</v>
      </c>
      <c r="I47" s="129">
        <v>2</v>
      </c>
      <c r="J47" s="129">
        <v>2</v>
      </c>
      <c r="K47" s="129">
        <v>2</v>
      </c>
      <c r="L47" s="129">
        <v>2</v>
      </c>
      <c r="M47" s="129">
        <v>2</v>
      </c>
      <c r="N47" s="129">
        <v>2</v>
      </c>
      <c r="O47" s="129">
        <v>2</v>
      </c>
      <c r="P47" s="129">
        <v>2</v>
      </c>
      <c r="Q47" s="129">
        <v>2</v>
      </c>
      <c r="R47" s="129">
        <v>2</v>
      </c>
      <c r="S47" s="129">
        <v>2</v>
      </c>
      <c r="T47" s="129">
        <v>2</v>
      </c>
      <c r="U47" s="129">
        <v>2</v>
      </c>
      <c r="V47" s="129">
        <v>2</v>
      </c>
      <c r="W47" s="129">
        <v>2</v>
      </c>
      <c r="X47" s="129">
        <v>2</v>
      </c>
      <c r="Y47" s="129">
        <v>2</v>
      </c>
      <c r="Z47" s="129">
        <v>2</v>
      </c>
      <c r="AA47" s="129"/>
      <c r="AB47" s="129">
        <f t="shared" si="0"/>
        <v>38</v>
      </c>
      <c r="AC47" s="129"/>
    </row>
    <row r="48" spans="1:29">
      <c r="A48" s="129" t="s">
        <v>117</v>
      </c>
      <c r="B48" s="129" t="s">
        <v>163</v>
      </c>
      <c r="C48" s="129"/>
      <c r="D48" s="129"/>
      <c r="E48" s="129"/>
      <c r="F48" s="129"/>
      <c r="G48" s="129"/>
      <c r="H48" s="129">
        <v>2</v>
      </c>
      <c r="I48" s="129">
        <v>2</v>
      </c>
      <c r="J48" s="129">
        <v>2</v>
      </c>
      <c r="K48" s="129">
        <v>2</v>
      </c>
      <c r="L48" s="129">
        <v>2</v>
      </c>
      <c r="M48" s="129">
        <v>2</v>
      </c>
      <c r="N48" s="129">
        <v>2</v>
      </c>
      <c r="O48" s="129">
        <v>2</v>
      </c>
      <c r="P48" s="129">
        <v>2</v>
      </c>
      <c r="Q48" s="129">
        <v>2</v>
      </c>
      <c r="R48" s="129">
        <v>2</v>
      </c>
      <c r="S48" s="129">
        <v>2</v>
      </c>
      <c r="T48" s="129">
        <v>2</v>
      </c>
      <c r="U48" s="129">
        <v>2</v>
      </c>
      <c r="V48" s="129">
        <v>2</v>
      </c>
      <c r="W48" s="129">
        <v>2</v>
      </c>
      <c r="X48" s="129">
        <v>2</v>
      </c>
      <c r="Y48" s="129">
        <v>2</v>
      </c>
      <c r="Z48" s="129">
        <v>2</v>
      </c>
      <c r="AA48" s="129"/>
      <c r="AB48" s="129">
        <f t="shared" si="0"/>
        <v>38</v>
      </c>
      <c r="AC48" s="129"/>
    </row>
    <row r="49" spans="1:29">
      <c r="A49" s="129" t="s">
        <v>119</v>
      </c>
      <c r="B49" s="129" t="s">
        <v>179</v>
      </c>
      <c r="C49" s="129"/>
      <c r="D49" s="129"/>
      <c r="E49" s="129"/>
      <c r="F49" s="129"/>
      <c r="G49" s="129"/>
      <c r="H49" s="129">
        <v>2</v>
      </c>
      <c r="I49" s="129">
        <v>1</v>
      </c>
      <c r="J49" s="129">
        <v>2</v>
      </c>
      <c r="K49" s="129">
        <v>2</v>
      </c>
      <c r="L49" s="129">
        <v>2</v>
      </c>
      <c r="M49" s="129">
        <v>1</v>
      </c>
      <c r="N49" s="129">
        <v>2</v>
      </c>
      <c r="O49" s="129">
        <v>2</v>
      </c>
      <c r="P49" s="129">
        <v>2</v>
      </c>
      <c r="Q49" s="129">
        <v>2</v>
      </c>
      <c r="R49" s="129">
        <v>2</v>
      </c>
      <c r="S49" s="129">
        <v>2</v>
      </c>
      <c r="T49" s="129">
        <v>2</v>
      </c>
      <c r="U49" s="129">
        <v>2</v>
      </c>
      <c r="V49" s="129">
        <v>2</v>
      </c>
      <c r="W49" s="129">
        <v>2</v>
      </c>
      <c r="X49" s="129">
        <v>2</v>
      </c>
      <c r="Y49" s="129">
        <v>2</v>
      </c>
      <c r="Z49" s="129">
        <v>2</v>
      </c>
      <c r="AA49" s="129"/>
      <c r="AB49" s="129">
        <f t="shared" si="0"/>
        <v>36</v>
      </c>
      <c r="AC49" s="129"/>
    </row>
    <row r="50" spans="1:29">
      <c r="A50" s="129" t="s">
        <v>121</v>
      </c>
      <c r="B50" s="129" t="s">
        <v>301</v>
      </c>
      <c r="C50" s="129"/>
      <c r="D50" s="129"/>
      <c r="E50" s="129"/>
      <c r="F50" s="129"/>
      <c r="G50" s="129"/>
      <c r="H50" s="129">
        <v>1</v>
      </c>
      <c r="I50" s="129">
        <v>1</v>
      </c>
      <c r="J50" s="129">
        <v>1</v>
      </c>
      <c r="K50" s="129">
        <v>1</v>
      </c>
      <c r="L50" s="129">
        <v>1</v>
      </c>
      <c r="M50" s="129">
        <v>1</v>
      </c>
      <c r="N50" s="129">
        <v>1</v>
      </c>
      <c r="O50" s="129">
        <v>1</v>
      </c>
      <c r="P50" s="129">
        <v>1</v>
      </c>
      <c r="Q50" s="129">
        <v>1</v>
      </c>
      <c r="R50" s="129">
        <v>1</v>
      </c>
      <c r="S50" s="129">
        <v>1</v>
      </c>
      <c r="T50" s="129">
        <v>1</v>
      </c>
      <c r="U50" s="129">
        <v>1</v>
      </c>
      <c r="V50" s="129">
        <v>1</v>
      </c>
      <c r="W50" s="129">
        <v>1</v>
      </c>
      <c r="X50" s="129">
        <v>1</v>
      </c>
      <c r="Y50" s="129">
        <v>1</v>
      </c>
      <c r="Z50" s="129">
        <v>1</v>
      </c>
      <c r="AA50" s="129">
        <v>2</v>
      </c>
      <c r="AB50" s="129">
        <f t="shared" si="0"/>
        <v>21</v>
      </c>
      <c r="AC50" s="129"/>
    </row>
    <row r="51" spans="1:29">
      <c r="A51" s="129" t="s">
        <v>123</v>
      </c>
      <c r="B51" s="129" t="s">
        <v>145</v>
      </c>
      <c r="C51" s="129"/>
      <c r="D51" s="129"/>
      <c r="E51" s="129"/>
      <c r="F51" s="129"/>
      <c r="G51" s="129"/>
      <c r="H51" s="129">
        <v>4</v>
      </c>
      <c r="I51" s="129">
        <v>4</v>
      </c>
      <c r="J51" s="129">
        <v>4</v>
      </c>
      <c r="K51" s="129">
        <v>4</v>
      </c>
      <c r="L51" s="129">
        <v>4</v>
      </c>
      <c r="M51" s="129">
        <v>4</v>
      </c>
      <c r="N51" s="129">
        <v>4</v>
      </c>
      <c r="O51" s="129">
        <v>4</v>
      </c>
      <c r="P51" s="129">
        <v>4</v>
      </c>
      <c r="Q51" s="129">
        <v>4</v>
      </c>
      <c r="R51" s="129">
        <v>4</v>
      </c>
      <c r="S51" s="129">
        <v>4</v>
      </c>
      <c r="T51" s="129">
        <v>4</v>
      </c>
      <c r="U51" s="129">
        <v>4</v>
      </c>
      <c r="V51" s="129">
        <v>4</v>
      </c>
      <c r="W51" s="129">
        <v>4</v>
      </c>
      <c r="X51" s="129">
        <v>4</v>
      </c>
      <c r="Y51" s="129">
        <v>4</v>
      </c>
      <c r="Z51" s="129">
        <v>4</v>
      </c>
      <c r="AA51" s="129"/>
      <c r="AB51" s="129">
        <f t="shared" si="0"/>
        <v>76</v>
      </c>
      <c r="AC51" s="129"/>
    </row>
    <row r="52" spans="1:29">
      <c r="A52" s="129" t="s">
        <v>125</v>
      </c>
      <c r="B52" s="129" t="s">
        <v>302</v>
      </c>
      <c r="C52" s="129"/>
      <c r="D52" s="129"/>
      <c r="E52" s="129"/>
      <c r="F52" s="129"/>
      <c r="G52" s="129"/>
      <c r="H52" s="129"/>
      <c r="I52" s="129">
        <v>1</v>
      </c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>
        <v>1</v>
      </c>
      <c r="Z52" s="129"/>
      <c r="AA52" s="129"/>
      <c r="AB52" s="129">
        <f t="shared" si="0"/>
        <v>2</v>
      </c>
      <c r="AC52" s="129"/>
    </row>
    <row r="53" spans="1:29">
      <c r="A53" s="129" t="s">
        <v>127</v>
      </c>
      <c r="B53" s="129" t="s">
        <v>303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>
        <v>2</v>
      </c>
      <c r="Z53" s="129"/>
      <c r="AA53" s="129"/>
      <c r="AB53" s="129">
        <f t="shared" si="0"/>
        <v>2</v>
      </c>
      <c r="AC53" s="129"/>
    </row>
    <row r="54" spans="1:29">
      <c r="A54" s="129" t="s">
        <v>129</v>
      </c>
      <c r="B54" s="129" t="s">
        <v>304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>
        <v>2</v>
      </c>
      <c r="Z54" s="129"/>
      <c r="AA54" s="129"/>
      <c r="AB54" s="129">
        <f t="shared" si="0"/>
        <v>2</v>
      </c>
      <c r="AC54" s="129"/>
    </row>
    <row r="55" spans="1:29">
      <c r="A55" s="129" t="s">
        <v>131</v>
      </c>
      <c r="B55" s="129" t="s">
        <v>305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>
        <v>2</v>
      </c>
      <c r="Z55" s="129"/>
      <c r="AA55" s="129"/>
      <c r="AB55" s="129">
        <f t="shared" si="0"/>
        <v>2</v>
      </c>
      <c r="AC55" s="129"/>
    </row>
    <row r="56" spans="1:29">
      <c r="A56" s="129" t="s">
        <v>133</v>
      </c>
      <c r="B56" s="129" t="s">
        <v>191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>
        <v>3</v>
      </c>
      <c r="AB56" s="129">
        <f t="shared" si="0"/>
        <v>3</v>
      </c>
      <c r="AC56" s="129"/>
    </row>
    <row r="57" spans="1:28">
      <c r="A57" s="129" t="s">
        <v>135</v>
      </c>
      <c r="B57" s="129" t="s">
        <v>306</v>
      </c>
      <c r="F57">
        <v>1</v>
      </c>
      <c r="AB57" s="129">
        <f t="shared" si="0"/>
        <v>1</v>
      </c>
    </row>
    <row r="58" spans="1:28">
      <c r="A58" s="129" t="s">
        <v>137</v>
      </c>
      <c r="B58" s="129" t="s">
        <v>307</v>
      </c>
      <c r="G58">
        <v>2</v>
      </c>
      <c r="AB58" s="129">
        <f t="shared" si="0"/>
        <v>2</v>
      </c>
    </row>
    <row r="59" spans="28:28">
      <c r="AB59" s="129">
        <f t="shared" si="0"/>
        <v>0</v>
      </c>
    </row>
    <row r="60" spans="28:28">
      <c r="AB60" s="129">
        <f t="shared" si="0"/>
        <v>0</v>
      </c>
    </row>
    <row r="61" spans="28:28">
      <c r="AB61" s="129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33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">
      <c r="A2" s="129" t="s">
        <v>1</v>
      </c>
      <c r="B2" s="129" t="s">
        <v>2</v>
      </c>
      <c r="C2" s="129" t="s">
        <v>3</v>
      </c>
      <c r="D2" s="129" t="s">
        <v>4</v>
      </c>
      <c r="E2" s="129" t="s">
        <v>5</v>
      </c>
      <c r="F2" s="129" t="s">
        <v>6</v>
      </c>
      <c r="G2" s="129" t="s">
        <v>7</v>
      </c>
      <c r="H2" s="129" t="s">
        <v>8</v>
      </c>
      <c r="I2" s="129" t="s">
        <v>9</v>
      </c>
      <c r="J2" s="129" t="s">
        <v>10</v>
      </c>
      <c r="K2" s="129" t="s">
        <v>11</v>
      </c>
      <c r="L2" s="129" t="s">
        <v>12</v>
      </c>
      <c r="M2" s="129" t="s">
        <v>13</v>
      </c>
      <c r="N2" s="129" t="s">
        <v>14</v>
      </c>
      <c r="O2" s="129" t="s">
        <v>15</v>
      </c>
      <c r="P2" s="129" t="s">
        <v>16</v>
      </c>
      <c r="Q2" s="129" t="s">
        <v>17</v>
      </c>
      <c r="R2" s="129" t="s">
        <v>18</v>
      </c>
      <c r="S2" s="129" t="s">
        <v>19</v>
      </c>
      <c r="T2" s="129" t="s">
        <v>20</v>
      </c>
      <c r="U2" s="129" t="s">
        <v>21</v>
      </c>
      <c r="V2" s="129" t="s">
        <v>22</v>
      </c>
      <c r="W2" s="129" t="s">
        <v>23</v>
      </c>
      <c r="X2" s="129" t="s">
        <v>24</v>
      </c>
      <c r="Y2" s="129" t="s">
        <v>25</v>
      </c>
      <c r="Z2" s="129" t="s">
        <v>26</v>
      </c>
      <c r="AA2" s="129" t="s">
        <v>27</v>
      </c>
      <c r="AB2" s="129" t="s">
        <v>28</v>
      </c>
      <c r="AC2" s="129" t="s">
        <v>206</v>
      </c>
    </row>
    <row r="3" spans="1:29">
      <c r="A3" s="129" t="s">
        <v>29</v>
      </c>
      <c r="B3" s="129" t="s">
        <v>309</v>
      </c>
      <c r="C3" s="129"/>
      <c r="D3" s="129"/>
      <c r="E3" s="129">
        <v>2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>
        <f t="shared" ref="AB3:AB30" si="0">SUM(E3:AA3)</f>
        <v>2</v>
      </c>
      <c r="AC3" s="129">
        <f>C3*D3*AB3/1000000</f>
        <v>0</v>
      </c>
    </row>
    <row r="4" spans="1:29">
      <c r="A4" s="129" t="s">
        <v>31</v>
      </c>
      <c r="B4" s="129" t="s">
        <v>310</v>
      </c>
      <c r="C4" s="129"/>
      <c r="D4" s="129"/>
      <c r="E4" s="129"/>
      <c r="F4" s="129">
        <v>1</v>
      </c>
      <c r="G4" s="129">
        <v>1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>
        <f t="shared" si="0"/>
        <v>2</v>
      </c>
      <c r="AC4" s="129">
        <f t="shared" ref="AC4:AC52" si="1">C4*D4*AB4/1000000</f>
        <v>0</v>
      </c>
    </row>
    <row r="5" spans="1:29">
      <c r="A5" s="129" t="s">
        <v>33</v>
      </c>
      <c r="B5" s="129" t="s">
        <v>311</v>
      </c>
      <c r="C5" s="129"/>
      <c r="D5" s="129"/>
      <c r="E5" s="129"/>
      <c r="F5" s="129">
        <v>1</v>
      </c>
      <c r="G5" s="129">
        <v>1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>
        <f t="shared" si="0"/>
        <v>2</v>
      </c>
      <c r="AC5" s="129">
        <f t="shared" si="1"/>
        <v>0</v>
      </c>
    </row>
    <row r="6" spans="1:29">
      <c r="A6" s="129" t="s">
        <v>35</v>
      </c>
      <c r="B6" s="129" t="s">
        <v>312</v>
      </c>
      <c r="C6" s="129"/>
      <c r="D6" s="129"/>
      <c r="E6" s="129"/>
      <c r="F6" s="129">
        <v>1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>
        <f t="shared" si="0"/>
        <v>1</v>
      </c>
      <c r="AC6" s="129">
        <f t="shared" si="1"/>
        <v>0</v>
      </c>
    </row>
    <row r="7" spans="1:29">
      <c r="A7" s="129" t="s">
        <v>37</v>
      </c>
      <c r="B7" s="129" t="s">
        <v>313</v>
      </c>
      <c r="C7" s="129"/>
      <c r="D7" s="129"/>
      <c r="E7" s="129"/>
      <c r="F7" s="129">
        <v>2</v>
      </c>
      <c r="G7" s="129">
        <v>2</v>
      </c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>
        <f t="shared" si="0"/>
        <v>4</v>
      </c>
      <c r="AC7" s="129">
        <f t="shared" si="1"/>
        <v>0</v>
      </c>
    </row>
    <row r="8" spans="1:29">
      <c r="A8" s="129" t="s">
        <v>39</v>
      </c>
      <c r="B8" s="129" t="s">
        <v>314</v>
      </c>
      <c r="C8" s="129"/>
      <c r="D8" s="129"/>
      <c r="E8" s="129"/>
      <c r="F8" s="129">
        <v>1</v>
      </c>
      <c r="G8" s="129">
        <v>1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>
        <f t="shared" si="0"/>
        <v>2</v>
      </c>
      <c r="AC8" s="129">
        <f t="shared" si="1"/>
        <v>0</v>
      </c>
    </row>
    <row r="9" spans="1:29">
      <c r="A9" s="129" t="s">
        <v>41</v>
      </c>
      <c r="B9" s="129" t="s">
        <v>315</v>
      </c>
      <c r="C9" s="129"/>
      <c r="D9" s="129"/>
      <c r="E9" s="129"/>
      <c r="F9" s="129">
        <v>1</v>
      </c>
      <c r="G9" s="129">
        <v>1</v>
      </c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>
        <f t="shared" si="0"/>
        <v>2</v>
      </c>
      <c r="AC9" s="129">
        <f t="shared" si="1"/>
        <v>0</v>
      </c>
    </row>
    <row r="10" spans="1:29">
      <c r="A10" s="129" t="s">
        <v>43</v>
      </c>
      <c r="B10" s="129" t="s">
        <v>316</v>
      </c>
      <c r="C10" s="129"/>
      <c r="D10" s="129"/>
      <c r="E10" s="129"/>
      <c r="F10" s="129">
        <v>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>
        <f t="shared" si="0"/>
        <v>1</v>
      </c>
      <c r="AC10" s="129">
        <f t="shared" si="1"/>
        <v>0</v>
      </c>
    </row>
    <row r="11" spans="1:29">
      <c r="A11" s="129" t="s">
        <v>45</v>
      </c>
      <c r="B11" s="129" t="s">
        <v>40</v>
      </c>
      <c r="C11" s="129"/>
      <c r="D11" s="129"/>
      <c r="E11" s="129"/>
      <c r="F11" s="129">
        <v>2</v>
      </c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>
        <f t="shared" si="0"/>
        <v>2</v>
      </c>
      <c r="AC11" s="129">
        <f t="shared" si="1"/>
        <v>0</v>
      </c>
    </row>
    <row r="12" spans="1:29">
      <c r="A12" s="129" t="s">
        <v>47</v>
      </c>
      <c r="B12" s="129" t="s">
        <v>317</v>
      </c>
      <c r="C12" s="129"/>
      <c r="D12" s="129"/>
      <c r="E12" s="129"/>
      <c r="F12" s="129">
        <v>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>
        <f t="shared" si="0"/>
        <v>1</v>
      </c>
      <c r="AC12" s="129">
        <f t="shared" si="1"/>
        <v>0</v>
      </c>
    </row>
    <row r="13" spans="1:29">
      <c r="A13" s="129" t="s">
        <v>49</v>
      </c>
      <c r="B13" s="129" t="s">
        <v>70</v>
      </c>
      <c r="C13" s="129"/>
      <c r="D13" s="129"/>
      <c r="E13" s="129"/>
      <c r="F13" s="129">
        <v>6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>
        <f t="shared" si="0"/>
        <v>6</v>
      </c>
      <c r="AC13" s="129">
        <f t="shared" si="1"/>
        <v>0</v>
      </c>
    </row>
    <row r="14" spans="1:29">
      <c r="A14" s="129" t="s">
        <v>51</v>
      </c>
      <c r="B14" s="129" t="s">
        <v>318</v>
      </c>
      <c r="C14" s="129"/>
      <c r="D14" s="129"/>
      <c r="E14" s="129"/>
      <c r="F14" s="129">
        <v>4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>
        <f t="shared" si="0"/>
        <v>4</v>
      </c>
      <c r="AC14" s="129">
        <f t="shared" si="1"/>
        <v>0</v>
      </c>
    </row>
    <row r="15" spans="1:29">
      <c r="A15" s="129" t="s">
        <v>53</v>
      </c>
      <c r="B15" s="129" t="s">
        <v>319</v>
      </c>
      <c r="C15" s="129"/>
      <c r="D15" s="129"/>
      <c r="E15" s="129"/>
      <c r="F15" s="129">
        <v>5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>
        <f t="shared" si="0"/>
        <v>5</v>
      </c>
      <c r="AC15" s="129">
        <f t="shared" si="1"/>
        <v>0</v>
      </c>
    </row>
    <row r="16" spans="1:29">
      <c r="A16" s="129" t="s">
        <v>55</v>
      </c>
      <c r="B16" s="129" t="s">
        <v>320</v>
      </c>
      <c r="C16" s="129"/>
      <c r="D16" s="129"/>
      <c r="E16" s="129"/>
      <c r="F16" s="129">
        <v>5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>
        <f t="shared" si="0"/>
        <v>5</v>
      </c>
      <c r="AC16" s="129">
        <f t="shared" si="1"/>
        <v>0</v>
      </c>
    </row>
    <row r="17" spans="1:29">
      <c r="A17" s="129" t="s">
        <v>57</v>
      </c>
      <c r="B17" s="129" t="s">
        <v>321</v>
      </c>
      <c r="C17" s="129"/>
      <c r="D17" s="129"/>
      <c r="E17" s="129"/>
      <c r="F17" s="129">
        <v>1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>
        <f t="shared" si="0"/>
        <v>1</v>
      </c>
      <c r="AC17" s="129">
        <f t="shared" si="1"/>
        <v>0</v>
      </c>
    </row>
    <row r="18" spans="1:29">
      <c r="A18" s="129" t="s">
        <v>59</v>
      </c>
      <c r="B18" s="129" t="s">
        <v>322</v>
      </c>
      <c r="C18" s="129"/>
      <c r="D18" s="129"/>
      <c r="E18" s="129"/>
      <c r="F18" s="129">
        <v>2</v>
      </c>
      <c r="G18" s="129">
        <v>2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>
        <f t="shared" si="0"/>
        <v>4</v>
      </c>
      <c r="AC18" s="129">
        <f t="shared" si="1"/>
        <v>0</v>
      </c>
    </row>
    <row r="19" spans="1:29">
      <c r="A19" s="129" t="s">
        <v>61</v>
      </c>
      <c r="B19" s="129" t="s">
        <v>323</v>
      </c>
      <c r="C19" s="129"/>
      <c r="D19" s="129"/>
      <c r="E19" s="129"/>
      <c r="F19" s="129">
        <v>6</v>
      </c>
      <c r="G19" s="129">
        <v>6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>
        <f t="shared" si="0"/>
        <v>12</v>
      </c>
      <c r="AC19" s="129">
        <f t="shared" si="1"/>
        <v>0</v>
      </c>
    </row>
    <row r="20" spans="1:29">
      <c r="A20" s="129" t="s">
        <v>63</v>
      </c>
      <c r="B20" s="129" t="s">
        <v>324</v>
      </c>
      <c r="C20" s="129"/>
      <c r="D20" s="129"/>
      <c r="E20" s="129"/>
      <c r="F20" s="129">
        <v>1</v>
      </c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>
        <f t="shared" si="0"/>
        <v>1</v>
      </c>
      <c r="AC20" s="129">
        <f t="shared" si="1"/>
        <v>0</v>
      </c>
    </row>
    <row r="21" spans="1:29">
      <c r="A21" s="129" t="s">
        <v>65</v>
      </c>
      <c r="B21" s="129" t="s">
        <v>325</v>
      </c>
      <c r="C21" s="129"/>
      <c r="D21" s="129"/>
      <c r="E21" s="129"/>
      <c r="F21" s="129">
        <v>8</v>
      </c>
      <c r="G21" s="129">
        <v>9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>
        <f t="shared" si="0"/>
        <v>17</v>
      </c>
      <c r="AC21" s="129">
        <f t="shared" si="1"/>
        <v>0</v>
      </c>
    </row>
    <row r="22" spans="1:29">
      <c r="A22" s="129" t="s">
        <v>67</v>
      </c>
      <c r="B22" s="129" t="s">
        <v>326</v>
      </c>
      <c r="C22" s="129"/>
      <c r="D22" s="129"/>
      <c r="E22" s="129"/>
      <c r="F22" s="129">
        <v>1</v>
      </c>
      <c r="G22" s="129">
        <v>2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>
        <f t="shared" si="0"/>
        <v>3</v>
      </c>
      <c r="AC22" s="129">
        <f t="shared" si="1"/>
        <v>0</v>
      </c>
    </row>
    <row r="23" spans="1:29">
      <c r="A23" s="129" t="s">
        <v>69</v>
      </c>
      <c r="B23" s="129" t="s">
        <v>327</v>
      </c>
      <c r="C23" s="129"/>
      <c r="D23" s="129"/>
      <c r="E23" s="129"/>
      <c r="F23" s="129">
        <v>3</v>
      </c>
      <c r="G23" s="129">
        <v>4</v>
      </c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>
        <f t="shared" si="0"/>
        <v>7</v>
      </c>
      <c r="AC23" s="129">
        <f t="shared" si="1"/>
        <v>0</v>
      </c>
    </row>
    <row r="24" spans="1:29">
      <c r="A24" s="129" t="s">
        <v>71</v>
      </c>
      <c r="B24" s="129" t="s">
        <v>328</v>
      </c>
      <c r="C24" s="129"/>
      <c r="D24" s="129"/>
      <c r="E24" s="129"/>
      <c r="F24" s="129">
        <v>3</v>
      </c>
      <c r="G24" s="129">
        <v>3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>
        <f t="shared" si="0"/>
        <v>6</v>
      </c>
      <c r="AC24" s="129">
        <f t="shared" si="1"/>
        <v>0</v>
      </c>
    </row>
    <row r="25" spans="1:29">
      <c r="A25" s="129" t="s">
        <v>223</v>
      </c>
      <c r="B25" s="129" t="s">
        <v>329</v>
      </c>
      <c r="C25" s="129"/>
      <c r="D25" s="129"/>
      <c r="E25" s="129"/>
      <c r="F25" s="129">
        <v>1</v>
      </c>
      <c r="G25" s="129">
        <v>1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>
        <f t="shared" si="0"/>
        <v>2</v>
      </c>
      <c r="AC25" s="129">
        <f t="shared" si="1"/>
        <v>0</v>
      </c>
    </row>
    <row r="26" spans="1:29">
      <c r="A26" s="129" t="s">
        <v>73</v>
      </c>
      <c r="B26" s="129" t="s">
        <v>330</v>
      </c>
      <c r="C26" s="129"/>
      <c r="D26" s="129"/>
      <c r="E26" s="129"/>
      <c r="F26" s="129">
        <v>1</v>
      </c>
      <c r="G26" s="129">
        <v>1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>
        <f t="shared" si="0"/>
        <v>2</v>
      </c>
      <c r="AC26" s="129">
        <f t="shared" si="1"/>
        <v>0</v>
      </c>
    </row>
    <row r="27" spans="1:29">
      <c r="A27" s="129" t="s">
        <v>75</v>
      </c>
      <c r="B27" s="129" t="s">
        <v>331</v>
      </c>
      <c r="C27" s="129"/>
      <c r="D27" s="129"/>
      <c r="E27" s="129"/>
      <c r="F27" s="129">
        <v>1</v>
      </c>
      <c r="G27" s="129">
        <v>1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>
        <f t="shared" si="0"/>
        <v>2</v>
      </c>
      <c r="AC27" s="129">
        <f t="shared" si="1"/>
        <v>0</v>
      </c>
    </row>
    <row r="28" spans="1:29">
      <c r="A28" s="129" t="s">
        <v>77</v>
      </c>
      <c r="B28" s="129" t="s">
        <v>332</v>
      </c>
      <c r="C28" s="129"/>
      <c r="D28" s="129"/>
      <c r="E28" s="129"/>
      <c r="F28" s="129"/>
      <c r="G28" s="129">
        <v>1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f t="shared" si="0"/>
        <v>1</v>
      </c>
      <c r="AC28" s="129">
        <f t="shared" si="1"/>
        <v>0</v>
      </c>
    </row>
    <row r="29" spans="1:29">
      <c r="A29" s="129" t="s">
        <v>79</v>
      </c>
      <c r="B29" s="129" t="s">
        <v>157</v>
      </c>
      <c r="C29" s="129"/>
      <c r="D29" s="129"/>
      <c r="E29" s="129"/>
      <c r="F29" s="129"/>
      <c r="G29" s="129">
        <v>1</v>
      </c>
      <c r="H29" s="129">
        <v>2</v>
      </c>
      <c r="I29" s="129">
        <v>2</v>
      </c>
      <c r="J29" s="129">
        <v>2</v>
      </c>
      <c r="K29" s="129">
        <v>2</v>
      </c>
      <c r="L29" s="129">
        <v>2</v>
      </c>
      <c r="M29" s="129">
        <v>2</v>
      </c>
      <c r="N29" s="129">
        <v>2</v>
      </c>
      <c r="O29" s="129">
        <v>2</v>
      </c>
      <c r="P29" s="129">
        <v>2</v>
      </c>
      <c r="Q29" s="129">
        <v>2</v>
      </c>
      <c r="R29" s="129">
        <v>2</v>
      </c>
      <c r="S29" s="129">
        <v>2</v>
      </c>
      <c r="T29" s="129">
        <v>2</v>
      </c>
      <c r="U29" s="129">
        <v>2</v>
      </c>
      <c r="V29" s="129">
        <v>2</v>
      </c>
      <c r="W29" s="129">
        <v>2</v>
      </c>
      <c r="X29" s="129"/>
      <c r="Y29" s="129">
        <v>2</v>
      </c>
      <c r="Z29" s="129">
        <v>2</v>
      </c>
      <c r="AA29" s="129"/>
      <c r="AB29" s="129">
        <f t="shared" si="0"/>
        <v>37</v>
      </c>
      <c r="AC29" s="129">
        <f t="shared" si="1"/>
        <v>0</v>
      </c>
    </row>
    <row r="30" spans="1:29">
      <c r="A30" s="129" t="s">
        <v>81</v>
      </c>
      <c r="B30" s="129" t="s">
        <v>291</v>
      </c>
      <c r="C30" s="129"/>
      <c r="D30" s="129"/>
      <c r="E30" s="129"/>
      <c r="F30" s="129"/>
      <c r="G30" s="129">
        <v>2</v>
      </c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>
        <f t="shared" si="0"/>
        <v>2</v>
      </c>
      <c r="AC30" s="129">
        <f t="shared" si="1"/>
        <v>0</v>
      </c>
    </row>
    <row r="31" spans="1:29">
      <c r="A31" s="129" t="s">
        <v>83</v>
      </c>
      <c r="B31" s="129" t="s">
        <v>280</v>
      </c>
      <c r="C31" s="129"/>
      <c r="D31" s="129"/>
      <c r="E31" s="129"/>
      <c r="F31" s="129"/>
      <c r="G31" s="129">
        <v>2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>
        <f t="shared" ref="AB31:AB52" si="2">SUM(E31:AA31)</f>
        <v>2</v>
      </c>
      <c r="AC31" s="129">
        <f t="shared" si="1"/>
        <v>0</v>
      </c>
    </row>
    <row r="32" spans="1:29">
      <c r="A32" s="129" t="s">
        <v>85</v>
      </c>
      <c r="B32" s="129" t="s">
        <v>333</v>
      </c>
      <c r="C32" s="129"/>
      <c r="D32" s="129"/>
      <c r="E32" s="129"/>
      <c r="F32" s="129"/>
      <c r="G32" s="129">
        <v>1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>
        <f t="shared" si="2"/>
        <v>1</v>
      </c>
      <c r="AC32" s="129">
        <f t="shared" si="1"/>
        <v>0</v>
      </c>
    </row>
    <row r="33" spans="1:29">
      <c r="A33" s="129" t="s">
        <v>87</v>
      </c>
      <c r="B33" s="129" t="s">
        <v>235</v>
      </c>
      <c r="C33" s="129"/>
      <c r="D33" s="129"/>
      <c r="E33" s="129"/>
      <c r="F33" s="129"/>
      <c r="G33" s="129">
        <v>3</v>
      </c>
      <c r="H33" s="129">
        <v>6</v>
      </c>
      <c r="I33" s="129">
        <v>6</v>
      </c>
      <c r="J33" s="129">
        <v>6</v>
      </c>
      <c r="K33" s="129">
        <v>6</v>
      </c>
      <c r="L33" s="129">
        <v>6</v>
      </c>
      <c r="M33" s="129">
        <v>6</v>
      </c>
      <c r="N33" s="129">
        <v>6</v>
      </c>
      <c r="O33" s="129">
        <v>6</v>
      </c>
      <c r="P33" s="129">
        <v>6</v>
      </c>
      <c r="Q33" s="129">
        <v>6</v>
      </c>
      <c r="R33" s="129">
        <v>6</v>
      </c>
      <c r="S33" s="129">
        <v>6</v>
      </c>
      <c r="T33" s="129">
        <v>6</v>
      </c>
      <c r="U33" s="129">
        <v>6</v>
      </c>
      <c r="V33" s="129">
        <v>6</v>
      </c>
      <c r="W33" s="129">
        <v>6</v>
      </c>
      <c r="X33" s="129">
        <v>6</v>
      </c>
      <c r="Y33" s="129">
        <v>6</v>
      </c>
      <c r="Z33" s="129">
        <v>6</v>
      </c>
      <c r="AA33" s="129"/>
      <c r="AB33" s="129">
        <f t="shared" si="2"/>
        <v>117</v>
      </c>
      <c r="AC33" s="129">
        <f t="shared" si="1"/>
        <v>0</v>
      </c>
    </row>
    <row r="34" spans="1:29">
      <c r="A34" s="129" t="s">
        <v>89</v>
      </c>
      <c r="B34" s="129" t="s">
        <v>151</v>
      </c>
      <c r="C34" s="129"/>
      <c r="D34" s="129"/>
      <c r="E34" s="129"/>
      <c r="F34" s="129"/>
      <c r="G34" s="129">
        <v>2</v>
      </c>
      <c r="H34" s="129">
        <v>4</v>
      </c>
      <c r="I34" s="129">
        <v>4</v>
      </c>
      <c r="J34" s="129">
        <v>4</v>
      </c>
      <c r="K34" s="129">
        <v>4</v>
      </c>
      <c r="L34" s="129">
        <v>4</v>
      </c>
      <c r="M34" s="129">
        <v>4</v>
      </c>
      <c r="N34" s="129">
        <v>4</v>
      </c>
      <c r="O34" s="129">
        <v>4</v>
      </c>
      <c r="P34" s="129">
        <v>4</v>
      </c>
      <c r="Q34" s="129">
        <v>4</v>
      </c>
      <c r="R34" s="129">
        <v>4</v>
      </c>
      <c r="S34" s="129">
        <v>4</v>
      </c>
      <c r="T34" s="129">
        <v>4</v>
      </c>
      <c r="U34" s="129">
        <v>4</v>
      </c>
      <c r="V34" s="129">
        <v>4</v>
      </c>
      <c r="W34" s="129">
        <v>4</v>
      </c>
      <c r="X34" s="129">
        <v>4</v>
      </c>
      <c r="Y34" s="129">
        <v>4</v>
      </c>
      <c r="Z34" s="129">
        <v>4</v>
      </c>
      <c r="AA34" s="129"/>
      <c r="AB34" s="129">
        <f t="shared" si="2"/>
        <v>78</v>
      </c>
      <c r="AC34" s="129">
        <f t="shared" si="1"/>
        <v>0</v>
      </c>
    </row>
    <row r="35" spans="1:29">
      <c r="A35" s="129" t="s">
        <v>91</v>
      </c>
      <c r="B35" s="129" t="s">
        <v>334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>
        <f t="shared" si="2"/>
        <v>0</v>
      </c>
      <c r="AC35" s="129">
        <f t="shared" si="1"/>
        <v>0</v>
      </c>
    </row>
    <row r="36" spans="1:29">
      <c r="A36" s="129" t="s">
        <v>93</v>
      </c>
      <c r="B36" s="129" t="s">
        <v>283</v>
      </c>
      <c r="C36" s="129"/>
      <c r="D36" s="129"/>
      <c r="E36" s="129"/>
      <c r="F36" s="129"/>
      <c r="G36" s="129">
        <v>1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>
        <f t="shared" si="2"/>
        <v>1</v>
      </c>
      <c r="AC36" s="129">
        <f t="shared" si="1"/>
        <v>0</v>
      </c>
    </row>
    <row r="37" spans="1:29">
      <c r="A37" s="129" t="s">
        <v>95</v>
      </c>
      <c r="B37" s="129" t="s">
        <v>284</v>
      </c>
      <c r="C37" s="129"/>
      <c r="D37" s="129"/>
      <c r="E37" s="129"/>
      <c r="F37" s="129"/>
      <c r="G37" s="129">
        <v>1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>
        <f t="shared" si="2"/>
        <v>1</v>
      </c>
      <c r="AC37" s="129">
        <f t="shared" si="1"/>
        <v>0</v>
      </c>
    </row>
    <row r="38" spans="1:29">
      <c r="A38" s="129" t="s">
        <v>97</v>
      </c>
      <c r="B38" s="129" t="s">
        <v>285</v>
      </c>
      <c r="C38" s="129"/>
      <c r="D38" s="129"/>
      <c r="E38" s="129"/>
      <c r="F38" s="129"/>
      <c r="G38" s="129">
        <v>1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>
        <f t="shared" si="2"/>
        <v>1</v>
      </c>
      <c r="AC38" s="129">
        <f t="shared" si="1"/>
        <v>0</v>
      </c>
    </row>
    <row r="39" spans="1:29">
      <c r="A39" s="129" t="s">
        <v>99</v>
      </c>
      <c r="B39" s="129" t="s">
        <v>286</v>
      </c>
      <c r="C39" s="129"/>
      <c r="D39" s="129"/>
      <c r="E39" s="129"/>
      <c r="F39" s="129"/>
      <c r="G39" s="129">
        <v>1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>
        <f t="shared" si="2"/>
        <v>1</v>
      </c>
      <c r="AC39" s="129">
        <f t="shared" si="1"/>
        <v>0</v>
      </c>
    </row>
    <row r="40" spans="1:29">
      <c r="A40" s="129" t="s">
        <v>101</v>
      </c>
      <c r="B40" s="129" t="s">
        <v>181</v>
      </c>
      <c r="C40" s="129"/>
      <c r="D40" s="129"/>
      <c r="E40" s="129"/>
      <c r="F40" s="129"/>
      <c r="G40" s="129">
        <v>1</v>
      </c>
      <c r="H40" s="129">
        <v>1</v>
      </c>
      <c r="I40" s="129">
        <v>2</v>
      </c>
      <c r="J40" s="129">
        <v>2</v>
      </c>
      <c r="K40" s="129">
        <v>2</v>
      </c>
      <c r="L40" s="129">
        <v>2</v>
      </c>
      <c r="M40" s="129">
        <v>2</v>
      </c>
      <c r="N40" s="129">
        <v>2</v>
      </c>
      <c r="O40" s="129">
        <v>2</v>
      </c>
      <c r="P40" s="129">
        <v>2</v>
      </c>
      <c r="Q40" s="129">
        <v>2</v>
      </c>
      <c r="R40" s="129">
        <v>2</v>
      </c>
      <c r="S40" s="129">
        <v>2</v>
      </c>
      <c r="T40" s="129">
        <v>2</v>
      </c>
      <c r="U40" s="129">
        <v>2</v>
      </c>
      <c r="V40" s="129">
        <v>2</v>
      </c>
      <c r="W40" s="129">
        <v>2</v>
      </c>
      <c r="X40" s="129">
        <v>2</v>
      </c>
      <c r="Y40" s="129">
        <v>2</v>
      </c>
      <c r="Z40" s="129">
        <v>0</v>
      </c>
      <c r="AA40" s="129"/>
      <c r="AB40" s="129">
        <f t="shared" si="2"/>
        <v>36</v>
      </c>
      <c r="AC40" s="129">
        <f t="shared" si="1"/>
        <v>0</v>
      </c>
    </row>
    <row r="41" spans="1:29">
      <c r="A41" s="129" t="s">
        <v>103</v>
      </c>
      <c r="B41" s="129" t="s">
        <v>163</v>
      </c>
      <c r="C41" s="129"/>
      <c r="D41" s="129"/>
      <c r="E41" s="129"/>
      <c r="F41" s="129"/>
      <c r="G41" s="129">
        <v>1</v>
      </c>
      <c r="H41" s="129">
        <v>2</v>
      </c>
      <c r="I41" s="129">
        <v>2</v>
      </c>
      <c r="J41" s="129">
        <v>2</v>
      </c>
      <c r="K41" s="129">
        <v>2</v>
      </c>
      <c r="L41" s="129">
        <v>2</v>
      </c>
      <c r="M41" s="129">
        <v>2</v>
      </c>
      <c r="N41" s="129">
        <v>2</v>
      </c>
      <c r="O41" s="129">
        <v>2</v>
      </c>
      <c r="P41" s="129">
        <v>2</v>
      </c>
      <c r="Q41" s="129">
        <v>2</v>
      </c>
      <c r="R41" s="129">
        <v>2</v>
      </c>
      <c r="S41" s="129">
        <v>2</v>
      </c>
      <c r="T41" s="129">
        <v>2</v>
      </c>
      <c r="U41" s="129">
        <v>2</v>
      </c>
      <c r="V41" s="129">
        <v>2</v>
      </c>
      <c r="W41" s="129">
        <v>2</v>
      </c>
      <c r="X41" s="129">
        <v>2</v>
      </c>
      <c r="Y41" s="129">
        <v>2</v>
      </c>
      <c r="Z41" s="129">
        <v>2</v>
      </c>
      <c r="AA41" s="129"/>
      <c r="AB41" s="129">
        <f t="shared" si="2"/>
        <v>39</v>
      </c>
      <c r="AC41" s="129">
        <f t="shared" si="1"/>
        <v>0</v>
      </c>
    </row>
    <row r="42" spans="1:29">
      <c r="A42" s="129" t="s">
        <v>105</v>
      </c>
      <c r="B42" s="129" t="s">
        <v>289</v>
      </c>
      <c r="C42" s="129"/>
      <c r="D42" s="129"/>
      <c r="E42" s="129"/>
      <c r="F42" s="129"/>
      <c r="G42" s="129">
        <v>1</v>
      </c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>
        <f t="shared" si="2"/>
        <v>1</v>
      </c>
      <c r="AC42" s="129">
        <f t="shared" si="1"/>
        <v>0</v>
      </c>
    </row>
    <row r="43" spans="1:29">
      <c r="A43" s="129" t="s">
        <v>107</v>
      </c>
      <c r="B43" s="129" t="s">
        <v>290</v>
      </c>
      <c r="C43" s="129"/>
      <c r="D43" s="129"/>
      <c r="E43" s="129"/>
      <c r="F43" s="129"/>
      <c r="G43" s="129">
        <v>1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>
        <f t="shared" si="2"/>
        <v>1</v>
      </c>
      <c r="AC43" s="129">
        <f t="shared" si="1"/>
        <v>0</v>
      </c>
    </row>
    <row r="44" spans="1:29">
      <c r="A44" s="129" t="s">
        <v>109</v>
      </c>
      <c r="B44" s="129" t="s">
        <v>252</v>
      </c>
      <c r="C44" s="129"/>
      <c r="D44" s="129"/>
      <c r="E44" s="129"/>
      <c r="F44" s="129"/>
      <c r="G44" s="129">
        <v>1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>
        <f t="shared" si="2"/>
        <v>1</v>
      </c>
      <c r="AC44" s="129">
        <f t="shared" si="1"/>
        <v>0</v>
      </c>
    </row>
    <row r="45" spans="1:29">
      <c r="A45" s="129" t="s">
        <v>111</v>
      </c>
      <c r="B45" s="129" t="s">
        <v>292</v>
      </c>
      <c r="C45" s="129"/>
      <c r="D45" s="129"/>
      <c r="E45" s="129"/>
      <c r="F45" s="129"/>
      <c r="G45" s="129">
        <v>1</v>
      </c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>
        <f t="shared" si="2"/>
        <v>1</v>
      </c>
      <c r="AC45" s="129">
        <f t="shared" si="1"/>
        <v>0</v>
      </c>
    </row>
    <row r="46" spans="1:29">
      <c r="A46" s="129" t="s">
        <v>113</v>
      </c>
      <c r="B46" s="129" t="s">
        <v>293</v>
      </c>
      <c r="C46" s="129"/>
      <c r="D46" s="129"/>
      <c r="E46" s="129"/>
      <c r="F46" s="129"/>
      <c r="G46" s="129">
        <v>1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>
        <f t="shared" si="2"/>
        <v>1</v>
      </c>
      <c r="AC46" s="129">
        <f t="shared" si="1"/>
        <v>0</v>
      </c>
    </row>
    <row r="47" spans="1:29">
      <c r="A47" s="129" t="s">
        <v>115</v>
      </c>
      <c r="B47" s="129" t="s">
        <v>177</v>
      </c>
      <c r="C47" s="129"/>
      <c r="D47" s="129"/>
      <c r="E47" s="129"/>
      <c r="F47" s="129"/>
      <c r="G47" s="129">
        <v>1</v>
      </c>
      <c r="H47" s="129">
        <v>1</v>
      </c>
      <c r="I47" s="129">
        <v>2</v>
      </c>
      <c r="J47" s="129">
        <v>2</v>
      </c>
      <c r="K47" s="129">
        <v>2</v>
      </c>
      <c r="L47" s="129">
        <v>2</v>
      </c>
      <c r="M47" s="129">
        <v>2</v>
      </c>
      <c r="N47" s="129">
        <v>2</v>
      </c>
      <c r="O47" s="129">
        <v>2</v>
      </c>
      <c r="P47" s="129">
        <v>2</v>
      </c>
      <c r="Q47" s="129">
        <v>2</v>
      </c>
      <c r="R47" s="129">
        <v>2</v>
      </c>
      <c r="S47" s="129">
        <v>2</v>
      </c>
      <c r="T47" s="129">
        <v>2</v>
      </c>
      <c r="U47" s="129">
        <v>2</v>
      </c>
      <c r="V47" s="129">
        <v>2</v>
      </c>
      <c r="W47" s="129">
        <v>2</v>
      </c>
      <c r="X47" s="129">
        <v>2</v>
      </c>
      <c r="Y47" s="129">
        <v>2</v>
      </c>
      <c r="Z47" s="129"/>
      <c r="AA47" s="129"/>
      <c r="AB47" s="129">
        <f t="shared" si="2"/>
        <v>36</v>
      </c>
      <c r="AC47" s="129">
        <f t="shared" si="1"/>
        <v>0</v>
      </c>
    </row>
    <row r="48" spans="1:29">
      <c r="A48" s="129" t="s">
        <v>117</v>
      </c>
      <c r="B48" s="129" t="s">
        <v>335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>
        <f t="shared" si="2"/>
        <v>0</v>
      </c>
      <c r="AC48" s="129">
        <f t="shared" si="1"/>
        <v>0</v>
      </c>
    </row>
    <row r="49" spans="1:29">
      <c r="A49" s="129" t="s">
        <v>119</v>
      </c>
      <c r="B49" s="129" t="s">
        <v>295</v>
      </c>
      <c r="C49" s="129"/>
      <c r="D49" s="129"/>
      <c r="E49" s="129"/>
      <c r="F49" s="129"/>
      <c r="G49" s="129">
        <v>1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>
        <f t="shared" si="2"/>
        <v>1</v>
      </c>
      <c r="AC49" s="129">
        <f t="shared" si="1"/>
        <v>0</v>
      </c>
    </row>
    <row r="50" spans="1:29">
      <c r="A50" s="129" t="s">
        <v>121</v>
      </c>
      <c r="B50" s="129" t="s">
        <v>271</v>
      </c>
      <c r="C50" s="129"/>
      <c r="D50" s="129"/>
      <c r="E50" s="129"/>
      <c r="F50" s="129"/>
      <c r="G50" s="129">
        <v>1</v>
      </c>
      <c r="H50" s="129">
        <v>1</v>
      </c>
      <c r="I50" s="129">
        <v>1</v>
      </c>
      <c r="J50" s="129">
        <v>1</v>
      </c>
      <c r="K50" s="129">
        <v>1</v>
      </c>
      <c r="L50" s="129">
        <v>1</v>
      </c>
      <c r="M50" s="129">
        <v>1</v>
      </c>
      <c r="N50" s="129">
        <v>1</v>
      </c>
      <c r="O50" s="129">
        <v>1</v>
      </c>
      <c r="P50" s="129">
        <v>1</v>
      </c>
      <c r="Q50" s="129">
        <v>1</v>
      </c>
      <c r="R50" s="129">
        <v>1</v>
      </c>
      <c r="S50" s="129">
        <v>1</v>
      </c>
      <c r="T50" s="129">
        <v>1</v>
      </c>
      <c r="U50" s="129">
        <v>1</v>
      </c>
      <c r="V50" s="129">
        <v>1</v>
      </c>
      <c r="W50" s="129">
        <v>1</v>
      </c>
      <c r="X50" s="129">
        <v>1</v>
      </c>
      <c r="Y50" s="129">
        <v>1</v>
      </c>
      <c r="Z50" s="129">
        <v>1</v>
      </c>
      <c r="AA50" s="129"/>
      <c r="AB50" s="129">
        <f t="shared" si="2"/>
        <v>20</v>
      </c>
      <c r="AC50" s="129">
        <f t="shared" si="1"/>
        <v>0</v>
      </c>
    </row>
    <row r="51" spans="1:29">
      <c r="A51" s="129" t="s">
        <v>123</v>
      </c>
      <c r="B51" s="130" t="s">
        <v>336</v>
      </c>
      <c r="C51" s="130"/>
      <c r="D51" s="130"/>
      <c r="E51" s="130"/>
      <c r="F51" s="130"/>
      <c r="G51" s="130">
        <v>1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>
        <f t="shared" si="2"/>
        <v>1</v>
      </c>
      <c r="AC51" s="130">
        <f t="shared" si="1"/>
        <v>0</v>
      </c>
    </row>
    <row r="52" spans="1:30">
      <c r="A52" s="129" t="s">
        <v>125</v>
      </c>
      <c r="B52" s="129" t="s">
        <v>337</v>
      </c>
      <c r="C52" s="129"/>
      <c r="D52" s="129"/>
      <c r="E52" s="129"/>
      <c r="F52" s="129"/>
      <c r="G52" s="129">
        <v>1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>
        <f t="shared" si="2"/>
        <v>1</v>
      </c>
      <c r="AC52" s="129">
        <f t="shared" si="1"/>
        <v>0</v>
      </c>
      <c r="AD52" s="129"/>
    </row>
    <row r="53" spans="1:30">
      <c r="A53" s="129" t="s">
        <v>127</v>
      </c>
      <c r="B53" s="129" t="s">
        <v>145</v>
      </c>
      <c r="C53" s="129"/>
      <c r="D53" s="129"/>
      <c r="E53" s="129"/>
      <c r="F53" s="129"/>
      <c r="G53" s="129"/>
      <c r="H53" s="129">
        <v>4</v>
      </c>
      <c r="I53" s="129">
        <v>4</v>
      </c>
      <c r="J53" s="129">
        <v>4</v>
      </c>
      <c r="K53" s="129">
        <v>4</v>
      </c>
      <c r="L53" s="129">
        <v>4</v>
      </c>
      <c r="M53" s="129">
        <v>4</v>
      </c>
      <c r="N53" s="129">
        <v>4</v>
      </c>
      <c r="O53" s="129">
        <v>4</v>
      </c>
      <c r="P53" s="129">
        <v>4</v>
      </c>
      <c r="Q53" s="129">
        <v>4</v>
      </c>
      <c r="R53" s="129">
        <v>4</v>
      </c>
      <c r="S53" s="129">
        <v>4</v>
      </c>
      <c r="T53" s="129">
        <v>4</v>
      </c>
      <c r="U53" s="129">
        <v>4</v>
      </c>
      <c r="V53" s="129">
        <v>4</v>
      </c>
      <c r="W53" s="129">
        <v>4</v>
      </c>
      <c r="X53" s="129">
        <v>4</v>
      </c>
      <c r="Y53" s="129">
        <v>4</v>
      </c>
      <c r="Z53" s="129">
        <v>4</v>
      </c>
      <c r="AA53" s="129"/>
      <c r="AB53" s="129">
        <f t="shared" ref="AB53:AB72" si="3">SUM(E53:AA53)</f>
        <v>76</v>
      </c>
      <c r="AC53" s="129">
        <f t="shared" ref="AC53:AC73" si="4">C53*D53*AB53/1000000</f>
        <v>0</v>
      </c>
      <c r="AD53" s="129"/>
    </row>
    <row r="54" spans="1:30">
      <c r="A54" s="129" t="s">
        <v>129</v>
      </c>
      <c r="B54" s="129" t="s">
        <v>147</v>
      </c>
      <c r="C54" s="129"/>
      <c r="D54" s="129"/>
      <c r="E54" s="129"/>
      <c r="F54" s="129"/>
      <c r="G54" s="129"/>
      <c r="H54" s="129">
        <v>3</v>
      </c>
      <c r="I54" s="129">
        <v>3</v>
      </c>
      <c r="J54" s="129">
        <v>3</v>
      </c>
      <c r="K54" s="129">
        <v>3</v>
      </c>
      <c r="L54" s="129">
        <v>3</v>
      </c>
      <c r="M54" s="129">
        <v>3</v>
      </c>
      <c r="N54" s="129">
        <v>3</v>
      </c>
      <c r="O54" s="129">
        <v>3</v>
      </c>
      <c r="P54" s="129">
        <v>3</v>
      </c>
      <c r="Q54" s="129">
        <v>3</v>
      </c>
      <c r="R54" s="129">
        <v>3</v>
      </c>
      <c r="S54" s="129">
        <v>3</v>
      </c>
      <c r="T54" s="129">
        <v>3</v>
      </c>
      <c r="U54" s="129">
        <v>3</v>
      </c>
      <c r="V54" s="129">
        <v>3</v>
      </c>
      <c r="W54" s="129">
        <v>3</v>
      </c>
      <c r="X54" s="129">
        <v>3</v>
      </c>
      <c r="Y54" s="129">
        <v>3</v>
      </c>
      <c r="Z54" s="129">
        <v>3</v>
      </c>
      <c r="AA54" s="129"/>
      <c r="AB54" s="129">
        <f t="shared" si="3"/>
        <v>57</v>
      </c>
      <c r="AC54" s="129">
        <f t="shared" si="4"/>
        <v>0</v>
      </c>
      <c r="AD54" s="129"/>
    </row>
    <row r="55" spans="1:30">
      <c r="A55" s="129" t="s">
        <v>131</v>
      </c>
      <c r="B55" s="129" t="s">
        <v>153</v>
      </c>
      <c r="C55" s="129"/>
      <c r="D55" s="129"/>
      <c r="E55" s="129"/>
      <c r="F55" s="129"/>
      <c r="G55" s="129">
        <v>1</v>
      </c>
      <c r="H55" s="129">
        <v>4</v>
      </c>
      <c r="I55" s="129">
        <v>4</v>
      </c>
      <c r="J55" s="129">
        <v>4</v>
      </c>
      <c r="K55" s="129">
        <v>4</v>
      </c>
      <c r="L55" s="129">
        <v>4</v>
      </c>
      <c r="M55" s="129">
        <v>4</v>
      </c>
      <c r="N55" s="129">
        <v>4</v>
      </c>
      <c r="O55" s="129">
        <v>4</v>
      </c>
      <c r="P55" s="129">
        <v>4</v>
      </c>
      <c r="Q55" s="129">
        <v>4</v>
      </c>
      <c r="R55" s="129">
        <v>4</v>
      </c>
      <c r="S55" s="129">
        <v>4</v>
      </c>
      <c r="T55" s="129">
        <v>4</v>
      </c>
      <c r="U55" s="129">
        <v>4</v>
      </c>
      <c r="V55" s="129">
        <v>4</v>
      </c>
      <c r="W55" s="129">
        <v>4</v>
      </c>
      <c r="X55" s="129">
        <v>4</v>
      </c>
      <c r="Y55" s="129">
        <v>4</v>
      </c>
      <c r="Z55" s="129">
        <v>4</v>
      </c>
      <c r="AA55" s="129"/>
      <c r="AB55" s="129">
        <f t="shared" si="3"/>
        <v>77</v>
      </c>
      <c r="AC55" s="129">
        <f t="shared" si="4"/>
        <v>0</v>
      </c>
      <c r="AD55" s="129"/>
    </row>
    <row r="56" spans="1:30">
      <c r="A56" s="129" t="s">
        <v>133</v>
      </c>
      <c r="B56" s="129" t="s">
        <v>159</v>
      </c>
      <c r="C56" s="129"/>
      <c r="D56" s="129"/>
      <c r="E56" s="129"/>
      <c r="F56" s="129"/>
      <c r="G56" s="129"/>
      <c r="H56" s="129">
        <v>1</v>
      </c>
      <c r="I56" s="129">
        <v>1</v>
      </c>
      <c r="J56" s="129">
        <v>1</v>
      </c>
      <c r="K56" s="129">
        <v>1</v>
      </c>
      <c r="L56" s="129">
        <v>1</v>
      </c>
      <c r="M56" s="129">
        <v>1</v>
      </c>
      <c r="N56" s="129">
        <v>1</v>
      </c>
      <c r="O56" s="129">
        <v>1</v>
      </c>
      <c r="P56" s="129">
        <v>1</v>
      </c>
      <c r="Q56" s="129">
        <v>1</v>
      </c>
      <c r="R56" s="129">
        <v>1</v>
      </c>
      <c r="S56" s="129">
        <v>1</v>
      </c>
      <c r="T56" s="129">
        <v>1</v>
      </c>
      <c r="U56" s="129">
        <v>1</v>
      </c>
      <c r="V56" s="129">
        <v>1</v>
      </c>
      <c r="W56" s="129">
        <v>1</v>
      </c>
      <c r="X56" s="129">
        <v>1</v>
      </c>
      <c r="Y56" s="129">
        <v>1</v>
      </c>
      <c r="Z56" s="129">
        <v>1</v>
      </c>
      <c r="AA56" s="129"/>
      <c r="AB56" s="129">
        <f t="shared" si="3"/>
        <v>19</v>
      </c>
      <c r="AC56" s="129">
        <f t="shared" si="4"/>
        <v>0</v>
      </c>
      <c r="AD56" s="129"/>
    </row>
    <row r="57" spans="1:30">
      <c r="A57" s="129" t="s">
        <v>135</v>
      </c>
      <c r="B57" s="129" t="s">
        <v>300</v>
      </c>
      <c r="C57" s="129"/>
      <c r="D57" s="129"/>
      <c r="E57" s="129"/>
      <c r="F57" s="129"/>
      <c r="G57" s="129"/>
      <c r="H57" s="129">
        <v>2</v>
      </c>
      <c r="I57" s="129">
        <v>2</v>
      </c>
      <c r="J57" s="129">
        <v>2</v>
      </c>
      <c r="K57" s="129">
        <v>2</v>
      </c>
      <c r="L57" s="129">
        <v>2</v>
      </c>
      <c r="M57" s="129">
        <v>2</v>
      </c>
      <c r="N57" s="129">
        <v>2</v>
      </c>
      <c r="O57" s="129">
        <v>2</v>
      </c>
      <c r="P57" s="129">
        <v>2</v>
      </c>
      <c r="Q57" s="129">
        <v>2</v>
      </c>
      <c r="R57" s="129">
        <v>2</v>
      </c>
      <c r="S57" s="129">
        <v>2</v>
      </c>
      <c r="T57" s="129">
        <v>2</v>
      </c>
      <c r="U57" s="129">
        <v>2</v>
      </c>
      <c r="V57" s="129">
        <v>2</v>
      </c>
      <c r="W57" s="129">
        <v>2</v>
      </c>
      <c r="X57" s="129">
        <v>2</v>
      </c>
      <c r="Y57" s="129">
        <v>2</v>
      </c>
      <c r="Z57" s="129">
        <v>2</v>
      </c>
      <c r="AA57" s="129"/>
      <c r="AB57" s="129">
        <f t="shared" si="3"/>
        <v>38</v>
      </c>
      <c r="AC57" s="129">
        <f t="shared" si="4"/>
        <v>0</v>
      </c>
      <c r="AD57" s="129"/>
    </row>
    <row r="58" spans="1:30">
      <c r="A58" s="129" t="s">
        <v>137</v>
      </c>
      <c r="B58" s="129" t="s">
        <v>302</v>
      </c>
      <c r="C58" s="129"/>
      <c r="D58" s="129"/>
      <c r="E58" s="129"/>
      <c r="F58" s="129"/>
      <c r="G58" s="129"/>
      <c r="H58" s="129"/>
      <c r="I58" s="129">
        <v>1</v>
      </c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>
        <v>2</v>
      </c>
      <c r="Z58" s="129"/>
      <c r="AA58" s="129"/>
      <c r="AB58" s="129">
        <f t="shared" si="3"/>
        <v>3</v>
      </c>
      <c r="AC58" s="129">
        <f t="shared" si="4"/>
        <v>0</v>
      </c>
      <c r="AD58" s="129"/>
    </row>
    <row r="59" spans="1:30">
      <c r="A59" s="129" t="s">
        <v>138</v>
      </c>
      <c r="B59" s="129" t="s">
        <v>143</v>
      </c>
      <c r="C59" s="129"/>
      <c r="D59" s="129"/>
      <c r="E59" s="129"/>
      <c r="F59" s="129"/>
      <c r="G59" s="129"/>
      <c r="H59" s="129">
        <v>2</v>
      </c>
      <c r="I59" s="129">
        <v>2</v>
      </c>
      <c r="J59" s="129">
        <v>2</v>
      </c>
      <c r="K59" s="129">
        <v>2</v>
      </c>
      <c r="L59" s="129">
        <v>2</v>
      </c>
      <c r="M59" s="129">
        <v>2</v>
      </c>
      <c r="N59" s="129">
        <v>2</v>
      </c>
      <c r="O59" s="129">
        <v>2</v>
      </c>
      <c r="P59" s="129">
        <v>2</v>
      </c>
      <c r="Q59" s="129">
        <v>2</v>
      </c>
      <c r="R59" s="129">
        <v>2</v>
      </c>
      <c r="S59" s="129">
        <v>2</v>
      </c>
      <c r="T59" s="129">
        <v>2</v>
      </c>
      <c r="U59" s="129">
        <v>2</v>
      </c>
      <c r="V59" s="129">
        <v>2</v>
      </c>
      <c r="W59" s="129">
        <v>2</v>
      </c>
      <c r="X59" s="129">
        <v>2</v>
      </c>
      <c r="Y59" s="129">
        <v>2</v>
      </c>
      <c r="Z59" s="129">
        <v>2</v>
      </c>
      <c r="AA59" s="129"/>
      <c r="AB59" s="129">
        <f t="shared" si="3"/>
        <v>38</v>
      </c>
      <c r="AC59" s="129">
        <f t="shared" si="4"/>
        <v>0</v>
      </c>
      <c r="AD59" s="129"/>
    </row>
    <row r="60" spans="1:30">
      <c r="A60" s="129" t="s">
        <v>140</v>
      </c>
      <c r="B60" s="129" t="s">
        <v>141</v>
      </c>
      <c r="C60" s="129"/>
      <c r="D60" s="129"/>
      <c r="E60" s="129"/>
      <c r="F60" s="129"/>
      <c r="G60" s="129"/>
      <c r="H60" s="129">
        <v>2</v>
      </c>
      <c r="I60" s="129">
        <v>2</v>
      </c>
      <c r="J60" s="129">
        <v>2</v>
      </c>
      <c r="K60" s="129">
        <v>2</v>
      </c>
      <c r="L60" s="129">
        <v>2</v>
      </c>
      <c r="M60" s="129">
        <v>2</v>
      </c>
      <c r="N60" s="129">
        <v>2</v>
      </c>
      <c r="O60" s="129">
        <v>2</v>
      </c>
      <c r="P60" s="129">
        <v>2</v>
      </c>
      <c r="Q60" s="129">
        <v>2</v>
      </c>
      <c r="R60" s="129">
        <v>2</v>
      </c>
      <c r="S60" s="129">
        <v>2</v>
      </c>
      <c r="T60" s="129">
        <v>2</v>
      </c>
      <c r="U60" s="129">
        <v>2</v>
      </c>
      <c r="V60" s="129">
        <v>2</v>
      </c>
      <c r="W60" s="129">
        <v>2</v>
      </c>
      <c r="X60" s="129">
        <v>2</v>
      </c>
      <c r="Y60" s="129">
        <v>2</v>
      </c>
      <c r="Z60" s="129">
        <v>2</v>
      </c>
      <c r="AA60" s="129"/>
      <c r="AB60" s="129">
        <f t="shared" si="3"/>
        <v>38</v>
      </c>
      <c r="AC60" s="129">
        <f t="shared" si="4"/>
        <v>0</v>
      </c>
      <c r="AD60" s="129"/>
    </row>
    <row r="61" spans="1:30">
      <c r="A61" s="129" t="s">
        <v>142</v>
      </c>
      <c r="B61" s="129" t="s">
        <v>179</v>
      </c>
      <c r="C61" s="129"/>
      <c r="D61" s="129"/>
      <c r="E61" s="129"/>
      <c r="F61" s="129"/>
      <c r="G61" s="129"/>
      <c r="H61" s="129">
        <v>1</v>
      </c>
      <c r="I61" s="129">
        <v>1</v>
      </c>
      <c r="J61" s="129">
        <v>2</v>
      </c>
      <c r="K61" s="129">
        <v>2</v>
      </c>
      <c r="L61" s="129">
        <v>2</v>
      </c>
      <c r="M61" s="129">
        <v>2</v>
      </c>
      <c r="N61" s="129">
        <v>2</v>
      </c>
      <c r="O61" s="129">
        <v>2</v>
      </c>
      <c r="P61" s="129">
        <v>2</v>
      </c>
      <c r="Q61" s="129">
        <v>2</v>
      </c>
      <c r="R61" s="129">
        <v>2</v>
      </c>
      <c r="S61" s="129">
        <v>2</v>
      </c>
      <c r="T61" s="129">
        <v>2</v>
      </c>
      <c r="U61" s="129">
        <v>2</v>
      </c>
      <c r="V61" s="129">
        <v>2</v>
      </c>
      <c r="W61" s="129">
        <v>2</v>
      </c>
      <c r="X61" s="129">
        <v>2</v>
      </c>
      <c r="Y61" s="129">
        <v>2</v>
      </c>
      <c r="Z61" s="129"/>
      <c r="AA61" s="129"/>
      <c r="AB61" s="129">
        <f t="shared" si="3"/>
        <v>34</v>
      </c>
      <c r="AC61" s="129">
        <f t="shared" si="4"/>
        <v>0</v>
      </c>
      <c r="AD61" s="129"/>
    </row>
    <row r="62" spans="1:30">
      <c r="A62" s="129" t="s">
        <v>144</v>
      </c>
      <c r="B62" s="129" t="s">
        <v>169</v>
      </c>
      <c r="C62" s="129"/>
      <c r="D62" s="129"/>
      <c r="E62" s="129"/>
      <c r="F62" s="129"/>
      <c r="G62" s="129"/>
      <c r="H62" s="129">
        <v>2</v>
      </c>
      <c r="I62" s="129">
        <v>2</v>
      </c>
      <c r="J62" s="129">
        <v>2</v>
      </c>
      <c r="K62" s="129">
        <v>2</v>
      </c>
      <c r="L62" s="129">
        <v>2</v>
      </c>
      <c r="M62" s="129">
        <v>2</v>
      </c>
      <c r="N62" s="129">
        <v>2</v>
      </c>
      <c r="O62" s="129">
        <v>2</v>
      </c>
      <c r="P62" s="129">
        <v>2</v>
      </c>
      <c r="Q62" s="129">
        <v>2</v>
      </c>
      <c r="R62" s="129">
        <v>2</v>
      </c>
      <c r="S62" s="129">
        <v>2</v>
      </c>
      <c r="T62" s="129">
        <v>2</v>
      </c>
      <c r="U62" s="129">
        <v>2</v>
      </c>
      <c r="V62" s="129">
        <v>2</v>
      </c>
      <c r="W62" s="129">
        <v>2</v>
      </c>
      <c r="X62" s="129">
        <v>2</v>
      </c>
      <c r="Y62" s="129">
        <v>2</v>
      </c>
      <c r="Z62" s="129">
        <v>2</v>
      </c>
      <c r="AA62" s="129"/>
      <c r="AB62" s="129">
        <f t="shared" si="3"/>
        <v>38</v>
      </c>
      <c r="AC62" s="129">
        <f t="shared" si="4"/>
        <v>0</v>
      </c>
      <c r="AD62" s="129"/>
    </row>
    <row r="63" spans="1:30">
      <c r="A63" s="129" t="s">
        <v>146</v>
      </c>
      <c r="B63" s="129" t="s">
        <v>161</v>
      </c>
      <c r="C63" s="129"/>
      <c r="D63" s="129"/>
      <c r="E63" s="129"/>
      <c r="F63" s="129"/>
      <c r="G63" s="129"/>
      <c r="H63" s="129">
        <v>2</v>
      </c>
      <c r="I63" s="129">
        <v>2</v>
      </c>
      <c r="J63" s="129">
        <v>2</v>
      </c>
      <c r="K63" s="129">
        <v>2</v>
      </c>
      <c r="L63" s="129">
        <v>2</v>
      </c>
      <c r="M63" s="129">
        <v>2</v>
      </c>
      <c r="N63" s="129">
        <v>2</v>
      </c>
      <c r="O63" s="129">
        <v>2</v>
      </c>
      <c r="P63" s="129">
        <v>2</v>
      </c>
      <c r="Q63" s="129">
        <v>2</v>
      </c>
      <c r="R63" s="129">
        <v>2</v>
      </c>
      <c r="S63" s="129">
        <v>2</v>
      </c>
      <c r="T63" s="129">
        <v>2</v>
      </c>
      <c r="U63" s="129">
        <v>2</v>
      </c>
      <c r="V63" s="129">
        <v>2</v>
      </c>
      <c r="W63" s="129">
        <v>2</v>
      </c>
      <c r="X63" s="129">
        <v>2</v>
      </c>
      <c r="Y63" s="129">
        <v>2</v>
      </c>
      <c r="Z63" s="129"/>
      <c r="AA63" s="129"/>
      <c r="AB63" s="129">
        <f t="shared" si="3"/>
        <v>36</v>
      </c>
      <c r="AC63" s="129">
        <f t="shared" si="4"/>
        <v>0</v>
      </c>
      <c r="AD63" s="129"/>
    </row>
    <row r="64" spans="1:30">
      <c r="A64" s="129" t="s">
        <v>148</v>
      </c>
      <c r="B64" s="129" t="s">
        <v>338</v>
      </c>
      <c r="C64" s="129"/>
      <c r="D64" s="129"/>
      <c r="E64" s="129"/>
      <c r="F64" s="129"/>
      <c r="G64" s="129"/>
      <c r="H64" s="129">
        <v>1</v>
      </c>
      <c r="I64" s="129">
        <v>1</v>
      </c>
      <c r="J64" s="129">
        <v>1</v>
      </c>
      <c r="K64" s="129">
        <v>1</v>
      </c>
      <c r="L64" s="129">
        <v>1</v>
      </c>
      <c r="M64" s="129">
        <v>1</v>
      </c>
      <c r="N64" s="129">
        <v>1</v>
      </c>
      <c r="O64" s="129">
        <v>1</v>
      </c>
      <c r="P64" s="129">
        <v>1</v>
      </c>
      <c r="Q64" s="129">
        <v>1</v>
      </c>
      <c r="R64" s="129">
        <v>1</v>
      </c>
      <c r="S64" s="129">
        <v>1</v>
      </c>
      <c r="T64" s="129">
        <v>1</v>
      </c>
      <c r="U64" s="129">
        <v>1</v>
      </c>
      <c r="V64" s="129">
        <v>1</v>
      </c>
      <c r="W64" s="129">
        <v>1</v>
      </c>
      <c r="X64" s="129">
        <v>1</v>
      </c>
      <c r="Y64" s="129">
        <v>1</v>
      </c>
      <c r="Z64" s="129">
        <v>1</v>
      </c>
      <c r="AA64" s="129">
        <v>1</v>
      </c>
      <c r="AB64" s="129">
        <f t="shared" si="3"/>
        <v>20</v>
      </c>
      <c r="AC64" s="129">
        <f t="shared" si="4"/>
        <v>0</v>
      </c>
      <c r="AD64" s="129"/>
    </row>
    <row r="65" spans="1:30">
      <c r="A65" s="129" t="s">
        <v>150</v>
      </c>
      <c r="B65" s="129" t="s">
        <v>301</v>
      </c>
      <c r="C65" s="129"/>
      <c r="D65" s="129"/>
      <c r="E65" s="129"/>
      <c r="F65" s="129"/>
      <c r="G65" s="129"/>
      <c r="H65" s="129">
        <v>1</v>
      </c>
      <c r="I65" s="129">
        <v>1</v>
      </c>
      <c r="J65" s="129">
        <v>1</v>
      </c>
      <c r="K65" s="129">
        <v>1</v>
      </c>
      <c r="L65" s="129">
        <v>1</v>
      </c>
      <c r="M65" s="129">
        <v>1</v>
      </c>
      <c r="N65" s="129">
        <v>1</v>
      </c>
      <c r="O65" s="129">
        <v>1</v>
      </c>
      <c r="P65" s="129">
        <v>1</v>
      </c>
      <c r="Q65" s="129">
        <v>1</v>
      </c>
      <c r="R65" s="129">
        <v>1</v>
      </c>
      <c r="S65" s="129">
        <v>1</v>
      </c>
      <c r="T65" s="129">
        <v>1</v>
      </c>
      <c r="U65" s="129">
        <v>1</v>
      </c>
      <c r="V65" s="129">
        <v>1</v>
      </c>
      <c r="W65" s="129">
        <v>1</v>
      </c>
      <c r="X65" s="129">
        <v>1</v>
      </c>
      <c r="Y65" s="129">
        <v>1</v>
      </c>
      <c r="Z65" s="129">
        <v>1</v>
      </c>
      <c r="AA65" s="129">
        <v>1</v>
      </c>
      <c r="AB65" s="129">
        <f t="shared" si="3"/>
        <v>20</v>
      </c>
      <c r="AC65" s="129">
        <f t="shared" si="4"/>
        <v>0</v>
      </c>
      <c r="AD65" s="129"/>
    </row>
    <row r="66" spans="1:30">
      <c r="A66" s="129" t="s">
        <v>152</v>
      </c>
      <c r="B66" s="129" t="s">
        <v>339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>
        <v>2</v>
      </c>
      <c r="Y66" s="129"/>
      <c r="Z66" s="129"/>
      <c r="AA66" s="129"/>
      <c r="AB66" s="129">
        <f t="shared" si="3"/>
        <v>2</v>
      </c>
      <c r="AC66" s="129">
        <f t="shared" si="4"/>
        <v>0</v>
      </c>
      <c r="AD66" s="129"/>
    </row>
    <row r="67" spans="1:30">
      <c r="A67" s="129" t="s">
        <v>154</v>
      </c>
      <c r="B67" s="129" t="s">
        <v>175</v>
      </c>
      <c r="C67" s="129"/>
      <c r="D67" s="129"/>
      <c r="E67" s="129"/>
      <c r="F67" s="129"/>
      <c r="G67" s="129"/>
      <c r="H67" s="129">
        <v>1</v>
      </c>
      <c r="I67" s="129">
        <v>1</v>
      </c>
      <c r="J67" s="129">
        <v>1</v>
      </c>
      <c r="K67" s="129">
        <v>1</v>
      </c>
      <c r="L67" s="129">
        <v>1</v>
      </c>
      <c r="M67" s="129">
        <v>1</v>
      </c>
      <c r="N67" s="129">
        <v>1</v>
      </c>
      <c r="O67" s="129">
        <v>1</v>
      </c>
      <c r="P67" s="129">
        <v>1</v>
      </c>
      <c r="Q67" s="129">
        <v>1</v>
      </c>
      <c r="R67" s="129">
        <v>1</v>
      </c>
      <c r="S67" s="129">
        <v>1</v>
      </c>
      <c r="T67" s="129">
        <v>1</v>
      </c>
      <c r="U67" s="129">
        <v>1</v>
      </c>
      <c r="V67" s="129">
        <v>1</v>
      </c>
      <c r="W67" s="129">
        <v>1</v>
      </c>
      <c r="X67" s="129">
        <v>1</v>
      </c>
      <c r="Y67" s="129">
        <v>1</v>
      </c>
      <c r="Z67" s="129">
        <v>1</v>
      </c>
      <c r="AA67" s="129"/>
      <c r="AB67" s="129">
        <f t="shared" si="3"/>
        <v>19</v>
      </c>
      <c r="AC67" s="129">
        <f t="shared" si="4"/>
        <v>0</v>
      </c>
      <c r="AD67" s="129"/>
    </row>
    <row r="68" spans="1:30">
      <c r="A68" s="129" t="s">
        <v>156</v>
      </c>
      <c r="B68" s="129" t="s">
        <v>340</v>
      </c>
      <c r="C68" s="129"/>
      <c r="D68" s="129"/>
      <c r="E68" s="129"/>
      <c r="F68" s="129"/>
      <c r="G68" s="129"/>
      <c r="H68" s="129">
        <v>1</v>
      </c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>
        <v>2</v>
      </c>
      <c r="AA68" s="129"/>
      <c r="AB68" s="129">
        <f t="shared" si="3"/>
        <v>3</v>
      </c>
      <c r="AC68" s="129">
        <f t="shared" si="4"/>
        <v>0</v>
      </c>
      <c r="AD68" s="129"/>
    </row>
    <row r="69" spans="1:30">
      <c r="A69" s="129" t="s">
        <v>158</v>
      </c>
      <c r="B69" s="129" t="s">
        <v>299</v>
      </c>
      <c r="C69" s="129"/>
      <c r="D69" s="129"/>
      <c r="E69" s="129"/>
      <c r="F69" s="129"/>
      <c r="G69" s="129"/>
      <c r="H69" s="129">
        <v>1</v>
      </c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>
        <f t="shared" si="3"/>
        <v>1</v>
      </c>
      <c r="AC69" s="129">
        <f t="shared" si="4"/>
        <v>0</v>
      </c>
      <c r="AD69" s="129"/>
    </row>
    <row r="70" spans="1:30">
      <c r="A70" s="129" t="s">
        <v>160</v>
      </c>
      <c r="B70" s="129" t="s">
        <v>341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>
        <v>2</v>
      </c>
      <c r="Z70" s="129"/>
      <c r="AA70" s="129"/>
      <c r="AB70" s="129">
        <f t="shared" si="3"/>
        <v>2</v>
      </c>
      <c r="AC70" s="129">
        <f t="shared" si="4"/>
        <v>0</v>
      </c>
      <c r="AD70" s="129"/>
    </row>
    <row r="71" spans="1:30">
      <c r="A71" s="129" t="s">
        <v>162</v>
      </c>
      <c r="B71" s="129" t="s">
        <v>305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>
        <v>2</v>
      </c>
      <c r="Z71" s="129"/>
      <c r="AA71" s="129"/>
      <c r="AB71" s="129">
        <f t="shared" si="3"/>
        <v>2</v>
      </c>
      <c r="AC71" s="129">
        <f t="shared" si="4"/>
        <v>0</v>
      </c>
      <c r="AD71" s="129"/>
    </row>
    <row r="72" spans="1:30">
      <c r="A72" s="129" t="s">
        <v>164</v>
      </c>
      <c r="B72" s="129" t="s">
        <v>191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>
        <v>3</v>
      </c>
      <c r="AB72" s="129">
        <f t="shared" si="3"/>
        <v>3</v>
      </c>
      <c r="AC72" s="129">
        <f t="shared" si="4"/>
        <v>0</v>
      </c>
      <c r="AD72" s="129"/>
    </row>
    <row r="73" spans="1:29">
      <c r="A73" s="129"/>
      <c r="AB73" s="129"/>
      <c r="AC73" s="129">
        <f t="shared" si="4"/>
        <v>0</v>
      </c>
    </row>
    <row r="74" spans="1:1">
      <c r="A74" s="129"/>
    </row>
    <row r="75" spans="1:28">
      <c r="A75" s="129"/>
      <c r="AB75">
        <f>SUM(AB3:AB74)</f>
        <v>1003</v>
      </c>
    </row>
    <row r="76" spans="1:1">
      <c r="A76" s="129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10" sqref="E10:F10"/>
    </sheetView>
  </sheetViews>
  <sheetFormatPr defaultColWidth="9" defaultRowHeight="14.25" outlineLevelCol="4"/>
  <cols>
    <col min="1" max="1" width="21" style="69" customWidth="1"/>
    <col min="2" max="2" width="28.125" style="69" customWidth="1"/>
    <col min="3" max="3" width="13.625" style="69" customWidth="1"/>
    <col min="4" max="4" width="26.5" style="69" customWidth="1"/>
    <col min="5" max="5" width="24.375" style="69" customWidth="1"/>
    <col min="6" max="6" width="9" style="69"/>
    <col min="7" max="7" width="10.375" style="69"/>
    <col min="8" max="16384" width="9" style="69"/>
  </cols>
  <sheetData>
    <row r="1" ht="67" customHeight="1" spans="1:4">
      <c r="A1" s="110" t="s">
        <v>342</v>
      </c>
      <c r="B1" s="111"/>
      <c r="C1" s="111"/>
      <c r="D1" s="111"/>
    </row>
    <row r="2" ht="45" customHeight="1" spans="1:4">
      <c r="A2" s="112" t="s">
        <v>343</v>
      </c>
      <c r="B2" s="113" t="s">
        <v>344</v>
      </c>
      <c r="C2" s="114" t="s">
        <v>345</v>
      </c>
      <c r="D2" s="115" t="s">
        <v>346</v>
      </c>
    </row>
    <row r="3" ht="43" customHeight="1" spans="1:4">
      <c r="A3" s="116" t="s">
        <v>347</v>
      </c>
      <c r="B3" s="74" t="s">
        <v>348</v>
      </c>
      <c r="C3" s="73" t="s">
        <v>349</v>
      </c>
      <c r="D3" s="117" t="s">
        <v>350</v>
      </c>
    </row>
    <row r="4" ht="43" customHeight="1" spans="1:4">
      <c r="A4" s="116" t="s">
        <v>351</v>
      </c>
      <c r="B4" s="118" t="s">
        <v>352</v>
      </c>
      <c r="C4" s="118"/>
      <c r="D4" s="119"/>
    </row>
    <row r="5" ht="36" customHeight="1" spans="1:5">
      <c r="A5" s="116" t="s">
        <v>353</v>
      </c>
      <c r="B5" s="120" t="s">
        <v>354</v>
      </c>
      <c r="C5" s="74" t="s">
        <v>355</v>
      </c>
      <c r="D5" s="121">
        <f>'3工程结算汇总表'!E14</f>
        <v>272400</v>
      </c>
      <c r="E5"/>
    </row>
    <row r="6" ht="33" customHeight="1" spans="1:4">
      <c r="A6" s="116" t="s">
        <v>356</v>
      </c>
      <c r="B6" s="122" t="s">
        <v>357</v>
      </c>
      <c r="C6" s="122"/>
      <c r="D6" s="123"/>
    </row>
    <row r="7" ht="37" customHeight="1" spans="1:4">
      <c r="A7" s="116" t="s">
        <v>358</v>
      </c>
      <c r="B7" s="122" t="s">
        <v>359</v>
      </c>
      <c r="C7" s="122"/>
      <c r="D7" s="123"/>
    </row>
    <row r="8" ht="37" customHeight="1" spans="1:4">
      <c r="A8" s="116" t="s">
        <v>360</v>
      </c>
      <c r="B8" s="124" t="s">
        <v>361</v>
      </c>
      <c r="C8" s="122"/>
      <c r="D8" s="123"/>
    </row>
    <row r="9" ht="37" customHeight="1" spans="1:4">
      <c r="A9" s="116" t="s">
        <v>362</v>
      </c>
      <c r="B9" s="122" t="s">
        <v>357</v>
      </c>
      <c r="C9" s="122"/>
      <c r="D9" s="123"/>
    </row>
    <row r="10" ht="37" customHeight="1" spans="1:4">
      <c r="A10" s="116" t="s">
        <v>363</v>
      </c>
      <c r="B10" s="122" t="s">
        <v>357</v>
      </c>
      <c r="C10" s="122"/>
      <c r="D10" s="123"/>
    </row>
    <row r="11" ht="37" customHeight="1" spans="1:4">
      <c r="A11" s="116" t="s">
        <v>364</v>
      </c>
      <c r="B11" s="122" t="s">
        <v>357</v>
      </c>
      <c r="C11" s="122"/>
      <c r="D11" s="123"/>
    </row>
    <row r="12" ht="37" customHeight="1" spans="1:4">
      <c r="A12" s="116" t="s">
        <v>365</v>
      </c>
      <c r="B12" s="122" t="s">
        <v>357</v>
      </c>
      <c r="C12" s="122"/>
      <c r="D12" s="123"/>
    </row>
    <row r="13" ht="37" customHeight="1" spans="1:4">
      <c r="A13" s="116" t="s">
        <v>366</v>
      </c>
      <c r="B13" s="122" t="s">
        <v>357</v>
      </c>
      <c r="C13" s="122"/>
      <c r="D13" s="123"/>
    </row>
    <row r="14" ht="37" customHeight="1" spans="1:4">
      <c r="A14" s="125" t="s">
        <v>367</v>
      </c>
      <c r="B14" s="126" t="s">
        <v>357</v>
      </c>
      <c r="C14" s="126"/>
      <c r="D14" s="127"/>
    </row>
    <row r="15" ht="30" customHeight="1" spans="1:1">
      <c r="A15" s="128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5" workbookViewId="0">
      <selection activeCell="B17" sqref="B17"/>
    </sheetView>
  </sheetViews>
  <sheetFormatPr defaultColWidth="9" defaultRowHeight="14.25"/>
  <cols>
    <col min="1" max="1" width="6.5" style="89" customWidth="1"/>
    <col min="2" max="2" width="42" style="90" customWidth="1"/>
    <col min="3" max="3" width="9" style="89" customWidth="1"/>
    <col min="4" max="4" width="10.625" style="89" customWidth="1"/>
    <col min="5" max="5" width="12.875" style="89" customWidth="1"/>
    <col min="6" max="6" width="8.625" style="91" customWidth="1"/>
    <col min="7" max="7" width="9" style="90" customWidth="1"/>
    <col min="8" max="8" width="9.125" style="90" customWidth="1"/>
    <col min="9" max="12" width="9" style="90" customWidth="1"/>
    <col min="13" max="16384" width="9" style="69"/>
  </cols>
  <sheetData>
    <row r="1" ht="45" customHeight="1" spans="1:9">
      <c r="A1" s="92" t="s">
        <v>369</v>
      </c>
      <c r="B1" s="92"/>
      <c r="C1" s="92"/>
      <c r="D1" s="92"/>
      <c r="E1" s="92"/>
      <c r="F1" s="92"/>
      <c r="G1" s="93"/>
      <c r="H1" s="93"/>
      <c r="I1" s="93"/>
    </row>
    <row r="2" ht="31" customHeight="1" spans="1:6">
      <c r="A2" s="94" t="s">
        <v>1</v>
      </c>
      <c r="B2" s="95" t="s">
        <v>370</v>
      </c>
      <c r="C2" s="95" t="s">
        <v>371</v>
      </c>
      <c r="D2" s="95" t="s">
        <v>372</v>
      </c>
      <c r="E2" s="95" t="s">
        <v>373</v>
      </c>
      <c r="F2" s="96" t="s">
        <v>374</v>
      </c>
    </row>
    <row r="3" s="87" customFormat="1" ht="41" customHeight="1" spans="1:12">
      <c r="A3" s="97">
        <v>1</v>
      </c>
      <c r="B3" s="98" t="s">
        <v>375</v>
      </c>
      <c r="C3" s="99" t="s">
        <v>376</v>
      </c>
      <c r="D3" s="99" t="s">
        <v>377</v>
      </c>
      <c r="E3" s="99" t="s">
        <v>378</v>
      </c>
      <c r="F3" s="100"/>
      <c r="G3" s="101"/>
      <c r="H3" s="101" t="s">
        <v>379</v>
      </c>
      <c r="I3" s="101"/>
      <c r="J3" s="101"/>
      <c r="K3" s="101"/>
      <c r="L3" s="101"/>
    </row>
    <row r="4" s="87" customFormat="1" ht="41" customHeight="1" spans="1:12">
      <c r="A4" s="97">
        <v>2</v>
      </c>
      <c r="B4" s="98" t="s">
        <v>380</v>
      </c>
      <c r="C4" s="99" t="s">
        <v>376</v>
      </c>
      <c r="D4" s="99" t="s">
        <v>381</v>
      </c>
      <c r="E4" s="99" t="s">
        <v>378</v>
      </c>
      <c r="F4" s="100"/>
      <c r="G4" s="101"/>
      <c r="H4" s="101"/>
      <c r="I4" s="101"/>
      <c r="J4" s="101"/>
      <c r="K4" s="101"/>
      <c r="L4" s="101"/>
    </row>
    <row r="5" s="87" customFormat="1" ht="41" customHeight="1" spans="1:12">
      <c r="A5" s="97">
        <v>3</v>
      </c>
      <c r="B5" s="98" t="s">
        <v>382</v>
      </c>
      <c r="C5" s="99" t="s">
        <v>376</v>
      </c>
      <c r="D5" s="99" t="s">
        <v>383</v>
      </c>
      <c r="E5" s="99" t="s">
        <v>378</v>
      </c>
      <c r="F5" s="100"/>
      <c r="G5" s="101"/>
      <c r="H5" s="101" t="s">
        <v>384</v>
      </c>
      <c r="I5" s="101"/>
      <c r="J5" s="101"/>
      <c r="K5" s="101"/>
      <c r="L5" s="101"/>
    </row>
    <row r="6" ht="41" customHeight="1" spans="1:6">
      <c r="A6" s="97">
        <v>4</v>
      </c>
      <c r="B6" s="98" t="s">
        <v>385</v>
      </c>
      <c r="C6" s="99" t="s">
        <v>376</v>
      </c>
      <c r="D6" s="99" t="s">
        <v>386</v>
      </c>
      <c r="E6" s="99" t="s">
        <v>387</v>
      </c>
      <c r="F6" s="100"/>
    </row>
    <row r="7" ht="41" customHeight="1" spans="1:6">
      <c r="A7" s="97">
        <v>5</v>
      </c>
      <c r="B7" s="98" t="s">
        <v>388</v>
      </c>
      <c r="C7" s="99" t="s">
        <v>376</v>
      </c>
      <c r="D7" s="99" t="s">
        <v>389</v>
      </c>
      <c r="E7" s="99" t="s">
        <v>387</v>
      </c>
      <c r="F7" s="100"/>
    </row>
    <row r="8" ht="41" customHeight="1" spans="1:6">
      <c r="A8" s="97">
        <v>6</v>
      </c>
      <c r="B8" s="98" t="s">
        <v>390</v>
      </c>
      <c r="C8" s="99" t="s">
        <v>391</v>
      </c>
      <c r="D8" s="99" t="s">
        <v>392</v>
      </c>
      <c r="E8" s="99" t="s">
        <v>387</v>
      </c>
      <c r="F8" s="100"/>
    </row>
    <row r="9" ht="41" customHeight="1" spans="1:6">
      <c r="A9" s="97">
        <v>7</v>
      </c>
      <c r="B9" s="98" t="s">
        <v>393</v>
      </c>
      <c r="C9" s="99" t="s">
        <v>376</v>
      </c>
      <c r="D9" s="99" t="s">
        <v>394</v>
      </c>
      <c r="E9" s="99" t="s">
        <v>378</v>
      </c>
      <c r="F9" s="100"/>
    </row>
    <row r="10" ht="41" customHeight="1" spans="1:6">
      <c r="A10" s="97">
        <v>8</v>
      </c>
      <c r="B10" s="98" t="s">
        <v>395</v>
      </c>
      <c r="C10" s="99" t="s">
        <v>376</v>
      </c>
      <c r="D10" s="99" t="s">
        <v>396</v>
      </c>
      <c r="E10" s="99" t="s">
        <v>378</v>
      </c>
      <c r="F10" s="100"/>
    </row>
    <row r="11" ht="41" customHeight="1" spans="1:6">
      <c r="A11" s="97">
        <v>9</v>
      </c>
      <c r="B11" s="98" t="s">
        <v>397</v>
      </c>
      <c r="C11" s="99" t="s">
        <v>376</v>
      </c>
      <c r="D11" s="99" t="s">
        <v>398</v>
      </c>
      <c r="E11" s="99" t="s">
        <v>378</v>
      </c>
      <c r="F11" s="100"/>
    </row>
    <row r="12" ht="41" customHeight="1" spans="1:6">
      <c r="A12" s="97">
        <v>10</v>
      </c>
      <c r="B12" s="98" t="s">
        <v>399</v>
      </c>
      <c r="C12" s="99" t="s">
        <v>376</v>
      </c>
      <c r="D12" s="99" t="s">
        <v>400</v>
      </c>
      <c r="E12" s="99" t="s">
        <v>378</v>
      </c>
      <c r="F12" s="100"/>
    </row>
    <row r="13" ht="41" customHeight="1" spans="1:6">
      <c r="A13" s="97">
        <v>11</v>
      </c>
      <c r="B13" s="98" t="s">
        <v>401</v>
      </c>
      <c r="C13" s="99" t="s">
        <v>376</v>
      </c>
      <c r="D13" s="99" t="s">
        <v>402</v>
      </c>
      <c r="E13" s="99" t="s">
        <v>378</v>
      </c>
      <c r="F13" s="100"/>
    </row>
    <row r="14" ht="41" customHeight="1" spans="1:8">
      <c r="A14" s="97">
        <v>12</v>
      </c>
      <c r="B14" s="98" t="s">
        <v>403</v>
      </c>
      <c r="C14" s="99" t="s">
        <v>404</v>
      </c>
      <c r="D14" s="99" t="s">
        <v>405</v>
      </c>
      <c r="E14" s="99" t="s">
        <v>387</v>
      </c>
      <c r="F14" s="100"/>
      <c r="H14" s="90">
        <f>29-14+1</f>
        <v>16</v>
      </c>
    </row>
    <row r="15" s="88" customFormat="1" ht="41" customHeight="1" spans="1:12">
      <c r="A15" s="97">
        <v>13</v>
      </c>
      <c r="B15" s="98" t="s">
        <v>406</v>
      </c>
      <c r="C15" s="102" t="s">
        <v>407</v>
      </c>
      <c r="D15" s="99" t="s">
        <v>408</v>
      </c>
      <c r="E15" s="99" t="s">
        <v>378</v>
      </c>
      <c r="F15" s="100"/>
      <c r="G15" s="36"/>
      <c r="H15" s="36"/>
      <c r="I15" s="36"/>
      <c r="J15" s="36"/>
      <c r="K15" s="36"/>
      <c r="L15" s="36"/>
    </row>
    <row r="16" s="88" customFormat="1" ht="41" customHeight="1" spans="1:12">
      <c r="A16" s="97">
        <v>14</v>
      </c>
      <c r="B16" s="98" t="s">
        <v>409</v>
      </c>
      <c r="C16" s="102" t="s">
        <v>410</v>
      </c>
      <c r="D16" s="99" t="s">
        <v>411</v>
      </c>
      <c r="E16" s="99" t="s">
        <v>378</v>
      </c>
      <c r="F16" s="100"/>
      <c r="G16" s="36"/>
      <c r="H16" s="36">
        <f>39-32+1</f>
        <v>8</v>
      </c>
      <c r="I16" s="36"/>
      <c r="J16" s="36"/>
      <c r="K16" s="36"/>
      <c r="L16" s="36"/>
    </row>
    <row r="17" s="88" customFormat="1" ht="41" customHeight="1" spans="1:12">
      <c r="A17" s="97">
        <v>15</v>
      </c>
      <c r="B17" s="98" t="s">
        <v>412</v>
      </c>
      <c r="C17" s="102" t="s">
        <v>413</v>
      </c>
      <c r="D17" s="99" t="s">
        <v>414</v>
      </c>
      <c r="E17" s="99"/>
      <c r="F17" s="103"/>
      <c r="G17" s="36"/>
      <c r="H17" s="36"/>
      <c r="I17" s="36"/>
      <c r="J17" s="36"/>
      <c r="K17" s="36"/>
      <c r="L17" s="36"/>
    </row>
    <row r="18" spans="1:6">
      <c r="A18" s="104" t="s">
        <v>415</v>
      </c>
      <c r="B18" s="105"/>
      <c r="C18" s="105" t="s">
        <v>416</v>
      </c>
      <c r="D18" s="105"/>
      <c r="E18" s="105"/>
      <c r="F18" s="106"/>
    </row>
    <row r="19" spans="1:6">
      <c r="A19" s="104"/>
      <c r="B19" s="105"/>
      <c r="C19" s="105"/>
      <c r="D19" s="105"/>
      <c r="E19" s="105"/>
      <c r="F19" s="106"/>
    </row>
    <row r="20" spans="1:6">
      <c r="A20" s="104"/>
      <c r="B20" s="105"/>
      <c r="C20" s="105"/>
      <c r="D20" s="105"/>
      <c r="E20" s="105"/>
      <c r="F20" s="106"/>
    </row>
    <row r="21" spans="1:6">
      <c r="A21" s="104"/>
      <c r="B21" s="105"/>
      <c r="C21" s="105"/>
      <c r="D21" s="105"/>
      <c r="E21" s="105"/>
      <c r="F21" s="106"/>
    </row>
    <row r="22" ht="6" customHeight="1" spans="1:6">
      <c r="A22" s="104"/>
      <c r="B22" s="105"/>
      <c r="C22" s="105"/>
      <c r="D22" s="105"/>
      <c r="E22" s="105"/>
      <c r="F22" s="106"/>
    </row>
    <row r="23" ht="15" spans="1:6">
      <c r="A23" s="107"/>
      <c r="B23" s="108"/>
      <c r="C23" s="108"/>
      <c r="D23" s="108"/>
      <c r="E23" s="108"/>
      <c r="F23" s="109"/>
    </row>
  </sheetData>
  <mergeCells count="4">
    <mergeCell ref="A1:F1"/>
    <mergeCell ref="D17:F17"/>
    <mergeCell ref="A18:B23"/>
    <mergeCell ref="C18:F23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K6" sqref="K6"/>
    </sheetView>
  </sheetViews>
  <sheetFormatPr defaultColWidth="9" defaultRowHeight="14.25"/>
  <cols>
    <col min="1" max="4" width="9" style="69"/>
    <col min="5" max="5" width="10.625" style="69" customWidth="1"/>
    <col min="6" max="6" width="12.125" style="69" customWidth="1"/>
    <col min="7" max="7" width="14" style="69" customWidth="1"/>
    <col min="8" max="8" width="17.125" style="69" customWidth="1"/>
    <col min="9" max="9" width="12.625" style="69"/>
    <col min="10" max="11" width="9" style="69"/>
    <col min="12" max="12" width="9.375" style="69"/>
    <col min="13" max="13" width="9" style="69"/>
    <col min="14" max="14" width="20.375" style="69"/>
    <col min="15" max="16384" width="9" style="69"/>
  </cols>
  <sheetData>
    <row r="1" ht="23" customHeight="1" spans="1:8">
      <c r="A1" s="70" t="s">
        <v>417</v>
      </c>
      <c r="B1" s="70"/>
      <c r="C1" s="70"/>
      <c r="D1" s="70"/>
      <c r="E1" s="70"/>
      <c r="F1" s="70"/>
      <c r="G1" s="70"/>
      <c r="H1" s="70"/>
    </row>
    <row r="2" s="68" customFormat="1" ht="25.5" customHeight="1" spans="1:8">
      <c r="A2" s="71" t="s">
        <v>418</v>
      </c>
      <c r="B2" s="71"/>
      <c r="C2" s="71"/>
      <c r="D2" s="71"/>
      <c r="E2" s="71"/>
      <c r="F2" s="71"/>
      <c r="G2" s="71"/>
      <c r="H2" s="71"/>
    </row>
    <row r="3" s="68" customFormat="1" ht="25" customHeight="1" spans="1:7">
      <c r="A3" s="60" t="s">
        <v>419</v>
      </c>
      <c r="B3" s="72"/>
      <c r="C3" s="72"/>
      <c r="D3" s="72"/>
      <c r="E3" s="72"/>
      <c r="F3" s="72"/>
      <c r="G3" s="72"/>
    </row>
    <row r="4" s="68" customFormat="1" ht="24" customHeight="1" spans="1:7">
      <c r="A4" s="72" t="s">
        <v>420</v>
      </c>
      <c r="B4" s="72"/>
      <c r="C4" s="72"/>
      <c r="D4" s="72"/>
      <c r="E4" s="72"/>
      <c r="F4" s="72"/>
      <c r="G4" s="72"/>
    </row>
    <row r="5" s="68" customFormat="1" ht="21" customHeight="1" spans="1:7">
      <c r="A5" s="72" t="s">
        <v>421</v>
      </c>
      <c r="B5" s="72"/>
      <c r="C5" s="72"/>
      <c r="D5" s="72"/>
      <c r="E5" s="72"/>
      <c r="F5" s="72"/>
      <c r="G5" s="72"/>
    </row>
    <row r="6" s="68" customFormat="1" ht="30" customHeight="1" spans="1:8">
      <c r="A6" s="73" t="s">
        <v>1</v>
      </c>
      <c r="B6" s="74" t="s">
        <v>343</v>
      </c>
      <c r="C6" s="74"/>
      <c r="D6" s="74"/>
      <c r="E6" s="73" t="s">
        <v>422</v>
      </c>
      <c r="F6" s="73" t="s">
        <v>423</v>
      </c>
      <c r="G6" s="73" t="s">
        <v>424</v>
      </c>
      <c r="H6" s="73" t="s">
        <v>374</v>
      </c>
    </row>
    <row r="7" s="68" customFormat="1" ht="21" customHeight="1" spans="1:8">
      <c r="A7" s="73" t="s">
        <v>425</v>
      </c>
      <c r="B7" s="74" t="s">
        <v>426</v>
      </c>
      <c r="C7" s="74"/>
      <c r="D7" s="74"/>
      <c r="E7" s="74"/>
      <c r="F7" s="74"/>
      <c r="G7" s="75">
        <f>SUM(G8:G10)</f>
        <v>272434</v>
      </c>
      <c r="H7" s="76"/>
    </row>
    <row r="8" s="68" customFormat="1" ht="21" customHeight="1" spans="1:8">
      <c r="A8" s="73">
        <v>1.1</v>
      </c>
      <c r="B8" s="74" t="s">
        <v>427</v>
      </c>
      <c r="C8" s="74"/>
      <c r="D8" s="74"/>
      <c r="E8" s="74"/>
      <c r="F8" s="74"/>
      <c r="G8" s="75">
        <f>'4结算明细汇总表'!F7</f>
        <v>257434</v>
      </c>
      <c r="H8" s="76"/>
    </row>
    <row r="9" s="68" customFormat="1" ht="79" customHeight="1" spans="1:8">
      <c r="A9" s="73">
        <v>1.2</v>
      </c>
      <c r="B9" s="74" t="s">
        <v>428</v>
      </c>
      <c r="C9" s="74"/>
      <c r="D9" s="74"/>
      <c r="E9" s="74"/>
      <c r="F9" s="74"/>
      <c r="G9" s="75">
        <f>'4结算明细汇总表'!F9</f>
        <v>15000</v>
      </c>
      <c r="H9" s="77" t="s">
        <v>429</v>
      </c>
    </row>
    <row r="10" s="68" customFormat="1" ht="21" customHeight="1" spans="1:8">
      <c r="A10" s="73">
        <v>1.3</v>
      </c>
      <c r="B10" s="74" t="s">
        <v>430</v>
      </c>
      <c r="C10" s="74"/>
      <c r="D10" s="74"/>
      <c r="E10" s="74"/>
      <c r="F10" s="74"/>
      <c r="G10" s="75">
        <v>0</v>
      </c>
      <c r="H10" s="76"/>
    </row>
    <row r="11" s="68" customFormat="1" ht="21" customHeight="1" spans="1:8">
      <c r="A11" s="73" t="s">
        <v>431</v>
      </c>
      <c r="B11" s="74" t="s">
        <v>432</v>
      </c>
      <c r="C11" s="74"/>
      <c r="D11" s="74"/>
      <c r="E11" s="74"/>
      <c r="F11" s="74"/>
      <c r="G11" s="75">
        <f>G12</f>
        <v>-34</v>
      </c>
      <c r="H11" s="76"/>
    </row>
    <row r="12" s="68" customFormat="1" ht="39" customHeight="1" spans="1:8">
      <c r="A12" s="73">
        <v>2.1</v>
      </c>
      <c r="B12" s="74" t="s">
        <v>433</v>
      </c>
      <c r="C12" s="74"/>
      <c r="D12" s="74"/>
      <c r="E12" s="74"/>
      <c r="F12" s="74"/>
      <c r="G12" s="75">
        <f>'4结算明细汇总表'!H8</f>
        <v>-34</v>
      </c>
      <c r="H12" s="77" t="s">
        <v>434</v>
      </c>
    </row>
    <row r="13" s="68" customFormat="1" ht="21" customHeight="1" spans="1:8">
      <c r="A13" s="73">
        <v>2.2</v>
      </c>
      <c r="B13" s="74" t="s">
        <v>435</v>
      </c>
      <c r="C13" s="74"/>
      <c r="D13" s="74"/>
      <c r="E13" s="74"/>
      <c r="F13" s="74"/>
      <c r="G13" s="78">
        <f t="shared" ref="G11:G13" si="0">E13</f>
        <v>0</v>
      </c>
      <c r="H13" s="76"/>
    </row>
    <row r="14" s="68" customFormat="1" ht="33" customHeight="1" spans="1:8">
      <c r="A14" s="73" t="s">
        <v>436</v>
      </c>
      <c r="B14" s="74" t="s">
        <v>437</v>
      </c>
      <c r="C14" s="74"/>
      <c r="D14" s="74" t="s">
        <v>438</v>
      </c>
      <c r="E14" s="79">
        <f>G7+G11</f>
        <v>272400</v>
      </c>
      <c r="F14" s="79"/>
      <c r="G14" s="79"/>
      <c r="H14" s="77" t="s">
        <v>439</v>
      </c>
    </row>
    <row r="15" s="68" customFormat="1" ht="19" customHeight="1" spans="1:8">
      <c r="A15" s="73"/>
      <c r="B15" s="74"/>
      <c r="C15" s="74"/>
      <c r="D15" s="74" t="s">
        <v>440</v>
      </c>
      <c r="E15" s="80">
        <f>E14</f>
        <v>272400</v>
      </c>
      <c r="F15" s="80"/>
      <c r="G15" s="80"/>
      <c r="H15" s="76"/>
    </row>
    <row r="16" s="68" customFormat="1" ht="20" customHeight="1" spans="1:8">
      <c r="A16" s="73" t="s">
        <v>441</v>
      </c>
      <c r="B16" s="74" t="s">
        <v>442</v>
      </c>
      <c r="C16" s="74"/>
      <c r="D16" s="74"/>
      <c r="E16" s="81">
        <v>0</v>
      </c>
      <c r="F16" s="81"/>
      <c r="G16" s="81"/>
      <c r="H16" s="76"/>
    </row>
    <row r="17" s="68" customFormat="1" ht="20" customHeight="1" spans="1:8">
      <c r="A17" s="73">
        <v>4.1</v>
      </c>
      <c r="B17" s="74" t="s">
        <v>443</v>
      </c>
      <c r="C17" s="74"/>
      <c r="D17" s="74"/>
      <c r="E17" s="81">
        <v>0</v>
      </c>
      <c r="F17" s="81"/>
      <c r="G17" s="81"/>
      <c r="H17" s="76"/>
    </row>
    <row r="18" s="68" customFormat="1" ht="20" customHeight="1" spans="1:8">
      <c r="A18" s="73">
        <v>4.2</v>
      </c>
      <c r="B18" s="74" t="s">
        <v>444</v>
      </c>
      <c r="C18" s="74"/>
      <c r="D18" s="74"/>
      <c r="E18" s="81">
        <v>0</v>
      </c>
      <c r="F18" s="81"/>
      <c r="G18" s="81"/>
      <c r="H18" s="76"/>
    </row>
    <row r="19" s="68" customFormat="1" ht="17" customHeight="1" spans="1:8">
      <c r="A19" s="73" t="s">
        <v>445</v>
      </c>
      <c r="B19" s="74" t="s">
        <v>435</v>
      </c>
      <c r="C19" s="74"/>
      <c r="D19" s="74"/>
      <c r="E19" s="81"/>
      <c r="F19" s="81"/>
      <c r="G19" s="81"/>
      <c r="H19" s="76"/>
    </row>
    <row r="20" s="68" customFormat="1" ht="20" customHeight="1" spans="1:8">
      <c r="A20" s="73" t="s">
        <v>446</v>
      </c>
      <c r="B20" s="74" t="s">
        <v>447</v>
      </c>
      <c r="C20" s="74"/>
      <c r="D20" s="74"/>
      <c r="E20" s="81">
        <v>0</v>
      </c>
      <c r="F20" s="81"/>
      <c r="G20" s="81"/>
      <c r="H20" s="76"/>
    </row>
    <row r="21" s="68" customFormat="1" ht="20" customHeight="1" spans="1:8">
      <c r="A21" s="73">
        <v>5.1</v>
      </c>
      <c r="B21" s="74" t="s">
        <v>448</v>
      </c>
      <c r="C21" s="74"/>
      <c r="D21" s="74"/>
      <c r="E21" s="81">
        <v>0</v>
      </c>
      <c r="F21" s="81"/>
      <c r="G21" s="81"/>
      <c r="H21" s="76"/>
    </row>
    <row r="22" s="68" customFormat="1" ht="20" customHeight="1" spans="1:8">
      <c r="A22" s="73">
        <v>5.2</v>
      </c>
      <c r="B22" s="74" t="s">
        <v>449</v>
      </c>
      <c r="C22" s="74"/>
      <c r="D22" s="74"/>
      <c r="E22" s="81">
        <v>0</v>
      </c>
      <c r="F22" s="81"/>
      <c r="G22" s="81"/>
      <c r="H22" s="76"/>
    </row>
    <row r="23" s="68" customFormat="1" ht="18" customHeight="1" spans="1:8">
      <c r="A23" s="73" t="s">
        <v>450</v>
      </c>
      <c r="B23" s="74" t="s">
        <v>451</v>
      </c>
      <c r="C23" s="74" t="s">
        <v>438</v>
      </c>
      <c r="D23" s="74"/>
      <c r="E23" s="79">
        <f>E14</f>
        <v>272400</v>
      </c>
      <c r="F23" s="79"/>
      <c r="G23" s="79"/>
      <c r="H23" s="76"/>
    </row>
    <row r="24" s="68" customFormat="1" ht="18" customHeight="1" spans="1:14">
      <c r="A24" s="73"/>
      <c r="B24" s="74"/>
      <c r="C24" s="74" t="s">
        <v>440</v>
      </c>
      <c r="D24" s="74"/>
      <c r="E24" s="80">
        <f>E15</f>
        <v>272400</v>
      </c>
      <c r="F24" s="80"/>
      <c r="G24" s="80"/>
      <c r="H24" s="76"/>
      <c r="N24" s="86"/>
    </row>
    <row r="25" s="68" customFormat="1" ht="18" customHeight="1" spans="1:8">
      <c r="A25" s="73" t="s">
        <v>452</v>
      </c>
      <c r="B25" s="74" t="s">
        <v>453</v>
      </c>
      <c r="C25" s="74" t="s">
        <v>438</v>
      </c>
      <c r="D25" s="74"/>
      <c r="E25" s="79">
        <f>E14</f>
        <v>272400</v>
      </c>
      <c r="F25" s="79"/>
      <c r="G25" s="79"/>
      <c r="H25" s="76"/>
    </row>
    <row r="26" s="68" customFormat="1" ht="18" customHeight="1" spans="1:8">
      <c r="A26" s="73"/>
      <c r="B26" s="74"/>
      <c r="C26" s="74" t="s">
        <v>440</v>
      </c>
      <c r="D26" s="74"/>
      <c r="E26" s="80">
        <f>E15</f>
        <v>272400</v>
      </c>
      <c r="F26" s="80"/>
      <c r="G26" s="80"/>
      <c r="H26" s="76"/>
    </row>
    <row r="27" spans="1:7">
      <c r="A27" s="82"/>
      <c r="B27" s="82"/>
      <c r="C27" s="82"/>
      <c r="D27" s="82"/>
      <c r="E27" s="82"/>
      <c r="F27" s="82"/>
      <c r="G27" s="82"/>
    </row>
    <row r="28" spans="1:7">
      <c r="A28" s="83" t="s">
        <v>454</v>
      </c>
      <c r="B28" s="83"/>
      <c r="C28" s="83"/>
      <c r="D28" s="83"/>
      <c r="E28" s="83"/>
      <c r="F28" s="83"/>
      <c r="G28" s="83"/>
    </row>
    <row r="29" hidden="1" spans="1:1">
      <c r="A29" s="84"/>
    </row>
    <row r="30" spans="1:1">
      <c r="A30" s="84"/>
    </row>
    <row r="31" spans="1:7">
      <c r="A31" s="83" t="s">
        <v>455</v>
      </c>
      <c r="B31" s="83"/>
      <c r="C31" s="83"/>
      <c r="D31" s="83"/>
      <c r="E31" s="83"/>
      <c r="F31" s="83"/>
      <c r="G31" s="83"/>
    </row>
    <row r="32" spans="1:1">
      <c r="A32" s="84"/>
    </row>
    <row r="33" ht="27" customHeight="1" spans="1:8">
      <c r="A33" s="85" t="s">
        <v>456</v>
      </c>
      <c r="B33" s="85"/>
      <c r="C33" s="85"/>
      <c r="D33" s="85"/>
      <c r="E33" s="85"/>
      <c r="F33" s="85"/>
      <c r="G33" s="85"/>
      <c r="H33" s="85"/>
    </row>
  </sheetData>
  <mergeCells count="49">
    <mergeCell ref="A1:H1"/>
    <mergeCell ref="A2:H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H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opLeftCell="A2" workbookViewId="0">
      <selection activeCell="E9" sqref="E9"/>
    </sheetView>
  </sheetViews>
  <sheetFormatPr defaultColWidth="9" defaultRowHeight="13.5"/>
  <cols>
    <col min="1" max="1" width="6.375" style="37" customWidth="1"/>
    <col min="2" max="2" width="19" style="37" customWidth="1"/>
    <col min="3" max="3" width="7.125" style="37" customWidth="1"/>
    <col min="4" max="4" width="11.125" style="37" customWidth="1"/>
    <col min="5" max="5" width="10.5" style="37" customWidth="1"/>
    <col min="6" max="6" width="13.25" style="37" customWidth="1"/>
    <col min="7" max="7" width="17.75" style="37" customWidth="1"/>
    <col min="8" max="8" width="9.375" style="37"/>
    <col min="9" max="10" width="9" style="37"/>
    <col min="11" max="11" width="15.375" style="37"/>
    <col min="12" max="12" width="13.75" style="37"/>
    <col min="13" max="16384" width="9" style="37"/>
  </cols>
  <sheetData>
    <row r="1" s="35" customFormat="1" ht="36.75" customHeight="1" spans="1:7">
      <c r="A1" s="4" t="s">
        <v>457</v>
      </c>
      <c r="B1" s="4"/>
      <c r="C1" s="4"/>
      <c r="D1" s="4"/>
      <c r="E1" s="4"/>
      <c r="F1" s="4"/>
      <c r="G1" s="4"/>
    </row>
    <row r="2" s="35" customFormat="1" ht="42" customHeight="1" spans="1:15">
      <c r="A2" s="38" t="s">
        <v>1</v>
      </c>
      <c r="B2" s="39" t="s">
        <v>343</v>
      </c>
      <c r="C2" s="39" t="s">
        <v>458</v>
      </c>
      <c r="D2" s="39" t="s">
        <v>459</v>
      </c>
      <c r="E2" s="39" t="s">
        <v>460</v>
      </c>
      <c r="F2" s="39" t="s">
        <v>461</v>
      </c>
      <c r="G2" s="40" t="s">
        <v>374</v>
      </c>
      <c r="J2" s="63" t="s">
        <v>462</v>
      </c>
      <c r="K2" s="63"/>
      <c r="L2" s="63"/>
      <c r="M2" s="63"/>
      <c r="N2" s="63"/>
      <c r="O2" s="63"/>
    </row>
    <row r="3" s="35" customFormat="1" ht="42" customHeight="1" spans="1:15">
      <c r="A3" s="41">
        <v>1</v>
      </c>
      <c r="B3" s="42" t="s">
        <v>463</v>
      </c>
      <c r="C3" s="42"/>
      <c r="D3" s="42"/>
      <c r="E3" s="42"/>
      <c r="F3" s="43"/>
      <c r="G3" s="44"/>
      <c r="H3" s="45"/>
      <c r="J3" s="64" t="s">
        <v>464</v>
      </c>
      <c r="K3" s="65" t="s">
        <v>465</v>
      </c>
      <c r="L3" s="65" t="s">
        <v>466</v>
      </c>
      <c r="M3" s="65" t="s">
        <v>467</v>
      </c>
      <c r="N3" s="65" t="s">
        <v>468</v>
      </c>
      <c r="O3" s="65" t="s">
        <v>469</v>
      </c>
    </row>
    <row r="4" ht="56" customHeight="1" spans="1:15">
      <c r="A4" s="46">
        <v>1.1</v>
      </c>
      <c r="B4" s="47" t="s">
        <v>470</v>
      </c>
      <c r="C4" s="47" t="s">
        <v>471</v>
      </c>
      <c r="D4" s="48">
        <f>'5结算明细表'!D111</f>
        <v>276.1</v>
      </c>
      <c r="E4" s="47">
        <v>60</v>
      </c>
      <c r="F4" s="49">
        <f>D4*E4</f>
        <v>16566</v>
      </c>
      <c r="G4" s="50" t="s">
        <v>472</v>
      </c>
      <c r="H4" s="51"/>
      <c r="J4" s="66">
        <v>1</v>
      </c>
      <c r="K4" s="67" t="s">
        <v>470</v>
      </c>
      <c r="L4" s="67" t="s">
        <v>473</v>
      </c>
      <c r="M4" s="67">
        <v>105</v>
      </c>
      <c r="N4" s="67">
        <v>60</v>
      </c>
      <c r="O4" s="67">
        <f>N4*M4</f>
        <v>6300</v>
      </c>
    </row>
    <row r="5" ht="56" customHeight="1" spans="1:15">
      <c r="A5" s="46">
        <v>1.2</v>
      </c>
      <c r="B5" s="47" t="s">
        <v>474</v>
      </c>
      <c r="C5" s="47" t="s">
        <v>471</v>
      </c>
      <c r="D5" s="48">
        <f>'5结算明细表'!F111</f>
        <v>315.5</v>
      </c>
      <c r="E5" s="47">
        <v>160</v>
      </c>
      <c r="F5" s="49">
        <f>D5*E5</f>
        <v>50480</v>
      </c>
      <c r="G5" s="52"/>
      <c r="H5" s="51"/>
      <c r="J5" s="66">
        <v>2</v>
      </c>
      <c r="K5" s="67" t="s">
        <v>475</v>
      </c>
      <c r="L5" s="67" t="s">
        <v>473</v>
      </c>
      <c r="M5" s="67">
        <v>0</v>
      </c>
      <c r="N5" s="67">
        <v>160</v>
      </c>
      <c r="O5" s="67">
        <f>N5*M5</f>
        <v>0</v>
      </c>
    </row>
    <row r="6" ht="56" customHeight="1" spans="1:15">
      <c r="A6" s="46">
        <v>1.3</v>
      </c>
      <c r="B6" s="47" t="s">
        <v>476</v>
      </c>
      <c r="C6" s="47" t="s">
        <v>471</v>
      </c>
      <c r="D6" s="48">
        <f>'5结算明细表'!E111</f>
        <v>865.4</v>
      </c>
      <c r="E6" s="47">
        <v>220</v>
      </c>
      <c r="F6" s="49">
        <f>D6*E6</f>
        <v>190388</v>
      </c>
      <c r="G6" s="52"/>
      <c r="H6" s="51"/>
      <c r="J6" s="66">
        <v>3</v>
      </c>
      <c r="K6" s="67" t="s">
        <v>477</v>
      </c>
      <c r="L6" s="67" t="s">
        <v>473</v>
      </c>
      <c r="M6" s="67">
        <v>1470</v>
      </c>
      <c r="N6" s="67">
        <v>220</v>
      </c>
      <c r="O6" s="67">
        <f>N6*M6</f>
        <v>323400</v>
      </c>
    </row>
    <row r="7" s="35" customFormat="1" ht="56" customHeight="1" spans="1:15">
      <c r="A7" s="41">
        <v>2</v>
      </c>
      <c r="B7" s="42" t="s">
        <v>478</v>
      </c>
      <c r="C7" s="42" t="s">
        <v>479</v>
      </c>
      <c r="D7" s="42"/>
      <c r="E7" s="42"/>
      <c r="F7" s="43">
        <f>SUM(F4:F6)</f>
        <v>257434</v>
      </c>
      <c r="G7" s="53"/>
      <c r="H7" s="35">
        <v>15000</v>
      </c>
      <c r="O7" s="35">
        <v>15000</v>
      </c>
    </row>
    <row r="8" s="35" customFormat="1" ht="56" customHeight="1" spans="1:8">
      <c r="A8" s="41">
        <v>3</v>
      </c>
      <c r="B8" s="42" t="s">
        <v>480</v>
      </c>
      <c r="C8" s="42" t="s">
        <v>479</v>
      </c>
      <c r="D8" s="42"/>
      <c r="E8" s="42"/>
      <c r="F8" s="43">
        <v>257400</v>
      </c>
      <c r="G8" s="53" t="s">
        <v>481</v>
      </c>
      <c r="H8" s="35">
        <f>F8-F7</f>
        <v>-34</v>
      </c>
    </row>
    <row r="9" s="35" customFormat="1" ht="127" customHeight="1" spans="1:7">
      <c r="A9" s="46">
        <v>4</v>
      </c>
      <c r="B9" s="54" t="s">
        <v>428</v>
      </c>
      <c r="C9" s="54" t="s">
        <v>482</v>
      </c>
      <c r="D9" s="54">
        <v>1</v>
      </c>
      <c r="E9" s="54">
        <v>15000</v>
      </c>
      <c r="F9" s="49">
        <f>E9*D9</f>
        <v>15000</v>
      </c>
      <c r="G9" s="55" t="s">
        <v>429</v>
      </c>
    </row>
    <row r="10" s="35" customFormat="1" ht="56" customHeight="1" spans="1:7">
      <c r="A10" s="56">
        <v>5</v>
      </c>
      <c r="B10" s="57" t="s">
        <v>483</v>
      </c>
      <c r="C10" s="57" t="s">
        <v>479</v>
      </c>
      <c r="D10" s="57"/>
      <c r="E10" s="57"/>
      <c r="F10" s="58">
        <f>F8+F9</f>
        <v>272400</v>
      </c>
      <c r="G10" s="59"/>
    </row>
    <row r="11" s="36" customFormat="1" ht="56" customHeight="1" spans="1:7">
      <c r="A11" s="60" t="s">
        <v>484</v>
      </c>
      <c r="B11" s="60"/>
      <c r="C11" s="60"/>
      <c r="D11" s="60"/>
      <c r="E11" s="60"/>
      <c r="F11" s="60"/>
      <c r="G11" s="60"/>
    </row>
    <row r="12" s="36" customFormat="1" ht="56" customHeight="1" spans="1:7">
      <c r="A12" s="60" t="s">
        <v>485</v>
      </c>
      <c r="B12" s="60"/>
      <c r="C12" s="60"/>
      <c r="D12" s="60"/>
      <c r="E12" s="60"/>
      <c r="F12" s="60"/>
      <c r="G12" s="60"/>
    </row>
    <row r="13" s="36" customFormat="1" ht="14.25" spans="1:1">
      <c r="A13" s="61"/>
    </row>
    <row r="14" ht="14.25" spans="1:7">
      <c r="A14" s="62"/>
      <c r="B14" s="62"/>
      <c r="C14" s="62"/>
      <c r="D14" s="62"/>
      <c r="E14" s="62"/>
      <c r="F14" s="62"/>
      <c r="G14" s="62"/>
    </row>
  </sheetData>
  <mergeCells count="4">
    <mergeCell ref="A1:G1"/>
    <mergeCell ref="J2:O2"/>
    <mergeCell ref="A11:G11"/>
    <mergeCell ref="A12:G12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7"/>
  <sheetViews>
    <sheetView workbookViewId="0">
      <pane ySplit="3" topLeftCell="A100" activePane="bottomLeft" state="frozen"/>
      <selection/>
      <selection pane="bottomLeft" activeCell="G120" sqref="F120:G120"/>
    </sheetView>
  </sheetViews>
  <sheetFormatPr defaultColWidth="9" defaultRowHeight="14.25"/>
  <cols>
    <col min="1" max="1" width="6.875" style="3" customWidth="1"/>
    <col min="2" max="2" width="9.625" style="3" customWidth="1"/>
    <col min="3" max="3" width="9.125" style="3" customWidth="1"/>
    <col min="4" max="4" width="15" style="3" customWidth="1"/>
    <col min="5" max="5" width="15.5" style="3" customWidth="1"/>
    <col min="6" max="6" width="12.375" style="3" customWidth="1"/>
    <col min="7" max="7" width="9" style="3" customWidth="1"/>
    <col min="8" max="8" width="13.125" style="3" hidden="1" customWidth="1"/>
    <col min="9" max="19" width="9" style="3" customWidth="1"/>
    <col min="20" max="20" width="13.875" style="3" customWidth="1"/>
    <col min="21" max="16384" width="9" style="3"/>
  </cols>
  <sheetData>
    <row r="1" ht="33" customHeight="1" spans="1:7">
      <c r="A1" s="4" t="s">
        <v>486</v>
      </c>
      <c r="B1" s="4"/>
      <c r="C1" s="4"/>
      <c r="D1" s="4"/>
      <c r="E1" s="4"/>
      <c r="F1" s="4"/>
      <c r="G1" s="4"/>
    </row>
    <row r="2" s="1" customFormat="1" spans="1:13">
      <c r="A2" s="5" t="s">
        <v>1</v>
      </c>
      <c r="B2" s="6" t="s">
        <v>487</v>
      </c>
      <c r="C2" s="6" t="s">
        <v>488</v>
      </c>
      <c r="D2" s="6" t="s">
        <v>489</v>
      </c>
      <c r="E2" s="6"/>
      <c r="F2" s="6"/>
      <c r="G2" s="7"/>
      <c r="H2" s="8"/>
      <c r="M2" s="1" t="s">
        <v>490</v>
      </c>
    </row>
    <row r="3" s="1" customFormat="1" spans="1:20">
      <c r="A3" s="9"/>
      <c r="B3" s="10"/>
      <c r="C3" s="10"/>
      <c r="D3" s="11" t="s">
        <v>491</v>
      </c>
      <c r="E3" s="12" t="s">
        <v>492</v>
      </c>
      <c r="F3" s="12" t="s">
        <v>493</v>
      </c>
      <c r="G3" s="13" t="s">
        <v>478</v>
      </c>
      <c r="H3" s="14" t="s">
        <v>494</v>
      </c>
      <c r="L3" s="25" t="s">
        <v>488</v>
      </c>
      <c r="M3" s="25" t="s">
        <v>495</v>
      </c>
      <c r="N3" s="25" t="s">
        <v>496</v>
      </c>
      <c r="O3" s="25" t="s">
        <v>497</v>
      </c>
      <c r="P3" s="25" t="s">
        <v>498</v>
      </c>
      <c r="R3" s="27" t="s">
        <v>499</v>
      </c>
      <c r="S3" s="27" t="s">
        <v>500</v>
      </c>
      <c r="T3" s="27" t="s">
        <v>501</v>
      </c>
    </row>
    <row r="4" s="2" customFormat="1" spans="1:20">
      <c r="A4" s="15">
        <v>1</v>
      </c>
      <c r="B4" s="16" t="s">
        <v>502</v>
      </c>
      <c r="C4" s="17">
        <v>1</v>
      </c>
      <c r="D4" s="17">
        <f>5.5-(4-0.9)</f>
        <v>2.4</v>
      </c>
      <c r="E4" s="18">
        <f>11.6-5.5+(4-0.9)</f>
        <v>9.2</v>
      </c>
      <c r="F4" s="18">
        <f>15-11.6</f>
        <v>3.4</v>
      </c>
      <c r="G4" s="19">
        <f t="shared" ref="G4:G12" si="0">SUM(D4:F4)</f>
        <v>15</v>
      </c>
      <c r="H4" s="20">
        <v>15</v>
      </c>
      <c r="I4" s="2">
        <f>H4-G4</f>
        <v>0</v>
      </c>
      <c r="L4" s="26">
        <v>1</v>
      </c>
      <c r="M4" s="26">
        <v>15</v>
      </c>
      <c r="N4" s="26">
        <v>2.4</v>
      </c>
      <c r="O4" s="26">
        <v>9.2</v>
      </c>
      <c r="P4" s="26">
        <v>3.4</v>
      </c>
      <c r="R4" s="28">
        <f t="shared" ref="R4:T4" si="1">D4-N4</f>
        <v>0</v>
      </c>
      <c r="S4" s="28">
        <f t="shared" si="1"/>
        <v>0</v>
      </c>
      <c r="T4" s="28">
        <f t="shared" si="1"/>
        <v>0</v>
      </c>
    </row>
    <row r="5" s="2" customFormat="1" spans="1:20">
      <c r="A5" s="15">
        <v>2</v>
      </c>
      <c r="B5" s="16" t="s">
        <v>502</v>
      </c>
      <c r="C5" s="17">
        <v>2</v>
      </c>
      <c r="D5" s="17">
        <f>5.6-(2.9-1)</f>
        <v>3.7</v>
      </c>
      <c r="E5" s="18">
        <f>11.6-5.6+(2.9-1)</f>
        <v>7.9</v>
      </c>
      <c r="F5" s="18">
        <f>18-11.6</f>
        <v>6.4</v>
      </c>
      <c r="G5" s="19">
        <f t="shared" si="0"/>
        <v>18</v>
      </c>
      <c r="H5" s="20">
        <v>18</v>
      </c>
      <c r="I5" s="2">
        <f t="shared" ref="I5:I36" si="2">H5-G5</f>
        <v>0</v>
      </c>
      <c r="L5" s="26">
        <v>2</v>
      </c>
      <c r="M5" s="26">
        <v>18</v>
      </c>
      <c r="N5" s="26">
        <v>3.7</v>
      </c>
      <c r="O5" s="26">
        <v>7.9</v>
      </c>
      <c r="P5" s="26">
        <v>6.4</v>
      </c>
      <c r="R5" s="28">
        <f t="shared" ref="R5:T5" si="3">D5-N5</f>
        <v>0</v>
      </c>
      <c r="S5" s="28">
        <f t="shared" si="3"/>
        <v>0</v>
      </c>
      <c r="T5" s="28">
        <f t="shared" si="3"/>
        <v>0</v>
      </c>
    </row>
    <row r="6" s="2" customFormat="1" spans="1:20">
      <c r="A6" s="15">
        <v>3</v>
      </c>
      <c r="B6" s="16" t="s">
        <v>502</v>
      </c>
      <c r="C6" s="17">
        <v>3</v>
      </c>
      <c r="D6" s="17">
        <f>5.8-(3.6-1.3)</f>
        <v>3.5</v>
      </c>
      <c r="E6" s="18">
        <f>11.7-5.8+(3.6-1.3)</f>
        <v>8.2</v>
      </c>
      <c r="F6" s="18">
        <f>15-11.7</f>
        <v>3.3</v>
      </c>
      <c r="G6" s="19">
        <f t="shared" si="0"/>
        <v>15</v>
      </c>
      <c r="H6" s="20">
        <v>15</v>
      </c>
      <c r="I6" s="2">
        <f t="shared" si="2"/>
        <v>0</v>
      </c>
      <c r="L6" s="26">
        <v>3</v>
      </c>
      <c r="M6" s="26">
        <v>15</v>
      </c>
      <c r="N6" s="26">
        <v>3.1</v>
      </c>
      <c r="O6" s="26">
        <v>8.6</v>
      </c>
      <c r="P6" s="26">
        <v>3.3</v>
      </c>
      <c r="R6" s="28">
        <f t="shared" ref="R6:T6" si="4">D6-N6</f>
        <v>0.4</v>
      </c>
      <c r="S6" s="28">
        <f t="shared" si="4"/>
        <v>-0.4</v>
      </c>
      <c r="T6" s="28">
        <f t="shared" si="4"/>
        <v>0</v>
      </c>
    </row>
    <row r="7" s="2" customFormat="1" spans="1:20">
      <c r="A7" s="15">
        <v>4</v>
      </c>
      <c r="B7" s="16" t="s">
        <v>502</v>
      </c>
      <c r="C7" s="17">
        <v>4</v>
      </c>
      <c r="D7" s="17">
        <f>4.6-(2.4-1.2)</f>
        <v>3.4</v>
      </c>
      <c r="E7" s="18">
        <f>11.4-4.6+(2.4-1.2)</f>
        <v>8</v>
      </c>
      <c r="F7" s="18">
        <f>18-11.4</f>
        <v>6.6</v>
      </c>
      <c r="G7" s="19">
        <f t="shared" si="0"/>
        <v>18</v>
      </c>
      <c r="H7" s="20">
        <v>18</v>
      </c>
      <c r="I7" s="2">
        <f t="shared" si="2"/>
        <v>0</v>
      </c>
      <c r="L7" s="26">
        <v>4</v>
      </c>
      <c r="M7" s="26">
        <v>18</v>
      </c>
      <c r="N7" s="26">
        <v>3.4</v>
      </c>
      <c r="O7" s="26">
        <v>8</v>
      </c>
      <c r="P7" s="26">
        <v>6.6</v>
      </c>
      <c r="R7" s="28">
        <f t="shared" ref="R7:T7" si="5">D7-N7</f>
        <v>0</v>
      </c>
      <c r="S7" s="28">
        <f t="shared" si="5"/>
        <v>0</v>
      </c>
      <c r="T7" s="28">
        <f t="shared" si="5"/>
        <v>0</v>
      </c>
    </row>
    <row r="8" s="2" customFormat="1" spans="1:20">
      <c r="A8" s="15">
        <v>5</v>
      </c>
      <c r="B8" s="16" t="s">
        <v>502</v>
      </c>
      <c r="C8" s="17">
        <v>5</v>
      </c>
      <c r="D8" s="17">
        <f>6.5-(3.6-1.3)</f>
        <v>4.2</v>
      </c>
      <c r="E8" s="18">
        <f>10-6.5+(3.6-1.3)</f>
        <v>5.8</v>
      </c>
      <c r="F8" s="18">
        <v>0</v>
      </c>
      <c r="G8" s="19">
        <f t="shared" si="0"/>
        <v>10</v>
      </c>
      <c r="H8" s="20">
        <v>10</v>
      </c>
      <c r="I8" s="2">
        <f t="shared" si="2"/>
        <v>0</v>
      </c>
      <c r="L8" s="26">
        <v>5</v>
      </c>
      <c r="M8" s="26">
        <v>10</v>
      </c>
      <c r="N8" s="26">
        <v>4.2</v>
      </c>
      <c r="O8" s="26">
        <v>5.8</v>
      </c>
      <c r="P8" s="26">
        <v>0</v>
      </c>
      <c r="R8" s="28">
        <f t="shared" ref="R8:T8" si="6">D8-N8</f>
        <v>0</v>
      </c>
      <c r="S8" s="28">
        <f t="shared" si="6"/>
        <v>0</v>
      </c>
      <c r="T8" s="28">
        <f t="shared" si="6"/>
        <v>0</v>
      </c>
    </row>
    <row r="9" s="2" customFormat="1" spans="1:20">
      <c r="A9" s="15">
        <v>6</v>
      </c>
      <c r="B9" s="16" t="s">
        <v>502</v>
      </c>
      <c r="C9" s="17">
        <v>6</v>
      </c>
      <c r="D9" s="17">
        <f>6-(3.5-1.2)</f>
        <v>3.7</v>
      </c>
      <c r="E9" s="18">
        <f>11.3-6+(3.5-1.2)</f>
        <v>7.6</v>
      </c>
      <c r="F9" s="18">
        <f>15-11.3</f>
        <v>3.7</v>
      </c>
      <c r="G9" s="19">
        <f t="shared" si="0"/>
        <v>15</v>
      </c>
      <c r="H9" s="20">
        <v>15</v>
      </c>
      <c r="I9" s="2">
        <f t="shared" si="2"/>
        <v>0</v>
      </c>
      <c r="L9" s="26">
        <v>6</v>
      </c>
      <c r="M9" s="26">
        <v>15</v>
      </c>
      <c r="N9" s="26">
        <v>3.7</v>
      </c>
      <c r="O9" s="26">
        <v>7.6</v>
      </c>
      <c r="P9" s="26">
        <v>3.7</v>
      </c>
      <c r="R9" s="28">
        <f t="shared" ref="R9:T9" si="7">D9-N9</f>
        <v>0</v>
      </c>
      <c r="S9" s="28">
        <f t="shared" si="7"/>
        <v>0</v>
      </c>
      <c r="T9" s="28">
        <f t="shared" si="7"/>
        <v>0</v>
      </c>
    </row>
    <row r="10" s="2" customFormat="1" spans="1:20">
      <c r="A10" s="15">
        <v>7</v>
      </c>
      <c r="B10" s="16" t="s">
        <v>502</v>
      </c>
      <c r="C10" s="17">
        <v>7</v>
      </c>
      <c r="D10" s="17">
        <f>6.6-(3.5-1.5)</f>
        <v>4.6</v>
      </c>
      <c r="E10" s="18">
        <f>11.2-6.6+(3.5-1.5)</f>
        <v>6.6</v>
      </c>
      <c r="F10" s="18">
        <f>18-11.2</f>
        <v>6.8</v>
      </c>
      <c r="G10" s="19">
        <f t="shared" si="0"/>
        <v>18</v>
      </c>
      <c r="H10" s="20">
        <v>18</v>
      </c>
      <c r="I10" s="2">
        <f t="shared" si="2"/>
        <v>0</v>
      </c>
      <c r="L10" s="26">
        <v>7</v>
      </c>
      <c r="M10" s="26">
        <v>18</v>
      </c>
      <c r="N10" s="26">
        <v>4.6</v>
      </c>
      <c r="O10" s="26">
        <v>6.6</v>
      </c>
      <c r="P10" s="26">
        <v>6.8</v>
      </c>
      <c r="R10" s="28">
        <f t="shared" ref="R10:T10" si="8">D10-N10</f>
        <v>0</v>
      </c>
      <c r="S10" s="28">
        <f t="shared" si="8"/>
        <v>0</v>
      </c>
      <c r="T10" s="28">
        <f t="shared" si="8"/>
        <v>0</v>
      </c>
    </row>
    <row r="11" s="2" customFormat="1" spans="1:20">
      <c r="A11" s="15">
        <v>8</v>
      </c>
      <c r="B11" s="16" t="s">
        <v>502</v>
      </c>
      <c r="C11" s="17">
        <v>8</v>
      </c>
      <c r="D11" s="17">
        <f>6.9-(3.6-2)</f>
        <v>5.3</v>
      </c>
      <c r="E11" s="18">
        <f>11-6.9+(3.6-2)</f>
        <v>5.7</v>
      </c>
      <c r="F11" s="18">
        <f>15-11</f>
        <v>4</v>
      </c>
      <c r="G11" s="19">
        <f t="shared" si="0"/>
        <v>15</v>
      </c>
      <c r="H11" s="20">
        <v>15</v>
      </c>
      <c r="I11" s="2">
        <f t="shared" si="2"/>
        <v>0</v>
      </c>
      <c r="L11" s="26">
        <v>8</v>
      </c>
      <c r="M11" s="26">
        <v>15</v>
      </c>
      <c r="N11" s="26">
        <v>5.3</v>
      </c>
      <c r="O11" s="26">
        <v>5.7</v>
      </c>
      <c r="P11" s="26">
        <v>4</v>
      </c>
      <c r="R11" s="28">
        <f t="shared" ref="R11:T11" si="9">D11-N11</f>
        <v>0</v>
      </c>
      <c r="S11" s="28">
        <f t="shared" si="9"/>
        <v>0</v>
      </c>
      <c r="T11" s="28">
        <f t="shared" si="9"/>
        <v>0</v>
      </c>
    </row>
    <row r="12" s="2" customFormat="1" spans="1:20">
      <c r="A12" s="15">
        <v>9</v>
      </c>
      <c r="B12" s="16" t="s">
        <v>502</v>
      </c>
      <c r="C12" s="17">
        <v>9</v>
      </c>
      <c r="D12" s="17">
        <v>1.4</v>
      </c>
      <c r="E12" s="18">
        <f>9.7-1.4</f>
        <v>8.3</v>
      </c>
      <c r="F12" s="18">
        <f>18-9.7</f>
        <v>8.3</v>
      </c>
      <c r="G12" s="19">
        <f t="shared" si="0"/>
        <v>18</v>
      </c>
      <c r="H12" s="20">
        <v>18</v>
      </c>
      <c r="I12" s="2">
        <f t="shared" si="2"/>
        <v>0</v>
      </c>
      <c r="L12" s="26">
        <v>9</v>
      </c>
      <c r="M12" s="26">
        <v>18</v>
      </c>
      <c r="N12" s="26">
        <v>1.4</v>
      </c>
      <c r="O12" s="26">
        <v>8.3</v>
      </c>
      <c r="P12" s="26">
        <v>8.3</v>
      </c>
      <c r="R12" s="28">
        <f t="shared" ref="R12:T12" si="10">D12-N12</f>
        <v>0</v>
      </c>
      <c r="S12" s="28">
        <f t="shared" si="10"/>
        <v>0</v>
      </c>
      <c r="T12" s="28">
        <f t="shared" si="10"/>
        <v>0</v>
      </c>
    </row>
    <row r="13" s="2" customFormat="1" spans="1:20">
      <c r="A13" s="15">
        <v>10</v>
      </c>
      <c r="B13" s="16" t="s">
        <v>503</v>
      </c>
      <c r="C13" s="17">
        <v>10</v>
      </c>
      <c r="D13" s="17">
        <f>5.6-(3.4-0.6)</f>
        <v>2.8</v>
      </c>
      <c r="E13" s="18">
        <f>11.6-5.6+(3.4-0.6)</f>
        <v>8.8</v>
      </c>
      <c r="F13" s="18">
        <f>18-11.6</f>
        <v>6.4</v>
      </c>
      <c r="G13" s="19">
        <f t="shared" ref="G13:G44" si="11">SUM(D13:F13)</f>
        <v>18</v>
      </c>
      <c r="H13" s="20">
        <v>18</v>
      </c>
      <c r="I13" s="2">
        <f t="shared" si="2"/>
        <v>0</v>
      </c>
      <c r="L13" s="26">
        <v>10</v>
      </c>
      <c r="M13" s="26">
        <v>18</v>
      </c>
      <c r="N13" s="26">
        <v>2.8</v>
      </c>
      <c r="O13" s="26">
        <v>8.8</v>
      </c>
      <c r="P13" s="26">
        <v>6.4</v>
      </c>
      <c r="R13" s="28">
        <f t="shared" ref="R13:T13" si="12">D13-N13</f>
        <v>0</v>
      </c>
      <c r="S13" s="28">
        <f t="shared" si="12"/>
        <v>0</v>
      </c>
      <c r="T13" s="28">
        <f t="shared" si="12"/>
        <v>0</v>
      </c>
    </row>
    <row r="14" s="2" customFormat="1" spans="1:20">
      <c r="A14" s="15">
        <v>11</v>
      </c>
      <c r="B14" s="16" t="s">
        <v>503</v>
      </c>
      <c r="C14" s="17">
        <v>11</v>
      </c>
      <c r="D14" s="17">
        <f>5.5-(2.6-1.3)</f>
        <v>4.2</v>
      </c>
      <c r="E14" s="18">
        <f>11.6-5.5+(2.6-1.3)</f>
        <v>7.4</v>
      </c>
      <c r="F14" s="18">
        <f>15-11.6</f>
        <v>3.4</v>
      </c>
      <c r="G14" s="19">
        <f t="shared" si="11"/>
        <v>15</v>
      </c>
      <c r="H14" s="20">
        <v>15</v>
      </c>
      <c r="I14" s="2">
        <f t="shared" si="2"/>
        <v>0</v>
      </c>
      <c r="L14" s="26">
        <v>11</v>
      </c>
      <c r="M14" s="26">
        <v>15</v>
      </c>
      <c r="N14" s="26">
        <v>3.6</v>
      </c>
      <c r="O14" s="26">
        <v>8</v>
      </c>
      <c r="P14" s="26">
        <v>3.4</v>
      </c>
      <c r="R14" s="28">
        <f t="shared" ref="R14:T14" si="13">D14-N14</f>
        <v>0.6</v>
      </c>
      <c r="S14" s="28">
        <f t="shared" si="13"/>
        <v>-0.6</v>
      </c>
      <c r="T14" s="28">
        <f t="shared" si="13"/>
        <v>0</v>
      </c>
    </row>
    <row r="15" s="2" customFormat="1" spans="1:20">
      <c r="A15" s="15">
        <v>12</v>
      </c>
      <c r="B15" s="16" t="s">
        <v>503</v>
      </c>
      <c r="C15" s="17">
        <v>12</v>
      </c>
      <c r="D15" s="17">
        <f>5.8-(3.9-2)</f>
        <v>3.9</v>
      </c>
      <c r="E15" s="18">
        <f>12.2-5.8+(3.9-2)</f>
        <v>8.3</v>
      </c>
      <c r="F15" s="18">
        <f>18-12.2</f>
        <v>5.8</v>
      </c>
      <c r="G15" s="19">
        <f t="shared" si="11"/>
        <v>18</v>
      </c>
      <c r="H15" s="20">
        <v>18</v>
      </c>
      <c r="I15" s="2">
        <f t="shared" si="2"/>
        <v>0</v>
      </c>
      <c r="L15" s="26">
        <v>12</v>
      </c>
      <c r="M15" s="26">
        <v>18</v>
      </c>
      <c r="N15" s="26">
        <v>3.4</v>
      </c>
      <c r="O15" s="26">
        <v>8.8</v>
      </c>
      <c r="P15" s="26">
        <v>5.8</v>
      </c>
      <c r="R15" s="28">
        <f t="shared" ref="R15:T15" si="14">D15-N15</f>
        <v>0.5</v>
      </c>
      <c r="S15" s="28">
        <f t="shared" si="14"/>
        <v>-0.5</v>
      </c>
      <c r="T15" s="28">
        <f t="shared" si="14"/>
        <v>0</v>
      </c>
    </row>
    <row r="16" s="2" customFormat="1" spans="1:20">
      <c r="A16" s="15">
        <v>13</v>
      </c>
      <c r="B16" s="16" t="s">
        <v>503</v>
      </c>
      <c r="C16" s="17">
        <v>13</v>
      </c>
      <c r="D16" s="17">
        <f>5.5-(3-1)</f>
        <v>3.5</v>
      </c>
      <c r="E16" s="18">
        <f>11.7-5.5+(3-1)</f>
        <v>8.2</v>
      </c>
      <c r="F16" s="18">
        <f>15-11.7</f>
        <v>3.3</v>
      </c>
      <c r="G16" s="19">
        <f t="shared" si="11"/>
        <v>15</v>
      </c>
      <c r="H16" s="20">
        <v>15</v>
      </c>
      <c r="I16" s="2">
        <f t="shared" si="2"/>
        <v>0</v>
      </c>
      <c r="L16" s="26">
        <v>13</v>
      </c>
      <c r="M16" s="26">
        <v>15</v>
      </c>
      <c r="N16" s="26">
        <v>3.5</v>
      </c>
      <c r="O16" s="26">
        <v>8.2</v>
      </c>
      <c r="P16" s="26">
        <v>3.3</v>
      </c>
      <c r="R16" s="28">
        <f t="shared" ref="R16:T16" si="15">D16-N16</f>
        <v>0</v>
      </c>
      <c r="S16" s="28">
        <f t="shared" si="15"/>
        <v>0</v>
      </c>
      <c r="T16" s="28">
        <f t="shared" si="15"/>
        <v>0</v>
      </c>
    </row>
    <row r="17" s="2" customFormat="1" spans="1:20">
      <c r="A17" s="15">
        <v>14</v>
      </c>
      <c r="B17" s="16" t="s">
        <v>503</v>
      </c>
      <c r="C17" s="17">
        <v>14</v>
      </c>
      <c r="D17" s="17">
        <f>6.4-(2.4-0.3)</f>
        <v>4.3</v>
      </c>
      <c r="E17" s="18">
        <f>11-6.4+(2.4-0.3)</f>
        <v>6.7</v>
      </c>
      <c r="F17" s="18">
        <f>18-11</f>
        <v>7</v>
      </c>
      <c r="G17" s="19">
        <f t="shared" si="11"/>
        <v>18</v>
      </c>
      <c r="H17" s="20">
        <v>18</v>
      </c>
      <c r="I17" s="2">
        <f t="shared" si="2"/>
        <v>0</v>
      </c>
      <c r="L17" s="26">
        <v>14</v>
      </c>
      <c r="M17" s="26">
        <v>18</v>
      </c>
      <c r="N17" s="26">
        <v>4.3</v>
      </c>
      <c r="O17" s="26">
        <v>6.7</v>
      </c>
      <c r="P17" s="26">
        <v>7</v>
      </c>
      <c r="R17" s="28">
        <f t="shared" ref="R17:T17" si="16">D17-N17</f>
        <v>0</v>
      </c>
      <c r="S17" s="28">
        <f t="shared" si="16"/>
        <v>0</v>
      </c>
      <c r="T17" s="28">
        <f t="shared" si="16"/>
        <v>0</v>
      </c>
    </row>
    <row r="18" s="2" customFormat="1" spans="1:20">
      <c r="A18" s="15">
        <v>15</v>
      </c>
      <c r="B18" s="16" t="s">
        <v>503</v>
      </c>
      <c r="C18" s="17">
        <v>15</v>
      </c>
      <c r="D18" s="17">
        <f>7.4-(2.5-1.5)</f>
        <v>6.4</v>
      </c>
      <c r="E18" s="18">
        <f>10.8-7.4+(2.5-1.5)</f>
        <v>4.4</v>
      </c>
      <c r="F18" s="18">
        <f>15-10.8</f>
        <v>4.2</v>
      </c>
      <c r="G18" s="19">
        <f t="shared" si="11"/>
        <v>15</v>
      </c>
      <c r="H18" s="20">
        <v>15</v>
      </c>
      <c r="I18" s="2">
        <f t="shared" si="2"/>
        <v>0</v>
      </c>
      <c r="L18" s="26">
        <v>15</v>
      </c>
      <c r="M18" s="26">
        <v>15</v>
      </c>
      <c r="N18" s="26">
        <v>6.4</v>
      </c>
      <c r="O18" s="26">
        <v>4.4</v>
      </c>
      <c r="P18" s="26">
        <v>4.2</v>
      </c>
      <c r="R18" s="28">
        <f t="shared" ref="R18:T18" si="17">D18-N18</f>
        <v>0</v>
      </c>
      <c r="S18" s="28">
        <f t="shared" si="17"/>
        <v>0</v>
      </c>
      <c r="T18" s="28">
        <f t="shared" si="17"/>
        <v>0</v>
      </c>
    </row>
    <row r="19" s="2" customFormat="1" spans="1:20">
      <c r="A19" s="15">
        <v>16</v>
      </c>
      <c r="B19" s="16" t="s">
        <v>503</v>
      </c>
      <c r="C19" s="17">
        <v>16</v>
      </c>
      <c r="D19" s="17">
        <f>6.5-(2.4-1.4)</f>
        <v>5.5</v>
      </c>
      <c r="E19" s="18">
        <f>10.8-6.5+(2.4-1.4)</f>
        <v>5.3</v>
      </c>
      <c r="F19" s="18">
        <f>18-10.8</f>
        <v>7.2</v>
      </c>
      <c r="G19" s="19">
        <f t="shared" si="11"/>
        <v>18</v>
      </c>
      <c r="H19" s="20">
        <v>18</v>
      </c>
      <c r="I19" s="2">
        <f t="shared" si="2"/>
        <v>0</v>
      </c>
      <c r="L19" s="26">
        <v>16</v>
      </c>
      <c r="M19" s="26">
        <v>18</v>
      </c>
      <c r="N19" s="26">
        <v>5.5</v>
      </c>
      <c r="O19" s="26">
        <v>5.3</v>
      </c>
      <c r="P19" s="26">
        <v>7.2</v>
      </c>
      <c r="R19" s="28">
        <f t="shared" ref="R19:T19" si="18">D19-N19</f>
        <v>0</v>
      </c>
      <c r="S19" s="28">
        <f t="shared" si="18"/>
        <v>0</v>
      </c>
      <c r="T19" s="28">
        <f t="shared" si="18"/>
        <v>0</v>
      </c>
    </row>
    <row r="20" s="2" customFormat="1" spans="1:20">
      <c r="A20" s="15">
        <v>17</v>
      </c>
      <c r="B20" s="16" t="s">
        <v>503</v>
      </c>
      <c r="C20" s="17">
        <v>17</v>
      </c>
      <c r="D20" s="17">
        <f>1</f>
        <v>1</v>
      </c>
      <c r="E20" s="18">
        <f>10.7-1</f>
        <v>9.7</v>
      </c>
      <c r="F20" s="18">
        <f>15-10.7</f>
        <v>4.3</v>
      </c>
      <c r="G20" s="19">
        <f t="shared" si="11"/>
        <v>15</v>
      </c>
      <c r="H20" s="20">
        <v>15</v>
      </c>
      <c r="I20" s="2">
        <f t="shared" si="2"/>
        <v>0</v>
      </c>
      <c r="L20" s="26">
        <v>17</v>
      </c>
      <c r="M20" s="26">
        <v>15</v>
      </c>
      <c r="N20" s="26">
        <v>1</v>
      </c>
      <c r="O20" s="26">
        <v>9.7</v>
      </c>
      <c r="P20" s="26">
        <v>4.3</v>
      </c>
      <c r="R20" s="28">
        <f t="shared" ref="R20:T20" si="19">D20-N20</f>
        <v>0</v>
      </c>
      <c r="S20" s="28">
        <f t="shared" si="19"/>
        <v>0</v>
      </c>
      <c r="T20" s="28">
        <f t="shared" si="19"/>
        <v>0</v>
      </c>
    </row>
    <row r="21" spans="1:20">
      <c r="A21" s="15">
        <v>18</v>
      </c>
      <c r="B21" s="21" t="s">
        <v>504</v>
      </c>
      <c r="C21" s="22">
        <v>18</v>
      </c>
      <c r="D21" s="22">
        <f>3.9-(3-0.8)</f>
        <v>1.7</v>
      </c>
      <c r="E21" s="22">
        <f>(12-3.9)+(3-0.8)</f>
        <v>10.3</v>
      </c>
      <c r="F21" s="22">
        <f>(15-12)</f>
        <v>3</v>
      </c>
      <c r="G21" s="19">
        <f t="shared" si="11"/>
        <v>15</v>
      </c>
      <c r="H21" s="23">
        <v>15</v>
      </c>
      <c r="I21" s="2">
        <f t="shared" si="2"/>
        <v>0</v>
      </c>
      <c r="L21" s="26">
        <v>18</v>
      </c>
      <c r="M21" s="26">
        <v>15</v>
      </c>
      <c r="N21" s="26">
        <v>1.7</v>
      </c>
      <c r="O21" s="26">
        <v>10.3</v>
      </c>
      <c r="P21" s="26">
        <v>3</v>
      </c>
      <c r="R21" s="28">
        <f t="shared" ref="R21:T21" si="20">D21-N21</f>
        <v>0</v>
      </c>
      <c r="S21" s="28">
        <f t="shared" si="20"/>
        <v>0</v>
      </c>
      <c r="T21" s="28">
        <f t="shared" si="20"/>
        <v>0</v>
      </c>
    </row>
    <row r="22" spans="1:20">
      <c r="A22" s="15">
        <v>19</v>
      </c>
      <c r="B22" s="21" t="s">
        <v>504</v>
      </c>
      <c r="C22" s="22">
        <v>19</v>
      </c>
      <c r="D22" s="22">
        <v>0.7</v>
      </c>
      <c r="E22" s="22">
        <f>9-0.7</f>
        <v>8.3</v>
      </c>
      <c r="F22" s="22">
        <f>12-9</f>
        <v>3</v>
      </c>
      <c r="G22" s="19">
        <f t="shared" si="11"/>
        <v>12</v>
      </c>
      <c r="H22" s="23">
        <v>12</v>
      </c>
      <c r="I22" s="2">
        <f t="shared" si="2"/>
        <v>0</v>
      </c>
      <c r="L22" s="26">
        <v>19</v>
      </c>
      <c r="M22" s="26">
        <v>12</v>
      </c>
      <c r="N22" s="26">
        <v>0.7</v>
      </c>
      <c r="O22" s="26">
        <v>8.3</v>
      </c>
      <c r="P22" s="26">
        <v>3</v>
      </c>
      <c r="R22" s="28">
        <f t="shared" ref="R22:T22" si="21">D22-N22</f>
        <v>0</v>
      </c>
      <c r="S22" s="28">
        <f t="shared" si="21"/>
        <v>0</v>
      </c>
      <c r="T22" s="28">
        <f t="shared" si="21"/>
        <v>0</v>
      </c>
    </row>
    <row r="23" spans="1:20">
      <c r="A23" s="15">
        <v>20</v>
      </c>
      <c r="B23" s="21" t="s">
        <v>504</v>
      </c>
      <c r="C23" s="22">
        <v>20</v>
      </c>
      <c r="D23" s="22">
        <v>0.5</v>
      </c>
      <c r="E23" s="22">
        <f>8.5-0.5</f>
        <v>8</v>
      </c>
      <c r="F23" s="22">
        <f>20-8.5</f>
        <v>11.5</v>
      </c>
      <c r="G23" s="19">
        <f t="shared" si="11"/>
        <v>20</v>
      </c>
      <c r="H23" s="23">
        <v>20</v>
      </c>
      <c r="I23" s="2">
        <f t="shared" si="2"/>
        <v>0</v>
      </c>
      <c r="L23" s="26">
        <v>20</v>
      </c>
      <c r="M23" s="26">
        <v>20</v>
      </c>
      <c r="N23" s="26">
        <v>0.5</v>
      </c>
      <c r="O23" s="26">
        <v>8</v>
      </c>
      <c r="P23" s="26">
        <v>11.5</v>
      </c>
      <c r="R23" s="28">
        <f t="shared" ref="R23:T23" si="22">D23-N23</f>
        <v>0</v>
      </c>
      <c r="S23" s="28">
        <f t="shared" si="22"/>
        <v>0</v>
      </c>
      <c r="T23" s="28">
        <f t="shared" si="22"/>
        <v>0</v>
      </c>
    </row>
    <row r="24" spans="1:20">
      <c r="A24" s="15">
        <v>21</v>
      </c>
      <c r="B24" s="21" t="s">
        <v>504</v>
      </c>
      <c r="C24" s="22">
        <v>21</v>
      </c>
      <c r="D24" s="24">
        <v>2.6</v>
      </c>
      <c r="E24" s="24">
        <f>9.3-2.6</f>
        <v>6.7</v>
      </c>
      <c r="F24" s="22">
        <f>12-9.3</f>
        <v>2.7</v>
      </c>
      <c r="G24" s="19">
        <f t="shared" si="11"/>
        <v>12</v>
      </c>
      <c r="H24" s="23">
        <v>12</v>
      </c>
      <c r="I24" s="2">
        <f t="shared" si="2"/>
        <v>0</v>
      </c>
      <c r="L24" s="26">
        <v>21</v>
      </c>
      <c r="M24" s="26">
        <v>12</v>
      </c>
      <c r="N24" s="26">
        <v>2.6</v>
      </c>
      <c r="O24" s="26">
        <v>6.7</v>
      </c>
      <c r="P24" s="26">
        <v>2.7</v>
      </c>
      <c r="R24" s="28">
        <f t="shared" ref="R24:T24" si="23">D24-N24</f>
        <v>0</v>
      </c>
      <c r="S24" s="28">
        <f t="shared" si="23"/>
        <v>0</v>
      </c>
      <c r="T24" s="28">
        <f t="shared" si="23"/>
        <v>0</v>
      </c>
    </row>
    <row r="25" spans="1:20">
      <c r="A25" s="15">
        <v>22</v>
      </c>
      <c r="B25" s="21" t="s">
        <v>504</v>
      </c>
      <c r="C25" s="22">
        <v>22</v>
      </c>
      <c r="D25" s="24">
        <f>4.8-(2.1-0.7)</f>
        <v>3.4</v>
      </c>
      <c r="E25" s="24">
        <f>11.2-4.8+(2.1-0.7)</f>
        <v>7.8</v>
      </c>
      <c r="F25" s="22">
        <f>20-11.2</f>
        <v>8.8</v>
      </c>
      <c r="G25" s="19">
        <f t="shared" si="11"/>
        <v>20</v>
      </c>
      <c r="H25" s="23">
        <v>20</v>
      </c>
      <c r="I25" s="2">
        <f t="shared" si="2"/>
        <v>0</v>
      </c>
      <c r="L25" s="26">
        <v>22</v>
      </c>
      <c r="M25" s="26">
        <v>20</v>
      </c>
      <c r="N25" s="26">
        <v>3.4</v>
      </c>
      <c r="O25" s="26">
        <v>7.8</v>
      </c>
      <c r="P25" s="26">
        <v>8.8</v>
      </c>
      <c r="R25" s="28">
        <f t="shared" ref="R25:T25" si="24">D25-N25</f>
        <v>0</v>
      </c>
      <c r="S25" s="28">
        <f t="shared" si="24"/>
        <v>0</v>
      </c>
      <c r="T25" s="28">
        <f t="shared" si="24"/>
        <v>0</v>
      </c>
    </row>
    <row r="26" spans="1:20">
      <c r="A26" s="15">
        <v>23</v>
      </c>
      <c r="B26" s="21" t="s">
        <v>504</v>
      </c>
      <c r="C26" s="22">
        <v>23</v>
      </c>
      <c r="D26" s="22">
        <f>5.1-(2.2-0.5)</f>
        <v>3.4</v>
      </c>
      <c r="E26" s="22">
        <f>11.3-5.1+(2.2-0.5)</f>
        <v>7.9</v>
      </c>
      <c r="F26" s="22">
        <f>12-11.3</f>
        <v>0.699999999999999</v>
      </c>
      <c r="G26" s="19">
        <f t="shared" si="11"/>
        <v>12</v>
      </c>
      <c r="H26" s="23">
        <v>12</v>
      </c>
      <c r="I26" s="2">
        <f t="shared" si="2"/>
        <v>0</v>
      </c>
      <c r="L26" s="26">
        <v>23</v>
      </c>
      <c r="M26" s="26">
        <v>12</v>
      </c>
      <c r="N26" s="26">
        <v>3.4</v>
      </c>
      <c r="O26" s="26">
        <v>7.9</v>
      </c>
      <c r="P26" s="26">
        <v>0.7</v>
      </c>
      <c r="R26" s="28">
        <f t="shared" ref="R26:T26" si="25">D26-N26</f>
        <v>0</v>
      </c>
      <c r="S26" s="28">
        <f t="shared" si="25"/>
        <v>0</v>
      </c>
      <c r="T26" s="29">
        <f t="shared" si="25"/>
        <v>0</v>
      </c>
    </row>
    <row r="27" spans="1:20">
      <c r="A27" s="15">
        <v>24</v>
      </c>
      <c r="B27" s="21" t="s">
        <v>504</v>
      </c>
      <c r="C27" s="22">
        <v>24</v>
      </c>
      <c r="D27" s="22">
        <f>5.1-(2.3-1.2)</f>
        <v>4</v>
      </c>
      <c r="E27" s="22">
        <f>11.1-5.1+(2.3-1.2)</f>
        <v>7.1</v>
      </c>
      <c r="F27" s="22">
        <f>15-11.1</f>
        <v>3.9</v>
      </c>
      <c r="G27" s="19">
        <f t="shared" si="11"/>
        <v>15</v>
      </c>
      <c r="H27" s="23">
        <v>15</v>
      </c>
      <c r="I27" s="2">
        <f t="shared" si="2"/>
        <v>0</v>
      </c>
      <c r="L27" s="26">
        <v>24</v>
      </c>
      <c r="M27" s="26">
        <v>15</v>
      </c>
      <c r="N27" s="26">
        <v>4</v>
      </c>
      <c r="O27" s="26">
        <v>7.1</v>
      </c>
      <c r="P27" s="26">
        <v>3.9</v>
      </c>
      <c r="R27" s="28">
        <f t="shared" ref="R27:T27" si="26">D27-N27</f>
        <v>0</v>
      </c>
      <c r="S27" s="28">
        <f t="shared" si="26"/>
        <v>0</v>
      </c>
      <c r="T27" s="28">
        <f t="shared" si="26"/>
        <v>0</v>
      </c>
    </row>
    <row r="28" spans="1:20">
      <c r="A28" s="15">
        <v>25</v>
      </c>
      <c r="B28" s="21" t="s">
        <v>504</v>
      </c>
      <c r="C28" s="22">
        <v>25</v>
      </c>
      <c r="D28" s="22">
        <v>3.9</v>
      </c>
      <c r="E28" s="22">
        <f>9.6-3.9</f>
        <v>5.7</v>
      </c>
      <c r="F28" s="22">
        <f>12-9.6</f>
        <v>2.4</v>
      </c>
      <c r="G28" s="19">
        <f t="shared" si="11"/>
        <v>12</v>
      </c>
      <c r="H28" s="23">
        <v>12</v>
      </c>
      <c r="I28" s="2">
        <f t="shared" si="2"/>
        <v>0</v>
      </c>
      <c r="L28" s="26">
        <v>25</v>
      </c>
      <c r="M28" s="26">
        <v>12</v>
      </c>
      <c r="N28" s="26">
        <v>3.3</v>
      </c>
      <c r="O28" s="26">
        <v>6.3</v>
      </c>
      <c r="P28" s="26">
        <v>2.4</v>
      </c>
      <c r="R28" s="28">
        <f t="shared" ref="R28:T28" si="27">D28-N28</f>
        <v>0.6</v>
      </c>
      <c r="S28" s="28">
        <f t="shared" si="27"/>
        <v>-0.6</v>
      </c>
      <c r="T28" s="28">
        <f t="shared" si="27"/>
        <v>0</v>
      </c>
    </row>
    <row r="29" spans="1:20">
      <c r="A29" s="15">
        <v>26</v>
      </c>
      <c r="B29" s="21" t="s">
        <v>504</v>
      </c>
      <c r="C29" s="22">
        <v>26</v>
      </c>
      <c r="D29" s="22">
        <f>3.9-(2.1-1.1)</f>
        <v>2.9</v>
      </c>
      <c r="E29" s="22">
        <f>9.4-3.9+(2.1-1.1)</f>
        <v>6.5</v>
      </c>
      <c r="F29" s="22">
        <f>20-9.4</f>
        <v>10.6</v>
      </c>
      <c r="G29" s="19">
        <f t="shared" si="11"/>
        <v>20</v>
      </c>
      <c r="H29" s="23">
        <v>20</v>
      </c>
      <c r="I29" s="2">
        <f t="shared" si="2"/>
        <v>0</v>
      </c>
      <c r="L29" s="26">
        <v>26</v>
      </c>
      <c r="M29" s="26">
        <v>20</v>
      </c>
      <c r="N29" s="26">
        <v>2.9</v>
      </c>
      <c r="O29" s="26">
        <v>6.5</v>
      </c>
      <c r="P29" s="26">
        <v>10.6</v>
      </c>
      <c r="R29" s="28">
        <f t="shared" ref="R29:T29" si="28">D29-N29</f>
        <v>0</v>
      </c>
      <c r="S29" s="28">
        <f t="shared" si="28"/>
        <v>0</v>
      </c>
      <c r="T29" s="28">
        <f t="shared" si="28"/>
        <v>0</v>
      </c>
    </row>
    <row r="30" spans="1:20">
      <c r="A30" s="15">
        <v>27</v>
      </c>
      <c r="B30" s="21" t="s">
        <v>504</v>
      </c>
      <c r="C30" s="22">
        <v>27</v>
      </c>
      <c r="D30" s="22">
        <f>4.9-(3.1-2.1)</f>
        <v>3.9</v>
      </c>
      <c r="E30" s="22">
        <f>10.1-4.9+(3.1-2.1)</f>
        <v>6.2</v>
      </c>
      <c r="F30" s="22">
        <f>12-10.1</f>
        <v>1.9</v>
      </c>
      <c r="G30" s="19">
        <f t="shared" si="11"/>
        <v>12</v>
      </c>
      <c r="H30" s="23">
        <v>12</v>
      </c>
      <c r="I30" s="2">
        <f t="shared" si="2"/>
        <v>0</v>
      </c>
      <c r="L30" s="26">
        <v>27</v>
      </c>
      <c r="M30" s="26">
        <v>12</v>
      </c>
      <c r="N30" s="26">
        <v>3.9</v>
      </c>
      <c r="O30" s="26">
        <v>6.2</v>
      </c>
      <c r="P30" s="26">
        <v>1.9</v>
      </c>
      <c r="R30" s="28">
        <f t="shared" ref="R30:T30" si="29">D30-N30</f>
        <v>0</v>
      </c>
      <c r="S30" s="28">
        <f t="shared" si="29"/>
        <v>0</v>
      </c>
      <c r="T30" s="28">
        <f t="shared" si="29"/>
        <v>0</v>
      </c>
    </row>
    <row r="31" spans="1:20">
      <c r="A31" s="15">
        <v>28</v>
      </c>
      <c r="B31" s="21" t="s">
        <v>504</v>
      </c>
      <c r="C31" s="22">
        <v>28</v>
      </c>
      <c r="D31" s="22">
        <f>4.9-(3.1-2.2)</f>
        <v>4</v>
      </c>
      <c r="E31" s="22">
        <f>10.1-4.9+(3.1-2.2)</f>
        <v>6.1</v>
      </c>
      <c r="F31" s="22">
        <f>15-10.1</f>
        <v>4.9</v>
      </c>
      <c r="G31" s="19">
        <f t="shared" si="11"/>
        <v>15</v>
      </c>
      <c r="H31" s="23">
        <v>15</v>
      </c>
      <c r="I31" s="2">
        <f t="shared" si="2"/>
        <v>0</v>
      </c>
      <c r="L31" s="26">
        <v>28</v>
      </c>
      <c r="M31" s="26">
        <v>15</v>
      </c>
      <c r="N31" s="26">
        <v>4</v>
      </c>
      <c r="O31" s="26">
        <v>6.1</v>
      </c>
      <c r="P31" s="26">
        <v>4.9</v>
      </c>
      <c r="R31" s="28">
        <f t="shared" ref="R31:T31" si="30">D31-N31</f>
        <v>0</v>
      </c>
      <c r="S31" s="28">
        <f t="shared" si="30"/>
        <v>0</v>
      </c>
      <c r="T31" s="28">
        <f t="shared" si="30"/>
        <v>0</v>
      </c>
    </row>
    <row r="32" spans="1:20">
      <c r="A32" s="15">
        <v>29</v>
      </c>
      <c r="B32" s="21" t="s">
        <v>504</v>
      </c>
      <c r="C32" s="22">
        <v>29</v>
      </c>
      <c r="D32" s="22">
        <f>5.3-(3.4-0.4)</f>
        <v>2.3</v>
      </c>
      <c r="E32" s="22">
        <f>10.3-5.3+(3.4-0.4)</f>
        <v>8</v>
      </c>
      <c r="F32" s="22">
        <f>12-10.3</f>
        <v>1.7</v>
      </c>
      <c r="G32" s="19">
        <f t="shared" si="11"/>
        <v>12</v>
      </c>
      <c r="H32" s="23">
        <v>12</v>
      </c>
      <c r="I32" s="2">
        <f t="shared" si="2"/>
        <v>0</v>
      </c>
      <c r="L32" s="26">
        <v>29</v>
      </c>
      <c r="M32" s="26">
        <v>12</v>
      </c>
      <c r="N32" s="26">
        <v>2.3</v>
      </c>
      <c r="O32" s="26">
        <v>8</v>
      </c>
      <c r="P32" s="26">
        <v>1.7</v>
      </c>
      <c r="R32" s="28">
        <f t="shared" ref="R32:T32" si="31">D32-N32</f>
        <v>0</v>
      </c>
      <c r="S32" s="28">
        <f t="shared" si="31"/>
        <v>0</v>
      </c>
      <c r="T32" s="28">
        <f t="shared" si="31"/>
        <v>0</v>
      </c>
    </row>
    <row r="33" spans="1:20">
      <c r="A33" s="15">
        <v>30</v>
      </c>
      <c r="B33" s="21" t="s">
        <v>504</v>
      </c>
      <c r="C33" s="22">
        <v>30</v>
      </c>
      <c r="D33" s="22">
        <v>0.6</v>
      </c>
      <c r="E33" s="22">
        <f>10.3-0.6</f>
        <v>9.7</v>
      </c>
      <c r="F33" s="22">
        <f>20-10.3</f>
        <v>9.7</v>
      </c>
      <c r="G33" s="19">
        <f t="shared" si="11"/>
        <v>20</v>
      </c>
      <c r="H33" s="23">
        <v>20</v>
      </c>
      <c r="I33" s="2">
        <f t="shared" si="2"/>
        <v>0</v>
      </c>
      <c r="L33" s="26">
        <v>30</v>
      </c>
      <c r="M33" s="26">
        <v>20</v>
      </c>
      <c r="N33" s="26">
        <v>0.6</v>
      </c>
      <c r="O33" s="26">
        <v>9.7</v>
      </c>
      <c r="P33" s="26">
        <v>9.7</v>
      </c>
      <c r="R33" s="28">
        <f t="shared" ref="R33:T33" si="32">D33-N33</f>
        <v>0</v>
      </c>
      <c r="S33" s="28">
        <f t="shared" si="32"/>
        <v>0</v>
      </c>
      <c r="T33" s="28">
        <f t="shared" si="32"/>
        <v>0</v>
      </c>
    </row>
    <row r="34" spans="1:20">
      <c r="A34" s="15">
        <v>31</v>
      </c>
      <c r="B34" s="21" t="s">
        <v>504</v>
      </c>
      <c r="C34" s="22">
        <v>31</v>
      </c>
      <c r="D34" s="22">
        <v>0.9</v>
      </c>
      <c r="E34" s="22">
        <f>10.3-0.9</f>
        <v>9.4</v>
      </c>
      <c r="F34" s="22">
        <f>12-10.3</f>
        <v>1.7</v>
      </c>
      <c r="G34" s="19">
        <f t="shared" si="11"/>
        <v>12</v>
      </c>
      <c r="H34" s="23">
        <v>12</v>
      </c>
      <c r="I34" s="2">
        <f t="shared" si="2"/>
        <v>0</v>
      </c>
      <c r="L34" s="26">
        <v>31</v>
      </c>
      <c r="M34" s="26">
        <v>12</v>
      </c>
      <c r="N34" s="26">
        <v>0.9</v>
      </c>
      <c r="O34" s="26">
        <v>9.4</v>
      </c>
      <c r="P34" s="26">
        <v>1.7</v>
      </c>
      <c r="R34" s="28">
        <f t="shared" ref="R34:T34" si="33">D34-N34</f>
        <v>0</v>
      </c>
      <c r="S34" s="28">
        <f t="shared" si="33"/>
        <v>0</v>
      </c>
      <c r="T34" s="28">
        <f t="shared" si="33"/>
        <v>0</v>
      </c>
    </row>
    <row r="35" spans="1:20">
      <c r="A35" s="15">
        <v>32</v>
      </c>
      <c r="B35" s="21" t="s">
        <v>505</v>
      </c>
      <c r="C35" s="22">
        <v>32</v>
      </c>
      <c r="D35" s="22">
        <f>4-(3-0.6)</f>
        <v>1.6</v>
      </c>
      <c r="E35" s="22">
        <f>12-4+(3-0.6)</f>
        <v>10.4</v>
      </c>
      <c r="F35" s="22">
        <v>0</v>
      </c>
      <c r="G35" s="19">
        <f t="shared" si="11"/>
        <v>12</v>
      </c>
      <c r="H35" s="23">
        <v>12</v>
      </c>
      <c r="I35" s="2">
        <f t="shared" si="2"/>
        <v>0</v>
      </c>
      <c r="L35" s="26">
        <v>32</v>
      </c>
      <c r="M35" s="26">
        <v>12</v>
      </c>
      <c r="N35" s="26">
        <v>1.6</v>
      </c>
      <c r="O35" s="26">
        <v>10.4</v>
      </c>
      <c r="P35" s="26">
        <v>0</v>
      </c>
      <c r="R35" s="28">
        <f t="shared" ref="R35:T35" si="34">D35-N35</f>
        <v>0</v>
      </c>
      <c r="S35" s="28">
        <f t="shared" si="34"/>
        <v>0</v>
      </c>
      <c r="T35" s="28">
        <f t="shared" si="34"/>
        <v>0</v>
      </c>
    </row>
    <row r="36" spans="1:20">
      <c r="A36" s="15">
        <v>33</v>
      </c>
      <c r="B36" s="21" t="s">
        <v>505</v>
      </c>
      <c r="C36" s="22">
        <v>33</v>
      </c>
      <c r="D36" s="22">
        <f>4-(3-0.9)</f>
        <v>1.9</v>
      </c>
      <c r="E36" s="22">
        <f>12-4+(3-0.9)</f>
        <v>10.1</v>
      </c>
      <c r="F36" s="22">
        <f>15-12</f>
        <v>3</v>
      </c>
      <c r="G36" s="19">
        <f t="shared" si="11"/>
        <v>15</v>
      </c>
      <c r="H36" s="23">
        <v>15</v>
      </c>
      <c r="I36" s="2">
        <f t="shared" si="2"/>
        <v>0</v>
      </c>
      <c r="L36" s="26">
        <v>33</v>
      </c>
      <c r="M36" s="26">
        <v>15</v>
      </c>
      <c r="N36" s="26">
        <v>1.9</v>
      </c>
      <c r="O36" s="26">
        <v>10.1</v>
      </c>
      <c r="P36" s="26">
        <v>3</v>
      </c>
      <c r="R36" s="28">
        <f t="shared" ref="R36:T36" si="35">D36-N36</f>
        <v>0</v>
      </c>
      <c r="S36" s="28">
        <f t="shared" si="35"/>
        <v>0</v>
      </c>
      <c r="T36" s="28">
        <f t="shared" si="35"/>
        <v>0</v>
      </c>
    </row>
    <row r="37" spans="1:20">
      <c r="A37" s="15">
        <v>34</v>
      </c>
      <c r="B37" s="21" t="s">
        <v>505</v>
      </c>
      <c r="C37" s="22">
        <v>34</v>
      </c>
      <c r="D37" s="22">
        <v>0.8</v>
      </c>
      <c r="E37" s="22">
        <f>8.6-0.8</f>
        <v>7.8</v>
      </c>
      <c r="F37" s="22">
        <f>12-8.6</f>
        <v>3.4</v>
      </c>
      <c r="G37" s="19">
        <f t="shared" si="11"/>
        <v>12</v>
      </c>
      <c r="H37" s="23">
        <v>12</v>
      </c>
      <c r="I37" s="2">
        <f t="shared" ref="I37:I68" si="36">H37-G37</f>
        <v>0</v>
      </c>
      <c r="L37" s="26">
        <v>34</v>
      </c>
      <c r="M37" s="26">
        <v>12</v>
      </c>
      <c r="N37" s="26">
        <v>0.8</v>
      </c>
      <c r="O37" s="26">
        <v>7.8</v>
      </c>
      <c r="P37" s="26">
        <v>3.4</v>
      </c>
      <c r="R37" s="28">
        <f t="shared" ref="R37:T37" si="37">D37-N37</f>
        <v>0</v>
      </c>
      <c r="S37" s="28">
        <f t="shared" si="37"/>
        <v>0</v>
      </c>
      <c r="T37" s="28">
        <f t="shared" si="37"/>
        <v>0</v>
      </c>
    </row>
    <row r="38" spans="1:20">
      <c r="A38" s="15">
        <v>35</v>
      </c>
      <c r="B38" s="21" t="s">
        <v>505</v>
      </c>
      <c r="C38" s="22">
        <v>35</v>
      </c>
      <c r="D38" s="22">
        <f>5.5-(3.3-1)</f>
        <v>3.2</v>
      </c>
      <c r="E38" s="22">
        <f>12-5.5+(3.3-1)</f>
        <v>8.8</v>
      </c>
      <c r="F38" s="22">
        <f>15-12</f>
        <v>3</v>
      </c>
      <c r="G38" s="19">
        <f t="shared" si="11"/>
        <v>15</v>
      </c>
      <c r="H38" s="23">
        <v>15</v>
      </c>
      <c r="I38" s="2">
        <f t="shared" si="36"/>
        <v>0</v>
      </c>
      <c r="L38" s="26">
        <v>35</v>
      </c>
      <c r="M38" s="26">
        <v>15</v>
      </c>
      <c r="N38" s="26">
        <v>3.2</v>
      </c>
      <c r="O38" s="26">
        <v>8.8</v>
      </c>
      <c r="P38" s="26">
        <v>3</v>
      </c>
      <c r="R38" s="28">
        <f t="shared" ref="R38:T38" si="38">D38-N38</f>
        <v>0</v>
      </c>
      <c r="S38" s="28">
        <f t="shared" si="38"/>
        <v>0</v>
      </c>
      <c r="T38" s="28">
        <f t="shared" si="38"/>
        <v>0</v>
      </c>
    </row>
    <row r="39" spans="1:20">
      <c r="A39" s="15">
        <v>36</v>
      </c>
      <c r="B39" s="21" t="s">
        <v>505</v>
      </c>
      <c r="C39" s="22">
        <v>36</v>
      </c>
      <c r="D39" s="22">
        <f>5.5-(2.8-1)</f>
        <v>3.7</v>
      </c>
      <c r="E39" s="22">
        <f>11.3-5.5+(2.8-1)</f>
        <v>7.6</v>
      </c>
      <c r="F39" s="22">
        <f>12-11.3</f>
        <v>0.699999999999999</v>
      </c>
      <c r="G39" s="19">
        <f t="shared" si="11"/>
        <v>12</v>
      </c>
      <c r="H39" s="23">
        <v>12</v>
      </c>
      <c r="I39" s="2">
        <f t="shared" si="36"/>
        <v>0</v>
      </c>
      <c r="L39" s="26">
        <v>36</v>
      </c>
      <c r="M39" s="26">
        <v>12</v>
      </c>
      <c r="N39" s="26">
        <v>3.7</v>
      </c>
      <c r="O39" s="26">
        <v>7.6</v>
      </c>
      <c r="P39" s="26">
        <v>0.7</v>
      </c>
      <c r="R39" s="28">
        <f t="shared" ref="R39:T39" si="39">D39-N39</f>
        <v>0</v>
      </c>
      <c r="S39" s="28">
        <f t="shared" si="39"/>
        <v>0</v>
      </c>
      <c r="T39" s="29">
        <f t="shared" si="39"/>
        <v>0</v>
      </c>
    </row>
    <row r="40" spans="1:20">
      <c r="A40" s="15">
        <v>37</v>
      </c>
      <c r="B40" s="21" t="s">
        <v>505</v>
      </c>
      <c r="C40" s="22">
        <v>37</v>
      </c>
      <c r="D40" s="22">
        <f>5.9-(3.1-0.7)</f>
        <v>3.5</v>
      </c>
      <c r="E40" s="22">
        <f>11.6-5.9+(3.1-0.7)</f>
        <v>8.1</v>
      </c>
      <c r="F40" s="22">
        <f>15-11.6</f>
        <v>3.4</v>
      </c>
      <c r="G40" s="19">
        <f t="shared" si="11"/>
        <v>15</v>
      </c>
      <c r="H40" s="23">
        <v>15</v>
      </c>
      <c r="I40" s="2">
        <f t="shared" si="36"/>
        <v>0</v>
      </c>
      <c r="L40" s="26">
        <v>37</v>
      </c>
      <c r="M40" s="26">
        <v>15</v>
      </c>
      <c r="N40" s="26">
        <v>3.5</v>
      </c>
      <c r="O40" s="26">
        <v>8.1</v>
      </c>
      <c r="P40" s="26">
        <v>3.4</v>
      </c>
      <c r="R40" s="28">
        <f t="shared" ref="R40:T40" si="40">D40-N40</f>
        <v>0</v>
      </c>
      <c r="S40" s="28">
        <f t="shared" si="40"/>
        <v>0</v>
      </c>
      <c r="T40" s="28">
        <f t="shared" si="40"/>
        <v>0</v>
      </c>
    </row>
    <row r="41" spans="1:20">
      <c r="A41" s="15">
        <v>38</v>
      </c>
      <c r="B41" s="21" t="s">
        <v>505</v>
      </c>
      <c r="C41" s="22">
        <v>38</v>
      </c>
      <c r="D41" s="22">
        <f>5-(2.3-0.6)</f>
        <v>3.3</v>
      </c>
      <c r="E41" s="22">
        <f>10.3-5+(2.3-0.6)</f>
        <v>7</v>
      </c>
      <c r="F41" s="22">
        <f>15-10.3</f>
        <v>4.7</v>
      </c>
      <c r="G41" s="19">
        <f t="shared" si="11"/>
        <v>15</v>
      </c>
      <c r="H41" s="23">
        <v>15</v>
      </c>
      <c r="I41" s="2">
        <f t="shared" si="36"/>
        <v>0</v>
      </c>
      <c r="L41" s="26">
        <v>38</v>
      </c>
      <c r="M41" s="26">
        <v>15</v>
      </c>
      <c r="N41" s="26">
        <v>3.3</v>
      </c>
      <c r="O41" s="26">
        <v>7</v>
      </c>
      <c r="P41" s="26">
        <v>4.7</v>
      </c>
      <c r="R41" s="28">
        <f t="shared" ref="R41:T41" si="41">D41-N41</f>
        <v>0</v>
      </c>
      <c r="S41" s="28">
        <f t="shared" si="41"/>
        <v>0</v>
      </c>
      <c r="T41" s="28">
        <f t="shared" si="41"/>
        <v>0</v>
      </c>
    </row>
    <row r="42" spans="1:20">
      <c r="A42" s="15">
        <v>39</v>
      </c>
      <c r="B42" s="21" t="s">
        <v>505</v>
      </c>
      <c r="C42" s="22">
        <v>39</v>
      </c>
      <c r="D42" s="22">
        <f>5.4-(3.9-1)</f>
        <v>2.5</v>
      </c>
      <c r="E42" s="22">
        <f>10.6-5.4+(3.9-1)</f>
        <v>8.1</v>
      </c>
      <c r="F42" s="22">
        <f>12-10.6</f>
        <v>1.4</v>
      </c>
      <c r="G42" s="19">
        <f t="shared" si="11"/>
        <v>12</v>
      </c>
      <c r="H42" s="23">
        <v>12</v>
      </c>
      <c r="I42" s="2">
        <f t="shared" si="36"/>
        <v>0</v>
      </c>
      <c r="L42" s="26">
        <v>39</v>
      </c>
      <c r="M42" s="26">
        <v>12</v>
      </c>
      <c r="N42" s="26">
        <v>2.5</v>
      </c>
      <c r="O42" s="26">
        <v>8.1</v>
      </c>
      <c r="P42" s="26">
        <v>1.4</v>
      </c>
      <c r="R42" s="28">
        <f t="shared" ref="R42:T42" si="42">D42-N42</f>
        <v>0</v>
      </c>
      <c r="S42" s="28">
        <f t="shared" si="42"/>
        <v>0</v>
      </c>
      <c r="T42" s="28">
        <f t="shared" si="42"/>
        <v>0</v>
      </c>
    </row>
    <row r="43" spans="1:20">
      <c r="A43" s="15">
        <v>40</v>
      </c>
      <c r="B43" s="21" t="s">
        <v>505</v>
      </c>
      <c r="C43" s="22">
        <v>40</v>
      </c>
      <c r="D43" s="22">
        <f>5.7-(4.1-0.8)</f>
        <v>2.4</v>
      </c>
      <c r="E43" s="22">
        <f>10.9-5.7+(4.1-0.8)</f>
        <v>8.5</v>
      </c>
      <c r="F43" s="22">
        <f>15-10.9</f>
        <v>4.1</v>
      </c>
      <c r="G43" s="19">
        <f t="shared" si="11"/>
        <v>15</v>
      </c>
      <c r="H43" s="23">
        <v>15</v>
      </c>
      <c r="I43" s="2">
        <f t="shared" si="36"/>
        <v>0</v>
      </c>
      <c r="L43" s="26">
        <v>40</v>
      </c>
      <c r="M43" s="26">
        <v>15</v>
      </c>
      <c r="N43" s="26">
        <v>2.4</v>
      </c>
      <c r="O43" s="26">
        <v>8.5</v>
      </c>
      <c r="P43" s="26">
        <v>4.1</v>
      </c>
      <c r="R43" s="28">
        <f t="shared" ref="R43:T43" si="43">D43-N43</f>
        <v>0</v>
      </c>
      <c r="S43" s="28">
        <f t="shared" si="43"/>
        <v>0</v>
      </c>
      <c r="T43" s="28">
        <f t="shared" si="43"/>
        <v>0</v>
      </c>
    </row>
    <row r="44" spans="1:20">
      <c r="A44" s="15">
        <v>41</v>
      </c>
      <c r="B44" s="21" t="s">
        <v>505</v>
      </c>
      <c r="C44" s="22">
        <v>41</v>
      </c>
      <c r="D44" s="22">
        <f>3-(1.3-0.4)</f>
        <v>2.1</v>
      </c>
      <c r="E44" s="22">
        <f>8.4-3+(1.3-0.4)</f>
        <v>6.3</v>
      </c>
      <c r="F44" s="22">
        <f>12-8.4</f>
        <v>3.6</v>
      </c>
      <c r="G44" s="19">
        <f t="shared" si="11"/>
        <v>12</v>
      </c>
      <c r="H44" s="23">
        <v>12</v>
      </c>
      <c r="I44" s="2">
        <f t="shared" si="36"/>
        <v>0</v>
      </c>
      <c r="L44" s="26">
        <v>41</v>
      </c>
      <c r="M44" s="26">
        <v>12</v>
      </c>
      <c r="N44" s="26">
        <v>2.1</v>
      </c>
      <c r="O44" s="26">
        <v>6.3</v>
      </c>
      <c r="P44" s="26">
        <v>3.6</v>
      </c>
      <c r="R44" s="28">
        <f t="shared" ref="R44:T44" si="44">D44-N44</f>
        <v>0</v>
      </c>
      <c r="S44" s="28">
        <f t="shared" si="44"/>
        <v>0</v>
      </c>
      <c r="T44" s="28">
        <f t="shared" si="44"/>
        <v>0</v>
      </c>
    </row>
    <row r="45" spans="1:20">
      <c r="A45" s="15">
        <v>42</v>
      </c>
      <c r="B45" s="21" t="s">
        <v>505</v>
      </c>
      <c r="C45" s="22">
        <v>42</v>
      </c>
      <c r="D45" s="22">
        <f>5.7-(4-0.5)</f>
        <v>2.2</v>
      </c>
      <c r="E45" s="22">
        <f>11-5.7+(4-0.5)</f>
        <v>8.8</v>
      </c>
      <c r="F45" s="22">
        <f>15-11</f>
        <v>4</v>
      </c>
      <c r="G45" s="19">
        <f t="shared" ref="G45:G76" si="45">SUM(D45:F45)</f>
        <v>15</v>
      </c>
      <c r="H45" s="23">
        <v>15</v>
      </c>
      <c r="I45" s="2">
        <f t="shared" si="36"/>
        <v>0</v>
      </c>
      <c r="L45" s="26">
        <v>42</v>
      </c>
      <c r="M45" s="26">
        <v>15</v>
      </c>
      <c r="N45" s="26">
        <v>2.2</v>
      </c>
      <c r="O45" s="26">
        <v>8.8</v>
      </c>
      <c r="P45" s="26">
        <v>4</v>
      </c>
      <c r="R45" s="28">
        <f t="shared" ref="R45:T45" si="46">D45-N45</f>
        <v>0</v>
      </c>
      <c r="S45" s="28">
        <f t="shared" si="46"/>
        <v>0</v>
      </c>
      <c r="T45" s="28">
        <f t="shared" si="46"/>
        <v>0</v>
      </c>
    </row>
    <row r="46" spans="1:20">
      <c r="A46" s="15">
        <v>43</v>
      </c>
      <c r="B46" s="21" t="s">
        <v>505</v>
      </c>
      <c r="C46" s="22">
        <v>43</v>
      </c>
      <c r="D46" s="22">
        <v>0.3</v>
      </c>
      <c r="E46" s="22">
        <f>9-0.3</f>
        <v>8.7</v>
      </c>
      <c r="F46" s="22">
        <f>12-9</f>
        <v>3</v>
      </c>
      <c r="G46" s="19">
        <f t="shared" si="45"/>
        <v>12</v>
      </c>
      <c r="H46" s="23">
        <v>12</v>
      </c>
      <c r="I46" s="2">
        <f t="shared" si="36"/>
        <v>0</v>
      </c>
      <c r="L46" s="26">
        <v>43</v>
      </c>
      <c r="M46" s="26">
        <v>12</v>
      </c>
      <c r="N46" s="26">
        <v>0.3</v>
      </c>
      <c r="O46" s="26">
        <v>8.7</v>
      </c>
      <c r="P46" s="26">
        <v>3</v>
      </c>
      <c r="R46" s="28">
        <f t="shared" ref="R46:T46" si="47">D46-N46</f>
        <v>0</v>
      </c>
      <c r="S46" s="28">
        <f t="shared" si="47"/>
        <v>0</v>
      </c>
      <c r="T46" s="28">
        <f t="shared" si="47"/>
        <v>0</v>
      </c>
    </row>
    <row r="47" spans="1:20">
      <c r="A47" s="15">
        <v>44</v>
      </c>
      <c r="B47" s="21" t="s">
        <v>505</v>
      </c>
      <c r="C47" s="22">
        <v>44</v>
      </c>
      <c r="D47" s="22">
        <v>0.5</v>
      </c>
      <c r="E47" s="22">
        <f>11-0.5</f>
        <v>10.5</v>
      </c>
      <c r="F47" s="22">
        <f>15-11</f>
        <v>4</v>
      </c>
      <c r="G47" s="19">
        <f t="shared" si="45"/>
        <v>15</v>
      </c>
      <c r="H47" s="23">
        <v>15</v>
      </c>
      <c r="I47" s="2">
        <f t="shared" si="36"/>
        <v>0</v>
      </c>
      <c r="L47" s="26">
        <v>44</v>
      </c>
      <c r="M47" s="26">
        <v>15</v>
      </c>
      <c r="N47" s="26">
        <v>0.5</v>
      </c>
      <c r="O47" s="26">
        <v>10.5</v>
      </c>
      <c r="P47" s="26">
        <v>4</v>
      </c>
      <c r="R47" s="28">
        <f t="shared" ref="R47:T47" si="48">D47-N47</f>
        <v>0</v>
      </c>
      <c r="S47" s="28">
        <f t="shared" si="48"/>
        <v>0</v>
      </c>
      <c r="T47" s="28">
        <f t="shared" si="48"/>
        <v>0</v>
      </c>
    </row>
    <row r="48" spans="1:20">
      <c r="A48" s="15">
        <v>45</v>
      </c>
      <c r="B48" s="21" t="s">
        <v>506</v>
      </c>
      <c r="C48" s="22">
        <v>45</v>
      </c>
      <c r="D48" s="22">
        <f>4.5-(3.6-0.6)</f>
        <v>1.5</v>
      </c>
      <c r="E48" s="22">
        <f>10-4.5+(3.6-0.6)</f>
        <v>8.5</v>
      </c>
      <c r="F48" s="22">
        <v>0</v>
      </c>
      <c r="G48" s="19">
        <f t="shared" si="45"/>
        <v>10</v>
      </c>
      <c r="H48" s="23">
        <v>10</v>
      </c>
      <c r="I48" s="2">
        <f t="shared" si="36"/>
        <v>0</v>
      </c>
      <c r="L48" s="26">
        <v>45</v>
      </c>
      <c r="M48" s="26">
        <v>10</v>
      </c>
      <c r="N48" s="26">
        <v>1.5</v>
      </c>
      <c r="O48" s="26">
        <v>8.5</v>
      </c>
      <c r="P48" s="26">
        <v>0</v>
      </c>
      <c r="R48" s="28">
        <f t="shared" ref="R48:T48" si="49">D48-N48</f>
        <v>0</v>
      </c>
      <c r="S48" s="28">
        <f t="shared" si="49"/>
        <v>0</v>
      </c>
      <c r="T48" s="28">
        <f t="shared" si="49"/>
        <v>0</v>
      </c>
    </row>
    <row r="49" spans="1:20">
      <c r="A49" s="15">
        <v>46</v>
      </c>
      <c r="B49" s="21" t="s">
        <v>506</v>
      </c>
      <c r="C49" s="22">
        <v>46</v>
      </c>
      <c r="D49" s="22">
        <f>4.5-(3.4-0.5)</f>
        <v>1.6</v>
      </c>
      <c r="E49" s="22">
        <f>10-4.5+(3.4-0.5)</f>
        <v>8.4</v>
      </c>
      <c r="F49" s="22">
        <v>0</v>
      </c>
      <c r="G49" s="19">
        <f t="shared" si="45"/>
        <v>10</v>
      </c>
      <c r="H49" s="23">
        <v>10</v>
      </c>
      <c r="I49" s="2">
        <f t="shared" si="36"/>
        <v>0</v>
      </c>
      <c r="L49" s="26">
        <v>46</v>
      </c>
      <c r="M49" s="26">
        <v>10</v>
      </c>
      <c r="N49" s="26">
        <v>1.6</v>
      </c>
      <c r="O49" s="26">
        <v>8.4</v>
      </c>
      <c r="P49" s="26">
        <v>0</v>
      </c>
      <c r="R49" s="28">
        <f t="shared" ref="R49:T49" si="50">D49-N49</f>
        <v>0</v>
      </c>
      <c r="S49" s="28">
        <f t="shared" si="50"/>
        <v>0</v>
      </c>
      <c r="T49" s="28">
        <f t="shared" si="50"/>
        <v>0</v>
      </c>
    </row>
    <row r="50" spans="1:20">
      <c r="A50" s="15">
        <v>47</v>
      </c>
      <c r="B50" s="21" t="s">
        <v>506</v>
      </c>
      <c r="C50" s="22">
        <v>47</v>
      </c>
      <c r="D50" s="22">
        <f>4.4-(3.4-1.3)</f>
        <v>2.3</v>
      </c>
      <c r="E50" s="22">
        <f>10-4.4+(3.4-1.3)</f>
        <v>7.7</v>
      </c>
      <c r="F50" s="22">
        <v>0</v>
      </c>
      <c r="G50" s="19">
        <f t="shared" si="45"/>
        <v>10</v>
      </c>
      <c r="H50" s="23">
        <v>10</v>
      </c>
      <c r="I50" s="2">
        <f t="shared" si="36"/>
        <v>0</v>
      </c>
      <c r="L50" s="26">
        <v>47</v>
      </c>
      <c r="M50" s="26">
        <v>10</v>
      </c>
      <c r="N50" s="26">
        <v>2.3</v>
      </c>
      <c r="O50" s="26">
        <v>7.7</v>
      </c>
      <c r="P50" s="26">
        <v>0</v>
      </c>
      <c r="R50" s="28">
        <f t="shared" ref="R50:T50" si="51">D50-N50</f>
        <v>0</v>
      </c>
      <c r="S50" s="28">
        <f t="shared" si="51"/>
        <v>0</v>
      </c>
      <c r="T50" s="28">
        <f t="shared" si="51"/>
        <v>0</v>
      </c>
    </row>
    <row r="51" spans="1:20">
      <c r="A51" s="15">
        <v>48</v>
      </c>
      <c r="B51" s="21" t="s">
        <v>506</v>
      </c>
      <c r="C51" s="22">
        <v>48</v>
      </c>
      <c r="D51" s="22">
        <f>5.3-(3.1-0.9)</f>
        <v>3.1</v>
      </c>
      <c r="E51" s="22">
        <f>10-5.3+(3.1-0.9)</f>
        <v>6.9</v>
      </c>
      <c r="F51" s="22">
        <v>0</v>
      </c>
      <c r="G51" s="19">
        <f t="shared" si="45"/>
        <v>10</v>
      </c>
      <c r="H51" s="23">
        <v>10</v>
      </c>
      <c r="I51" s="2">
        <f t="shared" si="36"/>
        <v>0</v>
      </c>
      <c r="L51" s="26">
        <v>48</v>
      </c>
      <c r="M51" s="26">
        <v>10</v>
      </c>
      <c r="N51" s="26">
        <v>3.1</v>
      </c>
      <c r="O51" s="26">
        <v>6.9</v>
      </c>
      <c r="P51" s="26">
        <v>0</v>
      </c>
      <c r="R51" s="28">
        <f t="shared" ref="R51:T51" si="52">D51-N51</f>
        <v>0</v>
      </c>
      <c r="S51" s="28">
        <f t="shared" si="52"/>
        <v>0</v>
      </c>
      <c r="T51" s="28">
        <f t="shared" si="52"/>
        <v>0</v>
      </c>
    </row>
    <row r="52" spans="1:20">
      <c r="A52" s="15">
        <v>49</v>
      </c>
      <c r="B52" s="21" t="s">
        <v>506</v>
      </c>
      <c r="C52" s="22">
        <v>49</v>
      </c>
      <c r="D52" s="24">
        <f>5.8-(2.8-1.6)</f>
        <v>4.6</v>
      </c>
      <c r="E52" s="22">
        <f>10-5.8+(2.8-1.6)</f>
        <v>5.4</v>
      </c>
      <c r="F52" s="22">
        <v>0</v>
      </c>
      <c r="G52" s="19">
        <f t="shared" si="45"/>
        <v>10</v>
      </c>
      <c r="H52" s="23">
        <v>10</v>
      </c>
      <c r="I52" s="2">
        <f t="shared" si="36"/>
        <v>0</v>
      </c>
      <c r="L52" s="26">
        <v>49</v>
      </c>
      <c r="M52" s="26">
        <v>10</v>
      </c>
      <c r="N52" s="26">
        <v>4.6</v>
      </c>
      <c r="O52" s="26">
        <v>5.4</v>
      </c>
      <c r="P52" s="26">
        <v>0</v>
      </c>
      <c r="R52" s="28">
        <f t="shared" ref="R52:T52" si="53">D52-N52</f>
        <v>0</v>
      </c>
      <c r="S52" s="28">
        <f t="shared" si="53"/>
        <v>0</v>
      </c>
      <c r="T52" s="28">
        <f t="shared" si="53"/>
        <v>0</v>
      </c>
    </row>
    <row r="53" spans="1:20">
      <c r="A53" s="15">
        <v>50</v>
      </c>
      <c r="B53" s="21" t="s">
        <v>506</v>
      </c>
      <c r="C53" s="22">
        <v>50</v>
      </c>
      <c r="D53" s="22">
        <f>5.8-(3.2-1.1)</f>
        <v>3.7</v>
      </c>
      <c r="E53" s="22">
        <f>10-5.8+(3.2-1.1)</f>
        <v>6.3</v>
      </c>
      <c r="F53" s="22">
        <v>0</v>
      </c>
      <c r="G53" s="19">
        <f t="shared" si="45"/>
        <v>10</v>
      </c>
      <c r="H53" s="23">
        <v>10</v>
      </c>
      <c r="I53" s="2">
        <f t="shared" si="36"/>
        <v>0</v>
      </c>
      <c r="L53" s="26">
        <v>50</v>
      </c>
      <c r="M53" s="26">
        <v>10</v>
      </c>
      <c r="N53" s="26">
        <v>3.7</v>
      </c>
      <c r="O53" s="26">
        <v>6.3</v>
      </c>
      <c r="P53" s="26">
        <v>0</v>
      </c>
      <c r="R53" s="28">
        <f t="shared" ref="R53:T53" si="54">D53-N53</f>
        <v>0</v>
      </c>
      <c r="S53" s="28">
        <f t="shared" si="54"/>
        <v>0</v>
      </c>
      <c r="T53" s="28">
        <f t="shared" si="54"/>
        <v>0</v>
      </c>
    </row>
    <row r="54" spans="1:20">
      <c r="A54" s="15">
        <v>51</v>
      </c>
      <c r="B54" s="21" t="s">
        <v>506</v>
      </c>
      <c r="C54" s="22">
        <v>51</v>
      </c>
      <c r="D54" s="22">
        <f>6-(4.3-0.4)</f>
        <v>2.1</v>
      </c>
      <c r="E54" s="22">
        <f>10-6+(4.3-0.4)</f>
        <v>7.9</v>
      </c>
      <c r="F54" s="22">
        <v>0</v>
      </c>
      <c r="G54" s="19">
        <f t="shared" si="45"/>
        <v>10</v>
      </c>
      <c r="H54" s="23">
        <v>10</v>
      </c>
      <c r="I54" s="2">
        <f t="shared" si="36"/>
        <v>0</v>
      </c>
      <c r="L54" s="26">
        <v>51</v>
      </c>
      <c r="M54" s="26">
        <v>10</v>
      </c>
      <c r="N54" s="26">
        <v>2.1</v>
      </c>
      <c r="O54" s="26">
        <v>7.9</v>
      </c>
      <c r="P54" s="26">
        <v>0</v>
      </c>
      <c r="R54" s="28">
        <f t="shared" ref="R54:T54" si="55">D54-N54</f>
        <v>0</v>
      </c>
      <c r="S54" s="28">
        <f t="shared" si="55"/>
        <v>0</v>
      </c>
      <c r="T54" s="28">
        <f t="shared" si="55"/>
        <v>0</v>
      </c>
    </row>
    <row r="55" spans="1:20">
      <c r="A55" s="15">
        <v>52</v>
      </c>
      <c r="B55" s="21" t="s">
        <v>506</v>
      </c>
      <c r="C55" s="22">
        <v>52</v>
      </c>
      <c r="D55" s="22">
        <f>6.2-(4.5-0.5)</f>
        <v>2.2</v>
      </c>
      <c r="E55" s="22">
        <f>10-6.2+(4.5-0.5)</f>
        <v>7.8</v>
      </c>
      <c r="F55" s="22">
        <v>0</v>
      </c>
      <c r="G55" s="19">
        <f t="shared" si="45"/>
        <v>10</v>
      </c>
      <c r="H55" s="23">
        <v>10</v>
      </c>
      <c r="I55" s="2">
        <f t="shared" si="36"/>
        <v>0</v>
      </c>
      <c r="L55" s="26">
        <v>52</v>
      </c>
      <c r="M55" s="26">
        <v>10</v>
      </c>
      <c r="N55" s="26">
        <v>2.2</v>
      </c>
      <c r="O55" s="26">
        <v>7.8</v>
      </c>
      <c r="P55" s="26">
        <v>0</v>
      </c>
      <c r="R55" s="28">
        <f t="shared" ref="R55:T55" si="56">D55-N55</f>
        <v>0</v>
      </c>
      <c r="S55" s="28">
        <f t="shared" si="56"/>
        <v>0</v>
      </c>
      <c r="T55" s="28">
        <f t="shared" si="56"/>
        <v>0</v>
      </c>
    </row>
    <row r="56" spans="1:20">
      <c r="A56" s="15">
        <v>53</v>
      </c>
      <c r="B56" s="21" t="s">
        <v>506</v>
      </c>
      <c r="C56" s="22">
        <v>53</v>
      </c>
      <c r="D56" s="22">
        <f>4.6-(2.8-1)</f>
        <v>2.8</v>
      </c>
      <c r="E56" s="22">
        <f>9.5-4.6+(2.8-1)</f>
        <v>6.7</v>
      </c>
      <c r="F56" s="22">
        <f>10-9.5</f>
        <v>0.5</v>
      </c>
      <c r="G56" s="19">
        <f t="shared" si="45"/>
        <v>10</v>
      </c>
      <c r="H56" s="23">
        <v>10</v>
      </c>
      <c r="I56" s="2">
        <f t="shared" si="36"/>
        <v>0</v>
      </c>
      <c r="L56" s="26">
        <v>53</v>
      </c>
      <c r="M56" s="26">
        <v>10</v>
      </c>
      <c r="N56" s="26">
        <v>2.8</v>
      </c>
      <c r="O56" s="26">
        <v>6.7</v>
      </c>
      <c r="P56" s="26">
        <v>0.5</v>
      </c>
      <c r="R56" s="28">
        <f t="shared" ref="R56:T56" si="57">D56-N56</f>
        <v>0</v>
      </c>
      <c r="S56" s="28">
        <f t="shared" si="57"/>
        <v>0</v>
      </c>
      <c r="T56" s="28">
        <f t="shared" si="57"/>
        <v>0</v>
      </c>
    </row>
    <row r="57" spans="1:20">
      <c r="A57" s="15">
        <v>54</v>
      </c>
      <c r="B57" s="21" t="s">
        <v>506</v>
      </c>
      <c r="C57" s="22">
        <v>54</v>
      </c>
      <c r="D57" s="22">
        <v>0.6</v>
      </c>
      <c r="E57" s="22">
        <f>10-0.6</f>
        <v>9.4</v>
      </c>
      <c r="F57" s="22">
        <v>0</v>
      </c>
      <c r="G57" s="19">
        <f t="shared" si="45"/>
        <v>10</v>
      </c>
      <c r="H57" s="23">
        <v>10</v>
      </c>
      <c r="I57" s="2">
        <f t="shared" si="36"/>
        <v>0</v>
      </c>
      <c r="L57" s="26">
        <v>54</v>
      </c>
      <c r="M57" s="26">
        <v>10</v>
      </c>
      <c r="N57" s="26">
        <v>0.6</v>
      </c>
      <c r="O57" s="26">
        <v>9.4</v>
      </c>
      <c r="P57" s="26">
        <v>0</v>
      </c>
      <c r="R57" s="28">
        <f t="shared" ref="R57:T57" si="58">D57-N57</f>
        <v>0</v>
      </c>
      <c r="S57" s="28">
        <f t="shared" si="58"/>
        <v>0</v>
      </c>
      <c r="T57" s="28">
        <f t="shared" si="58"/>
        <v>0</v>
      </c>
    </row>
    <row r="58" spans="1:20">
      <c r="A58" s="15">
        <v>55</v>
      </c>
      <c r="B58" s="21" t="s">
        <v>506</v>
      </c>
      <c r="C58" s="22">
        <v>55</v>
      </c>
      <c r="D58" s="22">
        <v>0.3</v>
      </c>
      <c r="E58" s="22">
        <f>10-0.3</f>
        <v>9.7</v>
      </c>
      <c r="F58" s="22">
        <v>0</v>
      </c>
      <c r="G58" s="19">
        <f t="shared" si="45"/>
        <v>10</v>
      </c>
      <c r="H58" s="23">
        <v>10</v>
      </c>
      <c r="I58" s="2">
        <f t="shared" si="36"/>
        <v>0</v>
      </c>
      <c r="L58" s="26">
        <v>55</v>
      </c>
      <c r="M58" s="26">
        <v>10</v>
      </c>
      <c r="N58" s="26">
        <v>0.3</v>
      </c>
      <c r="O58" s="26">
        <v>9.7</v>
      </c>
      <c r="P58" s="26">
        <v>0</v>
      </c>
      <c r="R58" s="28">
        <f t="shared" ref="R58:T58" si="59">D58-N58</f>
        <v>0</v>
      </c>
      <c r="S58" s="28">
        <f t="shared" si="59"/>
        <v>0</v>
      </c>
      <c r="T58" s="28">
        <f t="shared" si="59"/>
        <v>0</v>
      </c>
    </row>
    <row r="59" spans="1:20">
      <c r="A59" s="15">
        <v>56</v>
      </c>
      <c r="B59" s="21" t="s">
        <v>507</v>
      </c>
      <c r="C59" s="22">
        <v>56</v>
      </c>
      <c r="D59" s="22">
        <f>4.7-(3.9-0.9)</f>
        <v>1.7</v>
      </c>
      <c r="E59" s="22">
        <f>12-4.7+(3.9-0.9)</f>
        <v>10.3</v>
      </c>
      <c r="F59" s="22">
        <f>15-12</f>
        <v>3</v>
      </c>
      <c r="G59" s="19">
        <f t="shared" si="45"/>
        <v>15</v>
      </c>
      <c r="H59" s="23">
        <v>15</v>
      </c>
      <c r="I59" s="2">
        <f t="shared" si="36"/>
        <v>0</v>
      </c>
      <c r="L59" s="26">
        <v>56</v>
      </c>
      <c r="M59" s="26">
        <v>15</v>
      </c>
      <c r="N59" s="26">
        <v>1.7</v>
      </c>
      <c r="O59" s="26">
        <v>10.3</v>
      </c>
      <c r="P59" s="26">
        <v>3</v>
      </c>
      <c r="R59" s="28">
        <f t="shared" ref="R59:T59" si="60">D59-N59</f>
        <v>0</v>
      </c>
      <c r="S59" s="28">
        <f t="shared" si="60"/>
        <v>0</v>
      </c>
      <c r="T59" s="28">
        <f t="shared" si="60"/>
        <v>0</v>
      </c>
    </row>
    <row r="60" spans="1:20">
      <c r="A60" s="15">
        <v>57</v>
      </c>
      <c r="B60" s="21" t="s">
        <v>507</v>
      </c>
      <c r="C60" s="22">
        <v>57</v>
      </c>
      <c r="D60" s="22">
        <f>4.6-(3.5-1.1)</f>
        <v>2.2</v>
      </c>
      <c r="E60" s="22">
        <f>11.7-4.6+(3.5-1.1)</f>
        <v>9.5</v>
      </c>
      <c r="F60" s="22">
        <f>12-11.7</f>
        <v>0.300000000000001</v>
      </c>
      <c r="G60" s="19">
        <f t="shared" si="45"/>
        <v>12</v>
      </c>
      <c r="H60" s="23">
        <v>12</v>
      </c>
      <c r="I60" s="2">
        <f t="shared" si="36"/>
        <v>0</v>
      </c>
      <c r="L60" s="26">
        <v>57</v>
      </c>
      <c r="M60" s="26">
        <v>12</v>
      </c>
      <c r="N60" s="26">
        <v>2.2</v>
      </c>
      <c r="O60" s="26">
        <v>9.5</v>
      </c>
      <c r="P60" s="26">
        <v>0.3</v>
      </c>
      <c r="R60" s="28">
        <f t="shared" ref="R60:T60" si="61">D60-N60</f>
        <v>0</v>
      </c>
      <c r="S60" s="28">
        <f t="shared" si="61"/>
        <v>0</v>
      </c>
      <c r="T60" s="29">
        <f t="shared" si="61"/>
        <v>0</v>
      </c>
    </row>
    <row r="61" spans="1:20">
      <c r="A61" s="15">
        <v>58</v>
      </c>
      <c r="B61" s="21" t="s">
        <v>507</v>
      </c>
      <c r="C61" s="22">
        <v>58</v>
      </c>
      <c r="D61" s="22">
        <f>4.8-(3.2-1.6)</f>
        <v>3.2</v>
      </c>
      <c r="E61" s="22">
        <f>11.8-4.8+(3.2-1.6)</f>
        <v>8.6</v>
      </c>
      <c r="F61" s="22">
        <f>15-11.8</f>
        <v>3.2</v>
      </c>
      <c r="G61" s="19">
        <f t="shared" si="45"/>
        <v>15</v>
      </c>
      <c r="H61" s="23">
        <v>15</v>
      </c>
      <c r="I61" s="2">
        <f t="shared" si="36"/>
        <v>0</v>
      </c>
      <c r="L61" s="26">
        <v>58</v>
      </c>
      <c r="M61" s="26">
        <v>15</v>
      </c>
      <c r="N61" s="26">
        <v>3.2</v>
      </c>
      <c r="O61" s="26">
        <v>8.6</v>
      </c>
      <c r="P61" s="26">
        <v>3.2</v>
      </c>
      <c r="R61" s="28">
        <f t="shared" ref="R61:T61" si="62">D61-N61</f>
        <v>0</v>
      </c>
      <c r="S61" s="28">
        <f t="shared" si="62"/>
        <v>0</v>
      </c>
      <c r="T61" s="28">
        <f t="shared" si="62"/>
        <v>0</v>
      </c>
    </row>
    <row r="62" spans="1:20">
      <c r="A62" s="15">
        <v>59</v>
      </c>
      <c r="B62" s="21" t="s">
        <v>507</v>
      </c>
      <c r="C62" s="22">
        <v>59</v>
      </c>
      <c r="D62" s="22">
        <f>4.8-(2.8-1.3)</f>
        <v>3.3</v>
      </c>
      <c r="E62" s="22">
        <f>11.5-4.8+(2.8-1.3)</f>
        <v>8.2</v>
      </c>
      <c r="F62" s="22">
        <f>12-11.5</f>
        <v>0.5</v>
      </c>
      <c r="G62" s="19">
        <f t="shared" si="45"/>
        <v>12</v>
      </c>
      <c r="H62" s="23">
        <v>12</v>
      </c>
      <c r="I62" s="2">
        <f t="shared" si="36"/>
        <v>0</v>
      </c>
      <c r="L62" s="26">
        <v>59</v>
      </c>
      <c r="M62" s="26">
        <v>12</v>
      </c>
      <c r="N62" s="26">
        <v>3.3</v>
      </c>
      <c r="O62" s="26">
        <v>8.2</v>
      </c>
      <c r="P62" s="26">
        <v>0.5</v>
      </c>
      <c r="R62" s="28">
        <f t="shared" ref="R62:T62" si="63">D62-N62</f>
        <v>0</v>
      </c>
      <c r="S62" s="28">
        <f t="shared" si="63"/>
        <v>0</v>
      </c>
      <c r="T62" s="28">
        <f t="shared" si="63"/>
        <v>0</v>
      </c>
    </row>
    <row r="63" spans="1:20">
      <c r="A63" s="15">
        <v>60</v>
      </c>
      <c r="B63" s="21" t="s">
        <v>507</v>
      </c>
      <c r="C63" s="22">
        <v>60</v>
      </c>
      <c r="D63" s="22">
        <f>4.5-(2.7-0.9)</f>
        <v>2.7</v>
      </c>
      <c r="E63" s="22">
        <f>11.3-4.5+(2.7-0.9)</f>
        <v>8.6</v>
      </c>
      <c r="F63" s="22">
        <f>15-11.3</f>
        <v>3.7</v>
      </c>
      <c r="G63" s="19">
        <f t="shared" si="45"/>
        <v>15</v>
      </c>
      <c r="H63" s="23">
        <v>15</v>
      </c>
      <c r="I63" s="2">
        <f t="shared" si="36"/>
        <v>0</v>
      </c>
      <c r="L63" s="26">
        <v>60</v>
      </c>
      <c r="M63" s="26">
        <v>15</v>
      </c>
      <c r="N63" s="26">
        <v>2.7</v>
      </c>
      <c r="O63" s="26">
        <v>8.6</v>
      </c>
      <c r="P63" s="26">
        <v>3.7</v>
      </c>
      <c r="R63" s="28">
        <f t="shared" ref="R63:T63" si="64">D63-N63</f>
        <v>0</v>
      </c>
      <c r="S63" s="28">
        <f t="shared" si="64"/>
        <v>0</v>
      </c>
      <c r="T63" s="28">
        <f t="shared" si="64"/>
        <v>0</v>
      </c>
    </row>
    <row r="64" spans="1:20">
      <c r="A64" s="15">
        <v>61</v>
      </c>
      <c r="B64" s="21" t="s">
        <v>507</v>
      </c>
      <c r="C64" s="22">
        <v>61</v>
      </c>
      <c r="D64" s="22">
        <f>6.1-(3.3-1.1)</f>
        <v>3.9</v>
      </c>
      <c r="E64" s="22">
        <f>11.6-6.1+(3.3-1.1)</f>
        <v>7.7</v>
      </c>
      <c r="F64" s="22">
        <f>12-11.6</f>
        <v>0.4</v>
      </c>
      <c r="G64" s="19">
        <f t="shared" si="45"/>
        <v>12</v>
      </c>
      <c r="H64" s="23">
        <v>12</v>
      </c>
      <c r="I64" s="2">
        <f t="shared" si="36"/>
        <v>0</v>
      </c>
      <c r="L64" s="26">
        <v>61</v>
      </c>
      <c r="M64" s="26">
        <v>12</v>
      </c>
      <c r="N64" s="26">
        <v>3.9</v>
      </c>
      <c r="O64" s="26">
        <v>7.7</v>
      </c>
      <c r="P64" s="26">
        <v>0.4</v>
      </c>
      <c r="R64" s="28">
        <f t="shared" ref="R64:T64" si="65">D64-N64</f>
        <v>0</v>
      </c>
      <c r="S64" s="28">
        <f t="shared" si="65"/>
        <v>0</v>
      </c>
      <c r="T64" s="28">
        <f t="shared" si="65"/>
        <v>0</v>
      </c>
    </row>
    <row r="65" spans="1:20">
      <c r="A65" s="15">
        <v>62</v>
      </c>
      <c r="B65" s="21" t="s">
        <v>507</v>
      </c>
      <c r="C65" s="22">
        <v>62</v>
      </c>
      <c r="D65" s="22">
        <f>5.8-(2.8-0.7)</f>
        <v>3.7</v>
      </c>
      <c r="E65" s="22">
        <f>11.1-5.8+(2.8-0.7)</f>
        <v>7.4</v>
      </c>
      <c r="F65" s="22">
        <f>15-11.1</f>
        <v>3.9</v>
      </c>
      <c r="G65" s="19">
        <f t="shared" si="45"/>
        <v>15</v>
      </c>
      <c r="H65" s="23">
        <v>15</v>
      </c>
      <c r="I65" s="2">
        <f t="shared" si="36"/>
        <v>0</v>
      </c>
      <c r="L65" s="26">
        <v>62</v>
      </c>
      <c r="M65" s="26">
        <v>15</v>
      </c>
      <c r="N65" s="26">
        <v>3.7</v>
      </c>
      <c r="O65" s="26">
        <v>7.4</v>
      </c>
      <c r="P65" s="26">
        <v>3.9</v>
      </c>
      <c r="R65" s="28">
        <f t="shared" ref="R65:T65" si="66">D65-N65</f>
        <v>0</v>
      </c>
      <c r="S65" s="28">
        <f t="shared" si="66"/>
        <v>0</v>
      </c>
      <c r="T65" s="28">
        <f t="shared" si="66"/>
        <v>0</v>
      </c>
    </row>
    <row r="66" spans="1:20">
      <c r="A66" s="15">
        <v>63</v>
      </c>
      <c r="B66" s="21" t="s">
        <v>507</v>
      </c>
      <c r="C66" s="22">
        <v>63</v>
      </c>
      <c r="D66" s="22">
        <f>6-(2.9-0.9)</f>
        <v>4</v>
      </c>
      <c r="E66" s="22">
        <f>11.4-6+(2.9-0.9)</f>
        <v>7.4</v>
      </c>
      <c r="F66" s="22">
        <f>12-11.4</f>
        <v>0.6</v>
      </c>
      <c r="G66" s="19">
        <f t="shared" si="45"/>
        <v>12</v>
      </c>
      <c r="H66" s="23">
        <v>12</v>
      </c>
      <c r="I66" s="2">
        <f t="shared" si="36"/>
        <v>0</v>
      </c>
      <c r="L66" s="26">
        <v>63</v>
      </c>
      <c r="M66" s="26">
        <v>12</v>
      </c>
      <c r="N66" s="26">
        <v>4</v>
      </c>
      <c r="O66" s="26">
        <v>7.4</v>
      </c>
      <c r="P66" s="26">
        <v>0.6</v>
      </c>
      <c r="R66" s="28">
        <f t="shared" ref="R66:T66" si="67">D66-N66</f>
        <v>0</v>
      </c>
      <c r="S66" s="28">
        <f t="shared" si="67"/>
        <v>0</v>
      </c>
      <c r="T66" s="28">
        <f t="shared" si="67"/>
        <v>0</v>
      </c>
    </row>
    <row r="67" spans="1:20">
      <c r="A67" s="15">
        <v>64</v>
      </c>
      <c r="B67" s="21" t="s">
        <v>507</v>
      </c>
      <c r="C67" s="22">
        <v>64</v>
      </c>
      <c r="D67" s="22">
        <f>5.7-(3.3-1.2)</f>
        <v>3.6</v>
      </c>
      <c r="E67" s="22">
        <f>12-5.7+(3.3-1.2)</f>
        <v>8.4</v>
      </c>
      <c r="F67" s="22">
        <f>15-12</f>
        <v>3</v>
      </c>
      <c r="G67" s="19">
        <f t="shared" si="45"/>
        <v>15</v>
      </c>
      <c r="H67" s="23">
        <v>15</v>
      </c>
      <c r="I67" s="2">
        <f t="shared" si="36"/>
        <v>0</v>
      </c>
      <c r="L67" s="26">
        <v>64</v>
      </c>
      <c r="M67" s="26">
        <v>15</v>
      </c>
      <c r="N67" s="26">
        <v>3.6</v>
      </c>
      <c r="O67" s="26">
        <v>8.4</v>
      </c>
      <c r="P67" s="26">
        <v>3</v>
      </c>
      <c r="R67" s="28">
        <f t="shared" ref="R67:T67" si="68">D67-N67</f>
        <v>0</v>
      </c>
      <c r="S67" s="28">
        <f t="shared" si="68"/>
        <v>0</v>
      </c>
      <c r="T67" s="28">
        <f t="shared" si="68"/>
        <v>0</v>
      </c>
    </row>
    <row r="68" spans="1:20">
      <c r="A68" s="15">
        <v>65</v>
      </c>
      <c r="B68" s="21" t="s">
        <v>507</v>
      </c>
      <c r="C68" s="22">
        <v>65</v>
      </c>
      <c r="D68" s="22">
        <v>2.8</v>
      </c>
      <c r="E68" s="22">
        <f>9-2.8</f>
        <v>6.2</v>
      </c>
      <c r="F68" s="22">
        <f>12-9</f>
        <v>3</v>
      </c>
      <c r="G68" s="19">
        <f t="shared" si="45"/>
        <v>12</v>
      </c>
      <c r="H68" s="23">
        <v>12</v>
      </c>
      <c r="I68" s="2">
        <f t="shared" si="36"/>
        <v>0</v>
      </c>
      <c r="L68" s="26">
        <v>65</v>
      </c>
      <c r="M68" s="26">
        <v>12</v>
      </c>
      <c r="N68" s="26">
        <v>2.3</v>
      </c>
      <c r="O68" s="26">
        <v>6.7</v>
      </c>
      <c r="P68" s="26">
        <v>3</v>
      </c>
      <c r="R68" s="28">
        <f t="shared" ref="R68:T68" si="69">D68-N68</f>
        <v>0.5</v>
      </c>
      <c r="S68" s="28">
        <f t="shared" si="69"/>
        <v>-0.5</v>
      </c>
      <c r="T68" s="28">
        <f t="shared" si="69"/>
        <v>0</v>
      </c>
    </row>
    <row r="69" spans="1:20">
      <c r="A69" s="15">
        <v>66</v>
      </c>
      <c r="B69" s="21" t="s">
        <v>507</v>
      </c>
      <c r="C69" s="22">
        <v>66</v>
      </c>
      <c r="D69" s="24">
        <f>5.2-(2.7-1.2)</f>
        <v>3.7</v>
      </c>
      <c r="E69" s="22">
        <f>11-5.2+(2.7-1.2)</f>
        <v>7.3</v>
      </c>
      <c r="F69" s="22">
        <f>15-11</f>
        <v>4</v>
      </c>
      <c r="G69" s="19">
        <f t="shared" si="45"/>
        <v>15</v>
      </c>
      <c r="H69" s="23">
        <v>15</v>
      </c>
      <c r="I69" s="2">
        <f t="shared" ref="I69:I110" si="70">H69-G69</f>
        <v>0</v>
      </c>
      <c r="L69" s="26">
        <v>66</v>
      </c>
      <c r="M69" s="26">
        <v>15</v>
      </c>
      <c r="N69" s="26">
        <v>3.7</v>
      </c>
      <c r="O69" s="26">
        <v>7.3</v>
      </c>
      <c r="P69" s="26">
        <v>4</v>
      </c>
      <c r="R69" s="28">
        <f t="shared" ref="R69:T69" si="71">D69-N69</f>
        <v>0</v>
      </c>
      <c r="S69" s="28">
        <f t="shared" si="71"/>
        <v>0</v>
      </c>
      <c r="T69" s="28">
        <f t="shared" si="71"/>
        <v>0</v>
      </c>
    </row>
    <row r="70" spans="1:20">
      <c r="A70" s="15">
        <v>67</v>
      </c>
      <c r="B70" s="21" t="s">
        <v>507</v>
      </c>
      <c r="C70" s="22">
        <v>67</v>
      </c>
      <c r="D70" s="22">
        <f>4.8-(3-0.5)</f>
        <v>2.3</v>
      </c>
      <c r="E70" s="22">
        <f>10-4.8+(3-0.5)</f>
        <v>7.7</v>
      </c>
      <c r="F70" s="22">
        <f>12-10</f>
        <v>2</v>
      </c>
      <c r="G70" s="19">
        <f t="shared" si="45"/>
        <v>12</v>
      </c>
      <c r="H70" s="23">
        <v>12</v>
      </c>
      <c r="I70" s="2">
        <f t="shared" si="70"/>
        <v>0</v>
      </c>
      <c r="L70" s="26">
        <v>67</v>
      </c>
      <c r="M70" s="26">
        <v>12</v>
      </c>
      <c r="N70" s="26">
        <v>2.3</v>
      </c>
      <c r="O70" s="26">
        <v>7.7</v>
      </c>
      <c r="P70" s="26">
        <v>2</v>
      </c>
      <c r="R70" s="28">
        <f t="shared" ref="R70:T70" si="72">D70-N70</f>
        <v>0</v>
      </c>
      <c r="S70" s="28">
        <f t="shared" si="72"/>
        <v>0</v>
      </c>
      <c r="T70" s="28">
        <f t="shared" si="72"/>
        <v>0</v>
      </c>
    </row>
    <row r="71" spans="1:20">
      <c r="A71" s="15">
        <v>68</v>
      </c>
      <c r="B71" s="21" t="s">
        <v>507</v>
      </c>
      <c r="C71" s="22">
        <v>68</v>
      </c>
      <c r="D71" s="22">
        <v>0.9</v>
      </c>
      <c r="E71" s="22">
        <f>11.4-0.9</f>
        <v>10.5</v>
      </c>
      <c r="F71" s="22">
        <f>15-11.4</f>
        <v>3.6</v>
      </c>
      <c r="G71" s="19">
        <f t="shared" si="45"/>
        <v>15</v>
      </c>
      <c r="H71" s="23">
        <v>15</v>
      </c>
      <c r="I71" s="2">
        <f t="shared" si="70"/>
        <v>0</v>
      </c>
      <c r="L71" s="26">
        <v>68</v>
      </c>
      <c r="M71" s="26">
        <v>15</v>
      </c>
      <c r="N71" s="26">
        <v>0.9</v>
      </c>
      <c r="O71" s="26">
        <v>10.5</v>
      </c>
      <c r="P71" s="26">
        <v>3.6</v>
      </c>
      <c r="R71" s="28">
        <f t="shared" ref="R71:T71" si="73">D71-N71</f>
        <v>0</v>
      </c>
      <c r="S71" s="28">
        <f t="shared" si="73"/>
        <v>0</v>
      </c>
      <c r="T71" s="28">
        <f t="shared" si="73"/>
        <v>0</v>
      </c>
    </row>
    <row r="72" spans="1:20">
      <c r="A72" s="15">
        <v>69</v>
      </c>
      <c r="B72" s="21" t="s">
        <v>507</v>
      </c>
      <c r="C72" s="22">
        <v>69</v>
      </c>
      <c r="D72" s="22">
        <v>0.6</v>
      </c>
      <c r="E72" s="22">
        <f>11-0.6</f>
        <v>10.4</v>
      </c>
      <c r="F72" s="22">
        <f>12-11</f>
        <v>1</v>
      </c>
      <c r="G72" s="19">
        <f t="shared" si="45"/>
        <v>12</v>
      </c>
      <c r="H72" s="23">
        <v>12</v>
      </c>
      <c r="I72" s="2">
        <f t="shared" si="70"/>
        <v>0</v>
      </c>
      <c r="L72" s="26">
        <v>69</v>
      </c>
      <c r="M72" s="26">
        <v>12</v>
      </c>
      <c r="N72" s="26">
        <v>0.6</v>
      </c>
      <c r="O72" s="26">
        <v>10.4</v>
      </c>
      <c r="P72" s="26">
        <v>1</v>
      </c>
      <c r="R72" s="28">
        <f t="shared" ref="R72:T72" si="74">D72-N72</f>
        <v>0</v>
      </c>
      <c r="S72" s="28">
        <f t="shared" si="74"/>
        <v>0</v>
      </c>
      <c r="T72" s="28">
        <f t="shared" si="74"/>
        <v>0</v>
      </c>
    </row>
    <row r="73" spans="1:20">
      <c r="A73" s="15">
        <v>70</v>
      </c>
      <c r="B73" s="21" t="s">
        <v>507</v>
      </c>
      <c r="C73" s="22">
        <v>70</v>
      </c>
      <c r="D73" s="22">
        <v>1</v>
      </c>
      <c r="E73" s="22">
        <f>11-1</f>
        <v>10</v>
      </c>
      <c r="F73" s="22">
        <f>20-11</f>
        <v>9</v>
      </c>
      <c r="G73" s="19">
        <f t="shared" si="45"/>
        <v>20</v>
      </c>
      <c r="H73" s="23">
        <v>20</v>
      </c>
      <c r="I73" s="2">
        <f t="shared" si="70"/>
        <v>0</v>
      </c>
      <c r="L73" s="26">
        <v>70</v>
      </c>
      <c r="M73" s="26">
        <v>20</v>
      </c>
      <c r="N73" s="26">
        <v>1</v>
      </c>
      <c r="O73" s="26">
        <v>10</v>
      </c>
      <c r="P73" s="26">
        <v>9</v>
      </c>
      <c r="R73" s="28">
        <f t="shared" ref="R73:T73" si="75">D73-N73</f>
        <v>0</v>
      </c>
      <c r="S73" s="28">
        <f t="shared" si="75"/>
        <v>0</v>
      </c>
      <c r="T73" s="28">
        <f t="shared" si="75"/>
        <v>0</v>
      </c>
    </row>
    <row r="74" spans="1:20">
      <c r="A74" s="15">
        <v>71</v>
      </c>
      <c r="B74" s="21" t="s">
        <v>508</v>
      </c>
      <c r="C74" s="22">
        <v>71</v>
      </c>
      <c r="D74" s="22">
        <f>5.3-(3.9-1)</f>
        <v>2.4</v>
      </c>
      <c r="E74" s="22">
        <f>11.3-5.3+(3.9-1)</f>
        <v>8.9</v>
      </c>
      <c r="F74" s="22">
        <f>12-11.3</f>
        <v>0.699999999999999</v>
      </c>
      <c r="G74" s="19">
        <f t="shared" si="45"/>
        <v>12</v>
      </c>
      <c r="H74" s="23">
        <v>12</v>
      </c>
      <c r="I74" s="2">
        <f t="shared" si="70"/>
        <v>0</v>
      </c>
      <c r="L74" s="26">
        <v>71</v>
      </c>
      <c r="M74" s="26">
        <v>12</v>
      </c>
      <c r="N74" s="26">
        <v>2.4</v>
      </c>
      <c r="O74" s="26">
        <v>8.9</v>
      </c>
      <c r="P74" s="26">
        <v>0.7</v>
      </c>
      <c r="R74" s="28">
        <f t="shared" ref="R74:T74" si="76">D74-N74</f>
        <v>0</v>
      </c>
      <c r="S74" s="28">
        <f t="shared" si="76"/>
        <v>0</v>
      </c>
      <c r="T74" s="29">
        <f t="shared" si="76"/>
        <v>0</v>
      </c>
    </row>
    <row r="75" spans="1:20">
      <c r="A75" s="15">
        <v>72</v>
      </c>
      <c r="B75" s="21" t="s">
        <v>508</v>
      </c>
      <c r="C75" s="22">
        <v>72</v>
      </c>
      <c r="D75" s="22">
        <f>4.7-(3.5-1.1)</f>
        <v>2.3</v>
      </c>
      <c r="E75" s="22">
        <f>11.3-4.7+(3.5-1.1)</f>
        <v>9</v>
      </c>
      <c r="F75" s="22">
        <f>20-11.3</f>
        <v>8.7</v>
      </c>
      <c r="G75" s="19">
        <f t="shared" si="45"/>
        <v>20</v>
      </c>
      <c r="H75" s="23">
        <v>20</v>
      </c>
      <c r="I75" s="2">
        <f t="shared" si="70"/>
        <v>0</v>
      </c>
      <c r="L75" s="26">
        <v>72</v>
      </c>
      <c r="M75" s="26">
        <v>20</v>
      </c>
      <c r="N75" s="26">
        <v>2.3</v>
      </c>
      <c r="O75" s="26">
        <v>9</v>
      </c>
      <c r="P75" s="26">
        <v>8.7</v>
      </c>
      <c r="R75" s="28">
        <f t="shared" ref="R75:T75" si="77">D75-N75</f>
        <v>0</v>
      </c>
      <c r="S75" s="28">
        <f t="shared" si="77"/>
        <v>0</v>
      </c>
      <c r="T75" s="28">
        <f t="shared" si="77"/>
        <v>0</v>
      </c>
    </row>
    <row r="76" spans="1:20">
      <c r="A76" s="15">
        <v>73</v>
      </c>
      <c r="B76" s="21" t="s">
        <v>508</v>
      </c>
      <c r="C76" s="22">
        <v>73</v>
      </c>
      <c r="D76" s="22">
        <f>5.1-(3.3-1.4)</f>
        <v>3.2</v>
      </c>
      <c r="E76" s="22">
        <f>11.3-5.1+(3.3-1.4)</f>
        <v>8.1</v>
      </c>
      <c r="F76" s="22">
        <f>12-11.3</f>
        <v>0.699999999999999</v>
      </c>
      <c r="G76" s="19">
        <f t="shared" si="45"/>
        <v>12</v>
      </c>
      <c r="H76" s="23">
        <v>12</v>
      </c>
      <c r="I76" s="2">
        <f t="shared" si="70"/>
        <v>0</v>
      </c>
      <c r="L76" s="26">
        <v>73</v>
      </c>
      <c r="M76" s="26">
        <v>12</v>
      </c>
      <c r="N76" s="26">
        <v>3.2</v>
      </c>
      <c r="O76" s="26">
        <v>8.1</v>
      </c>
      <c r="P76" s="26">
        <v>0.7</v>
      </c>
      <c r="R76" s="28">
        <f t="shared" ref="R76:T76" si="78">D76-N76</f>
        <v>0</v>
      </c>
      <c r="S76" s="28">
        <f t="shared" si="78"/>
        <v>0</v>
      </c>
      <c r="T76" s="29">
        <f t="shared" si="78"/>
        <v>0</v>
      </c>
    </row>
    <row r="77" spans="1:20">
      <c r="A77" s="15">
        <v>74</v>
      </c>
      <c r="B77" s="21" t="s">
        <v>508</v>
      </c>
      <c r="C77" s="22">
        <v>74</v>
      </c>
      <c r="D77" s="22">
        <f>5.2-(3.1-0.9)</f>
        <v>3</v>
      </c>
      <c r="E77" s="22">
        <f>11.3-5.2+(3.1-0.9)</f>
        <v>8.3</v>
      </c>
      <c r="F77" s="22">
        <f>15-11.3</f>
        <v>3.7</v>
      </c>
      <c r="G77" s="19">
        <f t="shared" ref="G77:G111" si="79">SUM(D77:F77)</f>
        <v>15</v>
      </c>
      <c r="H77" s="23">
        <v>15</v>
      </c>
      <c r="I77" s="2">
        <f t="shared" si="70"/>
        <v>0</v>
      </c>
      <c r="L77" s="26">
        <v>74</v>
      </c>
      <c r="M77" s="26">
        <v>15</v>
      </c>
      <c r="N77" s="26">
        <v>3</v>
      </c>
      <c r="O77" s="26">
        <v>8.3</v>
      </c>
      <c r="P77" s="26">
        <v>3.7</v>
      </c>
      <c r="R77" s="28">
        <f t="shared" ref="R77:T77" si="80">D77-N77</f>
        <v>0</v>
      </c>
      <c r="S77" s="28">
        <f t="shared" si="80"/>
        <v>0</v>
      </c>
      <c r="T77" s="28">
        <f t="shared" si="80"/>
        <v>0</v>
      </c>
    </row>
    <row r="78" spans="1:20">
      <c r="A78" s="15">
        <v>75</v>
      </c>
      <c r="B78" s="21" t="s">
        <v>508</v>
      </c>
      <c r="C78" s="22">
        <v>75</v>
      </c>
      <c r="D78" s="22">
        <f>5.8-(2.4-1.5)</f>
        <v>4.9</v>
      </c>
      <c r="E78" s="22">
        <f>11.3-5.8+(2.4-1.5)</f>
        <v>6.4</v>
      </c>
      <c r="F78" s="22">
        <f>12-11.3</f>
        <v>0.699999999999999</v>
      </c>
      <c r="G78" s="19">
        <f t="shared" si="79"/>
        <v>12</v>
      </c>
      <c r="H78" s="23">
        <v>12</v>
      </c>
      <c r="I78" s="2">
        <f t="shared" si="70"/>
        <v>0</v>
      </c>
      <c r="L78" s="26">
        <v>75</v>
      </c>
      <c r="M78" s="26">
        <v>12</v>
      </c>
      <c r="N78" s="26">
        <v>4.9</v>
      </c>
      <c r="O78" s="26">
        <v>6.4</v>
      </c>
      <c r="P78" s="26">
        <v>0.7</v>
      </c>
      <c r="R78" s="28">
        <f t="shared" ref="R78:T78" si="81">D78-N78</f>
        <v>0</v>
      </c>
      <c r="S78" s="28">
        <f t="shared" si="81"/>
        <v>0</v>
      </c>
      <c r="T78" s="29">
        <f t="shared" si="81"/>
        <v>0</v>
      </c>
    </row>
    <row r="79" spans="1:20">
      <c r="A79" s="15">
        <v>76</v>
      </c>
      <c r="B79" s="21" t="s">
        <v>508</v>
      </c>
      <c r="C79" s="22">
        <v>76</v>
      </c>
      <c r="D79" s="22">
        <f>7.6-(4-2.2)</f>
        <v>5.8</v>
      </c>
      <c r="E79" s="22">
        <f>11.5-7.6+(4-2.2)</f>
        <v>5.7</v>
      </c>
      <c r="F79" s="22">
        <f>15-11.5</f>
        <v>3.5</v>
      </c>
      <c r="G79" s="19">
        <f t="shared" si="79"/>
        <v>15</v>
      </c>
      <c r="H79" s="23">
        <v>15</v>
      </c>
      <c r="I79" s="2">
        <f t="shared" si="70"/>
        <v>0</v>
      </c>
      <c r="L79" s="26">
        <v>76</v>
      </c>
      <c r="M79" s="26">
        <v>15</v>
      </c>
      <c r="N79" s="26">
        <v>5.8</v>
      </c>
      <c r="O79" s="26">
        <v>5.7</v>
      </c>
      <c r="P79" s="26">
        <v>3.5</v>
      </c>
      <c r="R79" s="28">
        <f t="shared" ref="R79:T79" si="82">D79-N79</f>
        <v>0</v>
      </c>
      <c r="S79" s="28">
        <f t="shared" si="82"/>
        <v>0</v>
      </c>
      <c r="T79" s="28">
        <f t="shared" si="82"/>
        <v>0</v>
      </c>
    </row>
    <row r="80" spans="1:20">
      <c r="A80" s="15">
        <v>77</v>
      </c>
      <c r="B80" s="21" t="s">
        <v>508</v>
      </c>
      <c r="C80" s="22">
        <v>77</v>
      </c>
      <c r="D80" s="22">
        <f>6.9-(3-1.2)</f>
        <v>5.1</v>
      </c>
      <c r="E80" s="22">
        <f>10.8-6.9+(3-1.2)</f>
        <v>5.7</v>
      </c>
      <c r="F80" s="22">
        <f>12-10.8</f>
        <v>1.2</v>
      </c>
      <c r="G80" s="19">
        <f t="shared" si="79"/>
        <v>12</v>
      </c>
      <c r="H80" s="23">
        <v>12</v>
      </c>
      <c r="I80" s="2">
        <f t="shared" si="70"/>
        <v>0</v>
      </c>
      <c r="L80" s="26">
        <v>77</v>
      </c>
      <c r="M80" s="26">
        <v>12</v>
      </c>
      <c r="N80" s="26">
        <v>5.1</v>
      </c>
      <c r="O80" s="26">
        <v>5.7</v>
      </c>
      <c r="P80" s="26">
        <v>1.2</v>
      </c>
      <c r="R80" s="28">
        <f t="shared" ref="R80:T80" si="83">D80-N80</f>
        <v>0</v>
      </c>
      <c r="S80" s="28">
        <f t="shared" si="83"/>
        <v>0</v>
      </c>
      <c r="T80" s="28">
        <f t="shared" si="83"/>
        <v>0</v>
      </c>
    </row>
    <row r="81" spans="1:20">
      <c r="A81" s="15">
        <v>78</v>
      </c>
      <c r="B81" s="21" t="s">
        <v>508</v>
      </c>
      <c r="C81" s="22">
        <v>78</v>
      </c>
      <c r="D81" s="22">
        <f>6.6-(4.1-1.3)</f>
        <v>3.8</v>
      </c>
      <c r="E81" s="22">
        <f>11.2-6.6+(4.1-1.3)</f>
        <v>7.4</v>
      </c>
      <c r="F81" s="22">
        <f>15-11.2</f>
        <v>3.8</v>
      </c>
      <c r="G81" s="19">
        <f t="shared" si="79"/>
        <v>15</v>
      </c>
      <c r="H81" s="23">
        <v>15</v>
      </c>
      <c r="I81" s="2">
        <f t="shared" si="70"/>
        <v>0</v>
      </c>
      <c r="L81" s="26">
        <v>78</v>
      </c>
      <c r="M81" s="26">
        <v>15</v>
      </c>
      <c r="N81" s="26">
        <v>3.8</v>
      </c>
      <c r="O81" s="26">
        <v>7.4</v>
      </c>
      <c r="P81" s="26">
        <v>3.8</v>
      </c>
      <c r="R81" s="28">
        <f t="shared" ref="R81:T81" si="84">D81-N81</f>
        <v>0</v>
      </c>
      <c r="S81" s="28">
        <f t="shared" si="84"/>
        <v>0</v>
      </c>
      <c r="T81" s="28">
        <f t="shared" si="84"/>
        <v>0</v>
      </c>
    </row>
    <row r="82" spans="1:20">
      <c r="A82" s="15">
        <v>79</v>
      </c>
      <c r="B82" s="21" t="s">
        <v>508</v>
      </c>
      <c r="C82" s="22">
        <v>79</v>
      </c>
      <c r="D82" s="22">
        <f>5.2-(3.8-1.8)</f>
        <v>3.2</v>
      </c>
      <c r="E82" s="22">
        <f>10.7-5.2+(3.8-1.8)</f>
        <v>7.5</v>
      </c>
      <c r="F82" s="22">
        <f>12-10.7</f>
        <v>1.3</v>
      </c>
      <c r="G82" s="19">
        <f t="shared" si="79"/>
        <v>12</v>
      </c>
      <c r="H82" s="23">
        <v>12</v>
      </c>
      <c r="I82" s="2">
        <f t="shared" si="70"/>
        <v>0</v>
      </c>
      <c r="L82" s="26">
        <v>79</v>
      </c>
      <c r="M82" s="26">
        <v>12</v>
      </c>
      <c r="N82" s="26">
        <v>3.2</v>
      </c>
      <c r="O82" s="26">
        <v>7.5</v>
      </c>
      <c r="P82" s="26">
        <v>1.3</v>
      </c>
      <c r="R82" s="28">
        <f t="shared" ref="R82:T82" si="85">D82-N82</f>
        <v>0</v>
      </c>
      <c r="S82" s="28">
        <f t="shared" si="85"/>
        <v>0</v>
      </c>
      <c r="T82" s="28">
        <f t="shared" si="85"/>
        <v>0</v>
      </c>
    </row>
    <row r="83" spans="1:20">
      <c r="A83" s="15">
        <v>80</v>
      </c>
      <c r="B83" s="21" t="s">
        <v>508</v>
      </c>
      <c r="C83" s="22">
        <v>80</v>
      </c>
      <c r="D83" s="22">
        <f>5.2-(3.8-1.9)</f>
        <v>3.3</v>
      </c>
      <c r="E83" s="22">
        <f>10.9-5.2+(3.8-1.9)</f>
        <v>7.6</v>
      </c>
      <c r="F83" s="22">
        <f>15-10.9</f>
        <v>4.1</v>
      </c>
      <c r="G83" s="19">
        <f t="shared" si="79"/>
        <v>15</v>
      </c>
      <c r="H83" s="23">
        <v>15</v>
      </c>
      <c r="I83" s="2">
        <f t="shared" si="70"/>
        <v>0</v>
      </c>
      <c r="L83" s="26">
        <v>80</v>
      </c>
      <c r="M83" s="26">
        <v>15</v>
      </c>
      <c r="N83" s="26">
        <v>3.3</v>
      </c>
      <c r="O83" s="26">
        <v>7.6</v>
      </c>
      <c r="P83" s="26">
        <v>4.1</v>
      </c>
      <c r="R83" s="28">
        <f t="shared" ref="R83:T83" si="86">D83-N83</f>
        <v>0</v>
      </c>
      <c r="S83" s="28">
        <f t="shared" si="86"/>
        <v>0</v>
      </c>
      <c r="T83" s="28">
        <f t="shared" si="86"/>
        <v>0</v>
      </c>
    </row>
    <row r="84" spans="1:20">
      <c r="A84" s="15">
        <v>81</v>
      </c>
      <c r="B84" s="21" t="s">
        <v>508</v>
      </c>
      <c r="C84" s="22">
        <v>81</v>
      </c>
      <c r="D84" s="22">
        <f>0.7</f>
        <v>0.7</v>
      </c>
      <c r="E84" s="22">
        <f>11.2-0.7</f>
        <v>10.5</v>
      </c>
      <c r="F84" s="22">
        <f>12-11.2</f>
        <v>0.800000000000001</v>
      </c>
      <c r="G84" s="19">
        <f t="shared" si="79"/>
        <v>12</v>
      </c>
      <c r="H84" s="23">
        <v>12</v>
      </c>
      <c r="I84" s="2">
        <f t="shared" si="70"/>
        <v>0</v>
      </c>
      <c r="L84" s="26">
        <v>81</v>
      </c>
      <c r="M84" s="26">
        <v>12</v>
      </c>
      <c r="N84" s="26">
        <v>0.7</v>
      </c>
      <c r="O84" s="26">
        <v>10.5</v>
      </c>
      <c r="P84" s="26">
        <v>0.8</v>
      </c>
      <c r="R84" s="28">
        <f t="shared" ref="R84:T84" si="87">D84-N84</f>
        <v>0</v>
      </c>
      <c r="S84" s="28">
        <f t="shared" si="87"/>
        <v>0</v>
      </c>
      <c r="T84" s="29">
        <f t="shared" si="87"/>
        <v>0</v>
      </c>
    </row>
    <row r="85" spans="1:20">
      <c r="A85" s="15">
        <v>82</v>
      </c>
      <c r="B85" s="21" t="s">
        <v>508</v>
      </c>
      <c r="C85" s="22">
        <v>82</v>
      </c>
      <c r="D85" s="22">
        <v>0.4</v>
      </c>
      <c r="E85" s="22">
        <f>8.3-0.4</f>
        <v>7.9</v>
      </c>
      <c r="F85" s="22">
        <f>15-8.3</f>
        <v>6.7</v>
      </c>
      <c r="G85" s="19">
        <f t="shared" si="79"/>
        <v>15</v>
      </c>
      <c r="H85" s="23">
        <v>15</v>
      </c>
      <c r="I85" s="2">
        <f t="shared" si="70"/>
        <v>0</v>
      </c>
      <c r="L85" s="26">
        <v>82</v>
      </c>
      <c r="M85" s="26">
        <v>15</v>
      </c>
      <c r="N85" s="26">
        <v>0.4</v>
      </c>
      <c r="O85" s="26">
        <v>7.9</v>
      </c>
      <c r="P85" s="26">
        <v>6.7</v>
      </c>
      <c r="R85" s="28">
        <f t="shared" ref="R85:T85" si="88">D85-N85</f>
        <v>0</v>
      </c>
      <c r="S85" s="28">
        <f t="shared" si="88"/>
        <v>0</v>
      </c>
      <c r="T85" s="28">
        <f t="shared" si="88"/>
        <v>0</v>
      </c>
    </row>
    <row r="86" spans="1:20">
      <c r="A86" s="15">
        <v>83</v>
      </c>
      <c r="B86" s="21" t="s">
        <v>508</v>
      </c>
      <c r="C86" s="22">
        <v>83</v>
      </c>
      <c r="D86" s="22">
        <v>0.5</v>
      </c>
      <c r="E86" s="22">
        <f>10.6-0.5</f>
        <v>10.1</v>
      </c>
      <c r="F86" s="22">
        <f>12-10.6</f>
        <v>1.4</v>
      </c>
      <c r="G86" s="19">
        <f t="shared" si="79"/>
        <v>12</v>
      </c>
      <c r="H86" s="23">
        <v>12</v>
      </c>
      <c r="I86" s="2">
        <f t="shared" si="70"/>
        <v>0</v>
      </c>
      <c r="L86" s="26">
        <v>83</v>
      </c>
      <c r="M86" s="26">
        <v>12</v>
      </c>
      <c r="N86" s="26">
        <v>0.5</v>
      </c>
      <c r="O86" s="26">
        <v>10.1</v>
      </c>
      <c r="P86" s="26">
        <v>1.4</v>
      </c>
      <c r="R86" s="28">
        <f t="shared" ref="R86:T86" si="89">D86-N86</f>
        <v>0</v>
      </c>
      <c r="S86" s="28">
        <f t="shared" si="89"/>
        <v>0</v>
      </c>
      <c r="T86" s="28">
        <f t="shared" si="89"/>
        <v>0</v>
      </c>
    </row>
    <row r="87" spans="1:20">
      <c r="A87" s="15">
        <v>84</v>
      </c>
      <c r="B87" s="21" t="s">
        <v>508</v>
      </c>
      <c r="C87" s="22">
        <v>84</v>
      </c>
      <c r="D87" s="22">
        <v>0.9</v>
      </c>
      <c r="E87" s="22">
        <f>10.6-0.9</f>
        <v>9.7</v>
      </c>
      <c r="F87" s="22">
        <f>15-10.6</f>
        <v>4.4</v>
      </c>
      <c r="G87" s="19">
        <f t="shared" si="79"/>
        <v>15</v>
      </c>
      <c r="H87" s="23">
        <v>15</v>
      </c>
      <c r="I87" s="2">
        <f t="shared" si="70"/>
        <v>0</v>
      </c>
      <c r="L87" s="26">
        <v>84</v>
      </c>
      <c r="M87" s="26">
        <v>15</v>
      </c>
      <c r="N87" s="26">
        <v>0.9</v>
      </c>
      <c r="O87" s="26">
        <v>9.7</v>
      </c>
      <c r="P87" s="26">
        <v>4.4</v>
      </c>
      <c r="R87" s="28">
        <f t="shared" ref="R87:T87" si="90">D87-N87</f>
        <v>0</v>
      </c>
      <c r="S87" s="28">
        <f t="shared" si="90"/>
        <v>0</v>
      </c>
      <c r="T87" s="28">
        <f t="shared" si="90"/>
        <v>0</v>
      </c>
    </row>
    <row r="88" spans="1:20">
      <c r="A88" s="15">
        <v>85</v>
      </c>
      <c r="B88" s="21" t="s">
        <v>508</v>
      </c>
      <c r="C88" s="22">
        <v>85</v>
      </c>
      <c r="D88" s="22">
        <v>1.2</v>
      </c>
      <c r="E88" s="22">
        <f>10.5-1.2</f>
        <v>9.3</v>
      </c>
      <c r="F88" s="22">
        <f>12-10.5</f>
        <v>1.5</v>
      </c>
      <c r="G88" s="19">
        <f t="shared" si="79"/>
        <v>12</v>
      </c>
      <c r="H88" s="23">
        <v>12</v>
      </c>
      <c r="I88" s="2">
        <f t="shared" si="70"/>
        <v>0</v>
      </c>
      <c r="L88" s="26">
        <v>85</v>
      </c>
      <c r="M88" s="26">
        <v>12</v>
      </c>
      <c r="N88" s="26">
        <v>1.2</v>
      </c>
      <c r="O88" s="26">
        <v>9.3</v>
      </c>
      <c r="P88" s="26">
        <v>1.5</v>
      </c>
      <c r="R88" s="28">
        <f t="shared" ref="R88:T88" si="91">D88-N88</f>
        <v>0</v>
      </c>
      <c r="S88" s="28">
        <f t="shared" si="91"/>
        <v>0</v>
      </c>
      <c r="T88" s="28">
        <f t="shared" si="91"/>
        <v>0</v>
      </c>
    </row>
    <row r="89" spans="1:20">
      <c r="A89" s="15">
        <v>86</v>
      </c>
      <c r="B89" s="21" t="s">
        <v>509</v>
      </c>
      <c r="C89" s="22">
        <v>86</v>
      </c>
      <c r="D89" s="22">
        <f>5.5-(4-1.1)</f>
        <v>2.6</v>
      </c>
      <c r="E89" s="22">
        <f>10-5.5+(4-1.1)</f>
        <v>7.4</v>
      </c>
      <c r="F89" s="22">
        <v>0</v>
      </c>
      <c r="G89" s="19">
        <f t="shared" si="79"/>
        <v>10</v>
      </c>
      <c r="H89" s="23">
        <v>10</v>
      </c>
      <c r="I89" s="2">
        <f t="shared" si="70"/>
        <v>0</v>
      </c>
      <c r="L89" s="26">
        <v>86</v>
      </c>
      <c r="M89" s="26">
        <v>10</v>
      </c>
      <c r="N89" s="26">
        <v>2.6</v>
      </c>
      <c r="O89" s="26">
        <v>7.4</v>
      </c>
      <c r="P89" s="26">
        <v>0</v>
      </c>
      <c r="R89" s="28">
        <f t="shared" ref="R89:T89" si="92">D89-N89</f>
        <v>0</v>
      </c>
      <c r="S89" s="28">
        <f t="shared" si="92"/>
        <v>0</v>
      </c>
      <c r="T89" s="28">
        <f t="shared" si="92"/>
        <v>0</v>
      </c>
    </row>
    <row r="90" spans="1:20">
      <c r="A90" s="15">
        <v>87</v>
      </c>
      <c r="B90" s="21" t="s">
        <v>509</v>
      </c>
      <c r="C90" s="22">
        <v>87</v>
      </c>
      <c r="D90" s="22">
        <f>5.1-(3.7-0.8)</f>
        <v>2.2</v>
      </c>
      <c r="E90" s="22">
        <f>10-5.1+(3.7-0.8)</f>
        <v>7.8</v>
      </c>
      <c r="F90" s="22">
        <v>0</v>
      </c>
      <c r="G90" s="19">
        <f t="shared" si="79"/>
        <v>10</v>
      </c>
      <c r="H90" s="23">
        <v>10</v>
      </c>
      <c r="I90" s="2">
        <f t="shared" si="70"/>
        <v>0</v>
      </c>
      <c r="L90" s="26">
        <v>87</v>
      </c>
      <c r="M90" s="26">
        <v>10</v>
      </c>
      <c r="N90" s="26">
        <v>2.2</v>
      </c>
      <c r="O90" s="26">
        <v>7.8</v>
      </c>
      <c r="P90" s="26">
        <v>0</v>
      </c>
      <c r="R90" s="28">
        <f t="shared" ref="R90:T90" si="93">D90-N90</f>
        <v>0</v>
      </c>
      <c r="S90" s="28">
        <f t="shared" si="93"/>
        <v>0</v>
      </c>
      <c r="T90" s="28">
        <f t="shared" si="93"/>
        <v>0</v>
      </c>
    </row>
    <row r="91" spans="1:20">
      <c r="A91" s="15">
        <v>88</v>
      </c>
      <c r="B91" s="21" t="s">
        <v>509</v>
      </c>
      <c r="C91" s="22">
        <v>88</v>
      </c>
      <c r="D91" s="22">
        <f>7.2-(3.7-1)</f>
        <v>4.5</v>
      </c>
      <c r="E91" s="22">
        <f>10-7.2+(3.7-1)</f>
        <v>5.5</v>
      </c>
      <c r="F91" s="22">
        <v>0</v>
      </c>
      <c r="G91" s="19">
        <f t="shared" si="79"/>
        <v>10</v>
      </c>
      <c r="H91" s="23">
        <v>10</v>
      </c>
      <c r="I91" s="2">
        <f t="shared" si="70"/>
        <v>0</v>
      </c>
      <c r="L91" s="26">
        <v>88</v>
      </c>
      <c r="M91" s="26">
        <v>10</v>
      </c>
      <c r="N91" s="26">
        <v>4.5</v>
      </c>
      <c r="O91" s="26">
        <v>5.5</v>
      </c>
      <c r="P91" s="26">
        <v>0</v>
      </c>
      <c r="R91" s="28">
        <f t="shared" ref="R91:T91" si="94">D91-N91</f>
        <v>0</v>
      </c>
      <c r="S91" s="28">
        <f t="shared" si="94"/>
        <v>0</v>
      </c>
      <c r="T91" s="28">
        <f t="shared" si="94"/>
        <v>0</v>
      </c>
    </row>
    <row r="92" spans="1:20">
      <c r="A92" s="15">
        <v>89</v>
      </c>
      <c r="B92" s="21" t="s">
        <v>509</v>
      </c>
      <c r="C92" s="22">
        <v>89</v>
      </c>
      <c r="D92" s="22">
        <f>7-(3.5-0.8)</f>
        <v>4.3</v>
      </c>
      <c r="E92" s="22">
        <f>10-7+(3.5-0.8)</f>
        <v>5.7</v>
      </c>
      <c r="F92" s="22">
        <v>0</v>
      </c>
      <c r="G92" s="19">
        <f t="shared" si="79"/>
        <v>10</v>
      </c>
      <c r="H92" s="23">
        <v>10</v>
      </c>
      <c r="I92" s="2">
        <f t="shared" si="70"/>
        <v>0</v>
      </c>
      <c r="L92" s="26">
        <v>89</v>
      </c>
      <c r="M92" s="26">
        <v>10</v>
      </c>
      <c r="N92" s="26">
        <v>4.3</v>
      </c>
      <c r="O92" s="26">
        <v>5.7</v>
      </c>
      <c r="P92" s="26">
        <v>0</v>
      </c>
      <c r="R92" s="28">
        <f t="shared" ref="R92:T92" si="95">D92-N92</f>
        <v>0</v>
      </c>
      <c r="S92" s="28">
        <f t="shared" si="95"/>
        <v>0</v>
      </c>
      <c r="T92" s="28">
        <f t="shared" si="95"/>
        <v>0</v>
      </c>
    </row>
    <row r="93" spans="1:20">
      <c r="A93" s="15">
        <v>90</v>
      </c>
      <c r="B93" s="21" t="s">
        <v>509</v>
      </c>
      <c r="C93" s="22">
        <v>90</v>
      </c>
      <c r="D93" s="22">
        <f>7.1-(3.6-1.1)</f>
        <v>4.6</v>
      </c>
      <c r="E93" s="22">
        <f>10-7.1+(3.6-1.1)</f>
        <v>5.4</v>
      </c>
      <c r="F93" s="22">
        <v>0</v>
      </c>
      <c r="G93" s="19">
        <f t="shared" si="79"/>
        <v>10</v>
      </c>
      <c r="H93" s="23">
        <v>10</v>
      </c>
      <c r="I93" s="2">
        <f t="shared" si="70"/>
        <v>0</v>
      </c>
      <c r="L93" s="26">
        <v>90</v>
      </c>
      <c r="M93" s="26">
        <v>10</v>
      </c>
      <c r="N93" s="26">
        <v>4.6</v>
      </c>
      <c r="O93" s="26">
        <v>5.4</v>
      </c>
      <c r="P93" s="26">
        <v>0</v>
      </c>
      <c r="R93" s="28">
        <f t="shared" ref="R93:T93" si="96">D93-N93</f>
        <v>0</v>
      </c>
      <c r="S93" s="28">
        <f t="shared" si="96"/>
        <v>0</v>
      </c>
      <c r="T93" s="28">
        <f t="shared" si="96"/>
        <v>0</v>
      </c>
    </row>
    <row r="94" spans="1:20">
      <c r="A94" s="15">
        <v>91</v>
      </c>
      <c r="B94" s="21" t="s">
        <v>509</v>
      </c>
      <c r="C94" s="22">
        <v>91</v>
      </c>
      <c r="D94" s="22">
        <f>5.2-(3.5-1.5)</f>
        <v>3.2</v>
      </c>
      <c r="E94" s="22">
        <f>10-5.2+(3.5-1.5)</f>
        <v>6.8</v>
      </c>
      <c r="F94" s="22">
        <v>0</v>
      </c>
      <c r="G94" s="19">
        <f t="shared" si="79"/>
        <v>10</v>
      </c>
      <c r="H94" s="23">
        <v>10</v>
      </c>
      <c r="I94" s="2">
        <f t="shared" si="70"/>
        <v>0</v>
      </c>
      <c r="L94" s="26">
        <v>91</v>
      </c>
      <c r="M94" s="26">
        <v>10</v>
      </c>
      <c r="N94" s="26">
        <v>3.2</v>
      </c>
      <c r="O94" s="26">
        <v>6.8</v>
      </c>
      <c r="P94" s="26">
        <v>0</v>
      </c>
      <c r="R94" s="28">
        <f t="shared" ref="R94:T94" si="97">D94-N94</f>
        <v>0</v>
      </c>
      <c r="S94" s="28">
        <f t="shared" si="97"/>
        <v>0</v>
      </c>
      <c r="T94" s="28">
        <f t="shared" si="97"/>
        <v>0</v>
      </c>
    </row>
    <row r="95" spans="1:20">
      <c r="A95" s="15">
        <v>92</v>
      </c>
      <c r="B95" s="21" t="s">
        <v>509</v>
      </c>
      <c r="C95" s="22">
        <v>92</v>
      </c>
      <c r="D95" s="22">
        <f>4.6-(3.5-0.7)</f>
        <v>1.8</v>
      </c>
      <c r="E95" s="22">
        <f>10-4.6+(3.5-0.7)</f>
        <v>8.2</v>
      </c>
      <c r="F95" s="22">
        <v>0</v>
      </c>
      <c r="G95" s="19">
        <f t="shared" si="79"/>
        <v>10</v>
      </c>
      <c r="H95" s="23">
        <v>10</v>
      </c>
      <c r="I95" s="2">
        <f t="shared" si="70"/>
        <v>0</v>
      </c>
      <c r="L95" s="26">
        <v>92</v>
      </c>
      <c r="M95" s="26">
        <v>10</v>
      </c>
      <c r="N95" s="26">
        <v>1.8</v>
      </c>
      <c r="O95" s="26">
        <v>8.2</v>
      </c>
      <c r="P95" s="26">
        <v>0</v>
      </c>
      <c r="R95" s="28">
        <f t="shared" ref="R95:T95" si="98">D95-N95</f>
        <v>0</v>
      </c>
      <c r="S95" s="28">
        <f t="shared" si="98"/>
        <v>0</v>
      </c>
      <c r="T95" s="28">
        <f t="shared" si="98"/>
        <v>0</v>
      </c>
    </row>
    <row r="96" spans="1:20">
      <c r="A96" s="15">
        <v>93</v>
      </c>
      <c r="B96" s="21" t="s">
        <v>509</v>
      </c>
      <c r="C96" s="22">
        <v>93</v>
      </c>
      <c r="D96" s="22">
        <v>1.3</v>
      </c>
      <c r="E96" s="22">
        <f>10-1.3</f>
        <v>8.7</v>
      </c>
      <c r="F96" s="22">
        <v>0</v>
      </c>
      <c r="G96" s="19">
        <f t="shared" si="79"/>
        <v>10</v>
      </c>
      <c r="H96" s="23">
        <v>10</v>
      </c>
      <c r="I96" s="2">
        <f t="shared" si="70"/>
        <v>0</v>
      </c>
      <c r="L96" s="26">
        <v>93</v>
      </c>
      <c r="M96" s="26">
        <v>10</v>
      </c>
      <c r="N96" s="26">
        <v>1.3</v>
      </c>
      <c r="O96" s="26">
        <v>8.7</v>
      </c>
      <c r="P96" s="26">
        <v>0</v>
      </c>
      <c r="R96" s="28">
        <f t="shared" ref="R96:T96" si="99">D96-N96</f>
        <v>0</v>
      </c>
      <c r="S96" s="28">
        <f t="shared" si="99"/>
        <v>0</v>
      </c>
      <c r="T96" s="28">
        <f t="shared" si="99"/>
        <v>0</v>
      </c>
    </row>
    <row r="97" spans="1:20">
      <c r="A97" s="15">
        <v>94</v>
      </c>
      <c r="B97" s="21" t="s">
        <v>509</v>
      </c>
      <c r="C97" s="22">
        <v>94</v>
      </c>
      <c r="D97" s="22">
        <v>1.3</v>
      </c>
      <c r="E97" s="22">
        <f>10-1.3</f>
        <v>8.7</v>
      </c>
      <c r="F97" s="22">
        <v>0</v>
      </c>
      <c r="G97" s="19">
        <f t="shared" si="79"/>
        <v>10</v>
      </c>
      <c r="H97" s="23">
        <v>10</v>
      </c>
      <c r="I97" s="2">
        <f t="shared" si="70"/>
        <v>0</v>
      </c>
      <c r="L97" s="26">
        <v>94</v>
      </c>
      <c r="M97" s="26">
        <v>10</v>
      </c>
      <c r="N97" s="26">
        <v>1.3</v>
      </c>
      <c r="O97" s="26">
        <v>8.7</v>
      </c>
      <c r="P97" s="26">
        <v>0</v>
      </c>
      <c r="R97" s="28">
        <f t="shared" ref="R97:T97" si="100">D97-N97</f>
        <v>0</v>
      </c>
      <c r="S97" s="28">
        <f t="shared" si="100"/>
        <v>0</v>
      </c>
      <c r="T97" s="28">
        <f t="shared" si="100"/>
        <v>0</v>
      </c>
    </row>
    <row r="98" spans="1:20">
      <c r="A98" s="15">
        <v>95</v>
      </c>
      <c r="B98" s="21" t="s">
        <v>502</v>
      </c>
      <c r="C98" s="22">
        <v>95</v>
      </c>
      <c r="D98" s="22">
        <f>4.5-(3.3-0.9)</f>
        <v>2.1</v>
      </c>
      <c r="E98" s="22">
        <f>12-4.5+(3.3-0.9)</f>
        <v>9.9</v>
      </c>
      <c r="F98" s="22">
        <f>15-12</f>
        <v>3</v>
      </c>
      <c r="G98" s="19">
        <f t="shared" si="79"/>
        <v>15</v>
      </c>
      <c r="H98" s="23">
        <v>15</v>
      </c>
      <c r="I98" s="2">
        <f t="shared" si="70"/>
        <v>0</v>
      </c>
      <c r="L98" s="26">
        <v>95</v>
      </c>
      <c r="M98" s="26">
        <v>15</v>
      </c>
      <c r="N98" s="26">
        <v>2.1</v>
      </c>
      <c r="O98" s="26">
        <v>9.9</v>
      </c>
      <c r="P98" s="26">
        <v>3</v>
      </c>
      <c r="R98" s="28">
        <f t="shared" ref="R98:T98" si="101">D98-N98</f>
        <v>0</v>
      </c>
      <c r="S98" s="28">
        <f t="shared" si="101"/>
        <v>0</v>
      </c>
      <c r="T98" s="28">
        <f t="shared" si="101"/>
        <v>0</v>
      </c>
    </row>
    <row r="99" spans="1:20">
      <c r="A99" s="15">
        <v>96</v>
      </c>
      <c r="B99" s="21" t="s">
        <v>502</v>
      </c>
      <c r="C99" s="22">
        <v>96</v>
      </c>
      <c r="D99" s="22">
        <f>4.5-(3.4-0.7)</f>
        <v>1.8</v>
      </c>
      <c r="E99" s="22">
        <f>12-4.5+(3.4-0.7)</f>
        <v>10.2</v>
      </c>
      <c r="F99" s="22">
        <v>0</v>
      </c>
      <c r="G99" s="19">
        <f t="shared" si="79"/>
        <v>12</v>
      </c>
      <c r="H99" s="23">
        <v>12</v>
      </c>
      <c r="I99" s="2">
        <f t="shared" si="70"/>
        <v>0</v>
      </c>
      <c r="L99" s="26">
        <v>96</v>
      </c>
      <c r="M99" s="26">
        <v>12</v>
      </c>
      <c r="N99" s="26">
        <v>1.8</v>
      </c>
      <c r="O99" s="26">
        <v>10.2</v>
      </c>
      <c r="P99" s="26">
        <v>0</v>
      </c>
      <c r="R99" s="28">
        <f t="shared" ref="R99:T99" si="102">D99-N99</f>
        <v>0</v>
      </c>
      <c r="S99" s="28">
        <f t="shared" si="102"/>
        <v>0</v>
      </c>
      <c r="T99" s="28">
        <f t="shared" si="102"/>
        <v>0</v>
      </c>
    </row>
    <row r="100" spans="1:20">
      <c r="A100" s="15">
        <v>97</v>
      </c>
      <c r="B100" s="21" t="s">
        <v>502</v>
      </c>
      <c r="C100" s="24">
        <v>97</v>
      </c>
      <c r="D100" s="22">
        <f>4.4-(3.1-0.8)</f>
        <v>2.1</v>
      </c>
      <c r="E100" s="22">
        <f>11.7-4.4+(3.1-0.8)</f>
        <v>9.6</v>
      </c>
      <c r="F100" s="22">
        <f>20-11.7</f>
        <v>8.3</v>
      </c>
      <c r="G100" s="19">
        <f t="shared" si="79"/>
        <v>20</v>
      </c>
      <c r="H100" s="23">
        <v>20</v>
      </c>
      <c r="I100" s="2">
        <f t="shared" si="70"/>
        <v>0</v>
      </c>
      <c r="L100" s="26">
        <v>97</v>
      </c>
      <c r="M100" s="26">
        <v>20</v>
      </c>
      <c r="N100" s="26">
        <v>2.1</v>
      </c>
      <c r="O100" s="26">
        <v>9.6</v>
      </c>
      <c r="P100" s="26">
        <v>8.3</v>
      </c>
      <c r="R100" s="28">
        <f t="shared" ref="R100:T100" si="103">D100-N100</f>
        <v>0</v>
      </c>
      <c r="S100" s="28">
        <f t="shared" si="103"/>
        <v>0</v>
      </c>
      <c r="T100" s="28">
        <f t="shared" si="103"/>
        <v>0</v>
      </c>
    </row>
    <row r="101" spans="1:20">
      <c r="A101" s="15">
        <v>98</v>
      </c>
      <c r="B101" s="21" t="s">
        <v>502</v>
      </c>
      <c r="C101" s="24">
        <v>98</v>
      </c>
      <c r="D101" s="22">
        <f>2.1</f>
        <v>2.1</v>
      </c>
      <c r="E101" s="22">
        <f>10.4-2.1</f>
        <v>8.3</v>
      </c>
      <c r="F101" s="22">
        <f>15-10.4</f>
        <v>4.6</v>
      </c>
      <c r="G101" s="19">
        <f t="shared" si="79"/>
        <v>15</v>
      </c>
      <c r="H101" s="23">
        <v>15</v>
      </c>
      <c r="I101" s="2">
        <f t="shared" si="70"/>
        <v>0</v>
      </c>
      <c r="L101" s="26">
        <v>98</v>
      </c>
      <c r="M101" s="26">
        <v>15</v>
      </c>
      <c r="N101" s="26">
        <v>2.1</v>
      </c>
      <c r="O101" s="26">
        <v>8.3</v>
      </c>
      <c r="P101" s="26">
        <v>4.6</v>
      </c>
      <c r="R101" s="28">
        <f t="shared" ref="R101:T101" si="104">D101-N101</f>
        <v>0</v>
      </c>
      <c r="S101" s="28">
        <f t="shared" si="104"/>
        <v>0</v>
      </c>
      <c r="T101" s="28">
        <f t="shared" si="104"/>
        <v>0</v>
      </c>
    </row>
    <row r="102" spans="1:20">
      <c r="A102" s="15">
        <v>99</v>
      </c>
      <c r="B102" s="21" t="s">
        <v>502</v>
      </c>
      <c r="C102" s="24">
        <v>99</v>
      </c>
      <c r="D102" s="22">
        <v>1.3</v>
      </c>
      <c r="E102" s="22">
        <f>10-1.3</f>
        <v>8.7</v>
      </c>
      <c r="F102" s="22">
        <f>12-10</f>
        <v>2</v>
      </c>
      <c r="G102" s="19">
        <f t="shared" si="79"/>
        <v>12</v>
      </c>
      <c r="H102" s="23">
        <v>12</v>
      </c>
      <c r="I102" s="2">
        <f t="shared" si="70"/>
        <v>0</v>
      </c>
      <c r="L102" s="26">
        <v>99</v>
      </c>
      <c r="M102" s="26">
        <v>12</v>
      </c>
      <c r="N102" s="26">
        <v>1.3</v>
      </c>
      <c r="O102" s="26">
        <v>8.7</v>
      </c>
      <c r="P102" s="26">
        <v>2</v>
      </c>
      <c r="R102" s="28">
        <f t="shared" ref="R102:T102" si="105">D102-N102</f>
        <v>0</v>
      </c>
      <c r="S102" s="28">
        <f t="shared" si="105"/>
        <v>0</v>
      </c>
      <c r="T102" s="28">
        <f t="shared" si="105"/>
        <v>0</v>
      </c>
    </row>
    <row r="103" spans="1:20">
      <c r="A103" s="15">
        <v>100</v>
      </c>
      <c r="B103" s="21" t="s">
        <v>502</v>
      </c>
      <c r="C103" s="24">
        <v>100</v>
      </c>
      <c r="D103" s="22">
        <f>1.5</f>
        <v>1.5</v>
      </c>
      <c r="E103" s="22">
        <f>10-1.5</f>
        <v>8.5</v>
      </c>
      <c r="F103" s="22">
        <f>20-10</f>
        <v>10</v>
      </c>
      <c r="G103" s="19">
        <f t="shared" si="79"/>
        <v>20</v>
      </c>
      <c r="H103" s="23">
        <v>20</v>
      </c>
      <c r="I103" s="2">
        <f t="shared" si="70"/>
        <v>0</v>
      </c>
      <c r="L103" s="26">
        <v>100</v>
      </c>
      <c r="M103" s="26">
        <v>20</v>
      </c>
      <c r="N103" s="26">
        <v>1.5</v>
      </c>
      <c r="O103" s="26">
        <v>8.5</v>
      </c>
      <c r="P103" s="26">
        <v>10</v>
      </c>
      <c r="R103" s="28">
        <f t="shared" ref="R103:T103" si="106">D103-N103</f>
        <v>0</v>
      </c>
      <c r="S103" s="28">
        <f t="shared" si="106"/>
        <v>0</v>
      </c>
      <c r="T103" s="28">
        <f t="shared" si="106"/>
        <v>0</v>
      </c>
    </row>
    <row r="104" spans="1:20">
      <c r="A104" s="15">
        <v>101</v>
      </c>
      <c r="B104" s="21" t="s">
        <v>502</v>
      </c>
      <c r="C104" s="24">
        <v>101</v>
      </c>
      <c r="D104" s="22">
        <v>0</v>
      </c>
      <c r="E104" s="22">
        <v>9.3</v>
      </c>
      <c r="F104" s="22">
        <f>10-9.3</f>
        <v>0.699999999999999</v>
      </c>
      <c r="G104" s="19">
        <f t="shared" si="79"/>
        <v>10</v>
      </c>
      <c r="H104" s="23">
        <v>10</v>
      </c>
      <c r="I104" s="2">
        <f t="shared" si="70"/>
        <v>0</v>
      </c>
      <c r="L104" s="26">
        <v>101</v>
      </c>
      <c r="M104" s="26">
        <v>10</v>
      </c>
      <c r="N104" s="26">
        <v>0</v>
      </c>
      <c r="O104" s="26">
        <v>9.3</v>
      </c>
      <c r="P104" s="26">
        <v>0.7</v>
      </c>
      <c r="R104" s="28">
        <f t="shared" ref="R104:T104" si="107">D104-N104</f>
        <v>0</v>
      </c>
      <c r="S104" s="28">
        <f t="shared" si="107"/>
        <v>0</v>
      </c>
      <c r="T104" s="29">
        <f t="shared" si="107"/>
        <v>0</v>
      </c>
    </row>
    <row r="105" spans="1:20">
      <c r="A105" s="15">
        <v>102</v>
      </c>
      <c r="B105" s="21" t="s">
        <v>503</v>
      </c>
      <c r="C105" s="24">
        <v>102</v>
      </c>
      <c r="D105" s="22">
        <f>4.5-(3-0.8)</f>
        <v>2.3</v>
      </c>
      <c r="E105" s="22">
        <f>11-4.5+(3-0.8)</f>
        <v>8.7</v>
      </c>
      <c r="F105" s="22">
        <f>12-11</f>
        <v>1</v>
      </c>
      <c r="G105" s="19">
        <f t="shared" si="79"/>
        <v>12</v>
      </c>
      <c r="H105" s="23">
        <v>12</v>
      </c>
      <c r="I105" s="2">
        <f t="shared" si="70"/>
        <v>0</v>
      </c>
      <c r="L105" s="26">
        <v>102</v>
      </c>
      <c r="M105" s="26">
        <v>12</v>
      </c>
      <c r="N105" s="26">
        <v>2.3</v>
      </c>
      <c r="O105" s="26">
        <v>8.7</v>
      </c>
      <c r="P105" s="26">
        <v>1</v>
      </c>
      <c r="R105" s="28">
        <f t="shared" ref="R105:T105" si="108">D105-N105</f>
        <v>0</v>
      </c>
      <c r="S105" s="28">
        <f t="shared" si="108"/>
        <v>0</v>
      </c>
      <c r="T105" s="28">
        <f t="shared" si="108"/>
        <v>0</v>
      </c>
    </row>
    <row r="106" spans="1:20">
      <c r="A106" s="15">
        <v>103</v>
      </c>
      <c r="B106" s="21" t="s">
        <v>503</v>
      </c>
      <c r="C106" s="24">
        <v>103</v>
      </c>
      <c r="D106" s="22">
        <f>4.5-(3.3-0.8)</f>
        <v>2</v>
      </c>
      <c r="E106" s="22">
        <f>11.2-4.5+(3.3-0.8)</f>
        <v>9.2</v>
      </c>
      <c r="F106" s="22">
        <f>15-11.2</f>
        <v>3.8</v>
      </c>
      <c r="G106" s="19">
        <f t="shared" si="79"/>
        <v>15</v>
      </c>
      <c r="H106" s="23">
        <v>15</v>
      </c>
      <c r="I106" s="2">
        <f t="shared" si="70"/>
        <v>0</v>
      </c>
      <c r="L106" s="26">
        <v>103</v>
      </c>
      <c r="M106" s="26">
        <v>15</v>
      </c>
      <c r="N106" s="26">
        <v>2</v>
      </c>
      <c r="O106" s="26">
        <v>9.2</v>
      </c>
      <c r="P106" s="26">
        <v>3.8</v>
      </c>
      <c r="R106" s="28">
        <f t="shared" ref="R106:T106" si="109">D106-N106</f>
        <v>0</v>
      </c>
      <c r="S106" s="28">
        <f t="shared" si="109"/>
        <v>0</v>
      </c>
      <c r="T106" s="28">
        <f t="shared" si="109"/>
        <v>0</v>
      </c>
    </row>
    <row r="107" spans="1:20">
      <c r="A107" s="15">
        <v>104</v>
      </c>
      <c r="B107" s="21" t="s">
        <v>503</v>
      </c>
      <c r="C107" s="24">
        <v>104</v>
      </c>
      <c r="D107" s="22">
        <f>4.5-(3.3-0.6)</f>
        <v>1.8</v>
      </c>
      <c r="E107" s="22">
        <f>11.6-4.5+(3.3-0.6)</f>
        <v>9.8</v>
      </c>
      <c r="F107" s="22">
        <f>12-11.6</f>
        <v>0.4</v>
      </c>
      <c r="G107" s="19">
        <f t="shared" si="79"/>
        <v>12</v>
      </c>
      <c r="H107" s="23">
        <v>12</v>
      </c>
      <c r="I107" s="2">
        <f t="shared" si="70"/>
        <v>0</v>
      </c>
      <c r="L107" s="26">
        <v>104</v>
      </c>
      <c r="M107" s="26">
        <v>12</v>
      </c>
      <c r="N107" s="26">
        <v>1.8</v>
      </c>
      <c r="O107" s="26">
        <v>9.8</v>
      </c>
      <c r="P107" s="26">
        <v>0.4</v>
      </c>
      <c r="R107" s="28">
        <f t="shared" ref="R107:T107" si="110">D107-N107</f>
        <v>0</v>
      </c>
      <c r="S107" s="28">
        <f t="shared" si="110"/>
        <v>0</v>
      </c>
      <c r="T107" s="28">
        <f t="shared" si="110"/>
        <v>0</v>
      </c>
    </row>
    <row r="108" spans="1:20">
      <c r="A108" s="15">
        <v>105</v>
      </c>
      <c r="B108" s="21" t="s">
        <v>503</v>
      </c>
      <c r="C108" s="24">
        <v>105</v>
      </c>
      <c r="D108" s="22">
        <v>0.8</v>
      </c>
      <c r="E108" s="22">
        <f>10.2-0.8</f>
        <v>9.4</v>
      </c>
      <c r="F108" s="22">
        <f>12-10.2</f>
        <v>1.8</v>
      </c>
      <c r="G108" s="19">
        <f t="shared" si="79"/>
        <v>12</v>
      </c>
      <c r="H108" s="23">
        <v>12</v>
      </c>
      <c r="I108" s="2">
        <f t="shared" si="70"/>
        <v>0</v>
      </c>
      <c r="L108" s="26">
        <v>105</v>
      </c>
      <c r="M108" s="26">
        <v>12</v>
      </c>
      <c r="N108" s="26">
        <v>0.8</v>
      </c>
      <c r="O108" s="26">
        <v>9.4</v>
      </c>
      <c r="P108" s="26">
        <v>1.8</v>
      </c>
      <c r="R108" s="28">
        <f t="shared" ref="R108:T108" si="111">D108-N108</f>
        <v>0</v>
      </c>
      <c r="S108" s="28">
        <f t="shared" si="111"/>
        <v>0</v>
      </c>
      <c r="T108" s="28">
        <f t="shared" si="111"/>
        <v>0</v>
      </c>
    </row>
    <row r="109" spans="1:20">
      <c r="A109" s="15">
        <v>106</v>
      </c>
      <c r="B109" s="21" t="s">
        <v>503</v>
      </c>
      <c r="C109" s="24">
        <v>106</v>
      </c>
      <c r="D109" s="22">
        <v>0.4</v>
      </c>
      <c r="E109" s="22">
        <f>10.5-0.4</f>
        <v>10.1</v>
      </c>
      <c r="F109" s="22">
        <f>15-10.5</f>
        <v>4.5</v>
      </c>
      <c r="G109" s="19">
        <f t="shared" si="79"/>
        <v>15</v>
      </c>
      <c r="H109" s="23">
        <v>15</v>
      </c>
      <c r="I109" s="2">
        <f t="shared" si="70"/>
        <v>0</v>
      </c>
      <c r="L109" s="26">
        <v>106</v>
      </c>
      <c r="M109" s="26">
        <v>15</v>
      </c>
      <c r="N109" s="26">
        <v>0.4</v>
      </c>
      <c r="O109" s="26">
        <v>10.1</v>
      </c>
      <c r="P109" s="26">
        <v>4.5</v>
      </c>
      <c r="R109" s="28">
        <f t="shared" ref="R109:T109" si="112">D109-N109</f>
        <v>0</v>
      </c>
      <c r="S109" s="28">
        <f t="shared" si="112"/>
        <v>0</v>
      </c>
      <c r="T109" s="28">
        <f t="shared" si="112"/>
        <v>0</v>
      </c>
    </row>
    <row r="110" spans="1:20">
      <c r="A110" s="15">
        <v>107</v>
      </c>
      <c r="B110" s="21" t="s">
        <v>503</v>
      </c>
      <c r="C110" s="24">
        <v>107</v>
      </c>
      <c r="D110" s="22">
        <v>0.4</v>
      </c>
      <c r="E110" s="22">
        <f>10.4-0.4</f>
        <v>10</v>
      </c>
      <c r="F110" s="22">
        <f>12-10.4</f>
        <v>1.6</v>
      </c>
      <c r="G110" s="19">
        <f t="shared" si="79"/>
        <v>12</v>
      </c>
      <c r="H110" s="23">
        <v>12</v>
      </c>
      <c r="I110" s="2">
        <f t="shared" si="70"/>
        <v>0</v>
      </c>
      <c r="L110" s="26">
        <v>107</v>
      </c>
      <c r="M110" s="26">
        <v>12</v>
      </c>
      <c r="N110" s="26">
        <v>0.4</v>
      </c>
      <c r="O110" s="26">
        <v>10</v>
      </c>
      <c r="P110" s="26">
        <v>1.6</v>
      </c>
      <c r="R110" s="28">
        <f t="shared" ref="R110:T110" si="113">D110-N110</f>
        <v>0</v>
      </c>
      <c r="S110" s="28">
        <f t="shared" si="113"/>
        <v>0</v>
      </c>
      <c r="T110" s="28">
        <f t="shared" si="113"/>
        <v>0</v>
      </c>
    </row>
    <row r="111" ht="15" spans="1:20">
      <c r="A111" s="30">
        <v>108</v>
      </c>
      <c r="B111" s="31" t="s">
        <v>483</v>
      </c>
      <c r="C111" s="31"/>
      <c r="D111" s="31">
        <f>SUM(D4:D110)</f>
        <v>276.1</v>
      </c>
      <c r="E111" s="31">
        <f>SUM(E4:E110)</f>
        <v>865.4</v>
      </c>
      <c r="F111" s="31">
        <f>SUM(F4:F110)</f>
        <v>315.5</v>
      </c>
      <c r="G111" s="32">
        <f t="shared" si="79"/>
        <v>1457</v>
      </c>
      <c r="H111" s="33"/>
      <c r="L111" s="26"/>
      <c r="M111" s="26"/>
      <c r="N111" s="26"/>
      <c r="O111" s="26"/>
      <c r="P111" s="26"/>
      <c r="R111" s="2">
        <f>D111-N111</f>
        <v>276.1</v>
      </c>
      <c r="T111" s="2">
        <f>F111-P111</f>
        <v>315.5</v>
      </c>
    </row>
    <row r="112" spans="12:18">
      <c r="L112" s="26"/>
      <c r="M112" s="26" t="s">
        <v>510</v>
      </c>
      <c r="R112" s="2"/>
    </row>
    <row r="113" spans="11:18">
      <c r="K113" s="3">
        <v>273.5</v>
      </c>
      <c r="L113" s="26"/>
      <c r="M113" s="26"/>
      <c r="N113" s="26">
        <f t="shared" ref="N113:P113" si="114">SUM(N4:N110)</f>
        <v>273.5</v>
      </c>
      <c r="O113" s="26">
        <f t="shared" si="114"/>
        <v>868</v>
      </c>
      <c r="P113" s="26">
        <f t="shared" si="114"/>
        <v>315.5</v>
      </c>
      <c r="R113" s="2"/>
    </row>
    <row r="114" spans="4:18">
      <c r="D114" s="3">
        <f>D111*60</f>
        <v>16566</v>
      </c>
      <c r="E114" s="3">
        <f>E111*220</f>
        <v>190388</v>
      </c>
      <c r="F114" s="3">
        <f>F111*160</f>
        <v>50480</v>
      </c>
      <c r="G114" s="3">
        <v>15000</v>
      </c>
      <c r="L114" s="26"/>
      <c r="M114" s="26"/>
      <c r="N114" s="26">
        <f>N113*60</f>
        <v>16410</v>
      </c>
      <c r="O114" s="26">
        <f>O113*220</f>
        <v>190960</v>
      </c>
      <c r="P114" s="26">
        <f>P113*160</f>
        <v>50480</v>
      </c>
      <c r="Q114" s="3">
        <v>15000</v>
      </c>
      <c r="R114" s="2">
        <f>SUM(N114:Q114)</f>
        <v>272850</v>
      </c>
    </row>
    <row r="115" spans="12:18">
      <c r="L115" s="26"/>
      <c r="M115" s="26"/>
      <c r="N115" s="26"/>
      <c r="O115" s="26"/>
      <c r="P115" s="26"/>
      <c r="R115" s="2"/>
    </row>
    <row r="116" spans="12:18">
      <c r="L116" s="26"/>
      <c r="M116" s="26" t="s">
        <v>511</v>
      </c>
      <c r="N116" s="34"/>
      <c r="O116" s="34"/>
      <c r="P116" s="26"/>
      <c r="R116" s="2"/>
    </row>
    <row r="117" spans="12:16">
      <c r="L117" s="26"/>
      <c r="M117" s="26"/>
      <c r="N117" s="26"/>
      <c r="O117" s="26"/>
      <c r="P117" s="26"/>
    </row>
  </sheetData>
  <autoFilter ref="A3:T114">
    <extLst/>
  </autoFilter>
  <mergeCells count="5">
    <mergeCell ref="A1:G1"/>
    <mergeCell ref="D2:G2"/>
    <mergeCell ref="A2:A3"/>
    <mergeCell ref="B2:B3"/>
    <mergeCell ref="C2:C3"/>
  </mergeCells>
  <printOptions horizontalCentered="1"/>
  <pageMargins left="0.118055555555556" right="0.118055555555556" top="0.118055555555556" bottom="0.393055555555556" header="0.5" footer="0.5"/>
  <pageSetup paperSize="9" orientation="portrait" horizontalDpi="600"/>
  <headerFooter>
    <oddFooter>&amp;C第 &amp;P 页，共 &amp;N 页</oddFooter>
  </headerFooter>
  <ignoredErrors>
    <ignoredError sqref="F33 F37 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5结算明细表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不要总是（圈a）我</cp:lastModifiedBy>
  <dcterms:created xsi:type="dcterms:W3CDTF">2009-08-21T07:16:00Z</dcterms:created>
  <cp:lastPrinted>2019-03-25T03:18:00Z</cp:lastPrinted>
  <dcterms:modified xsi:type="dcterms:W3CDTF">2023-09-22T07:32:07Z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