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925" tabRatio="635" firstSheet="5" activeTab="5"/>
  </bookViews>
  <sheets>
    <sheet name="目录" sheetId="36" state="hidden" r:id="rId1"/>
    <sheet name="项目测算对比分析" sheetId="48" state="hidden" r:id="rId2"/>
    <sheet name="项目动态成本数据摘要汇总" sheetId="61" r:id="rId3"/>
    <sheet name="项目概况" sheetId="37" r:id="rId4"/>
    <sheet name="经济指标" sheetId="22" r:id="rId5"/>
    <sheet name="成本测算明细" sheetId="33" r:id="rId6"/>
    <sheet name="动态成本" sheetId="56" r:id="rId7"/>
    <sheet name="表1-签证变更" sheetId="55" r:id="rId8"/>
    <sheet name="表2-合同及付款台账" sheetId="57" r:id="rId9"/>
    <sheet name="附件3-扣款台账" sheetId="58" r:id="rId10"/>
    <sheet name="附件4-认质认价单台账" sheetId="59" r:id="rId11"/>
    <sheet name="附件5-甲供材台账" sheetId="60" r:id="rId12"/>
    <sheet name="税率" sheetId="27" state="hidden" r:id="rId13"/>
    <sheet name="收入及土地测算" sheetId="25" state="hidden" r:id="rId14"/>
    <sheet name="预计销售收入及费用情况表" sheetId="31" r:id="rId15"/>
    <sheet name="项目资金筹措" sheetId="39" r:id="rId16"/>
    <sheet name="税金计算表" sheetId="41" state="hidden" r:id="rId17"/>
    <sheet name="项目利润情况表" sheetId="42" state="hidden" r:id="rId18"/>
    <sheet name="销售计划表" sheetId="43" state="hidden" r:id="rId19"/>
    <sheet name="工程及开发计划" sheetId="44" state="hidden" r:id="rId20"/>
    <sheet name="管理费用" sheetId="46" state="hidden" r:id="rId21"/>
    <sheet name="数据源（不可删除）" sheetId="38" state="hidden" r:id="rId22"/>
    <sheet name="Sheet1" sheetId="53" state="hidden" r:id="rId23"/>
    <sheet name="成本变化对比" sheetId="52" state="hidden" r:id="rId24"/>
    <sheet name="推售计划" sheetId="49" state="hidden" r:id="rId25"/>
    <sheet name="监管资金节点" sheetId="51" state="hidden" r:id="rId26"/>
    <sheet name="现金流" sheetId="50" r:id="rId27"/>
    <sheet name="1" sheetId="47" state="hidden" r:id="rId28"/>
  </sheets>
  <externalReferences>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_xlnm._FilterDatabase" localSheetId="4" hidden="1">经济指标!$A$1:$Q$37</definedName>
    <definedName name="_xlnm._FilterDatabase" localSheetId="5" hidden="1">成本测算明细!$A$8:$BD$260</definedName>
    <definedName name="_xlnm._FilterDatabase" localSheetId="6" hidden="1">动态成本!$A$7:$AQ$235</definedName>
    <definedName name="_xlnm._FilterDatabase" localSheetId="7" hidden="1">'表1-签证变更'!$A$3:$J$66</definedName>
    <definedName name="_xlnm._FilterDatabase" localSheetId="8" hidden="1">'表2-合同及付款台账'!$A$3:$T$106</definedName>
    <definedName name="\P">#REF!</definedName>
    <definedName name="_??????">#REF!</definedName>
    <definedName name="____APr44">#REF!</definedName>
    <definedName name="____DAT1">#REF!</definedName>
    <definedName name="____DAT10">#REF!</definedName>
    <definedName name="____DAT11">#REF!</definedName>
    <definedName name="____DAT12">#REF!</definedName>
    <definedName name="____DAT13">#REF!</definedName>
    <definedName name="____DAT14">#REF!</definedName>
    <definedName name="____DAT15">#REF!</definedName>
    <definedName name="____DAT16">#REF!</definedName>
    <definedName name="____DAT17">#REF!</definedName>
    <definedName name="____DAT18">#REF!</definedName>
    <definedName name="____DAT19">#REF!</definedName>
    <definedName name="____DAT2">#REF!</definedName>
    <definedName name="____DAT20">#REF!</definedName>
    <definedName name="____DAT21">#REF!</definedName>
    <definedName name="____DAT22">#REF!</definedName>
    <definedName name="____DAT23">#REF!</definedName>
    <definedName name="____DAT24">#REF!</definedName>
    <definedName name="____DAT25">#REF!</definedName>
    <definedName name="____DAT26">#REF!</definedName>
    <definedName name="____DAT27">#REF!</definedName>
    <definedName name="____DAT28">#REF!</definedName>
    <definedName name="____DAT29">#REF!</definedName>
    <definedName name="____DAT3">#REF!</definedName>
    <definedName name="____DAT4">#REF!</definedName>
    <definedName name="____DAT5">#REF!</definedName>
    <definedName name="____DAT6">#REF!</definedName>
    <definedName name="____DAT7">#REF!</definedName>
    <definedName name="____DAT8">#REF!</definedName>
    <definedName name="____DAT9">#REF!</definedName>
    <definedName name="___APr44">#REF!</definedName>
    <definedName name="___DAT1">#REF!</definedName>
    <definedName name="___DAT10">#REF!</definedName>
    <definedName name="___DAT1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21">#REF!</definedName>
    <definedName name="___DAT22">#REF!</definedName>
    <definedName name="___DAT23">#REF!</definedName>
    <definedName name="___DAT24">#REF!</definedName>
    <definedName name="___DAT25">#REF!</definedName>
    <definedName name="___DAT26">#REF!</definedName>
    <definedName name="___DAT27">#REF!</definedName>
    <definedName name="___DAT28">#REF!</definedName>
    <definedName name="___DAT29">#REF!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APr44">#REF!</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21">#REF!</definedName>
    <definedName name="__DAT22">#REF!</definedName>
    <definedName name="__DAT23">#REF!</definedName>
    <definedName name="__DAT24">#REF!</definedName>
    <definedName name="__DAT25">#REF!</definedName>
    <definedName name="__DAT26">#REF!</definedName>
    <definedName name="__DAT27">#REF!</definedName>
    <definedName name="__DAT28">#REF!</definedName>
    <definedName name="__DAT29">#REF!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FDS_HYPERLINK_TOGGLE_STATE__" hidden="1">"ON"</definedName>
    <definedName name="_13_?">#REF!</definedName>
    <definedName name="_26_??????">#REF!</definedName>
    <definedName name="_APr44">#REF!</definedName>
    <definedName name="_c">#REF!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25">#REF!</definedName>
    <definedName name="_DAT26">#REF!</definedName>
    <definedName name="_DAT27">#REF!</definedName>
    <definedName name="_DAT28">#REF!</definedName>
    <definedName name="_DAT29">#REF!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Order1" hidden="1">255</definedName>
    <definedName name="_sun2">#REF!</definedName>
    <definedName name="AAAA">#REF!</definedName>
    <definedName name="AAAAAAAA">#REF!</definedName>
    <definedName name="AAAAAAAAAAAA">#REF!</definedName>
    <definedName name="BudgetYear">#REF!</definedName>
    <definedName name="BudgetYearRange">#REF!</definedName>
    <definedName name="CO">#REF!</definedName>
    <definedName name="d">#REF!</definedName>
    <definedName name="data">#REF!</definedName>
    <definedName name="dd">#REF!</definedName>
    <definedName name="doorwindow">#REF!</definedName>
    <definedName name="e">#REF!</definedName>
    <definedName name="f">#REF!</definedName>
    <definedName name="G">#REF!</definedName>
    <definedName name="HiddenStaffAveGP">#REF!</definedName>
    <definedName name="HiddenStaffAveOPBITDA">#REF!</definedName>
    <definedName name="HiddenStaffAveOpProfit">#REF!</definedName>
    <definedName name="HTML_OS" hidden="1">0</definedName>
    <definedName name="HTML_PathFile" hidden="1">"\\Dyckb002\c\刘凌2001\月会报告\MyHTML.htm"</definedName>
    <definedName name="HTML_Title" hidden="1">"2001-12月报-1"</definedName>
    <definedName name="HWSheet">1</definedName>
    <definedName name="J">#REF!</definedName>
    <definedName name="K">#REF!</definedName>
    <definedName name="l">#REF!</definedName>
    <definedName name="mj_1">#REF!</definedName>
    <definedName name="mj_2">#REF!</definedName>
    <definedName name="Module.Prix_SMC">#N/A</definedName>
    <definedName name="N">#REF!</definedName>
    <definedName name="OPBITDAConsol">#REF!</definedName>
    <definedName name="OPDetailsReportName">#REF!</definedName>
    <definedName name="P">#REF!</definedName>
    <definedName name="P_L_FinancingExp">#REF!</definedName>
    <definedName name="P_L_GAExp">#REF!</definedName>
    <definedName name="P_L_InterestIncome">#REF!</definedName>
    <definedName name="P_L_OpCost">#REF!</definedName>
    <definedName name="P_L_OtherNonOpExp">#REF!</definedName>
    <definedName name="P_L_OtherNonOpIncome">#REF!</definedName>
    <definedName name="P_L_OtherOpExp">#REF!</definedName>
    <definedName name="P_L_OtherOpIncome">#REF!</definedName>
    <definedName name="P_L_SalesExp">#REF!</definedName>
    <definedName name="P_L2_Depreciation">#REF!</definedName>
    <definedName name="P_L2_FinancingExp">#REF!</definedName>
    <definedName name="P_L2_GAExp">#REF!</definedName>
    <definedName name="P_L2_InterestIncome">#REF!</definedName>
    <definedName name="P_L2_OpCost">#REF!</definedName>
    <definedName name="P_L2_OtherNonOpExp">#REF!</definedName>
    <definedName name="P_L2_OtherNonOpIncome">#REF!</definedName>
    <definedName name="P_L2_OtherOpExp">#REF!</definedName>
    <definedName name="P_L2_OtherOpIncome">#REF!</definedName>
    <definedName name="P_L2_SalesExp">#REF!</definedName>
    <definedName name="pnl">#REF!</definedName>
    <definedName name="pnl_property">#REF!</definedName>
    <definedName name="Prix_SMC">#N/A</definedName>
    <definedName name="q">#REF!</definedName>
    <definedName name="RentalPaymentToCRCProp">#REF!</definedName>
    <definedName name="RentalPaymentToCRCProp_5_2">#REF!</definedName>
    <definedName name="S">#REF!</definedName>
    <definedName name="SAPBEXrevision" hidden="1">4</definedName>
    <definedName name="SAPBEXsysID" hidden="1">"BW1"</definedName>
    <definedName name="SAPBEXwbID" hidden="1">"8DZFG4M4NA6MVVGNLO7J4SRAY"</definedName>
    <definedName name="sheet1">#REF!</definedName>
    <definedName name="StaffTotalNo">#REF!</definedName>
    <definedName name="SUN">#REF!</definedName>
    <definedName name="T">#REF!</definedName>
    <definedName name="TEST0">#REF!</definedName>
    <definedName name="TESTHKEY">#REF!</definedName>
    <definedName name="TESTKEYS">#REF!</definedName>
    <definedName name="TESTVKEY">#REF!</definedName>
    <definedName name="V">#REF!</definedName>
    <definedName name="ValidityCode">#REF!</definedName>
    <definedName name="W">#REF!</definedName>
    <definedName name="wrn.打印整个资料." hidden="1">{"打印N01基本指标表V1",#N/A,TRUE,"基本指标＆成本预测";"打印NO2成本预测表",#N/A,TRUE,"贷款还款付息表";"打印N03工程进度表V1",#N/A,TRUE,"工程进度表";"打印NO4工程成本支出表",#N/A,TRUE,"贷款还款付息表";"打印NO5销售收入表",#N/A,TRUE,"贷款还款付息表";"打印NO6资金平衡表",#N/A,TRUE,"贷款还款付息表";"打印NO7贷款还本付息表",#N/A,TRUE,"贷款还款付息表";#N/A,#N/A,TRUE,"成本对比(第一次董事会)"}</definedName>
    <definedName name="x">#REF!</definedName>
    <definedName name="xin">#REF!</definedName>
    <definedName name="zzz">#REF!</definedName>
    <definedName name="比例">#REF!</definedName>
    <definedName name="不可售公建">#REF!</definedName>
    <definedName name="产品成本分摊表">#REF!</definedName>
    <definedName name="成本">#REF!</definedName>
    <definedName name="成本明细表">#REF!</definedName>
    <definedName name="待发生成本预测">#REF!</definedName>
    <definedName name="地上建面">#REF!</definedName>
    <definedName name="动态成本.动态预算明细科目">#N/A</definedName>
    <definedName name="动态成本分析1">#REF!</definedName>
    <definedName name="饿">#REF!</definedName>
    <definedName name="二层平面图">#REF!</definedName>
    <definedName name="管理费用">{"Client Name or Project Name"}</definedName>
    <definedName name="管理费用_1">{"Client Name or Project Name"}</definedName>
    <definedName name="管理费用_2">{"Client Name or Project Name"}</definedName>
    <definedName name="管理费用_3">{"Client Name or Project Name"}</definedName>
    <definedName name="管理费用_4">{"Client Name or Project Name"}</definedName>
    <definedName name="管理费用_5">{"Client Name or Project Name"}</definedName>
    <definedName name="号">#REF!</definedName>
    <definedName name="合同编号" localSheetId="16">[1]合同台帐!#REF!</definedName>
    <definedName name="合同编号">[1]合同台帐!#REF!</definedName>
    <definedName name="合同编号2">[1]合同台帐!#REF!</definedName>
    <definedName name="合同台账区域1">#N/A</definedName>
    <definedName name="核算项目明细账_1133_06_00">#REF!</definedName>
    <definedName name="华置曙协字_2003_170号">#REF!</definedName>
    <definedName name="汇报" hidden="1">{"打印N01基本指标表V1",#N/A,TRUE,"基本指标＆成本预测";"打印NO2成本预测表",#N/A,TRUE,"贷款还款付息表";"打印N03工程进度表V1",#N/A,TRUE,"工程进度表";"打印NO4工程成本支出表",#N/A,TRUE,"贷款还款付息表";"打印NO5销售收入表",#N/A,TRUE,"贷款还款付息表";"打印NO6资金平衡表",#N/A,TRUE,"贷款还款付息表";"打印NO7贷款还本付息表",#N/A,TRUE,"贷款还款付息表";#N/A,#N/A,TRUE,"成本对比(第一次董事会)"}</definedName>
    <definedName name="基准收益率">#REF!</definedName>
    <definedName name="计算方式">#REF!</definedName>
    <definedName name="监控">#N/A</definedName>
    <definedName name="开发成本">#REF!</definedName>
    <definedName name="开间费">#REF!</definedName>
    <definedName name="科目余额表">#REF!</definedName>
    <definedName name="可售房屋总建面">#REF!</definedName>
    <definedName name="利息总额">#REF!</definedName>
    <definedName name="面积">#REF!</definedName>
    <definedName name="内部收益率">#REF!</definedName>
    <definedName name="全项目动态成本表">#REF!</definedName>
    <definedName name="停车场系统">#N/A</definedName>
    <definedName name="物业用房及居委会">#REF!</definedName>
    <definedName name="现金流量表">#REF!</definedName>
    <definedName name="小区道路">#REF!</definedName>
    <definedName name="总分类账">#REF!</definedName>
    <definedName name="_xlnm.Print_Area" localSheetId="5">成本测算明细!$A$1:$AL$260</definedName>
    <definedName name="成本科目">'[8]成本动态台帐(不含增值税）'!$B$6:$B$152</definedName>
    <definedName name="_xlnm.Print_Area" localSheetId="7">'表1-签证变更'!$A$1:$J$66</definedName>
    <definedName name="_xlnm.Print_Area" localSheetId="6">动态成本!$A$1:$U$235</definedName>
    <definedName name="合同编号" localSheetId="9">[9]合同台帐!#REF!</definedName>
    <definedName name="合同编号" localSheetId="10">[9]合同台帐!#REF!</definedName>
    <definedName name="合同编号" localSheetId="11">[9]合同台帐!#REF!</definedName>
    <definedName name="合同编号" localSheetId="2">[9]合同台帐!#REF!</definedName>
  </definedNames>
  <calcPr calcId="144525"/>
</workbook>
</file>

<file path=xl/comments1.xml><?xml version="1.0" encoding="utf-8"?>
<comments xmlns="http://schemas.openxmlformats.org/spreadsheetml/2006/main">
  <authors>
    <author>Administrator</author>
    <author>明眸</author>
  </authors>
  <commentList>
    <comment ref="O3" authorId="0">
      <text>
        <r>
          <rPr>
            <b/>
            <sz val="9"/>
            <rFont val="宋体"/>
            <charset val="134"/>
          </rPr>
          <t>Administrator:</t>
        </r>
        <r>
          <rPr>
            <sz val="9"/>
            <rFont val="宋体"/>
            <charset val="134"/>
          </rPr>
          <t xml:space="preserve">
不含质保金</t>
        </r>
      </text>
    </comment>
    <comment ref="G5" authorId="1">
      <text>
        <r>
          <rPr>
            <sz val="9"/>
            <rFont val="宋体"/>
            <charset val="134"/>
          </rPr>
          <t xml:space="preserve">
含税暂定总价</t>
        </r>
      </text>
    </comment>
    <comment ref="G8" authorId="1">
      <text>
        <r>
          <rPr>
            <sz val="9"/>
            <rFont val="宋体"/>
            <charset val="134"/>
          </rPr>
          <t xml:space="preserve">含税暂定总价
</t>
        </r>
      </text>
    </comment>
    <comment ref="P8" authorId="1">
      <text>
        <r>
          <rPr>
            <b/>
            <sz val="9"/>
            <rFont val="宋体"/>
            <charset val="134"/>
          </rPr>
          <t>明眸:</t>
        </r>
        <r>
          <rPr>
            <sz val="9"/>
            <rFont val="宋体"/>
            <charset val="134"/>
          </rPr>
          <t xml:space="preserve">
（1）全部勘察（中勘及详勘）报告如期提交甲方后 10 日内支付至已完工程造价的 30%；</t>
        </r>
      </text>
    </comment>
    <comment ref="P9" authorId="1">
      <text>
        <r>
          <rPr>
            <b/>
            <sz val="9"/>
            <rFont val="宋体"/>
            <charset val="134"/>
          </rPr>
          <t>明眸:</t>
        </r>
        <r>
          <rPr>
            <sz val="9"/>
            <rFont val="宋体"/>
            <charset val="134"/>
          </rPr>
          <t xml:space="preserve">
（2）勘察报告经图纸审查合格且配合甲方办理结算完成后，支付至结算价款的 80%；</t>
        </r>
      </text>
    </comment>
    <comment ref="P10" authorId="1">
      <text>
        <r>
          <rPr>
            <b/>
            <sz val="9"/>
            <rFont val="宋体"/>
            <charset val="134"/>
          </rPr>
          <t>明眸:</t>
        </r>
        <r>
          <rPr>
            <sz val="9"/>
            <rFont val="宋体"/>
            <charset val="134"/>
          </rPr>
          <t xml:space="preserve">
（3）本项目工程主体施工完成并验收通过后支付至结算款的 100%。</t>
        </r>
      </text>
    </comment>
    <comment ref="F12" authorId="1">
      <text>
        <r>
          <rPr>
            <b/>
            <sz val="9"/>
            <rFont val="宋体"/>
            <charset val="134"/>
          </rPr>
          <t>明眸:</t>
        </r>
        <r>
          <rPr>
            <sz val="9"/>
            <rFont val="宋体"/>
            <charset val="134"/>
          </rPr>
          <t xml:space="preserve">
合同签订后缴纳贰万元履约保证金，履约保证金在施 工完成甲方验收合格后 7 日内无息退还</t>
        </r>
      </text>
    </comment>
    <comment ref="G12" authorId="1">
      <text>
        <r>
          <rPr>
            <sz val="9"/>
            <rFont val="宋体"/>
            <charset val="134"/>
          </rPr>
          <t xml:space="preserve">含税暂定总价
</t>
        </r>
      </text>
    </comment>
    <comment ref="G15" authorId="1">
      <text>
        <r>
          <rPr>
            <sz val="9"/>
            <rFont val="宋体"/>
            <charset val="134"/>
          </rPr>
          <t xml:space="preserve">税暂定总价
</t>
        </r>
      </text>
    </comment>
    <comment ref="G17" authorId="1">
      <text>
        <r>
          <rPr>
            <sz val="9"/>
            <rFont val="宋体"/>
            <charset val="134"/>
          </rPr>
          <t xml:space="preserve">税暂定总价
</t>
        </r>
      </text>
    </comment>
    <comment ref="P17" authorId="1">
      <text>
        <r>
          <rPr>
            <b/>
            <sz val="9"/>
            <rFont val="宋体"/>
            <charset val="134"/>
          </rPr>
          <t>明眸:</t>
        </r>
        <r>
          <rPr>
            <sz val="9"/>
            <rFont val="宋体"/>
            <charset val="134"/>
          </rPr>
          <t xml:space="preserve">
施工完成，送电完成并经甲方验收合格后支付至已完工程量价款的 80%；</t>
        </r>
      </text>
    </comment>
    <comment ref="P18" authorId="1">
      <text>
        <r>
          <rPr>
            <b/>
            <sz val="9"/>
            <rFont val="宋体"/>
            <charset val="134"/>
          </rPr>
          <t>明眸:</t>
        </r>
        <r>
          <rPr>
            <sz val="9"/>
            <rFont val="宋体"/>
            <charset val="134"/>
          </rPr>
          <t xml:space="preserve">
工程全部施工完成，经甲方、监理及相关政府部门验收合格，结算完成后，支付至结算 金额的 97%</t>
        </r>
      </text>
    </comment>
    <comment ref="G20" authorId="1">
      <text>
        <r>
          <rPr>
            <sz val="9"/>
            <rFont val="宋体"/>
            <charset val="134"/>
          </rPr>
          <t xml:space="preserve">含税
</t>
        </r>
      </text>
    </comment>
  </commentList>
</comments>
</file>

<file path=xl/comments2.xml><?xml version="1.0" encoding="utf-8"?>
<comments xmlns="http://schemas.openxmlformats.org/spreadsheetml/2006/main">
  <authors>
    <author>Administrator</author>
  </authors>
  <commentList>
    <comment ref="C15" authorId="0">
      <text>
        <r>
          <rPr>
            <b/>
            <sz val="9"/>
            <rFont val="宋体"/>
            <charset val="134"/>
          </rPr>
          <t>Administrator:</t>
        </r>
        <r>
          <rPr>
            <sz val="9"/>
            <rFont val="宋体"/>
            <charset val="134"/>
          </rPr>
          <t xml:space="preserve">
含税金额</t>
        </r>
      </text>
    </comment>
  </commentList>
</comments>
</file>

<file path=xl/comments3.xml><?xml version="1.0" encoding="utf-8"?>
<comments xmlns="http://schemas.openxmlformats.org/spreadsheetml/2006/main">
  <authors>
    <author>dccwb</author>
  </authors>
  <commentList>
    <comment ref="AF23" authorId="0">
      <text>
        <r>
          <rPr>
            <sz val="20"/>
            <rFont val="宋体"/>
            <charset val="134"/>
          </rPr>
          <t>竣工备案</t>
        </r>
      </text>
    </comment>
  </commentList>
</comments>
</file>

<file path=xl/comments4.xml><?xml version="1.0" encoding="utf-8"?>
<comments xmlns="http://schemas.openxmlformats.org/spreadsheetml/2006/main">
  <authors>
    <author>刘丽娜</author>
    <author>dccwb</author>
  </authors>
  <commentList>
    <comment ref="C4" authorId="0">
      <text>
        <r>
          <rPr>
            <sz val="24"/>
            <rFont val="宋体"/>
            <charset val="134"/>
          </rPr>
          <t>拿地</t>
        </r>
      </text>
    </comment>
    <comment ref="I11" authorId="1">
      <text>
        <r>
          <rPr>
            <sz val="16"/>
            <rFont val="宋体"/>
            <charset val="134"/>
          </rPr>
          <t>城市配套费900万</t>
        </r>
      </text>
    </comment>
    <comment ref="I14" authorId="1">
      <text>
        <r>
          <rPr>
            <sz val="16"/>
            <rFont val="宋体"/>
            <charset val="134"/>
          </rPr>
          <t>逾期缴纳土地款滞纳金</t>
        </r>
      </text>
    </comment>
    <comment ref="K14" authorId="1">
      <text>
        <r>
          <rPr>
            <sz val="16"/>
            <rFont val="宋体"/>
            <charset val="134"/>
          </rPr>
          <t>剩余土地50%款支付半年利息，提前一个月</t>
        </r>
      </text>
    </comment>
    <comment ref="L14" authorId="1">
      <text>
        <r>
          <rPr>
            <sz val="16"/>
            <rFont val="宋体"/>
            <charset val="134"/>
          </rPr>
          <t>剩余土地50%款支付半年利息</t>
        </r>
      </text>
    </comment>
    <comment ref="AN14" authorId="1">
      <text>
        <r>
          <rPr>
            <b/>
            <sz val="16"/>
            <rFont val="宋体"/>
            <charset val="134"/>
          </rPr>
          <t>资金使用费，不牵涉现金流</t>
        </r>
      </text>
    </comment>
    <comment ref="M17" authorId="1">
      <text>
        <r>
          <rPr>
            <b/>
            <sz val="14"/>
            <rFont val="宋体"/>
            <charset val="134"/>
          </rPr>
          <t>1、团购部分首付9900万入监管资金；2、对外销售首付部分入监管资金</t>
        </r>
      </text>
    </comment>
    <comment ref="N18" authorId="0">
      <text>
        <r>
          <rPr>
            <sz val="16"/>
            <rFont val="宋体"/>
            <charset val="134"/>
          </rPr>
          <t>团购四栋+对外3栋#楼达到预售预留80%</t>
        </r>
      </text>
    </comment>
    <comment ref="O18" authorId="0">
      <text>
        <r>
          <rPr>
            <sz val="14"/>
            <rFont val="宋体"/>
            <charset val="134"/>
          </rPr>
          <t>团购后两栋楼达到预售出款20%，留80%</t>
        </r>
      </text>
    </comment>
    <comment ref="P18" authorId="1">
      <text>
        <r>
          <rPr>
            <sz val="14"/>
            <rFont val="宋体"/>
            <charset val="134"/>
          </rPr>
          <t>一批次全部封顶+二次结构可再出35%+10%</t>
        </r>
      </text>
    </comment>
    <comment ref="T18" authorId="0">
      <text>
        <r>
          <rPr>
            <sz val="9"/>
            <rFont val="宋体"/>
            <charset val="134"/>
          </rPr>
          <t xml:space="preserve">
1、</t>
        </r>
        <r>
          <rPr>
            <sz val="20"/>
            <rFont val="宋体"/>
            <charset val="134"/>
          </rPr>
          <t>一批次8栋窗框完成留30%，可再出5%；</t>
        </r>
      </text>
    </comment>
    <comment ref="U18" authorId="1">
      <text>
        <r>
          <rPr>
            <sz val="16"/>
            <rFont val="宋体"/>
            <charset val="134"/>
          </rPr>
          <t xml:space="preserve">加推1#楼封顶留45%
</t>
        </r>
      </text>
    </comment>
    <comment ref="V18" authorId="0">
      <text>
        <r>
          <rPr>
            <b/>
            <sz val="18"/>
            <rFont val="宋体"/>
            <charset val="134"/>
          </rPr>
          <t>1、一批次8栋外墙完成留20%，可出10%。</t>
        </r>
        <r>
          <rPr>
            <b/>
            <sz val="18"/>
            <color rgb="FF000000"/>
            <rFont val="宋体"/>
            <charset val="134"/>
          </rPr>
          <t xml:space="preserve">
2、2批次2#、1#、11#二次结构完成留35%，可再出10%
</t>
        </r>
      </text>
    </comment>
    <comment ref="W18" authorId="1">
      <text>
        <r>
          <rPr>
            <b/>
            <sz val="16"/>
            <rFont val="宋体"/>
            <charset val="134"/>
          </rPr>
          <t>1批次外墙完成；可在出10%；二批次1#、11#楼二次结构，可出10%</t>
        </r>
      </text>
    </comment>
    <comment ref="X18" authorId="0">
      <text>
        <r>
          <rPr>
            <b/>
            <sz val="16"/>
            <rFont val="宋体"/>
            <charset val="134"/>
          </rPr>
          <t>加推13#楼，二次结构</t>
        </r>
      </text>
    </comment>
    <comment ref="Z18" authorId="0">
      <text>
        <r>
          <rPr>
            <b/>
            <sz val="14"/>
            <rFont val="宋体"/>
            <charset val="134"/>
          </rPr>
          <t>1、2批4栋外墙完成留20%，可再出10%</t>
        </r>
      </text>
    </comment>
    <comment ref="AC18" authorId="0">
      <text>
        <r>
          <rPr>
            <b/>
            <sz val="16"/>
            <rFont val="宋体"/>
            <charset val="134"/>
          </rPr>
          <t>1、全部12栋水电暖完成留10%，可再出10%</t>
        </r>
      </text>
    </comment>
    <comment ref="AD18" authorId="0">
      <text>
        <r>
          <rPr>
            <b/>
            <sz val="16"/>
            <rFont val="宋体"/>
            <charset val="134"/>
          </rPr>
          <t>1、全部12栋水电暖完成留10%，可再出10%</t>
        </r>
      </text>
    </comment>
    <comment ref="AE18" authorId="1">
      <text>
        <r>
          <rPr>
            <sz val="18"/>
            <rFont val="宋体"/>
            <charset val="134"/>
          </rPr>
          <t>五方验收，12栋监管资金沉淀剩余5%，可再出5%</t>
        </r>
      </text>
    </comment>
    <comment ref="AG18" authorId="1">
      <text>
        <r>
          <rPr>
            <sz val="18"/>
            <rFont val="宋体"/>
            <charset val="134"/>
          </rPr>
          <t>五方验收，12栋监管资金沉淀剩余5%，可再出5%</t>
        </r>
      </text>
    </comment>
    <comment ref="AK18" authorId="0">
      <text>
        <r>
          <rPr>
            <sz val="16"/>
            <rFont val="宋体"/>
            <charset val="134"/>
          </rPr>
          <t>全部交付留3%</t>
        </r>
      </text>
    </comment>
  </commentList>
</comments>
</file>

<file path=xl/sharedStrings.xml><?xml version="1.0" encoding="utf-8"?>
<sst xmlns="http://schemas.openxmlformats.org/spreadsheetml/2006/main" count="3580" uniqueCount="1536">
  <si>
    <t>序号</t>
  </si>
  <si>
    <t>名称</t>
  </si>
  <si>
    <t>部门</t>
  </si>
  <si>
    <t>编制人</t>
  </si>
  <si>
    <t>更新日期</t>
  </si>
  <si>
    <t>备注</t>
  </si>
  <si>
    <t>项目概况</t>
  </si>
  <si>
    <t>投拓中心</t>
  </si>
  <si>
    <t>李阳</t>
  </si>
  <si>
    <t>2022.10.31</t>
  </si>
  <si>
    <t>经济指标</t>
  </si>
  <si>
    <t>设计研发中心</t>
  </si>
  <si>
    <t>王振</t>
  </si>
  <si>
    <t>成本测算明细表</t>
  </si>
  <si>
    <t>成本中心</t>
  </si>
  <si>
    <t>陈海民</t>
  </si>
  <si>
    <t>预计销售收入及费用情况表</t>
  </si>
  <si>
    <t>销售中心</t>
  </si>
  <si>
    <t>赵瑞波</t>
  </si>
  <si>
    <t>项目资金筹措</t>
  </si>
  <si>
    <t>财务中心</t>
  </si>
  <si>
    <t>王晓莉</t>
  </si>
  <si>
    <t>税金计算表</t>
  </si>
  <si>
    <t>利润情况</t>
  </si>
  <si>
    <t>销售及回款计划明细</t>
  </si>
  <si>
    <t>人员编制及管理费用计划表</t>
  </si>
  <si>
    <t>财务费用计划明细</t>
  </si>
  <si>
    <t>工程及开发计划明细</t>
  </si>
  <si>
    <t>项目现金流明细</t>
  </si>
  <si>
    <t>定稿日期</t>
  </si>
  <si>
    <t>建设用地面积</t>
  </si>
  <si>
    <t>地上计容建筑面积</t>
  </si>
  <si>
    <t>地下建筑面积</t>
  </si>
  <si>
    <t>销售收款</t>
  </si>
  <si>
    <t>土地成本</t>
  </si>
  <si>
    <t>建安成本</t>
  </si>
  <si>
    <t>净利润</t>
  </si>
  <si>
    <t>利润率</t>
  </si>
  <si>
    <t>项目动态成本数据摘要汇总表</t>
  </si>
  <si>
    <t>（单位：万元）</t>
  </si>
  <si>
    <t>项目名称：悠然居项目</t>
  </si>
  <si>
    <t>填报日期：2023年8月</t>
  </si>
  <si>
    <t>项目面积</t>
  </si>
  <si>
    <t>7月</t>
  </si>
  <si>
    <t>目标成本</t>
  </si>
  <si>
    <t>当前预期实际成本</t>
  </si>
  <si>
    <t>当前预期超支节余</t>
  </si>
  <si>
    <t>不可预见费</t>
  </si>
  <si>
    <t>待发生合约规划</t>
  </si>
  <si>
    <t>编制部门</t>
  </si>
  <si>
    <t>返回目录</t>
  </si>
  <si>
    <t>类别</t>
  </si>
  <si>
    <t>内容</t>
  </si>
  <si>
    <t>其他地块情况说明</t>
  </si>
  <si>
    <t>核对</t>
  </si>
  <si>
    <t>项目名称：</t>
  </si>
  <si>
    <t>洛龙区八里堂地块（挂牌）</t>
  </si>
  <si>
    <t>地址：</t>
  </si>
  <si>
    <t>土地面积：</t>
  </si>
  <si>
    <t>亩</t>
  </si>
  <si>
    <t>容积率：</t>
  </si>
  <si>
    <t>无</t>
  </si>
  <si>
    <t>限高：</t>
  </si>
  <si>
    <t>米</t>
  </si>
  <si>
    <t>预计成交单价格：</t>
  </si>
  <si>
    <t>万元/亩，直接拨动控制条</t>
  </si>
  <si>
    <t>预计成交总价</t>
  </si>
  <si>
    <t>万元</t>
  </si>
  <si>
    <t>项目位置截图：</t>
  </si>
  <si>
    <t>地块儿及周边情况图片：</t>
  </si>
  <si>
    <t>基础信息资料图片：</t>
  </si>
  <si>
    <t>地质及水位情况</t>
  </si>
  <si>
    <t>临水临电情况</t>
  </si>
  <si>
    <t>其他重要情况</t>
  </si>
  <si>
    <t>总指标</t>
  </si>
  <si>
    <t>业态</t>
  </si>
  <si>
    <t>单位</t>
  </si>
  <si>
    <t>建筑面积</t>
  </si>
  <si>
    <t>自持（不可售面积）</t>
  </si>
  <si>
    <t>可售面积</t>
  </si>
  <si>
    <t>亩及户数</t>
  </si>
  <si>
    <t xml:space="preserve">建设用地面积
</t>
  </si>
  <si>
    <t>m2</t>
  </si>
  <si>
    <t>装配式 30%</t>
  </si>
  <si>
    <t>总建筑面积</t>
  </si>
  <si>
    <t>地上建筑面积</t>
  </si>
  <si>
    <t>容积率</t>
  </si>
  <si>
    <t>加上物业管理用房285平计容不可售，容积率1.3</t>
  </si>
  <si>
    <t>地上建筑面积少了310平</t>
  </si>
  <si>
    <t>地上部分1</t>
  </si>
  <si>
    <t>洋房</t>
  </si>
  <si>
    <t>户</t>
  </si>
  <si>
    <t>8层15单元</t>
  </si>
  <si>
    <t>地上业态</t>
  </si>
  <si>
    <t xml:space="preserve"> 地下业态</t>
  </si>
  <si>
    <t>洋房面积少了732平，住宅少了33.17平</t>
  </si>
  <si>
    <t>地上部分2</t>
  </si>
  <si>
    <t>别墅</t>
  </si>
  <si>
    <t>6层11个单元</t>
  </si>
  <si>
    <t>高层</t>
  </si>
  <si>
    <t>储藏室</t>
  </si>
  <si>
    <t>别墅多了699欧宁</t>
  </si>
  <si>
    <t>地上部分3</t>
  </si>
  <si>
    <t>小高层</t>
  </si>
  <si>
    <t>人防车位</t>
  </si>
  <si>
    <t>地上部分4</t>
  </si>
  <si>
    <t>公寓</t>
  </si>
  <si>
    <t>非人防车位</t>
  </si>
  <si>
    <t>地上部分5</t>
  </si>
  <si>
    <t>商业</t>
  </si>
  <si>
    <t>地上部分6</t>
  </si>
  <si>
    <t>办公</t>
  </si>
  <si>
    <t>地上部分7</t>
  </si>
  <si>
    <t>装配式</t>
  </si>
  <si>
    <t>地上部分8</t>
  </si>
  <si>
    <t>物业用房及消防控制室</t>
  </si>
  <si>
    <t>地上部分9</t>
  </si>
  <si>
    <t>公共厕所及开闭所</t>
  </si>
  <si>
    <t>社区服务中心</t>
  </si>
  <si>
    <t>地上部分10</t>
  </si>
  <si>
    <t>社区服务站</t>
  </si>
  <si>
    <t>总建面2万内80平；2-20万4‰；超20万3‰</t>
  </si>
  <si>
    <t>幼儿园</t>
  </si>
  <si>
    <t>地上部分11</t>
  </si>
  <si>
    <t>老年日间照料</t>
  </si>
  <si>
    <t>物业用房</t>
  </si>
  <si>
    <r>
      <rPr>
        <sz val="12"/>
        <color theme="1"/>
        <rFont val="宋体"/>
        <charset val="134"/>
      </rPr>
      <t>地下占总车位的1</t>
    </r>
    <r>
      <rPr>
        <sz val="12"/>
        <color theme="1"/>
        <rFont val="宋体"/>
        <charset val="134"/>
      </rPr>
      <t>0</t>
    </r>
    <r>
      <rPr>
        <sz val="12"/>
        <color theme="1"/>
        <rFont val="宋体"/>
        <charset val="134"/>
      </rPr>
      <t>0%</t>
    </r>
  </si>
  <si>
    <t>文化活动站</t>
  </si>
  <si>
    <t>地下部分1</t>
  </si>
  <si>
    <t>社区卫生服务站</t>
  </si>
  <si>
    <t>地下部分2</t>
  </si>
  <si>
    <t>个</t>
  </si>
  <si>
    <r>
      <rPr>
        <sz val="12"/>
        <color theme="1"/>
        <rFont val="宋体"/>
        <charset val="134"/>
      </rPr>
      <t>人防面积为地上总建筑的8%
人防车位按照</t>
    </r>
    <r>
      <rPr>
        <sz val="12"/>
        <color theme="1"/>
        <rFont val="宋体"/>
        <charset val="134"/>
      </rPr>
      <t>38</t>
    </r>
    <r>
      <rPr>
        <sz val="12"/>
        <color theme="1"/>
        <rFont val="宋体"/>
        <charset val="134"/>
      </rPr>
      <t>平</t>
    </r>
  </si>
  <si>
    <t>老年日间照料中心</t>
  </si>
  <si>
    <t>地下部分3</t>
  </si>
  <si>
    <t>建筑密度</t>
  </si>
  <si>
    <t>%</t>
  </si>
  <si>
    <t>绿地率</t>
  </si>
  <si>
    <t>合计</t>
  </si>
  <si>
    <t>单元数</t>
  </si>
  <si>
    <t>基地面积</t>
  </si>
  <si>
    <t>高层2</t>
  </si>
  <si>
    <t>高层2-1（装配式）</t>
  </si>
  <si>
    <t>其他配套</t>
  </si>
  <si>
    <t>项     目</t>
  </si>
  <si>
    <t>综合</t>
  </si>
  <si>
    <t>备  注</t>
  </si>
  <si>
    <t>类型</t>
  </si>
  <si>
    <t>产品业态</t>
  </si>
  <si>
    <t>万M3（销面）</t>
  </si>
  <si>
    <t>万M2（销面）</t>
  </si>
  <si>
    <t>万M4（销面）</t>
  </si>
  <si>
    <t>万M5（销面）</t>
  </si>
  <si>
    <t>万M6（销面）</t>
  </si>
  <si>
    <t>万M7（销面）</t>
  </si>
  <si>
    <t>万M8（销面）</t>
  </si>
  <si>
    <t>万M9（销面）</t>
  </si>
  <si>
    <t>指标</t>
  </si>
  <si>
    <r>
      <rPr>
        <b/>
        <sz val="9"/>
        <rFont val="宋体"/>
        <charset val="134"/>
      </rPr>
      <t>控制指标                  （元/m</t>
    </r>
    <r>
      <rPr>
        <b/>
        <vertAlign val="superscript"/>
        <sz val="9"/>
        <rFont val="宋体"/>
        <charset val="134"/>
      </rPr>
      <t>2</t>
    </r>
    <r>
      <rPr>
        <b/>
        <sz val="9"/>
        <rFont val="宋体"/>
        <charset val="134"/>
      </rPr>
      <t>）</t>
    </r>
  </si>
  <si>
    <t>总投资                     （万元）</t>
  </si>
  <si>
    <t>量价分离</t>
  </si>
  <si>
    <r>
      <rPr>
        <b/>
        <sz val="9"/>
        <rFont val="宋体"/>
        <charset val="134"/>
      </rPr>
      <t>控制指标                  （元/m</t>
    </r>
    <r>
      <rPr>
        <b/>
        <vertAlign val="superscript"/>
        <sz val="9"/>
        <rFont val="宋体"/>
        <charset val="134"/>
      </rPr>
      <t>2）</t>
    </r>
  </si>
  <si>
    <t>总投资                                  （万元）</t>
  </si>
  <si>
    <t>土地费用</t>
  </si>
  <si>
    <t>地上可售面积分摊</t>
  </si>
  <si>
    <t>土地款</t>
  </si>
  <si>
    <t>土地契税</t>
  </si>
  <si>
    <t>土地费用*4%</t>
  </si>
  <si>
    <t>补偿对价</t>
  </si>
  <si>
    <t>土地交易费</t>
  </si>
  <si>
    <t>其他土地类支出</t>
  </si>
  <si>
    <t>耕地占用税</t>
  </si>
  <si>
    <t>用地面积*38元/㎡</t>
  </si>
  <si>
    <t>土地使用税</t>
  </si>
  <si>
    <t>用地面积*8元/㎡*年数</t>
  </si>
  <si>
    <t>印花税</t>
  </si>
  <si>
    <t>土地费用*0.05%</t>
  </si>
  <si>
    <t>前期费用</t>
  </si>
  <si>
    <t>规划面积分摊</t>
  </si>
  <si>
    <t>三通一平费</t>
  </si>
  <si>
    <t>2.1.1</t>
  </si>
  <si>
    <t>临电工程费</t>
  </si>
  <si>
    <t>1、实际签订合同34.8万元，预留3%变更
2、考虑3%，折合建面5.02元/㎡</t>
  </si>
  <si>
    <t>2.1.2</t>
  </si>
  <si>
    <t>临水工程费</t>
  </si>
  <si>
    <t>1、生活水费社区接入8元/t，总包承担5元/t，我司承担3元/吨（预留费用36.76万元）
2、折合见面5.15元/㎡</t>
  </si>
  <si>
    <t>2.1.3</t>
  </si>
  <si>
    <t>临路工程费</t>
  </si>
  <si>
    <t>1、实际修建一条临时施工道路，预估合同金额55万元（土方合同中），
2、合同签订一个施工开口23万/个
3、考虑3%变更折合建面11.26元/㎡</t>
  </si>
  <si>
    <t>2.1.4</t>
  </si>
  <si>
    <t>土地清表费</t>
  </si>
  <si>
    <t>1、苗木移植费用6.5万元</t>
  </si>
  <si>
    <t>临时设施</t>
  </si>
  <si>
    <t>2.2.1</t>
  </si>
  <si>
    <t>临时围墙/大门</t>
  </si>
  <si>
    <t>1、签订合同，3m高围挡179.98元/m*400；2.5高围挡158.11元/m*801
2、营销围挡及包装预留200m*1500元/m
3、预留3%变更
4、折合建面7.20元/㎡</t>
  </si>
  <si>
    <t>2.2.2</t>
  </si>
  <si>
    <t>临时办公室</t>
  </si>
  <si>
    <t>2.2.3</t>
  </si>
  <si>
    <t>临时场地租赁费</t>
  </si>
  <si>
    <t>1、物料堆放场地租赁5000元/亩*2亩*3年
2、折合建面0.42元/㎡</t>
  </si>
  <si>
    <t>勘探费用</t>
  </si>
  <si>
    <t>地下文物勘探/发掘</t>
  </si>
  <si>
    <t xml:space="preserve">1、区政府签订合同按用地单方16元/m2预留。
</t>
  </si>
  <si>
    <t>地质勘查</t>
  </si>
  <si>
    <t>1、签订合同：土层70元/m*636m；卵石层150元/m*2014m
2、考虑结算变更，折合建面5元/m2</t>
  </si>
  <si>
    <t>设计费</t>
  </si>
  <si>
    <t>2.3.1</t>
  </si>
  <si>
    <t>方案规划设计费</t>
  </si>
  <si>
    <t>1、合同已签订：
1）规划设计不收费；2）洋房建面*19元/㎡；3）叠拼32元/㎡*建面； 4）功能性车库8元/㎡*功能性面积 5）地下车库不收费
2、考虑3%变更，折合建面18.61元/㎡</t>
  </si>
  <si>
    <t>主楼地下</t>
  </si>
  <si>
    <t>车库</t>
  </si>
  <si>
    <t>2.3.2</t>
  </si>
  <si>
    <t>建筑施工图设计费</t>
  </si>
  <si>
    <t>1、合同已签订：
1）洋房12元/㎡；2）别墅*14元/㎡；3）配套14元/㎡； 4）主楼地下部分12元/㎡；5）地下车库10.5元/㎡
2、考虑5%变更，折合建面12.71元/㎡</t>
  </si>
  <si>
    <t>2.3.3</t>
  </si>
  <si>
    <t>人防设计</t>
  </si>
  <si>
    <t>1、合同已签订：人防面积*18元/㎡
2、考虑5%变更，折合建面1.045元/㎡</t>
  </si>
  <si>
    <t>2.3.4</t>
  </si>
  <si>
    <t>园林景观设计</t>
  </si>
  <si>
    <t>1、合同已签订：大区景观面积（27657.04）*20元/㎡
2、考虑5%变更，折合建面8.14元/㎡</t>
  </si>
  <si>
    <t>2.3.5</t>
  </si>
  <si>
    <t>装配式方案及施工图设计</t>
  </si>
  <si>
    <t>不涉及</t>
  </si>
  <si>
    <t>2.3.6</t>
  </si>
  <si>
    <t>车库BIM设计</t>
  </si>
  <si>
    <t>2.3.7</t>
  </si>
  <si>
    <t>专项设计</t>
  </si>
  <si>
    <t>2.3.7.1</t>
  </si>
  <si>
    <t>批量户型精装设计</t>
  </si>
  <si>
    <t>1、合同已签订：合同金额797915元；
2、考虑5%变更，折合建面11.74元/㎡</t>
  </si>
  <si>
    <t>2.3.7.2</t>
  </si>
  <si>
    <t>公区精装修设计</t>
  </si>
  <si>
    <t>合同已签订：
1、方案设计200元/㎡*380㎡（暂定）
2、施工图设计150元/㎡*605㎡
3、考虑3%变更，折合建面2.41元/㎡</t>
  </si>
  <si>
    <t>2.3.7.3</t>
  </si>
  <si>
    <t>大门外装设计</t>
  </si>
  <si>
    <t>大门幕墙及屋面深化设计（见补充协议）</t>
  </si>
  <si>
    <t>2.3.7.4</t>
  </si>
  <si>
    <t>物业用房装修设计</t>
  </si>
  <si>
    <t>后期售楼处拆改，预留150元/㎡*807㎡</t>
  </si>
  <si>
    <t>2.3.7.5</t>
  </si>
  <si>
    <t>供电设计</t>
  </si>
  <si>
    <t>合同签订：1）0.6元/㎡*建面+开闭所设计10000元
折合建面2.44元/㎡</t>
  </si>
  <si>
    <t>2.3.7.6</t>
  </si>
  <si>
    <t>智能化设计</t>
  </si>
  <si>
    <t>合同签订：1）0.4元/㎡*建面
预留3%变更，折合建面0.41元/㎡</t>
  </si>
  <si>
    <t>2.3.7.7</t>
  </si>
  <si>
    <t>自来水设计</t>
  </si>
  <si>
    <t>自来水造价的4%</t>
  </si>
  <si>
    <t>2.3.7.8</t>
  </si>
  <si>
    <t>燃气设计</t>
  </si>
  <si>
    <t>2.3.7.9</t>
  </si>
  <si>
    <t>热力设计</t>
  </si>
  <si>
    <t>2.3.7.10</t>
  </si>
  <si>
    <t>基坑支护降水设计</t>
  </si>
  <si>
    <t>合同签订：1）2万元，折合建面0.28元/㎡</t>
  </si>
  <si>
    <t>2.3.7.11</t>
  </si>
  <si>
    <t>车库导视划线设计</t>
  </si>
  <si>
    <t>与标牌设计合并</t>
  </si>
  <si>
    <t>2.3.7.12</t>
  </si>
  <si>
    <t>标识标牌设计</t>
  </si>
  <si>
    <t>1、按0.5元/㎡*建面</t>
  </si>
  <si>
    <t>2.3.7.13</t>
  </si>
  <si>
    <t>夜景照明设计</t>
  </si>
  <si>
    <t>1、合同已签订3.5万元，按0.5元/㎡*建面</t>
  </si>
  <si>
    <t>2.3.7.14</t>
  </si>
  <si>
    <t>门窗/幕墙深化设计</t>
  </si>
  <si>
    <t>合同已签订：
1、示范区售楼处外幕墙施工图设计+临时展厅外立面及钢结构设计1项50000元+补充协议16000元
2、大区门窗深化设计2.5元/㎡*22780㎡
3、考虑5%变更，折合建面1.82元/㎡</t>
  </si>
  <si>
    <t>2.3.7.15</t>
  </si>
  <si>
    <t>钢结构设计</t>
  </si>
  <si>
    <t>包含在门窗幕墙设计中</t>
  </si>
  <si>
    <t>2.3.7.16</t>
  </si>
  <si>
    <t>施工图优化设计</t>
  </si>
  <si>
    <t>包括结构优化预估按4.5元/m2计入</t>
  </si>
  <si>
    <t>2.3.7.17</t>
  </si>
  <si>
    <t>其他设计</t>
  </si>
  <si>
    <t>预留车位划线设计等1.5元/㎡</t>
  </si>
  <si>
    <t>报批报建费</t>
  </si>
  <si>
    <t>2.4.1</t>
  </si>
  <si>
    <t>办理用地手续</t>
  </si>
  <si>
    <t>2.4.11</t>
  </si>
  <si>
    <t>土地挂牌出让公示费</t>
  </si>
  <si>
    <t>1、2万元/项目
折合建面0.28元/㎡</t>
  </si>
  <si>
    <t>2.4.12</t>
  </si>
  <si>
    <t>宗地图及土地测绘</t>
  </si>
  <si>
    <t>已发生：13274元，折合建面0.19元/㎡</t>
  </si>
  <si>
    <t>2.4.13</t>
  </si>
  <si>
    <t>项目土壤污染物检测</t>
  </si>
  <si>
    <t>合同签订：13800元，折合建面0.2元/㎡</t>
  </si>
  <si>
    <t>2.4.2</t>
  </si>
  <si>
    <t>办规证费用</t>
  </si>
  <si>
    <t>2.4.2.1</t>
  </si>
  <si>
    <t>可行性研究编制</t>
  </si>
  <si>
    <t>1、签订合同1.5元/m2*建面</t>
  </si>
  <si>
    <t>2.4.2.2</t>
  </si>
  <si>
    <t>环境评估费</t>
  </si>
  <si>
    <t>2.4.2.3</t>
  </si>
  <si>
    <t>控规调整编制费用</t>
  </si>
  <si>
    <t>2.4.2.4</t>
  </si>
  <si>
    <t>大配套费及契税</t>
  </si>
  <si>
    <t>120元/㎡+配套契税*4%</t>
  </si>
  <si>
    <t>2.4.2.5</t>
  </si>
  <si>
    <t>建设项目用地位置（选址）测量</t>
  </si>
  <si>
    <t>2.4.2.6</t>
  </si>
  <si>
    <t>规划控制点引入测量（拔地定桩）</t>
  </si>
  <si>
    <t>2.4.2.7</t>
  </si>
  <si>
    <t>规划公示图制作安装</t>
  </si>
  <si>
    <t>预留0.3元/㎡</t>
  </si>
  <si>
    <t>2.4.2.8</t>
  </si>
  <si>
    <t>规划放线测量（楼体定位）</t>
  </si>
  <si>
    <t>5000元/栋*14（含车库），折合建面0.98元/㎡</t>
  </si>
  <si>
    <t>2.4.2.9</t>
  </si>
  <si>
    <t>水土保持方案</t>
  </si>
  <si>
    <t>已签合同0.63元/㎡，4.5万元</t>
  </si>
  <si>
    <t>2.4.2.10</t>
  </si>
  <si>
    <t>水土保持补偿费用</t>
  </si>
  <si>
    <t>2.4.2.11</t>
  </si>
  <si>
    <t>交通评估费</t>
  </si>
  <si>
    <t>2.4.2.12</t>
  </si>
  <si>
    <t>地震安全性评价费</t>
  </si>
  <si>
    <t>2.4.2.13</t>
  </si>
  <si>
    <t>日照分析、海绵城市、指标复核</t>
  </si>
  <si>
    <t>2.4.2.14</t>
  </si>
  <si>
    <t>其他办理规划证费用</t>
  </si>
  <si>
    <t>2.4.3</t>
  </si>
  <si>
    <t>办理施工证费用</t>
  </si>
  <si>
    <t>2.4.3.1</t>
  </si>
  <si>
    <t>施工图审查、抗震审查</t>
  </si>
  <si>
    <t>1、签订合同1元/m2*建面</t>
  </si>
  <si>
    <t>2.4.3.2</t>
  </si>
  <si>
    <t>人防施工图审查</t>
  </si>
  <si>
    <t>包含在上述合同中</t>
  </si>
  <si>
    <t>2.4.3.3</t>
  </si>
  <si>
    <t>深基坑施工现场周边环境安全评估</t>
  </si>
  <si>
    <t>2.4.3.4</t>
  </si>
  <si>
    <t>绿色建筑技术服务协议</t>
  </si>
  <si>
    <t>2.4.3.5</t>
  </si>
  <si>
    <t>消防审查图纸备案扫描费</t>
  </si>
  <si>
    <t>扫描图纸费用</t>
  </si>
  <si>
    <t>2.4.3.6</t>
  </si>
  <si>
    <t>农民工工资保障金
（担保费）</t>
  </si>
  <si>
    <t>已签订合同11.8万元折合建面1.65元/㎡</t>
  </si>
  <si>
    <t>2.4.3.7</t>
  </si>
  <si>
    <t>农民工工资保障金
（反担保费）</t>
  </si>
  <si>
    <t>2.4.3.8</t>
  </si>
  <si>
    <t>工程款支付担保费用</t>
  </si>
  <si>
    <t>2.4.3.9</t>
  </si>
  <si>
    <t>工程招投标代理服务</t>
  </si>
  <si>
    <t>2.4.3.10</t>
  </si>
  <si>
    <t>违规开工处罚缴费</t>
  </si>
  <si>
    <t>2.4.3.11</t>
  </si>
  <si>
    <t>建筑垃圾处理费</t>
  </si>
  <si>
    <t>已预缴450000元，剩余金额后期交付，折合建面15.69元/㎡</t>
  </si>
  <si>
    <t>2.4.3.12</t>
  </si>
  <si>
    <t>水土保持监测及验收</t>
  </si>
  <si>
    <t>预留10万元，后期检测及验收费用</t>
  </si>
  <si>
    <t>2.4.3.13</t>
  </si>
  <si>
    <t>地下水资源使用费</t>
  </si>
  <si>
    <t>2.4.3.14</t>
  </si>
  <si>
    <t>其他办理施工证费用</t>
  </si>
  <si>
    <t>1、地名0.3
2、公告0.42</t>
  </si>
  <si>
    <t>2.4.4</t>
  </si>
  <si>
    <t>办理预售证费用</t>
  </si>
  <si>
    <t>2.4.4.1</t>
  </si>
  <si>
    <t>联机备案技术服务费</t>
  </si>
  <si>
    <t>2.4.4.2</t>
  </si>
  <si>
    <t>物业投标标代理服务费</t>
  </si>
  <si>
    <t>物业招标预留0.7元/㎡</t>
  </si>
  <si>
    <t>2.4.4.3</t>
  </si>
  <si>
    <t>栋楼预落宗</t>
  </si>
  <si>
    <t>合同共签订（合并测绘合同）：落宗图700元/栋*12栋（含地库）
折合建面：0.12元/㎡</t>
  </si>
  <si>
    <t>2.4.4.4</t>
  </si>
  <si>
    <t>房产面积预测绘费</t>
  </si>
  <si>
    <t>1、签订合同：
1）房产测绘0.33元/m2*建面；
2）楼体定位500元/栋*12栋（含地库）
3）规划核实0.33元/m2*建面
4）房产实测0.34元/m2*建面
5）实测坐标800元/栋*12栋（含地库）
6）竣工测量800元/栋*12栋（含地库）
7）落宗图700元/栋*12栋（含地库）
8）车位复核0
9）人防面积核实0.3元/m2*人防面积
10）绿地核实2000元/项目
合计233965.29元，折合建面3.28元/㎡</t>
  </si>
  <si>
    <t>2.4.5</t>
  </si>
  <si>
    <t>办理权证费用</t>
  </si>
  <si>
    <t>2.4.5.1</t>
  </si>
  <si>
    <t>规划核实面积测绘</t>
  </si>
  <si>
    <t>计入房产面积测绘合同</t>
  </si>
  <si>
    <t>2.4.5.2</t>
  </si>
  <si>
    <t>房产面积实测</t>
  </si>
  <si>
    <t>2.4.5.3</t>
  </si>
  <si>
    <t>实测坐标图</t>
  </si>
  <si>
    <t>2.4.5.4</t>
  </si>
  <si>
    <t>实测落宗图</t>
  </si>
  <si>
    <t>2.4.5.5</t>
  </si>
  <si>
    <t>竣工测量图</t>
  </si>
  <si>
    <t>2.4.5.6</t>
  </si>
  <si>
    <t>人防面积实测</t>
  </si>
  <si>
    <t>2.4.5.7</t>
  </si>
  <si>
    <t>绿化面积实测</t>
  </si>
  <si>
    <t>2.4.5.8</t>
  </si>
  <si>
    <t>档案馆移交图纸扫描费</t>
  </si>
  <si>
    <t>预留8000元/栋*12</t>
  </si>
  <si>
    <t>2.4.5.9</t>
  </si>
  <si>
    <t>交房两书费</t>
  </si>
  <si>
    <t>550元/户*250，折合建面1.93元/㎡</t>
  </si>
  <si>
    <t>2.4.5.10</t>
  </si>
  <si>
    <t>大产权登记费</t>
  </si>
  <si>
    <t>0.47元/㎡</t>
  </si>
  <si>
    <t>2.4.5.11</t>
  </si>
  <si>
    <t>分户产权登记费</t>
  </si>
  <si>
    <t>预留配套及商业2万元</t>
  </si>
  <si>
    <t>2.4.5.12</t>
  </si>
  <si>
    <t>公共维修基金</t>
  </si>
  <si>
    <t>暂不涉及</t>
  </si>
  <si>
    <t>2.4.6</t>
  </si>
  <si>
    <t>其他部门费用</t>
  </si>
  <si>
    <t>2.4.6.1</t>
  </si>
  <si>
    <t>环评验收费</t>
  </si>
  <si>
    <t>2.4.6.2</t>
  </si>
  <si>
    <t>道路开口费用</t>
  </si>
  <si>
    <t>1、2个正式开口主65万元+次50万元</t>
  </si>
  <si>
    <t>2.4.6.3</t>
  </si>
  <si>
    <t>市政道路占用挖掘修复费</t>
  </si>
  <si>
    <t>2.4.6.4</t>
  </si>
  <si>
    <t>防雷检测费用</t>
  </si>
  <si>
    <t>合同签订：总建筑面积*0.25元/m2</t>
  </si>
  <si>
    <t>2.4.6.5</t>
  </si>
  <si>
    <t>高可靠供配电费</t>
  </si>
  <si>
    <t>1、285元/kv*1200KVA</t>
  </si>
  <si>
    <t>2.4.6.6</t>
  </si>
  <si>
    <t>供配电工程资产评估费用</t>
  </si>
  <si>
    <t>移交资产的1.5%</t>
  </si>
  <si>
    <t>2.4.6.7</t>
  </si>
  <si>
    <t>其他手续费用</t>
  </si>
  <si>
    <t>1、签订合同
3）动力触探检测200元/点*据实结算
6)其他预留，</t>
  </si>
  <si>
    <t>咨询服务</t>
  </si>
  <si>
    <t>2.5.1</t>
  </si>
  <si>
    <t>工程造价咨询服务</t>
  </si>
  <si>
    <t>1、转固费率0.92‰*转固价
2、预算编制价0.97‰中标价
暂按5元/m2*建面计入</t>
  </si>
  <si>
    <t>2.5.2</t>
  </si>
  <si>
    <t>建设工程监理服务费</t>
  </si>
  <si>
    <t>1、签订合同7.5元/m2*建面，
2、按延期半年每月1万元考虑</t>
  </si>
  <si>
    <t>2.5.3</t>
  </si>
  <si>
    <t>人防监理服务费</t>
  </si>
  <si>
    <t>同上</t>
  </si>
  <si>
    <t>2.5.4</t>
  </si>
  <si>
    <t>精装监理服务费</t>
  </si>
  <si>
    <t>2.5.5</t>
  </si>
  <si>
    <t>其他咨询服务费</t>
  </si>
  <si>
    <t>仲裁等</t>
  </si>
  <si>
    <t>建安工程费</t>
  </si>
  <si>
    <t>实际数据分摊</t>
  </si>
  <si>
    <t>建设工程施工总承包
（土建+安装）</t>
  </si>
  <si>
    <t>土方面积分摊</t>
  </si>
  <si>
    <t>总面积</t>
  </si>
  <si>
    <t>甲分包工程</t>
  </si>
  <si>
    <t>配套房</t>
  </si>
  <si>
    <t>人防车库</t>
  </si>
  <si>
    <t>非人防车库</t>
  </si>
  <si>
    <t>3.2.1</t>
  </si>
  <si>
    <t>土方工程</t>
  </si>
  <si>
    <t>1、合同签订，金额4973762元；
2、折合地下单方216.12元/㎡
3、详见后列</t>
  </si>
  <si>
    <t>3.2.2</t>
  </si>
  <si>
    <t>基础换填/处理</t>
  </si>
  <si>
    <t>局部换填，安定级配砂砾石换填，160万元（二次复核），折合建面22.42元/㎡</t>
  </si>
  <si>
    <t>3.2.3</t>
  </si>
  <si>
    <t>围墙基础挡墙加固费用</t>
  </si>
  <si>
    <t>包含在围挡工程中</t>
  </si>
  <si>
    <t>3.2.4</t>
  </si>
  <si>
    <t>基坑边坡支护、降水</t>
  </si>
  <si>
    <t>合同签订226.8万元，预留3%变更折合建面32.73元/㎡</t>
  </si>
  <si>
    <t>3.2.5</t>
  </si>
  <si>
    <t>桩基工程费</t>
  </si>
  <si>
    <t>3.2.6</t>
  </si>
  <si>
    <t>入户门</t>
  </si>
  <si>
    <t>钢制防盗门+指纹密码锁/1.3米X2.4米实木装甲门*5000/户（中档密码锁）</t>
  </si>
  <si>
    <t>3.2.7</t>
  </si>
  <si>
    <t>密码锁</t>
  </si>
  <si>
    <t>并入入户门合同</t>
  </si>
  <si>
    <t>3.2.8</t>
  </si>
  <si>
    <t>防火门</t>
  </si>
  <si>
    <t>钢制转印防火门系数0.033*建面*480元/m2</t>
  </si>
  <si>
    <t>3.2.9</t>
  </si>
  <si>
    <t xml:space="preserve">外窗工程 </t>
  </si>
  <si>
    <t>叠墅*0.33系数*700元/m2+洋房0.28*面积*700+物业房0.2*550+叠墅封阳台150*600</t>
  </si>
  <si>
    <t>3.2.10</t>
  </si>
  <si>
    <t>外墙保温及涂料</t>
  </si>
  <si>
    <t>1、保温105*地上建面*0.75系数
2、真石漆/晶彩石+仿木纹铝板/铝板/玻璃幕墙地上建面*1.25*120元/m2</t>
  </si>
  <si>
    <t>3.2.11</t>
  </si>
  <si>
    <t>栏杆、百叶</t>
  </si>
  <si>
    <t>0.18*面积</t>
  </si>
  <si>
    <t>3.2.12</t>
  </si>
  <si>
    <t>外装饰（基座石材幕墙、单元入口门头、采光井雨棚等）工程</t>
  </si>
  <si>
    <t>1、首层（不含小院）-石材/铝板
2、地上建面*0.2*800元/m2</t>
  </si>
  <si>
    <t>3.2.13</t>
  </si>
  <si>
    <t>大堂及公共区域精装修</t>
  </si>
  <si>
    <t>1、别墅：大堂43m2*3000元/m2+软装300元/m2*11单元数；负一层装修2000元/m2*装饰面积406
；光厅(800元/㎡*面积220；标准层楼梯间装饰1200元/m2*面积167
2、洋房：大堂480m2*3000元/m2+软装300元/m2；负一层装修2000元/m2*装饰面积560；光厅(800元/㎡*面积400；标准层楼梯间装饰1200元/m2*面积3300</t>
  </si>
  <si>
    <t>3.2.14</t>
  </si>
  <si>
    <t>电动玻璃门</t>
  </si>
  <si>
    <t>包含在精装中</t>
  </si>
  <si>
    <t>3.2.15</t>
  </si>
  <si>
    <t>户内批量精装修</t>
  </si>
  <si>
    <t>3.2.16</t>
  </si>
  <si>
    <t>电梯工程</t>
  </si>
  <si>
    <t>合同签订：5099700+电梯提前使用维修1万元/单元</t>
  </si>
  <si>
    <t>3.2.17</t>
  </si>
  <si>
    <t>消防工程</t>
  </si>
  <si>
    <t>预留地上20元*面积，车库*160元*面积，折合建面67.05元/m2</t>
  </si>
  <si>
    <t>3.2.18</t>
  </si>
  <si>
    <t>智能化工程</t>
  </si>
  <si>
    <t>预留40元/㎡*地上建面</t>
  </si>
  <si>
    <t>3.2.19</t>
  </si>
  <si>
    <t>地暖工程</t>
  </si>
  <si>
    <t>预留115元/㎡（含分集水器、盘管、保温层、回填混凝土）*销售面积</t>
  </si>
  <si>
    <t>3.2.20</t>
  </si>
  <si>
    <t>中央空调工程</t>
  </si>
  <si>
    <t>500元/m2*销售面积</t>
  </si>
  <si>
    <t>3.2.21</t>
  </si>
  <si>
    <t>新风设备工程</t>
  </si>
  <si>
    <t>包含在中央空调中</t>
  </si>
  <si>
    <t>3.2.22</t>
  </si>
  <si>
    <t>楼体亮化工程</t>
  </si>
  <si>
    <t>地上建面*6元/m2，折合建面 4.13 元/m2</t>
  </si>
  <si>
    <t>3.2.23</t>
  </si>
  <si>
    <t>标识、标牌</t>
  </si>
  <si>
    <t>预留：3.8元/㎡*建面</t>
  </si>
  <si>
    <t>3.2.24</t>
  </si>
  <si>
    <t>车库地坪及划线工程</t>
  </si>
  <si>
    <t>预留：120元/㎡*地下建面</t>
  </si>
  <si>
    <t>地下</t>
  </si>
  <si>
    <t>3.2.25</t>
  </si>
  <si>
    <t>机械停车设备安装</t>
  </si>
  <si>
    <t>3.2.26</t>
  </si>
  <si>
    <t>充电桩采购安装</t>
  </si>
  <si>
    <t>1、100%预留接口
2、400个*7000*30%</t>
  </si>
  <si>
    <t>营销设施建造费</t>
  </si>
  <si>
    <t>可售分摊</t>
  </si>
  <si>
    <t>3.3.1</t>
  </si>
  <si>
    <t>售楼部室内精装设计</t>
  </si>
  <si>
    <t>2、样板间及售楼部设计-已签订45.215万</t>
  </si>
  <si>
    <t>户内</t>
  </si>
  <si>
    <t>3.3.2</t>
  </si>
  <si>
    <t>样板间精装设计</t>
  </si>
  <si>
    <t>3.3.3</t>
  </si>
  <si>
    <t>售楼部外幕墙设计</t>
  </si>
  <si>
    <t>并入上述设计费用</t>
  </si>
  <si>
    <t>3.3.4</t>
  </si>
  <si>
    <t>售楼部泛光照明设计</t>
  </si>
  <si>
    <t>含在大区内</t>
  </si>
  <si>
    <t>3.3.5</t>
  </si>
  <si>
    <t>售楼部空调设计</t>
  </si>
  <si>
    <t>3.3.6</t>
  </si>
  <si>
    <t>售楼部智能化设计</t>
  </si>
  <si>
    <t>3.3.7</t>
  </si>
  <si>
    <t>示范区景观设计</t>
  </si>
  <si>
    <t>示范区景观面积3300*20元/㎡</t>
  </si>
  <si>
    <t>3.3.8</t>
  </si>
  <si>
    <t>售楼部室内精装修工程（含水源、电源接入）</t>
  </si>
  <si>
    <t>1、合同已签订：390万元，增加：外保温、真石漆、楼梯等变更，变更金额约50万元</t>
  </si>
  <si>
    <t>3.3.9</t>
  </si>
  <si>
    <t>售楼部软装工程</t>
  </si>
  <si>
    <t>3、样板房及售楼处软装设计-已签订78.99万元+补充协议1.7万元，考虑10%变更</t>
  </si>
  <si>
    <t>3.3.10</t>
  </si>
  <si>
    <t>售楼部外装工程</t>
  </si>
  <si>
    <t>含在装修合同内</t>
  </si>
  <si>
    <t>3.3.11</t>
  </si>
  <si>
    <t>售楼部智能化</t>
  </si>
  <si>
    <t>3.3.12</t>
  </si>
  <si>
    <t>售楼部消防工程</t>
  </si>
  <si>
    <t>3.3.13</t>
  </si>
  <si>
    <t>售楼部泛光照明</t>
  </si>
  <si>
    <t>3.3.14</t>
  </si>
  <si>
    <t>售楼部标识标牌</t>
  </si>
  <si>
    <t>3.3.15</t>
  </si>
  <si>
    <t>示范区景观施工合同（含精神堡垒等）</t>
  </si>
  <si>
    <t>1、合同已签订439万元，预估变更及增减内容185万元。增加了屋面铝板（29万元）、增加幕墙、外景观调整，示范区前场品质提升（围挡拆除及重建，中间道路绿化）240m*/+绿化提升</t>
  </si>
  <si>
    <t>3.3.16</t>
  </si>
  <si>
    <t>售楼部空调工程</t>
  </si>
  <si>
    <t>3.3.17</t>
  </si>
  <si>
    <t>样板间精装修工程</t>
  </si>
  <si>
    <t>预留：5000元/㎡*165㎡，预留5%变更</t>
  </si>
  <si>
    <t>3.3.18</t>
  </si>
  <si>
    <t>样板间软装工程</t>
  </si>
  <si>
    <t>3.3.19</t>
  </si>
  <si>
    <t>临时样板间主体工程</t>
  </si>
  <si>
    <t>新增项</t>
  </si>
  <si>
    <t>样板间外装工程</t>
  </si>
  <si>
    <t>3.3.20</t>
  </si>
  <si>
    <t>营销通道（看房通道）装饰工程</t>
  </si>
  <si>
    <t>新增项60万</t>
  </si>
  <si>
    <t>城市展厅精装</t>
  </si>
  <si>
    <t>合同签订26.10万元</t>
  </si>
  <si>
    <t>3.3.21</t>
  </si>
  <si>
    <t>营销展示围挡</t>
  </si>
  <si>
    <t>展示区拆除及恢复</t>
  </si>
  <si>
    <t>预留30万元</t>
  </si>
  <si>
    <t>建筑工程检测费用</t>
  </si>
  <si>
    <t>3.4.1</t>
  </si>
  <si>
    <t>土壤氡检测</t>
  </si>
  <si>
    <t>1、签订合同：土壤冬3000元</t>
  </si>
  <si>
    <t>全部</t>
  </si>
  <si>
    <t>3.4.2</t>
  </si>
  <si>
    <t>基础承载力检测</t>
  </si>
  <si>
    <t>1、签订合同：地基 检测2500元/点*36个点</t>
  </si>
  <si>
    <t>3.4.3</t>
  </si>
  <si>
    <t>桩基检测</t>
  </si>
  <si>
    <t>3.4.4</t>
  </si>
  <si>
    <t>抗浮锚杆检测</t>
  </si>
  <si>
    <t>3.4.5</t>
  </si>
  <si>
    <t>原土强夯检测</t>
  </si>
  <si>
    <t>3.4.6</t>
  </si>
  <si>
    <t>结构违规（鉴定）检测</t>
  </si>
  <si>
    <t>3.4.7</t>
  </si>
  <si>
    <t>基坑位移监测</t>
  </si>
  <si>
    <t>基坑及沉降分摊，已签订合同：17.88万元，预留3%变更</t>
  </si>
  <si>
    <t>3.4.8</t>
  </si>
  <si>
    <t>主体沉降观测</t>
  </si>
  <si>
    <t>3.4.9</t>
  </si>
  <si>
    <t>室内环境检测</t>
  </si>
  <si>
    <t>1）室内环境检测0.23元/m2</t>
  </si>
  <si>
    <t>3.4.10</t>
  </si>
  <si>
    <t>建筑节能检测</t>
  </si>
  <si>
    <t>3.4.11</t>
  </si>
  <si>
    <t>其他检测费</t>
  </si>
  <si>
    <t>甲供材/认价材料</t>
  </si>
  <si>
    <t>3.5.1</t>
  </si>
  <si>
    <t>配电箱（柜）</t>
  </si>
  <si>
    <t>8元/㎡*建面</t>
  </si>
  <si>
    <t>3.5.2</t>
  </si>
  <si>
    <t>排污泵</t>
  </si>
  <si>
    <t>6元/㎡*地下建筑面积，结合历史指标，提高品牌档次</t>
  </si>
  <si>
    <t>地下车库面积</t>
  </si>
  <si>
    <t>3.5.3</t>
  </si>
  <si>
    <t>防水卷材</t>
  </si>
  <si>
    <t>总包内认价材料</t>
  </si>
  <si>
    <t>市政基础设施费</t>
  </si>
  <si>
    <t>供配电</t>
  </si>
  <si>
    <t>4.1.1</t>
  </si>
  <si>
    <t>供配电外网工程费用</t>
  </si>
  <si>
    <t>按照1.5公里预留*170万元/KM</t>
  </si>
  <si>
    <t>4.1.2</t>
  </si>
  <si>
    <t>红线内电力工程费</t>
  </si>
  <si>
    <t>建筑面积*70元/m2</t>
  </si>
  <si>
    <t>市政供水工程</t>
  </si>
  <si>
    <t>4.2.1</t>
  </si>
  <si>
    <t>打（自备）井及供水设备</t>
  </si>
  <si>
    <t>4.2.2</t>
  </si>
  <si>
    <t>市政自来水工程</t>
  </si>
  <si>
    <t>地上建面75元/㎡，参照62一期指标50元/m2</t>
  </si>
  <si>
    <t>市政燃气工程</t>
  </si>
  <si>
    <t>6800元/户*总户数，参考云熙府及近期其他公司价格</t>
  </si>
  <si>
    <t>供热基础设施费</t>
  </si>
  <si>
    <t>4.8.1</t>
  </si>
  <si>
    <t>供热分户计量热表</t>
  </si>
  <si>
    <t>4.8.2</t>
  </si>
  <si>
    <t>供热工程一次网、换热站、二次网至热力入口</t>
  </si>
  <si>
    <t>135元/㎡*地上建面</t>
  </si>
  <si>
    <t>院区雨污管网</t>
  </si>
  <si>
    <t>4.5.1</t>
  </si>
  <si>
    <t>雨水、污水排水工程</t>
  </si>
  <si>
    <t>40元/㎡*绿地面积27657.014，</t>
  </si>
  <si>
    <t>4.5.2</t>
  </si>
  <si>
    <t>红线外排水（排水开口费）</t>
  </si>
  <si>
    <t>环境工程</t>
  </si>
  <si>
    <t>4.13.1</t>
  </si>
  <si>
    <t>园建工程（含围墙、景观构筑物、车库雨棚等不含围墙基础加固）</t>
  </si>
  <si>
    <t>550元/㎡*绿地面积27657.014，</t>
  </si>
  <si>
    <t>4.13.1.1</t>
  </si>
  <si>
    <t>绿化工程</t>
  </si>
  <si>
    <t>4.13.1.2</t>
  </si>
  <si>
    <t>小品、雕塑</t>
  </si>
  <si>
    <t>4.13.1.3</t>
  </si>
  <si>
    <t>体育器材</t>
  </si>
  <si>
    <t>光纤入户（三网合一）</t>
  </si>
  <si>
    <t>126元/户*户数，62地块一期价格</t>
  </si>
  <si>
    <t>有限电视</t>
  </si>
  <si>
    <t>240元/户*户数</t>
  </si>
  <si>
    <t>中水基础设施费</t>
  </si>
  <si>
    <t>热水工程</t>
  </si>
  <si>
    <t>直饮水工程</t>
  </si>
  <si>
    <t>邮政（信报箱）</t>
  </si>
  <si>
    <t>300元/户，参照定标价格</t>
  </si>
  <si>
    <t>其他市政基础工程费</t>
  </si>
  <si>
    <t>公用配套设施</t>
  </si>
  <si>
    <t>会所</t>
  </si>
  <si>
    <t>社区服务用房</t>
  </si>
  <si>
    <t>公厕、开闭所</t>
  </si>
  <si>
    <t>独立车库</t>
  </si>
  <si>
    <t>5.6.1</t>
  </si>
  <si>
    <t>人防门设备安装</t>
  </si>
  <si>
    <t>合同基本确认，57万元</t>
  </si>
  <si>
    <t>5.6.2</t>
  </si>
  <si>
    <t>人防防化设备安装</t>
  </si>
  <si>
    <t>防化设备：70*面积</t>
  </si>
  <si>
    <t>5.6.3</t>
  </si>
  <si>
    <t>人防标识标牌</t>
  </si>
  <si>
    <t>5.6.4</t>
  </si>
  <si>
    <t>人防设备检测</t>
  </si>
  <si>
    <t>5.7.1</t>
  </si>
  <si>
    <t>物业用房装修</t>
  </si>
  <si>
    <t>332㎡*1000元/㎡</t>
  </si>
  <si>
    <t>垃圾中转站</t>
  </si>
  <si>
    <t>小区大门</t>
  </si>
  <si>
    <t>小区主入口大门装修按80万元，次入口大门装修费用60万元</t>
  </si>
  <si>
    <t>代建市政道路</t>
  </si>
  <si>
    <t>后期交付道路修建：300元/㎡*6m宽*1000m长</t>
  </si>
  <si>
    <t>代建市政绿化</t>
  </si>
  <si>
    <t>其他公用配套设施</t>
  </si>
  <si>
    <t>一</t>
  </si>
  <si>
    <t>直接成本小计（含土地）</t>
  </si>
  <si>
    <t>二</t>
  </si>
  <si>
    <t>直接成本小计（不含土地）</t>
  </si>
  <si>
    <t>财务费用</t>
  </si>
  <si>
    <t>销售费用</t>
  </si>
  <si>
    <t>管理费用</t>
  </si>
  <si>
    <t>期间费用</t>
  </si>
  <si>
    <t>成本分摊</t>
  </si>
  <si>
    <t>说明</t>
  </si>
  <si>
    <t>单车位实际成本
（万元/个）</t>
  </si>
  <si>
    <t>总金额</t>
  </si>
  <si>
    <t>分摊直接成本（含土地）</t>
  </si>
  <si>
    <t>车位数量</t>
  </si>
  <si>
    <t>分摊直接成本（不含土地）</t>
  </si>
  <si>
    <t>配套工程成本总金额</t>
  </si>
  <si>
    <t>分摊配套工程成本</t>
  </si>
  <si>
    <t>配套成本金额分摊到地上可售</t>
  </si>
  <si>
    <t>配套工程分摊可售单方</t>
  </si>
  <si>
    <t>车位销售收入</t>
  </si>
  <si>
    <t>分摊储藏室改造成本</t>
  </si>
  <si>
    <t>按业态实际计算</t>
  </si>
  <si>
    <t>车库建安</t>
  </si>
  <si>
    <t>分摊车库成本</t>
  </si>
  <si>
    <t>地下成本扣减车位销售收入后分摊地上可售</t>
  </si>
  <si>
    <t>可售分摊成本</t>
  </si>
  <si>
    <t>分摊配套工程期间费用</t>
  </si>
  <si>
    <t>配套三费金额分摊到地上可售</t>
  </si>
  <si>
    <t>分摊地下车库财务费用</t>
  </si>
  <si>
    <t>分摊地下车库管理费用</t>
  </si>
  <si>
    <t>按业态直接成本（含土地）</t>
  </si>
  <si>
    <t>分摊车库财务期间费用</t>
  </si>
  <si>
    <t>按业态直接成本（不含土地）</t>
  </si>
  <si>
    <t>分摊车库财务费用可售单方</t>
  </si>
  <si>
    <t>分摊车库管理费用</t>
  </si>
  <si>
    <t>洛龙区八里堂地块动态成本汇总表</t>
  </si>
  <si>
    <t>总投资</t>
  </si>
  <si>
    <t>合同状态</t>
  </si>
  <si>
    <t>2023年8月份</t>
  </si>
  <si>
    <t>本月与目标成本偏差</t>
  </si>
  <si>
    <t>本月与上月成本偏差</t>
  </si>
  <si>
    <t>（万元）</t>
  </si>
  <si>
    <t>（元）</t>
  </si>
  <si>
    <t>科目名称</t>
  </si>
  <si>
    <t>动态成本</t>
  </si>
  <si>
    <t>合同金额</t>
  </si>
  <si>
    <t>签证变更</t>
  </si>
  <si>
    <t>待发生合约规划
（待签合同）</t>
  </si>
  <si>
    <t>已付款金额</t>
  </si>
  <si>
    <t>预计结算金额</t>
  </si>
  <si>
    <t>可释放金额</t>
  </si>
  <si>
    <t>计算说明</t>
  </si>
  <si>
    <t>调整金额
（+释放，-调增）</t>
  </si>
  <si>
    <t>偏差说明</t>
  </si>
  <si>
    <t>上月动态成本</t>
  </si>
  <si>
    <t>悠然居展厅项目</t>
  </si>
  <si>
    <t>科目</t>
  </si>
  <si>
    <t>合同</t>
  </si>
  <si>
    <t>已结算</t>
  </si>
  <si>
    <t>未结算</t>
  </si>
  <si>
    <t>合约规划</t>
  </si>
  <si>
    <t>苗木开口+道路开口</t>
  </si>
  <si>
    <t>无此项</t>
  </si>
  <si>
    <t>合并一个合同</t>
  </si>
  <si>
    <t>1、合同已签订：大区景观面积30000*20元/㎡
2、考虑5%变更，折合建面8.14元/㎡</t>
  </si>
  <si>
    <t>合并至悠然居项目外幕墙设计合同</t>
  </si>
  <si>
    <t>已预缴656700元，剩余金额后期交付</t>
  </si>
  <si>
    <t>八里堂项目地块原始地貌地形测绘</t>
  </si>
  <si>
    <t>八里堂调整指标咨询合同（开发未提供）7万元</t>
  </si>
  <si>
    <t>已签订未结算</t>
  </si>
  <si>
    <t>并入总承包工程</t>
  </si>
  <si>
    <t>使用换填平衡</t>
  </si>
  <si>
    <t>1、合同已签订：390万元，增加：外保温、真石漆、楼梯等变更，扣除大门精装，变更金额约60万元</t>
  </si>
  <si>
    <t>悠然居项目主体检测、见证取样、节能检测、室内环境检测、地基检测、动力触探、土壤氡、防雷检测工程施工合同</t>
  </si>
  <si>
    <t>黄色标注合并合同，超出金额主体及节能从总包中扣除</t>
  </si>
  <si>
    <t>4.4.1</t>
  </si>
  <si>
    <t>4.4.2</t>
  </si>
  <si>
    <t>4.6.1</t>
  </si>
  <si>
    <t>4.6.2</t>
  </si>
  <si>
    <t>4.6.3</t>
  </si>
  <si>
    <t>4.6.4</t>
  </si>
  <si>
    <t>悠然居项目变更台账</t>
  </si>
  <si>
    <t>对应科目</t>
  </si>
  <si>
    <t>现场签证单编号</t>
  </si>
  <si>
    <t>签证内容</t>
  </si>
  <si>
    <t>下发日期</t>
  </si>
  <si>
    <t>签证预
估金额
（含增值税）</t>
  </si>
  <si>
    <t>签证最终
确认金额
（含增值税）</t>
  </si>
  <si>
    <t>施工单位</t>
  </si>
  <si>
    <t>示范区工程</t>
  </si>
  <si>
    <t>悠然居项目售楼部室内精装、外幕墙、亮化、智能化及空调工程施工合同</t>
  </si>
  <si>
    <t>1.新增二层办公室钢结构及通往二层钢楼梯
2.新增二层办公室及钢楼梯装饰工程
3.增加120F空调机一台及相关电气管线风管
4.增加售楼部及会客厅外墙岩棉保温及真石漆工程
5.售楼部3-4轴交1/A-A轴墙体
6.增加软装灯具加固</t>
  </si>
  <si>
    <t>2023.7.21</t>
  </si>
  <si>
    <t>深圳广玉源装饰设计工程有限公司</t>
  </si>
  <si>
    <t>增加镀锌白铁皮及排风系统</t>
  </si>
  <si>
    <t>2023.8.4</t>
  </si>
  <si>
    <t>DS-20230628</t>
  </si>
  <si>
    <t>门楼增加泛光灯照明</t>
  </si>
  <si>
    <t>2023.6.28</t>
  </si>
  <si>
    <t>1：售楼处原影音室功能取消，调整为半开放茶室，故方案调整。
2：售楼处办公区域木饰面格栅暗门取消，调整为平板木饰面。
3:售楼处 C 轴交 D 轴处过道立面石材造型做法取消，调整为木饰面2023.8.5日变更</t>
  </si>
  <si>
    <t>2023.6.16</t>
  </si>
  <si>
    <t>变更内容：
1：售楼处前厅两个金属构架隔断取消
2：售楼处前厅背景墙 ST-06 灰色大理石调整为岩板
3: 售楼处后厅红酒雪茄室电视背景墙移门取消，背景墙 PU 石材取消，阻燃版基层施工，整体由软装考虑。电视背景墙柜体优化隔断空间
4：售楼处公共卫生间墙面 ST-02 深色大理石调整为 CT-02 瓷砖
5：售楼处半开放茶室实木隔断取消
7: 售楼处半开放茶室屏风底座石材改为固定家具增加支撑
8：售楼处北侧办公室入口暗门，门表做法变更，变更立面图</t>
  </si>
  <si>
    <t>2023.6.26</t>
  </si>
  <si>
    <t>GYY-20230801</t>
  </si>
  <si>
    <t>室内铝板厚度调整1.0厚调整为2.0厚度</t>
  </si>
  <si>
    <t>2023.8.1</t>
  </si>
  <si>
    <t>幕墙变更，玻璃天窗减少增加铝板屋顶，增加铝板挑檐，钢制套芯</t>
  </si>
  <si>
    <t>2023.7.10</t>
  </si>
  <si>
    <t>2023/7/</t>
  </si>
  <si>
    <t>智能化变更，室外电气管线微调，增加室外音响一台</t>
  </si>
  <si>
    <t>2023.7.12</t>
  </si>
  <si>
    <t>电气变更一07.19版本增加回路电气调整</t>
  </si>
  <si>
    <t>2023.7.19</t>
  </si>
  <si>
    <t>电气变更一08.01版本增加空调配电箱及电气回路调整</t>
  </si>
  <si>
    <t>2023.8.17</t>
  </si>
  <si>
    <t>二层增加断桥铝合金窗户一樘</t>
  </si>
  <si>
    <t>2023.8.7</t>
  </si>
  <si>
    <t>GYY-20230823</t>
  </si>
  <si>
    <t>灯具变更</t>
  </si>
  <si>
    <t>2023.8.23</t>
  </si>
  <si>
    <t>增加洗手台下石材柱体，增加电脑</t>
  </si>
  <si>
    <t>2023.8.18</t>
  </si>
  <si>
    <t>1.女卫生间E30立面深色大理石墙面，考虑到卫生间空间实际使用面积，改为木饰面隔断封堵
2.墙面原设计9mm阻燃板基层调整为12mm阻燃板基层
3.空调风口,开关/插座/灯具等预留末端点位以装饰图纸为准，软装灯具预留点位以签字下发纸质版文件为准</t>
  </si>
  <si>
    <t>1.售楼部石材内墙钢架龙骨隔墙基层原设计为40镀锌方管，调整为50*100方钢竖向600mm排列与40方钢横向2000mm，竖向600mm排列
2.增加二层平面变更：①一层办公区隔墙取消，插座灯具等点位变更②二层增加吊顶/隔墙/灯具/开关/插座/门/地面装饰层等
3.会客厅①轴原砌体墙未施工，由内装单位在原砌体位置50*100方钢竖向600mm间距排列+40方钢横向2000mm间距排列，竖向600mm排列新建钢架墙体基础</t>
  </si>
  <si>
    <t>增加地漏</t>
  </si>
  <si>
    <t>洛阳市洛龙区悠然居项目展示区景观及室外管网工程施工合同</t>
  </si>
  <si>
    <t>河南泽坤园林绿化工程有限公司</t>
  </si>
  <si>
    <t>大区</t>
  </si>
  <si>
    <t>建设工程施工合同（洛阳市洛龙区悠然居项目总承包工程）</t>
  </si>
  <si>
    <t>临建办公生活区</t>
  </si>
  <si>
    <t>北京首钢建设集团有限公司</t>
  </si>
  <si>
    <t>会客厅地面做法变更</t>
  </si>
  <si>
    <t>会客厅水电管道预埋</t>
  </si>
  <si>
    <t>7#楼砖胎膜</t>
  </si>
  <si>
    <t>7#楼土方</t>
  </si>
  <si>
    <t>15#楼（售楼部）房心回填</t>
  </si>
  <si>
    <t>15#楼地面做法变更</t>
  </si>
  <si>
    <t>会客厅房心回填</t>
  </si>
  <si>
    <t>现场大门变更</t>
  </si>
  <si>
    <t>8#楼西侧拆改</t>
  </si>
  <si>
    <t>6#楼土方</t>
  </si>
  <si>
    <t>8#楼筏板基础砖胎膜</t>
  </si>
  <si>
    <t>8#楼西侧图纸变更部分排水沟及基坑</t>
  </si>
  <si>
    <t>15#楼连廊</t>
  </si>
  <si>
    <t>7#楼北侧两个柱基础变更</t>
  </si>
  <si>
    <t>15#楼（售楼部）连廊地面</t>
  </si>
  <si>
    <t>15#楼连廊及会客厅两侧房心回填</t>
  </si>
  <si>
    <t>12#楼东侧换填土方</t>
  </si>
  <si>
    <t>6#楼北侧地库换填土方</t>
  </si>
  <si>
    <t>9#楼筏板基础砖胎膜</t>
  </si>
  <si>
    <t>15#楼（售楼部）北侧增开窗口</t>
  </si>
  <si>
    <t>在此行以上插入</t>
  </si>
  <si>
    <t>合同台账及付款汇总表</t>
  </si>
  <si>
    <r>
      <rPr>
        <sz val="12"/>
        <rFont val="宋体"/>
        <charset val="134"/>
        <scheme val="minor"/>
      </rPr>
      <t>注意：</t>
    </r>
    <r>
      <rPr>
        <sz val="12"/>
        <rFont val="宋体"/>
        <charset val="134"/>
      </rPr>
      <t>1.需要插入复制单元格【插入复制单元格】； 2.单击【备用行】-【插入】添加行； 3.有新付款记录时，先删除再重新计算【</t>
    </r>
    <r>
      <rPr>
        <sz val="12"/>
        <color rgb="FFFF0000"/>
        <rFont val="宋体"/>
        <charset val="134"/>
      </rPr>
      <t>累计付款</t>
    </r>
    <r>
      <rPr>
        <sz val="12"/>
        <rFont val="宋体"/>
        <charset val="134"/>
      </rPr>
      <t>】更新保存。</t>
    </r>
    <r>
      <rPr>
        <sz val="12"/>
        <rFont val="宋体"/>
        <charset val="134"/>
        <scheme val="minor"/>
      </rPr>
      <t xml:space="preserve">
      4.新增合同需将科目（B列）关联表（动态成本）对应合约科目</t>
    </r>
  </si>
  <si>
    <t>合同编号</t>
  </si>
  <si>
    <t>合同
签订日期</t>
  </si>
  <si>
    <t>收款单位</t>
  </si>
  <si>
    <t>参建项目（合同名称）</t>
  </si>
  <si>
    <t>合同总价金额（元）</t>
  </si>
  <si>
    <t>预留
质保金</t>
  </si>
  <si>
    <t>付款次数</t>
  </si>
  <si>
    <t>工程出具金额</t>
  </si>
  <si>
    <t>本单累计付款</t>
  </si>
  <si>
    <t>财务付款金额</t>
  </si>
  <si>
    <t>实际累计付款</t>
  </si>
  <si>
    <t>质保金</t>
  </si>
  <si>
    <t>本合同下
剩余待付金额</t>
  </si>
  <si>
    <t>支付进度</t>
  </si>
  <si>
    <t>支付日期</t>
  </si>
  <si>
    <t>质保到期</t>
  </si>
  <si>
    <t>是否付清</t>
  </si>
  <si>
    <t>工程类、前期（开发）类</t>
  </si>
  <si>
    <t>BLT.QQ.002</t>
  </si>
  <si>
    <t>河南省海格广告有限公司</t>
  </si>
  <si>
    <t>八里堂项目地块
围挡制作与安装工程施工合同</t>
  </si>
  <si>
    <t>3%
（2年）</t>
  </si>
  <si>
    <t>第1次付款单</t>
  </si>
  <si>
    <t>完成50%，支付至80%</t>
  </si>
  <si>
    <t>第1笔请款未付清</t>
  </si>
  <si>
    <t>备用行</t>
  </si>
  <si>
    <t>BLT.QQ.007</t>
  </si>
  <si>
    <t>河南华兴勘测设计研究院有限公司</t>
  </si>
  <si>
    <t>洛阳市洛龙区八里堂地块建设工程勘察合同</t>
  </si>
  <si>
    <t>/</t>
  </si>
  <si>
    <t>支付至30%</t>
  </si>
  <si>
    <t>第2次付款单</t>
  </si>
  <si>
    <t>支付至80%</t>
  </si>
  <si>
    <t>第3次付款单</t>
  </si>
  <si>
    <t>支付至100%</t>
  </si>
  <si>
    <t>BLT.JA.008</t>
  </si>
  <si>
    <t>中屾道路运输（河南）有限公司</t>
  </si>
  <si>
    <t>洛阳市洛龙区八里堂项目清表及土方开挖工程施工合同</t>
  </si>
  <si>
    <t>临时便道完成</t>
  </si>
  <si>
    <t>每期开挖完成</t>
  </si>
  <si>
    <t>BLT.QQ.010</t>
  </si>
  <si>
    <t>中机十院国际工程有限公司</t>
  </si>
  <si>
    <t>八里堂地块委托监理工程合同</t>
  </si>
  <si>
    <t>/（2年）</t>
  </si>
  <si>
    <t>BLT.QQ.009</t>
  </si>
  <si>
    <t>河南省埃思特建设工程有限公司</t>
  </si>
  <si>
    <t>八里堂地块临电施工工程合同</t>
  </si>
  <si>
    <t>送电完成</t>
  </si>
  <si>
    <t>支付至97%</t>
  </si>
  <si>
    <t>BLT.QQ.014</t>
  </si>
  <si>
    <t>洛阳市洛龙区测绘队</t>
  </si>
  <si>
    <t>一次性支付完成</t>
  </si>
  <si>
    <t>已付清</t>
  </si>
  <si>
    <t>BLT.JA.015</t>
  </si>
  <si>
    <t>洛阳市洛龙区悠然居项目总承包合同</t>
  </si>
  <si>
    <t>3%
（年）</t>
  </si>
  <si>
    <t>BLT.QQ.025</t>
  </si>
  <si>
    <t>洛阳睿尚建筑工程有限公司</t>
  </si>
  <si>
    <t>悠然居项目苗木移栽施工合同</t>
  </si>
  <si>
    <t>65000.00</t>
  </si>
  <si>
    <t>苗木移栽完工，支付至50%</t>
  </si>
  <si>
    <t>BLT.JP.034</t>
  </si>
  <si>
    <t>支付至合同相应材料款的80%</t>
  </si>
  <si>
    <t>BLT.JA.037</t>
  </si>
  <si>
    <t>洛阳市洛龙区悠然居项目售楼部室内精装、外幕墙、亮化、智能化及空调工程施工合同</t>
  </si>
  <si>
    <t xml:space="preserve">支付至已完工程合同金额的80% </t>
  </si>
  <si>
    <t>BLT.JA.038</t>
  </si>
  <si>
    <t>2023年7月</t>
  </si>
  <si>
    <t>腾升建筑装饰股份有限公司</t>
  </si>
  <si>
    <t>洛阳市悠然居项目售楼部软装设计及制作合同</t>
  </si>
  <si>
    <t>(预付款)支付至合同价的30%</t>
  </si>
  <si>
    <t>支付至合同价的80%</t>
  </si>
  <si>
    <t>BLT.QQ.041</t>
  </si>
  <si>
    <t>2023年8月</t>
  </si>
  <si>
    <t>洛阳市洛龙区关林街道八里堂社区居民委员会</t>
  </si>
  <si>
    <t>土地租赁合同</t>
  </si>
  <si>
    <t>BLT.JA.021</t>
  </si>
  <si>
    <t>2023-05-20</t>
  </si>
  <si>
    <t>洛阳万达岩土工程有限公司</t>
  </si>
  <si>
    <t>基坑支护施工合同</t>
  </si>
  <si>
    <t>BLT.JP.031</t>
  </si>
  <si>
    <t>2023-05-16</t>
  </si>
  <si>
    <t>河南林祥园林绿化工程有限公司</t>
  </si>
  <si>
    <t>悠然居项目城市展厅草花供应合同</t>
  </si>
  <si>
    <t>BLT.QQ.028</t>
  </si>
  <si>
    <t>2023/4/26</t>
  </si>
  <si>
    <t>中汽建工（洛阳）检测有限公司</t>
  </si>
  <si>
    <t>悠然居项目基坑监测、沉降观测工程施工合同</t>
  </si>
  <si>
    <t>BLT.QQ.027</t>
  </si>
  <si>
    <t>2023-04-20</t>
  </si>
  <si>
    <t>洛阳业丰建设工程服务有限公司</t>
  </si>
  <si>
    <t>BLT.QQ.024</t>
  </si>
  <si>
    <t>2023-04-08</t>
  </si>
  <si>
    <t>洛阳市涧西区卓奥园林绿化工程部</t>
  </si>
  <si>
    <t>悠然居项目道路开口苗木移植及恢复工程</t>
  </si>
  <si>
    <t>BLT.QQ.023</t>
  </si>
  <si>
    <t>洛阳市政建设集团有限公司</t>
  </si>
  <si>
    <t>悠然居项目道路开路口工程</t>
  </si>
  <si>
    <t>BLT.QQ.012</t>
  </si>
  <si>
    <t xml:space="preserve">2023-02-27 </t>
  </si>
  <si>
    <t>八里堂项目土壤污染状况调查服务合同</t>
  </si>
  <si>
    <t>BLT.JA.040</t>
  </si>
  <si>
    <t>2023-08-10</t>
  </si>
  <si>
    <t>河南永腾工贸有限公司</t>
  </si>
  <si>
    <t>《悠然居项目人防防护设备供货及安装合同》</t>
  </si>
  <si>
    <t>BLT.QQ.011</t>
  </si>
  <si>
    <t>2023-02-16</t>
  </si>
  <si>
    <t>八里堂宗地图用地图测绘合同（开发未提供）</t>
  </si>
  <si>
    <t>BLT.QQ.017</t>
  </si>
  <si>
    <t>2023-03-21</t>
  </si>
  <si>
    <t>洛阳市房兴房产测绘有限公司</t>
  </si>
  <si>
    <t>洛阳市洛龙区悠然居项目测绘合同</t>
  </si>
  <si>
    <t>BLT.QQ.026</t>
  </si>
  <si>
    <t>2023-04-21</t>
  </si>
  <si>
    <t>河南致合全过程工程咨询有限公司</t>
  </si>
  <si>
    <t>悠然居项目造价咨询合同</t>
  </si>
  <si>
    <t>BLT.QQ.030</t>
  </si>
  <si>
    <t>2023-04-24</t>
  </si>
  <si>
    <t>洛阳市城市管理局</t>
  </si>
  <si>
    <t>建筑垃圾管理费</t>
  </si>
  <si>
    <t>BLT.QQ.033</t>
  </si>
  <si>
    <t>2023-06-14</t>
  </si>
  <si>
    <t>河南采腾建设工程管理有限公司</t>
  </si>
  <si>
    <t>悠然居项目农民支付担保合同</t>
  </si>
  <si>
    <t>BLT.QQ.036</t>
  </si>
  <si>
    <t>2023-07-13</t>
  </si>
  <si>
    <t>河南尚宏工程咨询有限公司</t>
  </si>
  <si>
    <t>洛阳市洛龙区悠然居项目水土保持方案编制合同</t>
  </si>
  <si>
    <t>BLT.QQ.042</t>
  </si>
  <si>
    <t xml:space="preserve">2023-8-28 </t>
  </si>
  <si>
    <t>洛阳泰智文化传媒有限公司</t>
  </si>
  <si>
    <t>洛阳市洛龙区悠然居项目广告围挡设计制作合同</t>
  </si>
  <si>
    <t>BLT.QQ.001</t>
  </si>
  <si>
    <t xml:space="preserve">2023-3-31 </t>
  </si>
  <si>
    <t>河南恒旭建设集团有限公司</t>
  </si>
  <si>
    <t>悠然居城市展厅装修改造施工合同、补充协议</t>
  </si>
  <si>
    <t>设计类</t>
  </si>
  <si>
    <t>2022-11-19</t>
  </si>
  <si>
    <t>上海尤安建筑设计股份有限公司</t>
  </si>
  <si>
    <t>洛阳市洛龙区八里堂项目建筑方案设计合同</t>
  </si>
  <si>
    <t>BLT.QQ.003</t>
  </si>
  <si>
    <t>2023-01-14</t>
  </si>
  <si>
    <t>河南省城乡规划设计研究总院股份有限公司</t>
  </si>
  <si>
    <t>洛阳市洛龙区八里堂项目建筑施工图设计合同</t>
  </si>
  <si>
    <t>BLT.QQ.004</t>
  </si>
  <si>
    <t>2023-01-11</t>
  </si>
  <si>
    <t>洛阳科震技术服务有限公司</t>
  </si>
  <si>
    <t>洛阳市洛龙区八里堂地块项目施工图审查合同</t>
  </si>
  <si>
    <t>BLT.QQ.005</t>
  </si>
  <si>
    <t xml:space="preserve">2023-01-16 </t>
  </si>
  <si>
    <t>苏州金螳螂建筑装饰股份有限公司</t>
  </si>
  <si>
    <t>洛阳市洛龙区八里堂地块项目售楼部及样板间精装修设计合同</t>
  </si>
  <si>
    <t>BLT.QQ.006</t>
  </si>
  <si>
    <t>深圳市雅涛景观建筑设计有限公司</t>
  </si>
  <si>
    <t>洛阳市洛龙区八里堂地块项目景观设计合同</t>
  </si>
  <si>
    <t>BLT.QQ.013</t>
  </si>
  <si>
    <t>2023-02-28</t>
  </si>
  <si>
    <t>河南恒源电力设计咨询有限公司</t>
  </si>
  <si>
    <t>洛阳市洛龙区悠然居项目 供配电设计合同</t>
  </si>
  <si>
    <t>BLT.QQ.016</t>
  </si>
  <si>
    <t>2023-03-16</t>
  </si>
  <si>
    <t>洛阳市规划建筑设计研究院有限公司</t>
  </si>
  <si>
    <t>八里堂调整指标咨询合同（开发未提供）</t>
  </si>
  <si>
    <t>BLT.QQ.018</t>
  </si>
  <si>
    <t>2023-04-10</t>
  </si>
  <si>
    <t>基坑支护设计合同</t>
  </si>
  <si>
    <t>BLT.QQ.019</t>
  </si>
  <si>
    <t>饰冶工程设计（河南）有限公司</t>
  </si>
  <si>
    <t>悠然居项目户型精装设计合同</t>
  </si>
  <si>
    <t>BLT.QQ.020</t>
  </si>
  <si>
    <t>2023-04-11</t>
  </si>
  <si>
    <t>泰源工程集团股份有限公司</t>
  </si>
  <si>
    <t>悠然居项目外幕墙设计合同</t>
  </si>
  <si>
    <t>BLT.QQ.022</t>
  </si>
  <si>
    <t>河南省泛光照明工程有限公司</t>
  </si>
  <si>
    <t>悠然居项目泛光照明设计合同</t>
  </si>
  <si>
    <t>BLT.QQ.029</t>
  </si>
  <si>
    <t>众智学府信息技术有限公司</t>
  </si>
  <si>
    <t>悠然居项目智能化设计合同</t>
  </si>
  <si>
    <t>BLT.QQ.032</t>
  </si>
  <si>
    <t xml:space="preserve">2023-06-02 </t>
  </si>
  <si>
    <t>悠然居项目公区精装设计合同</t>
  </si>
  <si>
    <t>BLT.QQ.035</t>
  </si>
  <si>
    <t>2023-06-16</t>
  </si>
  <si>
    <t>徕拓勘测规划设计有限公司</t>
  </si>
  <si>
    <t>技术服务设计合同</t>
  </si>
  <si>
    <t>在此行以上增加</t>
  </si>
  <si>
    <t xml:space="preserve">  </t>
  </si>
  <si>
    <t>悠然居项目扣款台账明细汇总</t>
  </si>
  <si>
    <t>金额</t>
  </si>
  <si>
    <t>扣款单位</t>
  </si>
  <si>
    <t>扣款合同编号</t>
  </si>
  <si>
    <t>扣款内容</t>
  </si>
  <si>
    <t>注：本表单仅统计水电费、工程扣款</t>
  </si>
  <si>
    <t>悠然居项目认质认价明细汇总</t>
  </si>
  <si>
    <t>合同名称</t>
  </si>
  <si>
    <t>认质认价材料名称</t>
  </si>
  <si>
    <t>单价（元）</t>
  </si>
  <si>
    <t>工程量</t>
  </si>
  <si>
    <t>合计（元）</t>
  </si>
  <si>
    <t>悠然居项目甲供物资供货管理台帐</t>
  </si>
  <si>
    <t>供货合同名称</t>
  </si>
  <si>
    <t>供货单位</t>
  </si>
  <si>
    <t>物资名称及规格</t>
  </si>
  <si>
    <t>合同物资
采购数量</t>
  </si>
  <si>
    <t>单价</t>
  </si>
  <si>
    <t>物资合同
总价</t>
  </si>
  <si>
    <t>对应的
工程合同</t>
  </si>
  <si>
    <t>领料单位</t>
  </si>
  <si>
    <t>应供量</t>
  </si>
  <si>
    <t>第一次</t>
  </si>
  <si>
    <t>第二次</t>
  </si>
  <si>
    <t>供货数量
合计</t>
  </si>
  <si>
    <t>供货数量占应供量比例</t>
  </si>
  <si>
    <t>供货数量占物资合同数量比例</t>
  </si>
  <si>
    <t>完成供货金额（元）</t>
  </si>
  <si>
    <t>已供货金额占物资合同额比例</t>
  </si>
  <si>
    <t>原合同
应供量</t>
  </si>
  <si>
    <t>变更签证
等变化应供量</t>
  </si>
  <si>
    <t>供货指令
发出时间</t>
  </si>
  <si>
    <t>要求
供货时间</t>
  </si>
  <si>
    <t>实际
到货时间</t>
  </si>
  <si>
    <t>供货数量</t>
  </si>
  <si>
    <t>项目</t>
  </si>
  <si>
    <r>
      <rPr>
        <sz val="12"/>
        <rFont val="宋体"/>
        <charset val="134"/>
      </rPr>
      <t>L</t>
    </r>
    <r>
      <rPr>
        <sz val="12"/>
        <rFont val="宋体"/>
        <charset val="134"/>
      </rPr>
      <t>YTD-2018-19</t>
    </r>
  </si>
  <si>
    <r>
      <rPr>
        <sz val="12"/>
        <rFont val="宋体"/>
        <charset val="134"/>
      </rPr>
      <t>LYTD-2018-2</t>
    </r>
    <r>
      <rPr>
        <sz val="12"/>
        <rFont val="宋体"/>
        <charset val="134"/>
      </rPr>
      <t>1</t>
    </r>
  </si>
  <si>
    <t>规划指标</t>
  </si>
  <si>
    <t>面积</t>
  </si>
  <si>
    <t>单价万元</t>
  </si>
  <si>
    <t>总价万元</t>
  </si>
  <si>
    <t>第1季度</t>
  </si>
  <si>
    <t>第2季度</t>
  </si>
  <si>
    <t>第3季度</t>
  </si>
  <si>
    <t>第4季度</t>
  </si>
  <si>
    <t>第5季度</t>
  </si>
  <si>
    <t>第6季度</t>
  </si>
  <si>
    <t>第7季度</t>
  </si>
  <si>
    <t>第8季度</t>
  </si>
  <si>
    <t>第9季度</t>
  </si>
  <si>
    <t>第10季度</t>
  </si>
  <si>
    <t>第11季度</t>
  </si>
  <si>
    <t>第12季度</t>
  </si>
  <si>
    <t>土地面积（亩）</t>
  </si>
  <si>
    <t>土地面积（平方米）</t>
  </si>
  <si>
    <t>住宅</t>
  </si>
  <si>
    <t>公租房</t>
  </si>
  <si>
    <t>其它（配套）</t>
  </si>
  <si>
    <t>地下建筑面积（㎡）</t>
  </si>
  <si>
    <t>总建筑面积（㎡）</t>
  </si>
  <si>
    <t>车位数</t>
  </si>
  <si>
    <t>收入</t>
  </si>
  <si>
    <t>费用控制指标</t>
  </si>
  <si>
    <t>实际管理费用比例</t>
  </si>
  <si>
    <t>地上/地下</t>
  </si>
  <si>
    <t>均价</t>
  </si>
  <si>
    <t>总价（万元）</t>
  </si>
  <si>
    <t>收入占比</t>
  </si>
  <si>
    <t>单价控制条</t>
  </si>
  <si>
    <t xml:space="preserve"> 管理费用</t>
  </si>
  <si>
    <t>别墅-叠拼42套</t>
  </si>
  <si>
    <t>别墅-平层24套</t>
  </si>
  <si>
    <t>原测算收入3.21%</t>
  </si>
  <si>
    <t>差异</t>
  </si>
  <si>
    <t>洋房时候了989万</t>
  </si>
  <si>
    <t>叠拼多了804万</t>
  </si>
  <si>
    <t>销售额</t>
  </si>
  <si>
    <r>
      <rPr>
        <b/>
        <sz val="11"/>
        <rFont val="宋体"/>
        <charset val="134"/>
      </rPr>
      <t>原6</t>
    </r>
    <r>
      <rPr>
        <b/>
        <sz val="11"/>
        <rFont val="宋体"/>
        <charset val="134"/>
      </rPr>
      <t>%利润下的</t>
    </r>
    <r>
      <rPr>
        <b/>
        <sz val="11"/>
        <rFont val="宋体"/>
        <charset val="134"/>
      </rPr>
      <t>团购价</t>
    </r>
  </si>
  <si>
    <t>差价</t>
  </si>
  <si>
    <t>不可售，计容</t>
  </si>
  <si>
    <t>地上小计</t>
  </si>
  <si>
    <t>车位少了</t>
  </si>
  <si>
    <t>对外销售车位销售费用</t>
  </si>
  <si>
    <t>地下小计</t>
  </si>
  <si>
    <t>备注：预计销售价格请通过数据控制条选择。</t>
  </si>
  <si>
    <t>其他备注说明</t>
  </si>
  <si>
    <t>项目投资总额</t>
  </si>
  <si>
    <t>土地投资（含契税）</t>
  </si>
  <si>
    <t>运营资金</t>
  </si>
  <si>
    <t>2+3</t>
  </si>
  <si>
    <t>资金峰值</t>
  </si>
  <si>
    <t>自有资金投入</t>
  </si>
  <si>
    <t>前期配资</t>
  </si>
  <si>
    <t>配资利率</t>
  </si>
  <si>
    <t>年利率</t>
  </si>
  <si>
    <t>配资期限</t>
  </si>
  <si>
    <t>月</t>
  </si>
  <si>
    <t>配资成本</t>
  </si>
  <si>
    <t>后期融资</t>
  </si>
  <si>
    <t>融资利率</t>
  </si>
  <si>
    <t>使用期限</t>
  </si>
  <si>
    <t>融资成本</t>
  </si>
  <si>
    <t>项目财务费用合计</t>
  </si>
  <si>
    <t>投资回报率</t>
  </si>
  <si>
    <t>现金流回正时间</t>
  </si>
  <si>
    <t>年投资回报率</t>
  </si>
  <si>
    <t>土地及建安得票率</t>
  </si>
  <si>
    <t>2022年普标标准</t>
  </si>
  <si>
    <t>期间费用得票</t>
  </si>
  <si>
    <t>销项税率</t>
  </si>
  <si>
    <t>销售单价</t>
  </si>
  <si>
    <t>土地及
建安成本</t>
  </si>
  <si>
    <t>增值税</t>
  </si>
  <si>
    <t>增值税预交</t>
  </si>
  <si>
    <t>清算补</t>
  </si>
  <si>
    <t>附加税</t>
  </si>
  <si>
    <t>土增可扣除金额</t>
  </si>
  <si>
    <t>增值额</t>
  </si>
  <si>
    <t>增值率</t>
  </si>
  <si>
    <t>土地增值税</t>
  </si>
  <si>
    <t>预交</t>
  </si>
  <si>
    <t>清算</t>
  </si>
  <si>
    <t>流转税合计</t>
  </si>
  <si>
    <t>收款总额（万）</t>
  </si>
  <si>
    <t>土地及
建安成本（万）</t>
  </si>
  <si>
    <t>土增+附加</t>
  </si>
  <si>
    <t>扣除项目</t>
  </si>
  <si>
    <t>清算金额+公式</t>
  </si>
  <si>
    <t>清算金额+手动</t>
  </si>
  <si>
    <t>普通住宅部分</t>
  </si>
  <si>
    <t>非普通住宅部分</t>
  </si>
  <si>
    <t>非住宅</t>
  </si>
  <si>
    <t>原1.72%利润率数据</t>
  </si>
  <si>
    <t>调整后与原测算差异</t>
  </si>
  <si>
    <t>差异原因</t>
  </si>
  <si>
    <t>1、整体建筑面积多了183.52平；其中住宅少31.51平（洋房面积减少8.64平，叠屏面积增加22.87平），公配多了299.52平，车位少了84.49平</t>
  </si>
  <si>
    <t>可售面积少116平；其中其中住宅少31.51平（洋房面积减少8.64平，叠屏面积增加22.87平），车位少了84.49平</t>
  </si>
  <si>
    <t>销售单价降低了101.14元</t>
  </si>
  <si>
    <t>整体收入降低821.96万元；其中：住宅减少37.96万元（洋房因面积减少总销售额减少11.66万元，叠拼销售额减少26.3万元），车位少了98个销售额少了784万）</t>
  </si>
  <si>
    <t>总收入</t>
  </si>
  <si>
    <t>建安成本增加538.21万元，明细见附表</t>
  </si>
  <si>
    <t>毛利</t>
  </si>
  <si>
    <t>1、管销费用同比减少16.79万元；财务费用减少585.61万元：其中：减少延期支付土地款滞纳金576万，综合利息影响减少约9.61万（影响因素：团购延期利息增加、土地提前支付增加利息、截止6月底已发生更新为实际节约利息、监管资金出款工程进度更为目前实际进度，24年以后工程进度不变）</t>
  </si>
  <si>
    <t>土地增值税金及附加</t>
  </si>
  <si>
    <t>收入降低，税费降低38.87万元</t>
  </si>
  <si>
    <t>利润</t>
  </si>
  <si>
    <t>利润总额减少628.09万元</t>
  </si>
  <si>
    <t>所得税</t>
  </si>
  <si>
    <t>利润总额降低，所得税降低157.02万</t>
  </si>
  <si>
    <t>项目净利润</t>
  </si>
  <si>
    <t>净利润降低471.07万元</t>
  </si>
  <si>
    <t>项目利润率</t>
  </si>
  <si>
    <t>ROIC投资回报率(不含利息）</t>
  </si>
  <si>
    <t>ROIC投资回报率(含利息）</t>
  </si>
  <si>
    <r>
      <rPr>
        <b/>
        <sz val="12"/>
        <rFont val="宋体"/>
        <charset val="134"/>
      </rPr>
      <t>ROE</t>
    </r>
    <r>
      <rPr>
        <b/>
        <sz val="12"/>
        <rFont val="宋体"/>
        <charset val="134"/>
      </rPr>
      <t>(权益收益率）</t>
    </r>
  </si>
  <si>
    <t>利润收回周期</t>
  </si>
  <si>
    <t xml:space="preserve">年均ROE </t>
  </si>
  <si>
    <t>自有ROIC投资回报率(不含利息）</t>
  </si>
  <si>
    <t>自有ROE(权益收益率）</t>
  </si>
  <si>
    <t>项目总税额</t>
  </si>
  <si>
    <t>项目税负</t>
  </si>
  <si>
    <t>套数（套）</t>
  </si>
  <si>
    <t>土地楼面价</t>
  </si>
  <si>
    <t>单方土地成本</t>
  </si>
  <si>
    <t>单方建安</t>
  </si>
  <si>
    <t>单方毛利</t>
  </si>
  <si>
    <t>套数</t>
  </si>
  <si>
    <t>车位面积占比</t>
  </si>
  <si>
    <t>配车位个数</t>
  </si>
  <si>
    <t>地下面积</t>
  </si>
  <si>
    <t>车位个数占比</t>
  </si>
  <si>
    <t>单位车位面积</t>
  </si>
  <si>
    <t>地单价（万元/亩）</t>
  </si>
  <si>
    <t>楼面地价（元/㎡）</t>
  </si>
  <si>
    <t>住宅分摊车位成本及收入</t>
  </si>
  <si>
    <t>叠拼</t>
  </si>
  <si>
    <t>洋房+2车位</t>
  </si>
  <si>
    <t>叠拼+2车位</t>
  </si>
  <si>
    <t>洋房不含税</t>
  </si>
  <si>
    <t>叠拼不含税</t>
  </si>
  <si>
    <t>洋房含车位</t>
  </si>
  <si>
    <t>别墅含车位</t>
  </si>
  <si>
    <r>
      <rPr>
        <b/>
        <sz val="12"/>
        <rFont val="宋体"/>
        <charset val="134"/>
      </rPr>
      <t>其中：洋房/</t>
    </r>
    <r>
      <rPr>
        <b/>
        <sz val="12"/>
        <rFont val="SimSun"/>
        <charset val="134"/>
      </rPr>
      <t>㎡</t>
    </r>
  </si>
  <si>
    <t>其中：车位/个</t>
  </si>
  <si>
    <r>
      <rPr>
        <b/>
        <sz val="12"/>
        <rFont val="宋体"/>
        <charset val="134"/>
      </rPr>
      <t>其中：别墅/</t>
    </r>
    <r>
      <rPr>
        <b/>
        <sz val="12"/>
        <rFont val="SimSun"/>
        <charset val="134"/>
      </rPr>
      <t>㎡</t>
    </r>
  </si>
  <si>
    <t>销售单价含税</t>
  </si>
  <si>
    <t>销售单价（不含车位）</t>
  </si>
  <si>
    <t>一、土地成本含税</t>
  </si>
  <si>
    <t>销售单价（含车位）</t>
  </si>
  <si>
    <t>元</t>
  </si>
  <si>
    <t>二、建安成本含税</t>
  </si>
  <si>
    <t>一、土地成本</t>
  </si>
  <si>
    <t>土地成本按照占地面积分摊，其中叠拼占地面积55%</t>
  </si>
  <si>
    <t>2.1 大市政配套等前期费用</t>
  </si>
  <si>
    <t>二、建安成本</t>
  </si>
  <si>
    <t>2.2 建安工程费</t>
  </si>
  <si>
    <t>2.1 前期费用</t>
  </si>
  <si>
    <t>按照车位实际个数分摊成本</t>
  </si>
  <si>
    <t>2.3 市政基础设施、公配费</t>
  </si>
  <si>
    <t>三、期间费用</t>
  </si>
  <si>
    <t>四、土地增值税及附加</t>
  </si>
  <si>
    <t>团购首期款预计在办理施工证以后收取</t>
  </si>
  <si>
    <t>五、所得税</t>
  </si>
  <si>
    <t>其中：管理费用</t>
  </si>
  <si>
    <t>单方综合成本</t>
  </si>
  <si>
    <t xml:space="preserve">     销售费用</t>
  </si>
  <si>
    <t>溢价+增值税</t>
  </si>
  <si>
    <t xml:space="preserve">     财务费用</t>
  </si>
  <si>
    <t>溢价（不含增值税）</t>
  </si>
  <si>
    <t>单方净利润+增值税</t>
  </si>
  <si>
    <t>期间费用合计（重新分摊）</t>
  </si>
  <si>
    <t>车位按8万/个售价的成本</t>
  </si>
  <si>
    <t>单方净利润（不含增值税）</t>
  </si>
  <si>
    <t>增值税额</t>
  </si>
  <si>
    <t>总净利润（万元）</t>
  </si>
  <si>
    <t>检验</t>
  </si>
  <si>
    <t>综合利润</t>
  </si>
  <si>
    <t>单方利润</t>
  </si>
  <si>
    <t>单方综合成本（重新分配）</t>
  </si>
  <si>
    <t>销项税额</t>
  </si>
  <si>
    <t>成本进项</t>
  </si>
  <si>
    <t>费用进项</t>
  </si>
  <si>
    <t>增值税单方</t>
  </si>
  <si>
    <t>财务费用总计</t>
  </si>
  <si>
    <t>其中：因团购延期收款利息+滞纳金</t>
  </si>
  <si>
    <t>公共部分利息</t>
  </si>
  <si>
    <t>占比</t>
  </si>
  <si>
    <t>公共部分利息应分摊</t>
  </si>
  <si>
    <t>直接利息归属</t>
  </si>
  <si>
    <t>各业态利息总额</t>
  </si>
  <si>
    <t>直接成本总额</t>
  </si>
  <si>
    <t>其中：洋房成本</t>
  </si>
  <si>
    <t>叠拼成本</t>
  </si>
  <si>
    <t>地下车位</t>
  </si>
  <si>
    <t>单位：万元</t>
  </si>
  <si>
    <t>其中：车位</t>
  </si>
  <si>
    <t>其中：别墅</t>
  </si>
  <si>
    <t>一、销售收入（含车位）</t>
  </si>
  <si>
    <t>二、直接成本</t>
  </si>
  <si>
    <t>1、土地成本</t>
  </si>
  <si>
    <t>2、建安成本</t>
  </si>
  <si>
    <t>净利润+增值税</t>
  </si>
  <si>
    <t>净利润（不含增值税）</t>
  </si>
  <si>
    <t>产品类型</t>
  </si>
  <si>
    <t>时间</t>
  </si>
  <si>
    <t>第1月</t>
  </si>
  <si>
    <t>第2月</t>
  </si>
  <si>
    <t>第3月</t>
  </si>
  <si>
    <t>第4月</t>
  </si>
  <si>
    <t>第5月</t>
  </si>
  <si>
    <t>第6月</t>
  </si>
  <si>
    <t>第7月</t>
  </si>
  <si>
    <t>第8月</t>
  </si>
  <si>
    <t>第9月</t>
  </si>
  <si>
    <t>第10月</t>
  </si>
  <si>
    <t>第11月</t>
  </si>
  <si>
    <t>第12月</t>
  </si>
  <si>
    <t>第13月</t>
  </si>
  <si>
    <t>第14月</t>
  </si>
  <si>
    <t>第15月</t>
  </si>
  <si>
    <t>第16月</t>
  </si>
  <si>
    <t>第17月</t>
  </si>
  <si>
    <t>第18月</t>
  </si>
  <si>
    <t>第19月</t>
  </si>
  <si>
    <t>第20月</t>
  </si>
  <si>
    <t>第21月</t>
  </si>
  <si>
    <t>第22月</t>
  </si>
  <si>
    <t>第23月</t>
  </si>
  <si>
    <t>第24月</t>
  </si>
  <si>
    <t>第25月</t>
  </si>
  <si>
    <t>第26月</t>
  </si>
  <si>
    <t>第27月</t>
  </si>
  <si>
    <t>第28月</t>
  </si>
  <si>
    <t>第29月</t>
  </si>
  <si>
    <t>第30月</t>
  </si>
  <si>
    <t>第31月</t>
  </si>
  <si>
    <t>第32月</t>
  </si>
  <si>
    <t>第33月</t>
  </si>
  <si>
    <t>第34月</t>
  </si>
  <si>
    <t>第35月</t>
  </si>
  <si>
    <t>第36月</t>
  </si>
  <si>
    <t>推盘套数</t>
  </si>
  <si>
    <t>推盘面积</t>
  </si>
  <si>
    <t>推盘均价</t>
  </si>
  <si>
    <t>推盘总金额</t>
  </si>
  <si>
    <t>销售金额</t>
  </si>
  <si>
    <t>销售套数</t>
  </si>
  <si>
    <t>现场回款</t>
  </si>
  <si>
    <t>按揭回款</t>
  </si>
  <si>
    <t>回款合计</t>
  </si>
  <si>
    <t>剩余金额</t>
  </si>
  <si>
    <t>税款</t>
  </si>
  <si>
    <t>费用支出</t>
  </si>
  <si>
    <t>工资</t>
  </si>
  <si>
    <t>sss</t>
  </si>
  <si>
    <t>节点</t>
  </si>
  <si>
    <t>土增税税率</t>
  </si>
  <si>
    <t>公寓酒店</t>
  </si>
  <si>
    <t>行政人力</t>
  </si>
  <si>
    <t>自动生成</t>
  </si>
  <si>
    <t>酒店</t>
  </si>
  <si>
    <t>配套用房</t>
  </si>
  <si>
    <t>目前综合</t>
  </si>
  <si>
    <t>原3.21%利润率数据</t>
  </si>
  <si>
    <t>1、整体建筑面积多了1056.67平；其中住宅减少310.47平（洋房面积减少806.39平，叠屏面积增加766.35平），公配少了270.43平，车位多了1367.74平</t>
  </si>
  <si>
    <t>可售面积多了1327.1平；其中住宅少了310.47平，车位多了1367.74平</t>
  </si>
  <si>
    <t>一、销售收款</t>
  </si>
  <si>
    <t>整体收入降低367.32万元；其中：住宅减少207.32万元（洋房因面积减少总销售额减少1088.63万元，叠拼销售额增加881.3万元），车位少了20个销售额少了160万）</t>
  </si>
  <si>
    <t>二、土地成本</t>
  </si>
  <si>
    <t>土地成本未变</t>
  </si>
  <si>
    <t>三、建安成本</t>
  </si>
  <si>
    <t>建安成本增加313.15万元</t>
  </si>
  <si>
    <t>四、期间费用</t>
  </si>
  <si>
    <t>1、管销费用同比减少40万元；综合利息影响约53.62万（影响因素：团购延期利息增加、团购总额增加回款增加减少利息、土地延期支付减少利息）</t>
  </si>
  <si>
    <t>五、税金</t>
  </si>
  <si>
    <t>收入及利润总额降低，税金减少228.25万元</t>
  </si>
  <si>
    <t>六、项目净利润</t>
  </si>
  <si>
    <t>净利润降低465.84万元</t>
  </si>
  <si>
    <t>利润率降低0.75%</t>
  </si>
  <si>
    <t>2022-11-30数据A</t>
  </si>
  <si>
    <t>2023.3.6数据A</t>
  </si>
  <si>
    <t>2023.3.9最新数据C</t>
  </si>
  <si>
    <r>
      <rPr>
        <sz val="11"/>
        <color theme="1"/>
        <rFont val="宋体"/>
        <charset val="134"/>
        <scheme val="minor"/>
      </rPr>
      <t>差异=C</t>
    </r>
    <r>
      <rPr>
        <sz val="11"/>
        <color theme="1"/>
        <rFont val="宋体"/>
        <charset val="134"/>
        <scheme val="minor"/>
      </rPr>
      <t>-</t>
    </r>
    <r>
      <rPr>
        <sz val="11"/>
        <color theme="1"/>
        <rFont val="宋体"/>
        <charset val="134"/>
        <scheme val="minor"/>
      </rPr>
      <t>A</t>
    </r>
  </si>
  <si>
    <t>设计经济指标</t>
  </si>
  <si>
    <t>总建筑面积(M2)</t>
  </si>
  <si>
    <t>总户数减少8户，总建筑面积增加946.73m2。</t>
  </si>
  <si>
    <t>地上面积(M2)</t>
  </si>
  <si>
    <t>洋房：</t>
  </si>
  <si>
    <t>地上洋房面积减少600m2，团购面积增加567m2，公建面积减少277m2。</t>
  </si>
  <si>
    <t>团购：</t>
  </si>
  <si>
    <t>配套（其中不计容500平米）：</t>
  </si>
  <si>
    <t>配套（其中不计容202平米）：</t>
  </si>
  <si>
    <t>地下面积(M2)</t>
  </si>
  <si>
    <t>地下面积增加1257m2</t>
  </si>
  <si>
    <t>车位（个）</t>
  </si>
  <si>
    <t>不含土地目标成本差异</t>
  </si>
  <si>
    <t>目标成本共增加约62.91万元。</t>
  </si>
  <si>
    <t>1、前期相关合同的签订，临路临电费用调减106万。
2、因设计合同的签订，设计费用调增46.87万元。（团购户型增加精装修设计费100万元。）
3、监理、地勘、文勘合同的签订，相关费用调减31.4万。
4、调整房产测绘及垃圾排放费，相关费用调减40万。
5、其他差异金额受面积的变化，影响各项费用。</t>
  </si>
  <si>
    <t xml:space="preserve">1、因地勘的初步结果，不考虑降水费用、基坑支护费用调减，共调减费用123万。
2、因地上地下面积及户型调整：相关工程费用调增375万。（门窗、涂料、防火门、地暖、空调、电梯）
</t>
  </si>
  <si>
    <t>1、因市政自来水管网距离较远，自来水费用调增38万。
2、电力基础设施费用团购房单方调增18元/m2，共调增费用25万。
2、燃气费用每户调增1500元/户，共调增33万。
3、暖气费用单方调增5元/m2，共调增23万。
4、景观面积的减少，调减成本119万。</t>
  </si>
  <si>
    <t>因公建面积减少277.1m2，调减成本81.08万。</t>
  </si>
  <si>
    <t>八里堂地块整案推售计划一览表"</t>
  </si>
  <si>
    <t>单位：万元，套</t>
  </si>
  <si>
    <t>产品分类</t>
  </si>
  <si>
    <t>2022年</t>
  </si>
  <si>
    <t>2023年</t>
  </si>
  <si>
    <t>2024年</t>
  </si>
  <si>
    <t>2025年</t>
  </si>
  <si>
    <t>月份</t>
  </si>
  <si>
    <t>11月</t>
  </si>
  <si>
    <t>12月</t>
  </si>
  <si>
    <t>1月</t>
  </si>
  <si>
    <t>2月</t>
  </si>
  <si>
    <t>3月</t>
  </si>
  <si>
    <t>4月</t>
  </si>
  <si>
    <t>5月</t>
  </si>
  <si>
    <t>6月</t>
  </si>
  <si>
    <t>8月</t>
  </si>
  <si>
    <t>9月</t>
  </si>
  <si>
    <t>10月</t>
  </si>
  <si>
    <t>销售面积</t>
  </si>
  <si>
    <t>销售合同金额</t>
  </si>
  <si>
    <t>案场回款金额</t>
  </si>
  <si>
    <t>按揭回款金额</t>
  </si>
  <si>
    <t>车位</t>
  </si>
  <si>
    <t>销售总金额</t>
  </si>
  <si>
    <t>案场回款总金额</t>
  </si>
  <si>
    <t>按揭金额</t>
  </si>
  <si>
    <t>回款总金额</t>
  </si>
  <si>
    <t>八里堂项目房源货值表</t>
  </si>
  <si>
    <t>楼号</t>
  </si>
  <si>
    <t>层数</t>
  </si>
  <si>
    <t>套数合计</t>
  </si>
  <si>
    <t>户型</t>
  </si>
  <si>
    <t>是否抵押</t>
  </si>
  <si>
    <t>总价</t>
  </si>
  <si>
    <t>推售计划</t>
  </si>
  <si>
    <t>开发批次</t>
  </si>
  <si>
    <t>平均面积</t>
  </si>
  <si>
    <t>建设资金</t>
  </si>
  <si>
    <t>评估值</t>
  </si>
  <si>
    <t>别墅总额</t>
  </si>
  <si>
    <t>剩余比例</t>
  </si>
  <si>
    <t>可以出款金额</t>
  </si>
  <si>
    <t>洋房总额</t>
  </si>
  <si>
    <t>1#</t>
  </si>
  <si>
    <t>8F</t>
  </si>
  <si>
    <t>二批次</t>
  </si>
  <si>
    <t>重点监管资金</t>
  </si>
  <si>
    <t>监管资金余额-需剩余金额</t>
  </si>
  <si>
    <t>2#</t>
  </si>
  <si>
    <t>办理预售需剩余</t>
  </si>
  <si>
    <t>3#</t>
  </si>
  <si>
    <t>抵押</t>
  </si>
  <si>
    <t>一批次</t>
  </si>
  <si>
    <t>主体50%需剩余</t>
  </si>
  <si>
    <t>5#</t>
  </si>
  <si>
    <t>主体70%需剩余</t>
  </si>
  <si>
    <t>6#</t>
  </si>
  <si>
    <t>叠墅</t>
  </si>
  <si>
    <t>6F</t>
  </si>
  <si>
    <t>团购</t>
  </si>
  <si>
    <t>主体80%需剩余</t>
  </si>
  <si>
    <t>7#</t>
  </si>
  <si>
    <t>主体100%剩余</t>
  </si>
  <si>
    <t>8#</t>
  </si>
  <si>
    <t>完成二次结构</t>
  </si>
  <si>
    <t>9#</t>
  </si>
  <si>
    <t>完成窗框安装</t>
  </si>
  <si>
    <t>10#</t>
  </si>
  <si>
    <t>大平层</t>
  </si>
  <si>
    <t>完成外保温及外立面</t>
  </si>
  <si>
    <t>11#</t>
  </si>
  <si>
    <t>水电暖等配套完成</t>
  </si>
  <si>
    <t>12#</t>
  </si>
  <si>
    <t>联合验收</t>
  </si>
  <si>
    <t>13#</t>
  </si>
  <si>
    <t>不动产大证前</t>
  </si>
  <si>
    <t>—</t>
  </si>
  <si>
    <t>办完大证</t>
  </si>
  <si>
    <t>其中：团购合计</t>
  </si>
  <si>
    <t>对外合计</t>
  </si>
  <si>
    <t>一批次合计</t>
  </si>
  <si>
    <t>预售</t>
  </si>
  <si>
    <t>封顶</t>
  </si>
  <si>
    <t>二次结构</t>
  </si>
  <si>
    <t>窗框</t>
  </si>
  <si>
    <t>外墙</t>
  </si>
  <si>
    <t>配套完成</t>
  </si>
  <si>
    <t>验收</t>
  </si>
  <si>
    <t>办证</t>
  </si>
  <si>
    <t>累计可出比例</t>
  </si>
  <si>
    <t>本次可出比例</t>
  </si>
  <si>
    <t>团购6栋</t>
  </si>
  <si>
    <t>3#、5#楼</t>
  </si>
  <si>
    <t>2#楼</t>
  </si>
  <si>
    <t>1#楼</t>
  </si>
  <si>
    <t>11#楼</t>
  </si>
  <si>
    <t>13#楼</t>
  </si>
  <si>
    <t>调整后</t>
  </si>
  <si>
    <t>团购6-9#楼4栋</t>
  </si>
  <si>
    <t>团购10、12#楼</t>
  </si>
  <si>
    <t>对外2#、3#、5#</t>
  </si>
  <si>
    <t>一批合计</t>
  </si>
  <si>
    <t>二批合计</t>
  </si>
  <si>
    <t>八里堂项目全周期现金流</t>
  </si>
  <si>
    <t>开发节点</t>
  </si>
  <si>
    <t>摘地</t>
  </si>
  <si>
    <t>支付土地款30%</t>
  </si>
  <si>
    <t>施工证办理</t>
  </si>
  <si>
    <t>支付土地50%</t>
  </si>
  <si>
    <t>1批次团购前四栋正负零8.15日，10、12#楼8月31日</t>
  </si>
  <si>
    <t>1批次2、3、5#正负零及预售；团购前四栋预售；</t>
  </si>
  <si>
    <t>团购10、12#楼预售</t>
  </si>
  <si>
    <t>一批次9栋全部封顶</t>
  </si>
  <si>
    <t>1批二次结构完成2023.12.15</t>
  </si>
  <si>
    <t>2批预售证</t>
  </si>
  <si>
    <t>2批封顶2024.3.10</t>
  </si>
  <si>
    <t>1批次窗框完成2024.4.10</t>
  </si>
  <si>
    <r>
      <rPr>
        <b/>
        <sz val="14"/>
        <color rgb="FFFF0000"/>
        <rFont val="宋体"/>
        <charset val="134"/>
      </rPr>
      <t>1批次外墙完成2024.6.24</t>
    </r>
    <r>
      <rPr>
        <b/>
        <sz val="14"/>
        <rFont val="宋体"/>
        <charset val="134"/>
      </rPr>
      <t xml:space="preserve">
2批次二次结构完成</t>
    </r>
  </si>
  <si>
    <t>2批次窗框完成</t>
  </si>
  <si>
    <t>2批次外墙完成</t>
  </si>
  <si>
    <t>1、2批水电暖完成</t>
  </si>
  <si>
    <t>五方验收</t>
  </si>
  <si>
    <t>交付9.25</t>
  </si>
  <si>
    <t>办理大证</t>
  </si>
  <si>
    <t>大证完成</t>
  </si>
  <si>
    <t>推售节点</t>
  </si>
  <si>
    <t>开盘团购+2#、3#、5#</t>
  </si>
  <si>
    <t>加推1#</t>
  </si>
  <si>
    <t>加推11#</t>
  </si>
  <si>
    <t>加推13#楼</t>
  </si>
  <si>
    <t>期初余额</t>
  </si>
  <si>
    <t>现金流入</t>
  </si>
  <si>
    <t>其中：住宅流入</t>
  </si>
  <si>
    <t>流出合计</t>
  </si>
  <si>
    <t>按揭保证金</t>
  </si>
  <si>
    <t>监管资金进款</t>
  </si>
  <si>
    <t>监管资金出款</t>
  </si>
  <si>
    <t>其他</t>
  </si>
  <si>
    <t>期末余额</t>
  </si>
  <si>
    <t>当期净现金流</t>
  </si>
  <si>
    <t xml:space="preserve">IRR </t>
  </si>
  <si>
    <t>实际经营回正</t>
  </si>
  <si>
    <t>开发周期</t>
  </si>
  <si>
    <t>利息合计</t>
  </si>
  <si>
    <t>利息支出</t>
  </si>
  <si>
    <t>资金使用周期</t>
  </si>
  <si>
    <t>利率</t>
  </si>
  <si>
    <t>销售收入</t>
  </si>
  <si>
    <t>增值税附加</t>
  </si>
  <si>
    <t>税金合计</t>
  </si>
  <si>
    <t>综合税负</t>
  </si>
</sst>
</file>

<file path=xl/styles.xml><?xml version="1.0" encoding="utf-8"?>
<styleSheet xmlns="http://schemas.openxmlformats.org/spreadsheetml/2006/main" xmlns:xr9="http://schemas.microsoft.com/office/spreadsheetml/2016/revision9">
  <numFmts count="2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yyyy&quot;年&quot;m&quot;月&quot;;@"/>
    <numFmt numFmtId="178" formatCode="#,##0.00_ "/>
    <numFmt numFmtId="179" formatCode="0.00_ "/>
    <numFmt numFmtId="180" formatCode="0_ "/>
    <numFmt numFmtId="181" formatCode="0_);\(0\)"/>
    <numFmt numFmtId="182" formatCode="#,##0_ "/>
    <numFmt numFmtId="183" formatCode="yyyy&quot;年&quot;m&quot;月&quot;d&quot;日&quot;;@"/>
    <numFmt numFmtId="184" formatCode="0.0"/>
    <numFmt numFmtId="185" formatCode="_ * #,##0_ ;_ * \-#,##0_ ;_ * &quot;-&quot;??_ ;_ @_ "/>
    <numFmt numFmtId="186" formatCode="0.0%"/>
    <numFmt numFmtId="187" formatCode="0.00_);[Red]\(0.00\)"/>
    <numFmt numFmtId="188" formatCode="#&quot;个&quot;"/>
    <numFmt numFmtId="189" formatCode="#.0&quot;万&quot;&quot;元&quot;"/>
    <numFmt numFmtId="190" formatCode="#,##0_ ;[Red]\-#,##0\ "/>
    <numFmt numFmtId="191" formatCode="#,##0.00_ ;[Red]\-#,##0.00\ "/>
    <numFmt numFmtId="192" formatCode="#,##0_);[Red]\(#,##0\)"/>
    <numFmt numFmtId="193" formatCode="[$-10804]yyyy/m/d"/>
    <numFmt numFmtId="194" formatCode="yyyy/m/d;@"/>
    <numFmt numFmtId="195" formatCode="0.0000_ "/>
    <numFmt numFmtId="196" formatCode="_ * #,##0.000_ ;_ * \-#,##0.000_ ;_ * &quot;-&quot;??_ ;_ @_ "/>
  </numFmts>
  <fonts count="119">
    <font>
      <sz val="12"/>
      <name val="宋体"/>
      <charset val="134"/>
    </font>
    <font>
      <b/>
      <sz val="14"/>
      <name val="宋体"/>
      <charset val="134"/>
    </font>
    <font>
      <b/>
      <sz val="12"/>
      <name val="宋体"/>
      <charset val="134"/>
    </font>
    <font>
      <sz val="16"/>
      <name val="宋体"/>
      <charset val="134"/>
    </font>
    <font>
      <b/>
      <sz val="20"/>
      <name val="宋体"/>
      <charset val="134"/>
    </font>
    <font>
      <b/>
      <sz val="14"/>
      <color rgb="FFFF0000"/>
      <name val="宋体"/>
      <charset val="134"/>
    </font>
    <font>
      <sz val="12"/>
      <color theme="1"/>
      <name val="宋体"/>
      <charset val="134"/>
    </font>
    <font>
      <b/>
      <sz val="16"/>
      <name val="宋体"/>
      <charset val="134"/>
    </font>
    <font>
      <sz val="11"/>
      <color theme="1"/>
      <name val="宋体"/>
      <charset val="134"/>
      <scheme val="minor"/>
    </font>
    <font>
      <b/>
      <sz val="11"/>
      <color theme="1"/>
      <name val="宋体"/>
      <charset val="134"/>
      <scheme val="minor"/>
    </font>
    <font>
      <sz val="10"/>
      <color theme="1"/>
      <name val="宋体"/>
      <charset val="134"/>
      <scheme val="minor"/>
    </font>
    <font>
      <b/>
      <sz val="18"/>
      <color theme="1"/>
      <name val="宋体"/>
      <charset val="134"/>
      <scheme val="minor"/>
    </font>
    <font>
      <b/>
      <sz val="10"/>
      <name val="宋体"/>
      <charset val="134"/>
    </font>
    <font>
      <sz val="10"/>
      <name val="宋体"/>
      <charset val="134"/>
    </font>
    <font>
      <b/>
      <sz val="10"/>
      <color theme="1"/>
      <name val="宋体"/>
      <charset val="134"/>
      <scheme val="minor"/>
    </font>
    <font>
      <b/>
      <sz val="16"/>
      <color indexed="8"/>
      <name val="微软雅黑"/>
      <charset val="134"/>
    </font>
    <font>
      <b/>
      <sz val="11"/>
      <color indexed="8"/>
      <name val="微软雅黑"/>
      <charset val="134"/>
    </font>
    <font>
      <sz val="11"/>
      <name val="微软雅黑"/>
      <charset val="134"/>
    </font>
    <font>
      <sz val="11"/>
      <color rgb="FFFF0000"/>
      <name val="微软雅黑"/>
      <charset val="134"/>
    </font>
    <font>
      <sz val="11"/>
      <name val="宋体"/>
      <charset val="134"/>
    </font>
    <font>
      <b/>
      <sz val="10"/>
      <color rgb="FF000000"/>
      <name val="宋体"/>
      <charset val="134"/>
    </font>
    <font>
      <sz val="10"/>
      <color rgb="FF000000"/>
      <name val="宋体"/>
      <charset val="134"/>
    </font>
    <font>
      <sz val="10"/>
      <color rgb="FFFF0000"/>
      <name val="宋体"/>
      <charset val="134"/>
    </font>
    <font>
      <u/>
      <sz val="12"/>
      <color theme="10"/>
      <name val="宋体"/>
      <charset val="134"/>
    </font>
    <font>
      <b/>
      <sz val="12"/>
      <color rgb="FFFF0000"/>
      <name val="宋体"/>
      <charset val="134"/>
    </font>
    <font>
      <sz val="12"/>
      <color rgb="FFFF0000"/>
      <name val="宋体"/>
      <charset val="134"/>
    </font>
    <font>
      <b/>
      <sz val="11"/>
      <name val="宋体"/>
      <charset val="134"/>
    </font>
    <font>
      <b/>
      <sz val="11"/>
      <color rgb="FFFF0000"/>
      <name val="宋体"/>
      <charset val="134"/>
    </font>
    <font>
      <sz val="12"/>
      <color theme="1"/>
      <name val="仿宋"/>
      <charset val="134"/>
    </font>
    <font>
      <b/>
      <sz val="12"/>
      <color theme="1"/>
      <name val="仿宋"/>
      <charset val="134"/>
    </font>
    <font>
      <sz val="12"/>
      <name val="仿宋"/>
      <charset val="134"/>
    </font>
    <font>
      <b/>
      <sz val="12"/>
      <name val="仿宋"/>
      <charset val="134"/>
    </font>
    <font>
      <sz val="14"/>
      <name val="黑体"/>
      <charset val="134"/>
    </font>
    <font>
      <b/>
      <sz val="14"/>
      <color indexed="8"/>
      <name val="宋体"/>
      <charset val="134"/>
    </font>
    <font>
      <sz val="9"/>
      <name val="宋体"/>
      <charset val="134"/>
    </font>
    <font>
      <sz val="10"/>
      <color indexed="8"/>
      <name val="宋体"/>
      <charset val="134"/>
    </font>
    <font>
      <sz val="10"/>
      <color theme="0"/>
      <name val="宋体"/>
      <charset val="134"/>
      <scheme val="minor"/>
    </font>
    <font>
      <sz val="10"/>
      <color theme="1"/>
      <name val="新宋体"/>
      <charset val="134"/>
    </font>
    <font>
      <sz val="10"/>
      <color rgb="FFFF0000"/>
      <name val="新宋体"/>
      <charset val="134"/>
    </font>
    <font>
      <sz val="18"/>
      <name val="黑体"/>
      <charset val="134"/>
    </font>
    <font>
      <sz val="12"/>
      <name val="宋体"/>
      <charset val="134"/>
      <scheme val="minor"/>
    </font>
    <font>
      <sz val="14"/>
      <name val="宋体"/>
      <charset val="134"/>
      <scheme val="minor"/>
    </font>
    <font>
      <b/>
      <sz val="10"/>
      <color theme="0"/>
      <name val="宋体"/>
      <charset val="134"/>
      <scheme val="minor"/>
    </font>
    <font>
      <b/>
      <sz val="10"/>
      <color theme="0"/>
      <name val="宋体"/>
      <charset val="134"/>
    </font>
    <font>
      <b/>
      <sz val="10"/>
      <color theme="1"/>
      <name val="新宋体"/>
      <charset val="134"/>
    </font>
    <font>
      <sz val="10"/>
      <name val="新宋体"/>
      <charset val="134"/>
    </font>
    <font>
      <b/>
      <sz val="10"/>
      <color rgb="FFFF0000"/>
      <name val="宋体"/>
      <charset val="134"/>
    </font>
    <font>
      <sz val="10"/>
      <color rgb="FF800000"/>
      <name val="新宋体"/>
      <charset val="134"/>
    </font>
    <font>
      <sz val="10"/>
      <color theme="7" tint="-0.249977111117893"/>
      <name val="新宋体"/>
      <charset val="134"/>
    </font>
    <font>
      <sz val="10"/>
      <name val="宋体"/>
      <charset val="134"/>
      <scheme val="minor"/>
    </font>
    <font>
      <b/>
      <sz val="11"/>
      <name val="宋体"/>
      <charset val="134"/>
      <scheme val="minor"/>
    </font>
    <font>
      <sz val="11"/>
      <color rgb="FF000000"/>
      <name val="宋体"/>
      <charset val="134"/>
      <scheme val="minor"/>
    </font>
    <font>
      <b/>
      <sz val="11"/>
      <color rgb="FF000000"/>
      <name val="宋体"/>
      <charset val="134"/>
      <scheme val="minor"/>
    </font>
    <font>
      <b/>
      <sz val="14"/>
      <name val="宋体"/>
      <charset val="134"/>
      <scheme val="minor"/>
    </font>
    <font>
      <sz val="11"/>
      <name val="宋体"/>
      <charset val="134"/>
      <scheme val="minor"/>
    </font>
    <font>
      <b/>
      <sz val="9"/>
      <name val="宋体"/>
      <charset val="134"/>
    </font>
    <font>
      <u/>
      <sz val="9"/>
      <color theme="10"/>
      <name val="宋体"/>
      <charset val="134"/>
    </font>
    <font>
      <b/>
      <sz val="18"/>
      <name val="宋体"/>
      <charset val="134"/>
    </font>
    <font>
      <sz val="9"/>
      <color theme="1"/>
      <name val="宋体"/>
      <charset val="134"/>
    </font>
    <font>
      <sz val="18"/>
      <name val="宋体"/>
      <charset val="134"/>
    </font>
    <font>
      <sz val="9"/>
      <color indexed="8"/>
      <name val="宋体"/>
      <charset val="134"/>
    </font>
    <font>
      <sz val="9"/>
      <color rgb="FFFF0000"/>
      <name val="宋体"/>
      <charset val="134"/>
    </font>
    <font>
      <sz val="8"/>
      <name val="宋体"/>
      <charset val="134"/>
    </font>
    <font>
      <u/>
      <sz val="12"/>
      <color rgb="FF800080"/>
      <name val="宋体"/>
      <charset val="134"/>
    </font>
    <font>
      <b/>
      <sz val="12"/>
      <color theme="1"/>
      <name val="宋体"/>
      <charset val="134"/>
    </font>
    <font>
      <sz val="16"/>
      <name val="黑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indexed="9"/>
      <name val="宋体"/>
      <charset val="134"/>
    </font>
    <font>
      <b/>
      <sz val="18"/>
      <color indexed="56"/>
      <name val="宋体"/>
      <charset val="134"/>
    </font>
    <font>
      <b/>
      <sz val="15"/>
      <color indexed="56"/>
      <name val="宋体"/>
      <charset val="134"/>
    </font>
    <font>
      <b/>
      <sz val="13"/>
      <color indexed="56"/>
      <name val="宋体"/>
      <charset val="134"/>
    </font>
    <font>
      <b/>
      <sz val="11"/>
      <color indexed="52"/>
      <name val="宋体"/>
      <charset val="134"/>
    </font>
    <font>
      <b/>
      <sz val="11"/>
      <color indexed="63"/>
      <name val="宋体"/>
      <charset val="134"/>
    </font>
    <font>
      <b/>
      <sz val="11"/>
      <color indexed="9"/>
      <name val="宋体"/>
      <charset val="134"/>
    </font>
    <font>
      <sz val="10"/>
      <name val="Arial"/>
      <charset val="134"/>
    </font>
    <font>
      <sz val="11"/>
      <color indexed="62"/>
      <name val="宋体"/>
      <charset val="134"/>
    </font>
    <font>
      <sz val="11"/>
      <color indexed="60"/>
      <name val="宋体"/>
      <charset val="134"/>
    </font>
    <font>
      <sz val="12"/>
      <name val="楷体_GB2312"/>
      <charset val="134"/>
    </font>
    <font>
      <b/>
      <sz val="11"/>
      <color indexed="56"/>
      <name val="宋体"/>
      <charset val="134"/>
    </font>
    <font>
      <sz val="11"/>
      <color indexed="52"/>
      <name val="宋体"/>
      <charset val="134"/>
    </font>
    <font>
      <sz val="11"/>
      <color indexed="20"/>
      <name val="宋体"/>
      <charset val="134"/>
    </font>
    <font>
      <sz val="11"/>
      <color indexed="10"/>
      <name val="宋体"/>
      <charset val="134"/>
    </font>
    <font>
      <sz val="11"/>
      <color indexed="17"/>
      <name val="宋体"/>
      <charset val="134"/>
    </font>
    <font>
      <sz val="12"/>
      <color rgb="FF000000"/>
      <name val="宋体"/>
      <charset val="134"/>
    </font>
    <font>
      <u/>
      <sz val="12"/>
      <color indexed="12"/>
      <name val="宋体"/>
      <charset val="134"/>
    </font>
    <font>
      <i/>
      <sz val="11"/>
      <color indexed="23"/>
      <name val="宋体"/>
      <charset val="134"/>
    </font>
    <font>
      <sz val="12"/>
      <name val="Times New Roman"/>
      <charset val="1"/>
    </font>
    <font>
      <b/>
      <sz val="11"/>
      <color indexed="8"/>
      <name val="宋体"/>
      <charset val="134"/>
    </font>
    <font>
      <b/>
      <sz val="12"/>
      <name val="SimSun"/>
      <charset val="134"/>
    </font>
    <font>
      <b/>
      <vertAlign val="superscript"/>
      <sz val="9"/>
      <name val="宋体"/>
      <charset val="134"/>
    </font>
    <font>
      <b/>
      <sz val="9"/>
      <name val="宋体"/>
      <charset val="134"/>
    </font>
    <font>
      <sz val="9"/>
      <name val="宋体"/>
      <charset val="134"/>
    </font>
    <font>
      <sz val="16"/>
      <name val="宋体"/>
      <charset val="134"/>
    </font>
    <font>
      <sz val="20"/>
      <name val="宋体"/>
      <charset val="134"/>
    </font>
    <font>
      <b/>
      <sz val="18"/>
      <name val="宋体"/>
      <charset val="134"/>
    </font>
    <font>
      <b/>
      <sz val="16"/>
      <name val="宋体"/>
      <charset val="134"/>
    </font>
    <font>
      <sz val="24"/>
      <name val="宋体"/>
      <charset val="134"/>
    </font>
    <font>
      <sz val="14"/>
      <name val="宋体"/>
      <charset val="134"/>
    </font>
    <font>
      <b/>
      <sz val="14"/>
      <name val="宋体"/>
      <charset val="134"/>
    </font>
    <font>
      <b/>
      <sz val="18"/>
      <color rgb="FF000000"/>
      <name val="宋体"/>
      <charset val="134"/>
    </font>
    <font>
      <sz val="18"/>
      <name val="宋体"/>
      <charset val="134"/>
    </font>
  </fonts>
  <fills count="94">
    <fill>
      <patternFill patternType="none"/>
    </fill>
    <fill>
      <patternFill patternType="gray125"/>
    </fill>
    <fill>
      <patternFill patternType="solid">
        <fgColor theme="3" tint="0.8"/>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theme="0"/>
        <bgColor indexed="64"/>
      </patternFill>
    </fill>
    <fill>
      <patternFill patternType="solid">
        <fgColor rgb="FFBFBFBF"/>
        <bgColor indexed="64"/>
      </patternFill>
    </fill>
    <fill>
      <patternFill patternType="solid">
        <fgColor theme="5" tint="0.399090548417615"/>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7" tint="0.399090548417615"/>
        <bgColor indexed="64"/>
      </patternFill>
    </fill>
    <fill>
      <patternFill patternType="solid">
        <fgColor theme="3" tint="0.599993896298105"/>
        <bgColor indexed="64"/>
      </patternFill>
    </fill>
    <fill>
      <patternFill patternType="solid">
        <fgColor theme="0" tint="-0.149113437299722"/>
        <bgColor indexed="64"/>
      </patternFill>
    </fill>
    <fill>
      <patternFill patternType="solid">
        <fgColor theme="7" tint="0.6"/>
        <bgColor indexed="64"/>
      </patternFill>
    </fill>
    <fill>
      <patternFill patternType="solid">
        <fgColor theme="0" tint="-0.249977111117893"/>
        <bgColor indexed="64"/>
      </patternFill>
    </fill>
    <fill>
      <patternFill patternType="solid">
        <fgColor theme="2" tint="-0.0999786370433668"/>
        <bgColor indexed="64"/>
      </patternFill>
    </fill>
    <fill>
      <patternFill patternType="solid">
        <fgColor rgb="FF00B0F0"/>
        <bgColor indexed="64"/>
      </patternFill>
    </fill>
    <fill>
      <patternFill patternType="solid">
        <fgColor rgb="FFC00000"/>
        <bgColor indexed="64"/>
      </patternFill>
    </fill>
    <fill>
      <patternFill patternType="solid">
        <fgColor theme="3" tint="0.79985961485641"/>
        <bgColor indexed="64"/>
      </patternFill>
    </fill>
    <fill>
      <patternFill patternType="solid">
        <fgColor rgb="FF00B050"/>
        <bgColor indexed="64"/>
      </patternFill>
    </fill>
    <fill>
      <patternFill patternType="solid">
        <fgColor theme="8" tint="0.79934080019531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5" tint="0.799340800195319"/>
        <bgColor indexed="64"/>
      </patternFill>
    </fill>
    <fill>
      <patternFill patternType="solid">
        <fgColor theme="9" tint="0.799340800195319"/>
        <bgColor indexed="64"/>
      </patternFill>
    </fill>
    <fill>
      <patternFill patternType="solid">
        <fgColor rgb="FFFFC000"/>
        <bgColor indexed="64"/>
      </patternFill>
    </fill>
    <fill>
      <patternFill patternType="solid">
        <fgColor theme="7" tint="0.599993896298105"/>
        <bgColor indexed="64"/>
      </patternFill>
    </fill>
    <fill>
      <patternFill patternType="solid">
        <fgColor theme="3" tint="0.399151585436567"/>
        <bgColor indexed="64"/>
      </patternFill>
    </fill>
    <fill>
      <patternFill patternType="solid">
        <fgColor theme="3" tint="0.399090548417615"/>
        <bgColor indexed="64"/>
      </patternFill>
    </fill>
    <fill>
      <patternFill patternType="solid">
        <fgColor theme="5" tint="0.398693807794427"/>
        <bgColor indexed="64"/>
      </patternFill>
    </fill>
    <fill>
      <patternFill patternType="solid">
        <fgColor theme="7" tint="0.398693807794427"/>
        <bgColor indexed="64"/>
      </patternFill>
    </fill>
    <fill>
      <patternFill patternType="solid">
        <fgColor indexed="43"/>
        <bgColor indexed="64"/>
      </patternFill>
    </fill>
    <fill>
      <patternFill patternType="solid">
        <fgColor indexed="9"/>
        <bgColor indexed="64"/>
      </patternFill>
    </fill>
    <fill>
      <patternFill patternType="solid">
        <fgColor rgb="FF41566F"/>
        <bgColor indexed="64"/>
      </patternFill>
    </fill>
    <fill>
      <patternFill patternType="solid">
        <fgColor rgb="FFE6EBEB"/>
        <bgColor indexed="64"/>
      </patternFill>
    </fill>
    <fill>
      <patternFill patternType="solid">
        <fgColor theme="0" tint="-0.15"/>
        <bgColor indexed="64"/>
      </patternFill>
    </fill>
    <fill>
      <patternFill patternType="solid">
        <fgColor rgb="FFF7FD9D"/>
        <bgColor indexed="64"/>
      </patternFill>
    </fill>
    <fill>
      <patternFill patternType="solid">
        <fgColor theme="2"/>
        <bgColor indexed="64"/>
      </patternFill>
    </fill>
    <fill>
      <patternFill patternType="solid">
        <fgColor theme="0" tint="-0.25"/>
        <bgColor indexed="64"/>
      </patternFill>
    </fill>
    <fill>
      <patternFill patternType="solid">
        <fgColor theme="6" tint="0.399090548417615"/>
        <bgColor indexed="64"/>
      </patternFill>
    </fill>
    <fill>
      <patternFill patternType="solid">
        <fgColor theme="5"/>
        <bgColor indexed="64"/>
      </patternFill>
    </fill>
    <fill>
      <patternFill patternType="solid">
        <fgColor theme="0" tint="-0.149143955809198"/>
        <bgColor indexed="64"/>
      </patternFill>
    </fill>
    <fill>
      <patternFill patternType="solid">
        <fgColor theme="6" tint="0.399121066927091"/>
        <bgColor indexed="64"/>
      </patternFill>
    </fill>
    <fill>
      <patternFill patternType="solid">
        <fgColor theme="0" tint="-0.149723807489242"/>
        <bgColor indexed="64"/>
      </patternFill>
    </fill>
    <fill>
      <patternFill patternType="solid">
        <fgColor theme="7" tint="0.399121066927091"/>
        <bgColor indexed="64"/>
      </patternFill>
    </fill>
    <fill>
      <patternFill patternType="solid">
        <fgColor theme="3" tint="0.399121066927091"/>
        <bgColor indexed="64"/>
      </patternFill>
    </fill>
    <fill>
      <patternFill patternType="solid">
        <fgColor theme="7" tint="0.39994506668294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36"/>
        <bgColor indexed="64"/>
      </patternFill>
    </fill>
    <fill>
      <patternFill patternType="solid">
        <fgColor indexed="49"/>
        <bgColor indexed="64"/>
      </patternFill>
    </fill>
    <fill>
      <patternFill patternType="solid">
        <fgColor indexed="46"/>
        <bgColor indexed="64"/>
      </patternFill>
    </fill>
    <fill>
      <patternFill patternType="solid">
        <fgColor indexed="52"/>
        <bgColor indexed="64"/>
      </patternFill>
    </fill>
    <fill>
      <patternFill patternType="solid">
        <fgColor indexed="30"/>
        <bgColor indexed="64"/>
      </patternFill>
    </fill>
    <fill>
      <patternFill patternType="solid">
        <fgColor indexed="44"/>
        <bgColor indexed="64"/>
      </patternFill>
    </fill>
    <fill>
      <patternFill patternType="solid">
        <fgColor indexed="62"/>
        <bgColor indexed="64"/>
      </patternFill>
    </fill>
    <fill>
      <patternFill patternType="solid">
        <fgColor indexed="22"/>
        <bgColor indexed="64"/>
      </patternFill>
    </fill>
    <fill>
      <patternFill patternType="solid">
        <fgColor indexed="27"/>
        <bgColor indexed="64"/>
      </patternFill>
    </fill>
    <fill>
      <patternFill patternType="solid">
        <fgColor indexed="10"/>
        <bgColor indexed="64"/>
      </patternFill>
    </fill>
    <fill>
      <patternFill patternType="solid">
        <fgColor indexed="29"/>
        <bgColor indexed="64"/>
      </patternFill>
    </fill>
    <fill>
      <patternFill patternType="solid">
        <fgColor indexed="55"/>
        <bgColor indexed="64"/>
      </patternFill>
    </fill>
    <fill>
      <patternFill patternType="solid">
        <fgColor indexed="42"/>
        <bgColor indexed="64"/>
      </patternFill>
    </fill>
    <fill>
      <patternFill patternType="solid">
        <fgColor indexed="47"/>
        <bgColor indexed="64"/>
      </patternFill>
    </fill>
    <fill>
      <patternFill patternType="solid">
        <fgColor indexed="11"/>
        <bgColor indexed="64"/>
      </patternFill>
    </fill>
    <fill>
      <patternFill patternType="solid">
        <fgColor indexed="57"/>
        <bgColor indexed="64"/>
      </patternFill>
    </fill>
    <fill>
      <patternFill patternType="solid">
        <fgColor indexed="45"/>
        <bgColor indexed="64"/>
      </patternFill>
    </fill>
    <fill>
      <patternFill patternType="solid">
        <fgColor indexed="26"/>
        <bgColor indexed="64"/>
      </patternFill>
    </fill>
    <fill>
      <patternFill patternType="solid">
        <fgColor indexed="53"/>
        <bgColor indexed="64"/>
      </patternFill>
    </fill>
    <fill>
      <patternFill patternType="solid">
        <fgColor indexed="51"/>
        <bgColor indexed="64"/>
      </patternFill>
    </fill>
  </fills>
  <borders count="4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rgb="FF000000"/>
      </left>
      <right style="medium">
        <color rgb="FF000000"/>
      </right>
      <top style="medium">
        <color rgb="FF000000"/>
      </top>
      <bottom style="medium">
        <color rgb="FF000000"/>
      </bottom>
      <diagonal/>
    </border>
    <border>
      <left/>
      <right/>
      <top style="thin">
        <color auto="1"/>
      </top>
      <bottom/>
      <diagonal/>
    </border>
    <border>
      <left/>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indexed="8"/>
      </right>
      <top style="thin">
        <color indexed="8"/>
      </top>
      <bottom style="thin">
        <color indexed="8"/>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diagonal/>
    </border>
    <border>
      <left/>
      <right style="thin">
        <color auto="1"/>
      </right>
      <top/>
      <bottom/>
      <diagonal/>
    </border>
    <border>
      <left style="medium">
        <color auto="1"/>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medium">
        <color auto="1"/>
      </right>
      <top style="thin">
        <color auto="1"/>
      </top>
      <bottom/>
      <diagonal/>
    </border>
    <border>
      <left/>
      <right style="medium">
        <color auto="1"/>
      </right>
      <top style="thin">
        <color auto="1"/>
      </top>
      <bottom/>
      <diagonal/>
    </border>
    <border>
      <left style="medium">
        <color auto="1"/>
      </left>
      <right style="medium">
        <color auto="1"/>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s>
  <cellStyleXfs count="121">
    <xf numFmtId="0" fontId="0" fillId="0" borderId="0"/>
    <xf numFmtId="43" fontId="0" fillId="0" borderId="0" applyFont="0" applyFill="0" applyBorder="0" applyAlignment="0" applyProtection="0">
      <alignment vertical="center"/>
    </xf>
    <xf numFmtId="44" fontId="8" fillId="0" borderId="0" applyFont="0" applyFill="0" applyBorder="0" applyAlignment="0" applyProtection="0">
      <alignment vertical="center"/>
    </xf>
    <xf numFmtId="9" fontId="0"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23" fillId="0" borderId="0" applyNumberFormat="0" applyFill="0" applyBorder="0" applyAlignment="0" applyProtection="0"/>
    <xf numFmtId="0" fontId="66" fillId="0" borderId="0" applyNumberFormat="0" applyFill="0" applyBorder="0" applyAlignment="0" applyProtection="0">
      <alignment vertical="center"/>
    </xf>
    <xf numFmtId="0" fontId="8" fillId="48" borderId="31" applyNumberFormat="0" applyFont="0" applyAlignment="0" applyProtection="0">
      <alignment vertical="center"/>
    </xf>
    <xf numFmtId="0" fontId="67"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70" fillId="0" borderId="32" applyNumberFormat="0" applyFill="0" applyAlignment="0" applyProtection="0">
      <alignment vertical="center"/>
    </xf>
    <xf numFmtId="0" fontId="71" fillId="0" borderId="32" applyNumberFormat="0" applyFill="0" applyAlignment="0" applyProtection="0">
      <alignment vertical="center"/>
    </xf>
    <xf numFmtId="0" fontId="72" fillId="0" borderId="33" applyNumberFormat="0" applyFill="0" applyAlignment="0" applyProtection="0">
      <alignment vertical="center"/>
    </xf>
    <xf numFmtId="0" fontId="72" fillId="0" borderId="0" applyNumberFormat="0" applyFill="0" applyBorder="0" applyAlignment="0" applyProtection="0">
      <alignment vertical="center"/>
    </xf>
    <xf numFmtId="0" fontId="73" fillId="49" borderId="34" applyNumberFormat="0" applyAlignment="0" applyProtection="0">
      <alignment vertical="center"/>
    </xf>
    <xf numFmtId="0" fontId="74" fillId="50" borderId="35" applyNumberFormat="0" applyAlignment="0" applyProtection="0">
      <alignment vertical="center"/>
    </xf>
    <xf numFmtId="0" fontId="75" fillId="50" borderId="34" applyNumberFormat="0" applyAlignment="0" applyProtection="0">
      <alignment vertical="center"/>
    </xf>
    <xf numFmtId="0" fontId="76" fillId="51" borderId="36" applyNumberFormat="0" applyAlignment="0" applyProtection="0">
      <alignment vertical="center"/>
    </xf>
    <xf numFmtId="0" fontId="77" fillId="0" borderId="37" applyNumberFormat="0" applyFill="0" applyAlignment="0" applyProtection="0">
      <alignment vertical="center"/>
    </xf>
    <xf numFmtId="0" fontId="78" fillId="0" borderId="38" applyNumberFormat="0" applyFill="0" applyAlignment="0" applyProtection="0">
      <alignment vertical="center"/>
    </xf>
    <xf numFmtId="0" fontId="79" fillId="52" borderId="0" applyNumberFormat="0" applyBorder="0" applyAlignment="0" applyProtection="0">
      <alignment vertical="center"/>
    </xf>
    <xf numFmtId="0" fontId="80" fillId="53" borderId="0" applyNumberFormat="0" applyBorder="0" applyAlignment="0" applyProtection="0">
      <alignment vertical="center"/>
    </xf>
    <xf numFmtId="0" fontId="81" fillId="54" borderId="0" applyNumberFormat="0" applyBorder="0" applyAlignment="0" applyProtection="0">
      <alignment vertical="center"/>
    </xf>
    <xf numFmtId="0" fontId="82" fillId="55" borderId="0" applyNumberFormat="0" applyBorder="0" applyAlignment="0" applyProtection="0">
      <alignment vertical="center"/>
    </xf>
    <xf numFmtId="0" fontId="83" fillId="56" borderId="0" applyNumberFormat="0" applyBorder="0" applyAlignment="0" applyProtection="0">
      <alignment vertical="center"/>
    </xf>
    <xf numFmtId="0" fontId="83" fillId="9" borderId="0" applyNumberFormat="0" applyBorder="0" applyAlignment="0" applyProtection="0">
      <alignment vertical="center"/>
    </xf>
    <xf numFmtId="0" fontId="82" fillId="57" borderId="0" applyNumberFormat="0" applyBorder="0" applyAlignment="0" applyProtection="0">
      <alignment vertical="center"/>
    </xf>
    <xf numFmtId="0" fontId="82" fillId="41" borderId="0" applyNumberFormat="0" applyBorder="0" applyAlignment="0" applyProtection="0">
      <alignment vertical="center"/>
    </xf>
    <xf numFmtId="0" fontId="83" fillId="58" borderId="0" applyNumberFormat="0" applyBorder="0" applyAlignment="0" applyProtection="0">
      <alignment vertical="center"/>
    </xf>
    <xf numFmtId="0" fontId="83" fillId="10" borderId="0" applyNumberFormat="0" applyBorder="0" applyAlignment="0" applyProtection="0">
      <alignment vertical="center"/>
    </xf>
    <xf numFmtId="0" fontId="82" fillId="59" borderId="0" applyNumberFormat="0" applyBorder="0" applyAlignment="0" applyProtection="0">
      <alignment vertical="center"/>
    </xf>
    <xf numFmtId="0" fontId="82" fillId="60" borderId="0" applyNumberFormat="0" applyBorder="0" applyAlignment="0" applyProtection="0">
      <alignment vertical="center"/>
    </xf>
    <xf numFmtId="0" fontId="83" fillId="61" borderId="0" applyNumberFormat="0" applyBorder="0" applyAlignment="0" applyProtection="0">
      <alignment vertical="center"/>
    </xf>
    <xf numFmtId="0" fontId="83" fillId="23" borderId="0" applyNumberFormat="0" applyBorder="0" applyAlignment="0" applyProtection="0">
      <alignment vertical="center"/>
    </xf>
    <xf numFmtId="0" fontId="82" fillId="62" borderId="0" applyNumberFormat="0" applyBorder="0" applyAlignment="0" applyProtection="0">
      <alignment vertical="center"/>
    </xf>
    <xf numFmtId="0" fontId="82" fillId="63" borderId="0" applyNumberFormat="0" applyBorder="0" applyAlignment="0" applyProtection="0">
      <alignment vertical="center"/>
    </xf>
    <xf numFmtId="0" fontId="83" fillId="64" borderId="0" applyNumberFormat="0" applyBorder="0" applyAlignment="0" applyProtection="0">
      <alignment vertical="center"/>
    </xf>
    <xf numFmtId="0" fontId="83" fillId="27" borderId="0" applyNumberFormat="0" applyBorder="0" applyAlignment="0" applyProtection="0">
      <alignment vertical="center"/>
    </xf>
    <xf numFmtId="0" fontId="82" fillId="65" borderId="0" applyNumberFormat="0" applyBorder="0" applyAlignment="0" applyProtection="0">
      <alignment vertical="center"/>
    </xf>
    <xf numFmtId="0" fontId="82" fillId="66" borderId="0" applyNumberFormat="0" applyBorder="0" applyAlignment="0" applyProtection="0">
      <alignment vertical="center"/>
    </xf>
    <xf numFmtId="0" fontId="83" fillId="67" borderId="0" applyNumberFormat="0" applyBorder="0" applyAlignment="0" applyProtection="0">
      <alignment vertical="center"/>
    </xf>
    <xf numFmtId="0" fontId="83" fillId="22" borderId="0" applyNumberFormat="0" applyBorder="0" applyAlignment="0" applyProtection="0">
      <alignment vertical="center"/>
    </xf>
    <xf numFmtId="0" fontId="82" fillId="68" borderId="0" applyNumberFormat="0" applyBorder="0" applyAlignment="0" applyProtection="0">
      <alignment vertical="center"/>
    </xf>
    <xf numFmtId="0" fontId="82" fillId="69" borderId="0" applyNumberFormat="0" applyBorder="0" applyAlignment="0" applyProtection="0">
      <alignment vertical="center"/>
    </xf>
    <xf numFmtId="0" fontId="83" fillId="70" borderId="0" applyNumberFormat="0" applyBorder="0" applyAlignment="0" applyProtection="0">
      <alignment vertical="center"/>
    </xf>
    <xf numFmtId="0" fontId="83" fillId="71" borderId="0" applyNumberFormat="0" applyBorder="0" applyAlignment="0" applyProtection="0">
      <alignment vertical="center"/>
    </xf>
    <xf numFmtId="0" fontId="82" fillId="72" borderId="0" applyNumberFormat="0" applyBorder="0" applyAlignment="0" applyProtection="0">
      <alignment vertical="center"/>
    </xf>
    <xf numFmtId="0" fontId="84" fillId="73" borderId="0" applyNumberFormat="0" applyBorder="0" applyAlignment="0" applyProtection="0">
      <alignment vertical="center"/>
    </xf>
    <xf numFmtId="0" fontId="0" fillId="0" borderId="0"/>
    <xf numFmtId="0" fontId="85" fillId="74" borderId="0" applyNumberFormat="0" applyBorder="0" applyAlignment="0" applyProtection="0">
      <alignment vertical="center"/>
    </xf>
    <xf numFmtId="0" fontId="0" fillId="0" borderId="0"/>
    <xf numFmtId="43" fontId="0" fillId="0" borderId="0" applyFont="0" applyFill="0" applyBorder="0" applyAlignment="0" applyProtection="0">
      <alignment vertical="center"/>
    </xf>
    <xf numFmtId="0" fontId="86" fillId="0" borderId="0" applyNumberFormat="0" applyFill="0" applyBorder="0" applyAlignment="0" applyProtection="0">
      <alignment vertical="center"/>
    </xf>
    <xf numFmtId="0" fontId="87" fillId="0" borderId="39" applyNumberFormat="0" applyFill="0" applyAlignment="0" applyProtection="0">
      <alignment vertical="center"/>
    </xf>
    <xf numFmtId="0" fontId="85" fillId="75" borderId="0" applyNumberFormat="0" applyBorder="0" applyAlignment="0" applyProtection="0">
      <alignment vertical="center"/>
    </xf>
    <xf numFmtId="43" fontId="0" fillId="0" borderId="0" applyProtection="0"/>
    <xf numFmtId="0" fontId="88" fillId="0" borderId="40" applyNumberFormat="0" applyFill="0" applyAlignment="0" applyProtection="0">
      <alignment vertical="center"/>
    </xf>
    <xf numFmtId="0" fontId="0" fillId="0" borderId="0"/>
    <xf numFmtId="0" fontId="84" fillId="76" borderId="0" applyNumberFormat="0" applyBorder="0" applyAlignment="0" applyProtection="0">
      <alignment vertical="center"/>
    </xf>
    <xf numFmtId="0" fontId="85" fillId="74" borderId="0" applyNumberFormat="0" applyBorder="0" applyAlignment="0" applyProtection="0">
      <alignment vertical="center"/>
    </xf>
    <xf numFmtId="0" fontId="85" fillId="77" borderId="0" applyNumberFormat="0" applyBorder="0" applyAlignment="0" applyProtection="0">
      <alignment vertical="center"/>
    </xf>
    <xf numFmtId="0" fontId="0" fillId="0" borderId="0"/>
    <xf numFmtId="0" fontId="0" fillId="0" borderId="0"/>
    <xf numFmtId="0" fontId="0" fillId="0" borderId="0"/>
    <xf numFmtId="0" fontId="85" fillId="78" borderId="0" applyNumberFormat="0" applyBorder="0" applyAlignment="0" applyProtection="0">
      <alignment vertical="center"/>
    </xf>
    <xf numFmtId="0" fontId="84" fillId="79" borderId="0" applyNumberFormat="0" applyBorder="0" applyAlignment="0" applyProtection="0">
      <alignment vertical="center"/>
    </xf>
    <xf numFmtId="0" fontId="85" fillId="80" borderId="0" applyNumberFormat="0" applyBorder="0" applyAlignment="0" applyProtection="0">
      <alignment vertical="center"/>
    </xf>
    <xf numFmtId="0" fontId="89" fillId="81" borderId="41" applyNumberFormat="0" applyAlignment="0" applyProtection="0">
      <alignment vertical="center"/>
    </xf>
    <xf numFmtId="9" fontId="0" fillId="0" borderId="0" applyProtection="0"/>
    <xf numFmtId="0" fontId="84" fillId="82" borderId="0" applyNumberFormat="0" applyBorder="0" applyAlignment="0" applyProtection="0">
      <alignment vertical="center"/>
    </xf>
    <xf numFmtId="0" fontId="90" fillId="81" borderId="42" applyNumberFormat="0" applyAlignment="0" applyProtection="0">
      <alignment vertical="center"/>
    </xf>
    <xf numFmtId="43" fontId="0" fillId="0" borderId="0" applyFont="0" applyFill="0" applyBorder="0" applyAlignment="0" applyProtection="0">
      <alignment vertical="center"/>
    </xf>
    <xf numFmtId="0" fontId="85" fillId="83" borderId="0" applyNumberFormat="0" applyBorder="0" applyAlignment="0" applyProtection="0">
      <alignment vertical="center"/>
    </xf>
    <xf numFmtId="0" fontId="84" fillId="84" borderId="0" applyNumberFormat="0" applyBorder="0" applyAlignment="0" applyProtection="0">
      <alignment vertical="center"/>
    </xf>
    <xf numFmtId="0" fontId="91" fillId="85" borderId="43" applyNumberFormat="0" applyAlignment="0" applyProtection="0">
      <alignment vertical="center"/>
    </xf>
    <xf numFmtId="176" fontId="0" fillId="0" borderId="0" applyProtection="0"/>
    <xf numFmtId="0" fontId="84" fillId="86" borderId="0" applyNumberFormat="0" applyBorder="0" applyAlignment="0" applyProtection="0">
      <alignment vertical="center"/>
    </xf>
    <xf numFmtId="176" fontId="92" fillId="0" borderId="0" applyProtection="0"/>
    <xf numFmtId="0" fontId="84" fillId="87" borderId="0" applyNumberFormat="0" applyBorder="0" applyAlignment="0" applyProtection="0">
      <alignment vertical="center"/>
    </xf>
    <xf numFmtId="0" fontId="84" fillId="88" borderId="0" applyNumberFormat="0" applyBorder="0" applyAlignment="0" applyProtection="0">
      <alignment vertical="center"/>
    </xf>
    <xf numFmtId="0" fontId="85" fillId="89" borderId="0" applyNumberFormat="0" applyBorder="0" applyAlignment="0" applyProtection="0">
      <alignment vertical="center"/>
    </xf>
    <xf numFmtId="43" fontId="0" fillId="0" borderId="0" applyFont="0" applyFill="0" applyBorder="0" applyAlignment="0" applyProtection="0">
      <alignment vertical="center"/>
    </xf>
    <xf numFmtId="0" fontId="85" fillId="84" borderId="0" applyNumberFormat="0" applyBorder="0" applyAlignment="0" applyProtection="0">
      <alignment vertical="center"/>
    </xf>
    <xf numFmtId="9" fontId="0" fillId="0" borderId="0" applyFont="0" applyFill="0" applyBorder="0" applyAlignment="0" applyProtection="0">
      <alignment vertical="center"/>
    </xf>
    <xf numFmtId="0" fontId="93" fillId="87" borderId="41" applyNumberFormat="0" applyAlignment="0" applyProtection="0">
      <alignment vertical="center"/>
    </xf>
    <xf numFmtId="0" fontId="85" fillId="88" borderId="0" applyNumberFormat="0" applyBorder="0" applyAlignment="0" applyProtection="0">
      <alignment vertical="center"/>
    </xf>
    <xf numFmtId="176" fontId="8"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xf numFmtId="0" fontId="94" fillId="32" borderId="0" applyNumberFormat="0" applyBorder="0" applyAlignment="0" applyProtection="0">
      <alignment vertical="center"/>
    </xf>
    <xf numFmtId="0" fontId="95" fillId="0" borderId="0"/>
    <xf numFmtId="0" fontId="96" fillId="0" borderId="44" applyNumberFormat="0" applyFill="0" applyAlignment="0" applyProtection="0">
      <alignment vertical="center"/>
    </xf>
    <xf numFmtId="0" fontId="97" fillId="0" borderId="45" applyNumberFormat="0" applyFill="0" applyAlignment="0" applyProtection="0">
      <alignment vertical="center"/>
    </xf>
    <xf numFmtId="0" fontId="98" fillId="90" borderId="0" applyNumberFormat="0" applyBorder="0" applyAlignment="0" applyProtection="0">
      <alignment vertical="center"/>
    </xf>
    <xf numFmtId="176" fontId="0" fillId="0" borderId="0"/>
    <xf numFmtId="0" fontId="0" fillId="0" borderId="0"/>
    <xf numFmtId="0" fontId="99" fillId="0" borderId="0" applyNumberFormat="0" applyFill="0" applyBorder="0" applyAlignment="0" applyProtection="0">
      <alignment vertical="center"/>
    </xf>
    <xf numFmtId="0" fontId="100" fillId="86" borderId="0" applyNumberFormat="0" applyBorder="0" applyAlignment="0" applyProtection="0">
      <alignment vertical="center"/>
    </xf>
    <xf numFmtId="0" fontId="0" fillId="91" borderId="46" applyNumberFormat="0" applyFont="0" applyAlignment="0" applyProtection="0">
      <alignment vertical="center"/>
    </xf>
    <xf numFmtId="0" fontId="96" fillId="0" borderId="0" applyNumberFormat="0" applyFill="0" applyBorder="0" applyAlignment="0" applyProtection="0">
      <alignment vertical="center"/>
    </xf>
    <xf numFmtId="0" fontId="101" fillId="0" borderId="0"/>
    <xf numFmtId="0" fontId="85" fillId="75" borderId="0" applyNumberFormat="0" applyBorder="0" applyAlignment="0" applyProtection="0">
      <alignment vertical="center"/>
    </xf>
    <xf numFmtId="0" fontId="84" fillId="79" borderId="0" applyNumberFormat="0" applyBorder="0" applyAlignment="0" applyProtection="0">
      <alignment vertical="center"/>
    </xf>
    <xf numFmtId="43" fontId="0" fillId="0" borderId="0" applyFont="0" applyFill="0" applyBorder="0" applyAlignment="0" applyProtection="0">
      <alignment vertical="center"/>
    </xf>
    <xf numFmtId="0" fontId="102" fillId="0" borderId="0" applyNumberFormat="0" applyFill="0" applyBorder="0" applyAlignment="0" applyProtection="0">
      <alignment vertical="top"/>
      <protection locked="0"/>
    </xf>
    <xf numFmtId="0" fontId="0" fillId="0" borderId="0"/>
    <xf numFmtId="0" fontId="103" fillId="0" borderId="0" applyNumberFormat="0" applyFill="0" applyBorder="0" applyAlignment="0" applyProtection="0">
      <alignment vertical="center"/>
    </xf>
    <xf numFmtId="0" fontId="0" fillId="0" borderId="0"/>
    <xf numFmtId="0" fontId="84" fillId="76" borderId="0" applyNumberFormat="0" applyBorder="0" applyAlignment="0" applyProtection="0">
      <alignment vertical="center"/>
    </xf>
    <xf numFmtId="176" fontId="0" fillId="0" borderId="0"/>
    <xf numFmtId="0" fontId="84" fillId="0" borderId="0">
      <alignment vertical="center"/>
    </xf>
    <xf numFmtId="0" fontId="0" fillId="0" borderId="0">
      <alignment vertical="center"/>
    </xf>
    <xf numFmtId="0" fontId="104" fillId="0" borderId="0"/>
    <xf numFmtId="0" fontId="85" fillId="92" borderId="0" applyNumberFormat="0" applyBorder="0" applyAlignment="0" applyProtection="0">
      <alignment vertical="center"/>
    </xf>
    <xf numFmtId="0" fontId="84" fillId="93" borderId="0" applyNumberFormat="0" applyBorder="0" applyAlignment="0" applyProtection="0">
      <alignment vertical="center"/>
    </xf>
    <xf numFmtId="0" fontId="84" fillId="90" borderId="0" applyNumberFormat="0" applyBorder="0" applyAlignment="0" applyProtection="0">
      <alignment vertical="center"/>
    </xf>
    <xf numFmtId="0" fontId="8" fillId="0" borderId="0">
      <alignment vertical="center"/>
    </xf>
    <xf numFmtId="43" fontId="0" fillId="0" borderId="0" applyFont="0" applyFill="0" applyBorder="0" applyAlignment="0" applyProtection="0"/>
    <xf numFmtId="0" fontId="105" fillId="0" borderId="47" applyNumberFormat="0" applyFill="0" applyAlignment="0" applyProtection="0">
      <alignment vertical="center"/>
    </xf>
  </cellStyleXfs>
  <cellXfs count="992">
    <xf numFmtId="0" fontId="0" fillId="0" borderId="0" xfId="0" applyAlignment="1">
      <alignment vertical="center"/>
    </xf>
    <xf numFmtId="0" fontId="0" fillId="0" borderId="0" xfId="97" applyAlignment="1">
      <alignment vertical="center"/>
    </xf>
    <xf numFmtId="0" fontId="0" fillId="0" borderId="0" xfId="0" applyFont="1" applyFill="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177" fontId="2" fillId="2" borderId="1" xfId="1" applyNumberFormat="1" applyFont="1" applyFill="1" applyBorder="1" applyAlignment="1">
      <alignment horizontal="center" vertical="center"/>
    </xf>
    <xf numFmtId="43" fontId="2" fillId="2" borderId="1" xfId="1" applyFont="1" applyFill="1" applyBorder="1" applyAlignment="1">
      <alignment horizontal="center" vertical="center"/>
    </xf>
    <xf numFmtId="43" fontId="0" fillId="3" borderId="1" xfId="1" applyFont="1" applyFill="1" applyBorder="1" applyAlignment="1">
      <alignment horizontal="center" vertical="center"/>
    </xf>
    <xf numFmtId="43" fontId="0" fillId="0" borderId="1" xfId="1" applyFont="1" applyFill="1" applyBorder="1" applyAlignment="1">
      <alignment horizontal="center" vertical="center"/>
    </xf>
    <xf numFmtId="43" fontId="0" fillId="0" borderId="1" xfId="1" applyFont="1" applyBorder="1" applyAlignment="1">
      <alignment horizontal="center" vertical="center"/>
    </xf>
    <xf numFmtId="43" fontId="2" fillId="0" borderId="1" xfId="1" applyFont="1" applyBorder="1" applyAlignment="1">
      <alignment horizontal="center" vertical="center"/>
    </xf>
    <xf numFmtId="9" fontId="0" fillId="0" borderId="1" xfId="3" applyNumberFormat="1" applyFont="1" applyBorder="1" applyAlignment="1">
      <alignment horizontal="center" vertical="center"/>
    </xf>
    <xf numFmtId="0" fontId="0" fillId="0" borderId="1" xfId="1" applyNumberFormat="1" applyFont="1" applyBorder="1" applyAlignment="1">
      <alignment horizontal="center" vertical="center"/>
    </xf>
    <xf numFmtId="178" fontId="3" fillId="0" borderId="0" xfId="0" applyNumberFormat="1" applyFont="1" applyFill="1" applyAlignment="1">
      <alignment horizontal="center" vertical="center"/>
    </xf>
    <xf numFmtId="10" fontId="3" fillId="0" borderId="0" xfId="3" applyNumberFormat="1" applyFont="1" applyAlignment="1">
      <alignment horizontal="center" vertical="center"/>
    </xf>
    <xf numFmtId="0" fontId="3" fillId="0" borderId="0" xfId="0" applyNumberFormat="1" applyFont="1" applyFill="1" applyAlignment="1">
      <alignment horizontal="center" vertical="center"/>
    </xf>
    <xf numFmtId="178" fontId="0" fillId="0" borderId="0" xfId="0" applyNumberFormat="1" applyFont="1" applyFill="1" applyAlignment="1">
      <alignment horizontal="center" vertical="center"/>
    </xf>
    <xf numFmtId="179" fontId="0" fillId="0" borderId="0" xfId="0" applyNumberFormat="1" applyFont="1" applyFill="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43" fontId="6" fillId="4" borderId="1" xfId="1" applyFont="1" applyFill="1" applyBorder="1" applyAlignment="1">
      <alignment horizontal="center" vertical="center"/>
    </xf>
    <xf numFmtId="0" fontId="7" fillId="0" borderId="0" xfId="0" applyFont="1" applyFill="1" applyAlignment="1">
      <alignment horizontal="center" vertical="center"/>
    </xf>
    <xf numFmtId="10" fontId="0" fillId="0" borderId="0" xfId="3" applyNumberFormat="1" applyFont="1" applyAlignment="1">
      <alignment horizontal="center" vertical="center"/>
    </xf>
    <xf numFmtId="0" fontId="0" fillId="4" borderId="0" xfId="0" applyFont="1" applyFill="1" applyAlignment="1">
      <alignment horizontal="center" vertical="center"/>
    </xf>
    <xf numFmtId="178" fontId="0" fillId="4" borderId="0" xfId="0" applyNumberFormat="1" applyFont="1" applyFill="1" applyAlignment="1">
      <alignment horizontal="center" vertical="center"/>
    </xf>
    <xf numFmtId="10" fontId="0" fillId="4" borderId="0" xfId="3" applyNumberFormat="1" applyFont="1" applyFill="1" applyAlignment="1">
      <alignment horizontal="center" vertical="center"/>
    </xf>
    <xf numFmtId="179" fontId="0" fillId="4" borderId="0" xfId="0" applyNumberFormat="1" applyFont="1" applyFill="1" applyAlignment="1">
      <alignment horizontal="center" vertical="center"/>
    </xf>
    <xf numFmtId="179" fontId="0" fillId="0" borderId="1" xfId="1" applyNumberFormat="1" applyFont="1" applyBorder="1" applyAlignment="1">
      <alignment horizontal="center" vertical="center"/>
    </xf>
    <xf numFmtId="0" fontId="0" fillId="0" borderId="1" xfId="0" applyFont="1" applyFill="1" applyBorder="1" applyAlignment="1">
      <alignment horizontal="center" vertical="center"/>
    </xf>
    <xf numFmtId="43" fontId="2" fillId="0" borderId="1" xfId="1" applyFont="1" applyFill="1" applyBorder="1" applyAlignment="1">
      <alignment horizontal="center" vertical="center"/>
    </xf>
    <xf numFmtId="43" fontId="2" fillId="4" borderId="1" xfId="1" applyFont="1" applyFill="1" applyBorder="1" applyAlignment="1">
      <alignment horizontal="center" vertical="center"/>
    </xf>
    <xf numFmtId="0" fontId="0" fillId="0" borderId="1" xfId="1" applyNumberFormat="1" applyFont="1" applyFill="1" applyBorder="1" applyAlignment="1">
      <alignment horizontal="center" vertical="center"/>
    </xf>
    <xf numFmtId="180" fontId="3" fillId="0" borderId="0" xfId="0" applyNumberFormat="1" applyFont="1" applyFill="1" applyAlignment="1">
      <alignment horizontal="center" vertical="center"/>
    </xf>
    <xf numFmtId="43" fontId="0" fillId="5" borderId="1" xfId="1" applyFont="1" applyFill="1" applyBorder="1" applyAlignment="1">
      <alignment horizontal="center" vertical="center"/>
    </xf>
    <xf numFmtId="0" fontId="8" fillId="0" borderId="0" xfId="0" applyFont="1" applyFill="1" applyAlignment="1">
      <alignment horizontal="center" vertical="center"/>
    </xf>
    <xf numFmtId="0" fontId="9" fillId="0" borderId="0" xfId="0" applyFont="1" applyFill="1" applyAlignment="1">
      <alignment horizontal="center" vertical="center"/>
    </xf>
    <xf numFmtId="0" fontId="8" fillId="0" borderId="0" xfId="0" applyFont="1" applyFill="1" applyAlignment="1">
      <alignment vertical="center" wrapText="1"/>
    </xf>
    <xf numFmtId="0" fontId="9" fillId="0" borderId="0" xfId="0" applyFont="1" applyFill="1" applyAlignment="1">
      <alignment vertical="center" wrapText="1"/>
    </xf>
    <xf numFmtId="178" fontId="8" fillId="0" borderId="0" xfId="0" applyNumberFormat="1" applyFont="1" applyFill="1" applyAlignment="1">
      <alignment horizontal="center" vertical="center"/>
    </xf>
    <xf numFmtId="0" fontId="10" fillId="0" borderId="0" xfId="0" applyFont="1" applyFill="1" applyAlignment="1">
      <alignment vertical="center"/>
    </xf>
    <xf numFmtId="0" fontId="10" fillId="0" borderId="0" xfId="0" applyFont="1" applyFill="1" applyAlignment="1">
      <alignment horizontal="center" vertical="center"/>
    </xf>
    <xf numFmtId="0" fontId="10" fillId="0" borderId="0" xfId="0" applyFont="1" applyFill="1" applyAlignment="1">
      <alignment horizontal="center" vertical="center" wrapText="1"/>
    </xf>
    <xf numFmtId="0" fontId="11" fillId="0" borderId="0" xfId="0" applyFont="1" applyFill="1" applyAlignment="1">
      <alignment horizontal="center" vertical="center"/>
    </xf>
    <xf numFmtId="0" fontId="9" fillId="0"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xf numFmtId="0" fontId="8" fillId="0" borderId="1" xfId="0" applyFont="1" applyFill="1" applyBorder="1" applyAlignment="1">
      <alignment horizontal="center" vertical="center"/>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9" fillId="4" borderId="1"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4" xfId="0" applyFont="1" applyFill="1" applyBorder="1" applyAlignment="1">
      <alignment horizontal="center" vertical="center"/>
    </xf>
    <xf numFmtId="178" fontId="11" fillId="0" borderId="0" xfId="0" applyNumberFormat="1" applyFont="1" applyFill="1" applyAlignment="1">
      <alignment horizontal="center" vertical="center"/>
    </xf>
    <xf numFmtId="178" fontId="9" fillId="0" borderId="1" xfId="0" applyNumberFormat="1" applyFont="1" applyFill="1" applyBorder="1" applyAlignment="1">
      <alignment horizontal="center" vertical="center"/>
    </xf>
    <xf numFmtId="178" fontId="8" fillId="3" borderId="1" xfId="0" applyNumberFormat="1" applyFont="1" applyFill="1" applyBorder="1" applyAlignment="1">
      <alignment horizontal="center" vertical="center"/>
    </xf>
    <xf numFmtId="0" fontId="8" fillId="3" borderId="0" xfId="0" applyFont="1" applyFill="1" applyAlignment="1">
      <alignment horizontal="center" vertical="center"/>
    </xf>
    <xf numFmtId="178" fontId="8" fillId="5" borderId="1" xfId="0" applyNumberFormat="1" applyFont="1" applyFill="1" applyBorder="1" applyAlignment="1">
      <alignment horizontal="center" vertical="center"/>
    </xf>
    <xf numFmtId="178" fontId="8" fillId="0" borderId="1" xfId="0" applyNumberFormat="1" applyFont="1" applyFill="1" applyBorder="1" applyAlignment="1">
      <alignment horizontal="center" vertical="center"/>
    </xf>
    <xf numFmtId="178" fontId="8" fillId="0" borderId="1" xfId="0" applyNumberFormat="1" applyFont="1" applyFill="1" applyBorder="1" applyAlignment="1">
      <alignment vertical="center" wrapText="1"/>
    </xf>
    <xf numFmtId="178" fontId="9" fillId="4" borderId="1" xfId="0" applyNumberFormat="1" applyFont="1" applyFill="1" applyBorder="1" applyAlignment="1">
      <alignment horizontal="center" vertical="center"/>
    </xf>
    <xf numFmtId="178" fontId="9" fillId="0" borderId="0" xfId="0" applyNumberFormat="1" applyFont="1" applyFill="1" applyBorder="1" applyAlignment="1">
      <alignment horizontal="center" vertical="center"/>
    </xf>
    <xf numFmtId="178" fontId="8" fillId="4" borderId="1" xfId="0" applyNumberFormat="1" applyFont="1" applyFill="1" applyBorder="1" applyAlignment="1">
      <alignment horizontal="center" vertical="center"/>
    </xf>
    <xf numFmtId="0" fontId="8" fillId="4" borderId="1" xfId="0" applyFont="1" applyFill="1" applyBorder="1" applyAlignment="1">
      <alignment horizontal="center" vertical="center"/>
    </xf>
    <xf numFmtId="9" fontId="8" fillId="0" borderId="1" xfId="3" applyFont="1" applyFill="1" applyBorder="1" applyAlignment="1">
      <alignment horizontal="center" vertical="center"/>
    </xf>
    <xf numFmtId="9" fontId="8" fillId="0" borderId="1" xfId="3" applyNumberFormat="1" applyFont="1" applyFill="1" applyBorder="1" applyAlignment="1">
      <alignment horizontal="center" vertical="center"/>
    </xf>
    <xf numFmtId="9" fontId="8" fillId="3" borderId="1" xfId="0" applyNumberFormat="1" applyFont="1" applyFill="1" applyBorder="1" applyAlignment="1">
      <alignment horizontal="center" vertical="center"/>
    </xf>
    <xf numFmtId="9" fontId="8" fillId="3" borderId="1" xfId="3" applyNumberFormat="1" applyFont="1" applyFill="1" applyBorder="1" applyAlignment="1">
      <alignment horizontal="center" vertical="center"/>
    </xf>
    <xf numFmtId="9" fontId="8" fillId="0" borderId="1" xfId="0" applyNumberFormat="1" applyFont="1" applyFill="1" applyBorder="1" applyAlignment="1">
      <alignment horizontal="center" vertical="center"/>
    </xf>
    <xf numFmtId="0" fontId="12" fillId="0" borderId="0" xfId="0" applyFont="1" applyFill="1" applyAlignment="1">
      <alignment horizontal="center" vertical="center"/>
    </xf>
    <xf numFmtId="0" fontId="12" fillId="0" borderId="0" xfId="0" applyFont="1" applyFill="1" applyAlignment="1">
      <alignment horizontal="center" vertical="center" wrapText="1"/>
    </xf>
    <xf numFmtId="178" fontId="8" fillId="3" borderId="1" xfId="0" applyNumberFormat="1" applyFont="1" applyFill="1" applyBorder="1" applyAlignment="1">
      <alignment vertical="center" wrapText="1"/>
    </xf>
    <xf numFmtId="179" fontId="13" fillId="0" borderId="0" xfId="0" applyNumberFormat="1" applyFont="1" applyFill="1" applyAlignment="1">
      <alignment horizontal="center" vertical="center"/>
    </xf>
    <xf numFmtId="178" fontId="13" fillId="0" borderId="0" xfId="0" applyNumberFormat="1" applyFont="1" applyFill="1" applyAlignment="1">
      <alignment horizontal="center" vertical="center"/>
    </xf>
    <xf numFmtId="10" fontId="13" fillId="0" borderId="0" xfId="3" applyNumberFormat="1" applyFont="1" applyAlignment="1">
      <alignment horizontal="center" vertical="center"/>
    </xf>
    <xf numFmtId="179" fontId="13" fillId="0" borderId="0" xfId="0" applyNumberFormat="1" applyFont="1" applyFill="1" applyAlignment="1">
      <alignment horizontal="center" vertical="center" wrapText="1"/>
    </xf>
    <xf numFmtId="0" fontId="13" fillId="4" borderId="0" xfId="0" applyFont="1" applyFill="1" applyAlignment="1">
      <alignment horizontal="center" vertical="center"/>
    </xf>
    <xf numFmtId="178" fontId="13" fillId="4" borderId="0" xfId="0" applyNumberFormat="1" applyFont="1" applyFill="1" applyAlignment="1">
      <alignment horizontal="center" vertical="center"/>
    </xf>
    <xf numFmtId="10" fontId="13" fillId="4" borderId="0" xfId="3" applyNumberFormat="1" applyFont="1" applyFill="1" applyAlignment="1">
      <alignment horizontal="center" vertical="center"/>
    </xf>
    <xf numFmtId="0" fontId="13" fillId="4" borderId="0" xfId="0" applyFont="1" applyFill="1" applyAlignment="1">
      <alignment horizontal="center" vertical="center" wrapText="1"/>
    </xf>
    <xf numFmtId="0" fontId="13" fillId="0" borderId="0" xfId="0" applyFont="1" applyFill="1" applyAlignment="1">
      <alignment horizontal="center" vertical="center"/>
    </xf>
    <xf numFmtId="0" fontId="13" fillId="0" borderId="0" xfId="0" applyFont="1" applyFill="1" applyAlignment="1">
      <alignment horizontal="center" vertical="center" wrapText="1"/>
    </xf>
    <xf numFmtId="178" fontId="8" fillId="5" borderId="1" xfId="0" applyNumberFormat="1" applyFont="1" applyFill="1" applyBorder="1" applyAlignment="1">
      <alignment vertical="center" wrapText="1"/>
    </xf>
    <xf numFmtId="179" fontId="13" fillId="4" borderId="0" xfId="0" applyNumberFormat="1" applyFont="1" applyFill="1" applyAlignment="1">
      <alignment horizontal="center" vertical="center"/>
    </xf>
    <xf numFmtId="179" fontId="13" fillId="4" borderId="0" xfId="0" applyNumberFormat="1" applyFont="1" applyFill="1" applyAlignment="1">
      <alignment horizontal="center" vertical="center" wrapText="1"/>
    </xf>
    <xf numFmtId="0" fontId="14" fillId="0" borderId="0" xfId="0" applyFont="1" applyFill="1" applyAlignment="1">
      <alignment vertical="center" wrapText="1"/>
    </xf>
    <xf numFmtId="178" fontId="14" fillId="0" borderId="0" xfId="0" applyNumberFormat="1" applyFont="1" applyFill="1" applyAlignment="1">
      <alignment vertical="center" wrapText="1"/>
    </xf>
    <xf numFmtId="0" fontId="14" fillId="0" borderId="0" xfId="0" applyFont="1" applyFill="1" applyAlignment="1">
      <alignment horizontal="center" vertical="center"/>
    </xf>
    <xf numFmtId="178" fontId="14" fillId="0" borderId="0" xfId="0" applyNumberFormat="1" applyFont="1" applyFill="1" applyAlignment="1">
      <alignment horizontal="center" vertical="center"/>
    </xf>
    <xf numFmtId="0" fontId="14" fillId="0" borderId="0" xfId="0" applyFont="1" applyFill="1" applyAlignment="1">
      <alignment horizontal="center" vertical="center" wrapText="1"/>
    </xf>
    <xf numFmtId="178" fontId="9" fillId="0" borderId="0" xfId="0" applyNumberFormat="1" applyFont="1" applyFill="1" applyAlignment="1">
      <alignment horizontal="center" vertical="center"/>
    </xf>
    <xf numFmtId="178" fontId="8" fillId="0" borderId="0" xfId="0" applyNumberFormat="1" applyFont="1" applyFill="1" applyAlignment="1">
      <alignment vertical="center" wrapText="1"/>
    </xf>
    <xf numFmtId="178" fontId="9" fillId="0" borderId="0" xfId="0" applyNumberFormat="1" applyFont="1" applyFill="1" applyAlignment="1">
      <alignment vertical="center" wrapText="1"/>
    </xf>
    <xf numFmtId="0" fontId="15" fillId="4" borderId="1" xfId="0" applyFont="1" applyFill="1" applyBorder="1" applyAlignment="1">
      <alignment horizontal="center" vertical="center"/>
    </xf>
    <xf numFmtId="0" fontId="16" fillId="0" borderId="1" xfId="0" applyFont="1" applyFill="1" applyBorder="1" applyAlignment="1">
      <alignment horizontal="center" vertical="center"/>
    </xf>
    <xf numFmtId="181" fontId="17" fillId="6" borderId="1" xfId="112" applyNumberFormat="1" applyFont="1" applyFill="1" applyBorder="1" applyAlignment="1">
      <alignment horizontal="center" vertical="center" wrapText="1"/>
    </xf>
    <xf numFmtId="181" fontId="17" fillId="6" borderId="3" xfId="112" applyNumberFormat="1" applyFont="1" applyFill="1" applyBorder="1" applyAlignment="1">
      <alignment horizontal="center" vertical="center" wrapText="1"/>
    </xf>
    <xf numFmtId="181" fontId="17" fillId="6" borderId="4" xfId="112" applyNumberFormat="1" applyFont="1" applyFill="1" applyBorder="1" applyAlignment="1">
      <alignment horizontal="center" vertical="center" wrapText="1"/>
    </xf>
    <xf numFmtId="181" fontId="17" fillId="0" borderId="1" xfId="112" applyNumberFormat="1" applyFont="1" applyFill="1" applyBorder="1" applyAlignment="1">
      <alignment horizontal="center" vertical="center" wrapText="1"/>
    </xf>
    <xf numFmtId="181" fontId="17" fillId="5" borderId="1" xfId="112" applyNumberFormat="1" applyFont="1" applyFill="1" applyBorder="1" applyAlignment="1">
      <alignment horizontal="center" vertical="center" wrapText="1"/>
    </xf>
    <xf numFmtId="182" fontId="17" fillId="5" borderId="1" xfId="1" applyNumberFormat="1" applyFont="1" applyFill="1" applyBorder="1" applyAlignment="1">
      <alignment horizontal="center" vertical="center" wrapText="1"/>
    </xf>
    <xf numFmtId="182" fontId="17" fillId="0" borderId="1" xfId="1" applyNumberFormat="1" applyFont="1" applyFill="1" applyBorder="1" applyAlignment="1">
      <alignment horizontal="center" vertical="center" wrapText="1"/>
    </xf>
    <xf numFmtId="181" fontId="17" fillId="3" borderId="1" xfId="112" applyNumberFormat="1" applyFont="1" applyFill="1" applyBorder="1" applyAlignment="1">
      <alignment horizontal="center" vertical="center" wrapText="1"/>
    </xf>
    <xf numFmtId="182" fontId="17" fillId="3" borderId="1" xfId="1" applyNumberFormat="1" applyFont="1" applyFill="1" applyBorder="1" applyAlignment="1">
      <alignment horizontal="center" vertical="center" wrapText="1"/>
    </xf>
    <xf numFmtId="0" fontId="17" fillId="6"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182" fontId="18" fillId="3" borderId="1" xfId="1" applyNumberFormat="1" applyFont="1" applyFill="1" applyBorder="1" applyAlignment="1">
      <alignment horizontal="center" vertical="center" wrapText="1"/>
    </xf>
    <xf numFmtId="181" fontId="17" fillId="4" borderId="1" xfId="112" applyNumberFormat="1" applyFont="1" applyFill="1" applyBorder="1" applyAlignment="1">
      <alignment horizontal="center" vertical="center" wrapText="1"/>
    </xf>
    <xf numFmtId="182" fontId="17" fillId="6" borderId="1" xfId="1" applyNumberFormat="1" applyFont="1" applyFill="1" applyBorder="1" applyAlignment="1">
      <alignment horizontal="center" vertical="center" wrapText="1"/>
    </xf>
    <xf numFmtId="178" fontId="17" fillId="0" borderId="1" xfId="1" applyNumberFormat="1" applyFont="1" applyFill="1" applyBorder="1" applyAlignment="1">
      <alignment horizontal="center" vertical="center" wrapText="1"/>
    </xf>
    <xf numFmtId="178" fontId="17" fillId="0" borderId="1" xfId="112" applyNumberFormat="1" applyFont="1" applyFill="1" applyBorder="1" applyAlignment="1">
      <alignment horizontal="center" vertical="center" wrapText="1"/>
    </xf>
    <xf numFmtId="0" fontId="8" fillId="0" borderId="0" xfId="0" applyFont="1" applyFill="1" applyAlignment="1">
      <alignment vertical="center"/>
    </xf>
    <xf numFmtId="0" fontId="8" fillId="0" borderId="5" xfId="0" applyFont="1" applyFill="1" applyBorder="1" applyAlignment="1">
      <alignment horizontal="center" vertical="center" wrapText="1"/>
    </xf>
    <xf numFmtId="0" fontId="8" fillId="0" borderId="1" xfId="0" applyFont="1" applyFill="1" applyBorder="1" applyAlignment="1">
      <alignment vertical="center"/>
    </xf>
    <xf numFmtId="0" fontId="8" fillId="0" borderId="6" xfId="0" applyFont="1" applyFill="1" applyBorder="1" applyAlignment="1">
      <alignment horizontal="left" vertical="center"/>
    </xf>
    <xf numFmtId="0" fontId="8" fillId="0" borderId="6" xfId="0" applyFont="1" applyFill="1" applyBorder="1" applyAlignment="1">
      <alignment horizontal="center" vertical="center"/>
    </xf>
    <xf numFmtId="0" fontId="8" fillId="0" borderId="1" xfId="0" applyFont="1" applyFill="1" applyBorder="1" applyAlignment="1">
      <alignment horizontal="left" vertical="center"/>
    </xf>
    <xf numFmtId="0" fontId="8" fillId="0" borderId="7" xfId="0" applyFont="1" applyFill="1" applyBorder="1" applyAlignment="1">
      <alignment horizontal="left" vertical="center"/>
    </xf>
    <xf numFmtId="0" fontId="8" fillId="0" borderId="7" xfId="0" applyFont="1" applyFill="1" applyBorder="1" applyAlignment="1">
      <alignment horizontal="center" vertical="center"/>
    </xf>
    <xf numFmtId="0" fontId="8" fillId="0" borderId="7" xfId="0" applyFont="1" applyFill="1" applyBorder="1" applyAlignment="1">
      <alignment horizontal="left" vertical="center" wrapText="1"/>
    </xf>
    <xf numFmtId="179" fontId="8" fillId="0" borderId="1" xfId="0" applyNumberFormat="1" applyFont="1" applyFill="1" applyBorder="1" applyAlignment="1">
      <alignment vertical="center"/>
    </xf>
    <xf numFmtId="0" fontId="19" fillId="0" borderId="1" xfId="63" applyNumberFormat="1" applyFont="1" applyFill="1" applyBorder="1" applyAlignment="1">
      <alignment horizontal="left" vertical="center" wrapText="1"/>
    </xf>
    <xf numFmtId="0" fontId="8" fillId="0" borderId="1" xfId="0" applyFont="1" applyFill="1" applyBorder="1" applyAlignment="1">
      <alignment vertical="center" wrapText="1"/>
    </xf>
    <xf numFmtId="0" fontId="8" fillId="0" borderId="6" xfId="0" applyFont="1" applyFill="1" applyBorder="1" applyAlignment="1">
      <alignment horizontal="left" vertical="center" wrapText="1"/>
    </xf>
    <xf numFmtId="0" fontId="8" fillId="0" borderId="7" xfId="0" applyFont="1" applyFill="1" applyBorder="1" applyAlignment="1">
      <alignment horizontal="center" vertical="center" wrapText="1"/>
    </xf>
    <xf numFmtId="0" fontId="8" fillId="0" borderId="2" xfId="0" applyFont="1" applyFill="1" applyBorder="1" applyAlignment="1">
      <alignment horizontal="left" vertical="center" wrapText="1"/>
    </xf>
    <xf numFmtId="179" fontId="8" fillId="3" borderId="1" xfId="0" applyNumberFormat="1" applyFont="1" applyFill="1" applyBorder="1" applyAlignment="1">
      <alignment vertical="center"/>
    </xf>
    <xf numFmtId="0" fontId="20" fillId="7" borderId="8" xfId="0" applyFont="1" applyFill="1" applyBorder="1" applyAlignment="1">
      <alignment vertical="center" wrapText="1"/>
    </xf>
    <xf numFmtId="0" fontId="21" fillId="0" borderId="8" xfId="0" applyFont="1" applyBorder="1" applyAlignment="1">
      <alignment vertical="center" wrapText="1"/>
    </xf>
    <xf numFmtId="4" fontId="21" fillId="0" borderId="8" xfId="0" applyNumberFormat="1" applyFont="1" applyBorder="1" applyAlignment="1">
      <alignment vertical="center" wrapText="1"/>
    </xf>
    <xf numFmtId="0" fontId="20" fillId="0" borderId="8" xfId="0" applyFont="1" applyBorder="1" applyAlignment="1">
      <alignment vertical="center" wrapText="1"/>
    </xf>
    <xf numFmtId="10" fontId="22" fillId="0" borderId="8" xfId="0" applyNumberFormat="1" applyFont="1" applyBorder="1" applyAlignment="1">
      <alignment vertical="center" wrapText="1"/>
    </xf>
    <xf numFmtId="10" fontId="21" fillId="0" borderId="8" xfId="0" applyNumberFormat="1" applyFont="1" applyBorder="1" applyAlignment="1">
      <alignment vertical="center" wrapText="1"/>
    </xf>
    <xf numFmtId="10" fontId="21" fillId="0" borderId="8" xfId="3" applyNumberFormat="1" applyFont="1" applyBorder="1" applyAlignment="1">
      <alignment vertical="center" wrapText="1"/>
    </xf>
    <xf numFmtId="178" fontId="0" fillId="0" borderId="0" xfId="0" applyNumberFormat="1" applyAlignment="1">
      <alignment vertical="center"/>
    </xf>
    <xf numFmtId="0" fontId="0" fillId="0" borderId="0" xfId="0" applyAlignment="1">
      <alignment horizontal="center" vertical="center"/>
    </xf>
    <xf numFmtId="0" fontId="0" fillId="0" borderId="1" xfId="0" applyBorder="1" applyAlignment="1">
      <alignment vertical="center"/>
    </xf>
    <xf numFmtId="0" fontId="0" fillId="8" borderId="1" xfId="0" applyFont="1" applyFill="1" applyBorder="1" applyAlignment="1">
      <alignment horizontal="center" vertical="center"/>
    </xf>
    <xf numFmtId="0" fontId="0" fillId="9" borderId="1" xfId="0" applyFont="1" applyFill="1" applyBorder="1" applyAlignment="1">
      <alignment horizontal="center" vertical="center"/>
    </xf>
    <xf numFmtId="0" fontId="0" fillId="9" borderId="0" xfId="0" applyFont="1" applyFill="1" applyAlignment="1">
      <alignment horizontal="center" vertical="center"/>
    </xf>
    <xf numFmtId="0" fontId="0" fillId="0" borderId="1" xfId="0" applyFont="1" applyBorder="1" applyAlignment="1">
      <alignment vertical="center"/>
    </xf>
    <xf numFmtId="0" fontId="0" fillId="8" borderId="1" xfId="0" applyFill="1" applyBorder="1" applyAlignment="1">
      <alignment vertical="center"/>
    </xf>
    <xf numFmtId="0" fontId="2" fillId="9" borderId="1" xfId="0" applyFont="1" applyFill="1" applyBorder="1" applyAlignment="1">
      <alignment horizontal="center" vertical="center"/>
    </xf>
    <xf numFmtId="0" fontId="0" fillId="9" borderId="0" xfId="0" applyFill="1" applyAlignment="1">
      <alignment vertical="center"/>
    </xf>
    <xf numFmtId="0" fontId="0" fillId="9" borderId="1" xfId="0" applyFill="1" applyBorder="1" applyAlignment="1">
      <alignment horizontal="center" vertical="center"/>
    </xf>
    <xf numFmtId="0" fontId="0" fillId="9" borderId="0" xfId="0" applyFill="1" applyAlignment="1">
      <alignment horizontal="center" vertical="center"/>
    </xf>
    <xf numFmtId="43" fontId="0" fillId="0" borderId="0" xfId="1" applyFont="1" applyAlignment="1">
      <alignment vertical="center"/>
    </xf>
    <xf numFmtId="43" fontId="0" fillId="0" borderId="1" xfId="1" applyFont="1" applyBorder="1" applyAlignment="1">
      <alignment vertical="center"/>
    </xf>
    <xf numFmtId="43" fontId="0" fillId="6" borderId="6" xfId="1" applyFont="1" applyFill="1" applyBorder="1" applyAlignment="1">
      <alignment horizontal="center" vertical="center"/>
    </xf>
    <xf numFmtId="43" fontId="0" fillId="6" borderId="1" xfId="1" applyFont="1" applyFill="1" applyBorder="1" applyAlignment="1">
      <alignment vertical="center"/>
    </xf>
    <xf numFmtId="43" fontId="0" fillId="3" borderId="1" xfId="1" applyFont="1" applyFill="1" applyBorder="1" applyAlignment="1">
      <alignment vertical="center"/>
    </xf>
    <xf numFmtId="43" fontId="0" fillId="6" borderId="7" xfId="1" applyFont="1" applyFill="1" applyBorder="1" applyAlignment="1">
      <alignment horizontal="center" vertical="center"/>
    </xf>
    <xf numFmtId="43" fontId="0" fillId="6" borderId="2" xfId="1" applyFont="1" applyFill="1" applyBorder="1" applyAlignment="1">
      <alignment horizontal="center" vertical="center"/>
    </xf>
    <xf numFmtId="43" fontId="0" fillId="10" borderId="6" xfId="1" applyFont="1" applyFill="1" applyBorder="1" applyAlignment="1">
      <alignment horizontal="center" vertical="center"/>
    </xf>
    <xf numFmtId="43" fontId="0" fillId="10" borderId="1" xfId="1" applyFont="1" applyFill="1" applyBorder="1" applyAlignment="1">
      <alignment vertical="center"/>
    </xf>
    <xf numFmtId="43" fontId="0" fillId="10" borderId="7" xfId="1" applyFont="1" applyFill="1" applyBorder="1" applyAlignment="1">
      <alignment horizontal="center" vertical="center"/>
    </xf>
    <xf numFmtId="43" fontId="0" fillId="10" borderId="2" xfId="1" applyFont="1" applyFill="1" applyBorder="1" applyAlignment="1">
      <alignment horizontal="center" vertical="center"/>
    </xf>
    <xf numFmtId="43" fontId="0" fillId="11" borderId="6" xfId="1" applyFont="1" applyFill="1" applyBorder="1" applyAlignment="1">
      <alignment horizontal="center" vertical="center"/>
    </xf>
    <xf numFmtId="43" fontId="0" fillId="11" borderId="1" xfId="1" applyFont="1" applyFill="1" applyBorder="1" applyAlignment="1">
      <alignment vertical="center"/>
    </xf>
    <xf numFmtId="43" fontId="0" fillId="11" borderId="7" xfId="1" applyFont="1" applyFill="1" applyBorder="1" applyAlignment="1">
      <alignment horizontal="center" vertical="center"/>
    </xf>
    <xf numFmtId="43" fontId="0" fillId="11" borderId="2" xfId="1" applyFont="1" applyFill="1" applyBorder="1" applyAlignment="1">
      <alignment horizontal="center" vertical="center"/>
    </xf>
    <xf numFmtId="43" fontId="0" fillId="9" borderId="6" xfId="1" applyFont="1" applyFill="1" applyBorder="1" applyAlignment="1">
      <alignment horizontal="center" vertical="center"/>
    </xf>
    <xf numFmtId="43" fontId="0" fillId="9" borderId="1" xfId="1" applyFont="1" applyFill="1" applyBorder="1" applyAlignment="1">
      <alignment vertical="center"/>
    </xf>
    <xf numFmtId="43" fontId="0" fillId="9" borderId="7" xfId="1" applyFont="1" applyFill="1" applyBorder="1" applyAlignment="1">
      <alignment horizontal="center" vertical="center"/>
    </xf>
    <xf numFmtId="43" fontId="0" fillId="9" borderId="2" xfId="1" applyFont="1" applyFill="1" applyBorder="1" applyAlignment="1">
      <alignment horizontal="center" vertical="center"/>
    </xf>
    <xf numFmtId="43" fontId="0" fillId="0" borderId="7" xfId="1" applyFont="1" applyBorder="1" applyAlignment="1">
      <alignment horizontal="center" vertical="center"/>
    </xf>
    <xf numFmtId="43" fontId="0" fillId="0" borderId="2" xfId="1" applyFont="1" applyBorder="1" applyAlignment="1">
      <alignment horizontal="center" vertical="center"/>
    </xf>
    <xf numFmtId="0" fontId="0" fillId="0" borderId="0" xfId="0" applyBorder="1" applyAlignment="1">
      <alignment vertical="center"/>
    </xf>
    <xf numFmtId="0" fontId="0" fillId="0" borderId="0" xfId="0" applyFill="1" applyAlignment="1">
      <alignment vertical="center"/>
    </xf>
    <xf numFmtId="0" fontId="0" fillId="0" borderId="0" xfId="0" applyAlignment="1">
      <alignment vertical="center" wrapText="1"/>
    </xf>
    <xf numFmtId="0" fontId="0" fillId="0" borderId="0" xfId="0" applyFont="1" applyAlignment="1">
      <alignment vertical="center"/>
    </xf>
    <xf numFmtId="0" fontId="0" fillId="0" borderId="0" xfId="0" applyFill="1" applyAlignment="1">
      <alignment horizontal="center" vertical="center"/>
    </xf>
    <xf numFmtId="0" fontId="2" fillId="0" borderId="0" xfId="0" applyFont="1" applyAlignment="1">
      <alignment horizontal="center" vertical="center"/>
    </xf>
    <xf numFmtId="43" fontId="0" fillId="0" borderId="0" xfId="1" applyFont="1" applyAlignment="1">
      <alignment horizontal="center" vertical="center"/>
    </xf>
    <xf numFmtId="0" fontId="0" fillId="11" borderId="1" xfId="0" applyFont="1" applyFill="1" applyBorder="1" applyAlignment="1">
      <alignment horizontal="center" vertical="center"/>
    </xf>
    <xf numFmtId="0" fontId="0" fillId="11" borderId="1" xfId="0" applyFill="1" applyBorder="1" applyAlignment="1">
      <alignment horizontal="center" vertical="center"/>
    </xf>
    <xf numFmtId="0" fontId="23" fillId="0" borderId="1" xfId="6" applyBorder="1" applyAlignment="1">
      <alignment horizontal="center" vertical="center"/>
    </xf>
    <xf numFmtId="183" fontId="0" fillId="11" borderId="1" xfId="0" applyNumberFormat="1" applyFill="1" applyBorder="1" applyAlignment="1">
      <alignment horizontal="center" vertical="center"/>
    </xf>
    <xf numFmtId="0" fontId="0" fillId="0" borderId="9" xfId="0" applyFont="1" applyFill="1" applyBorder="1" applyAlignment="1">
      <alignment horizontal="center" vertical="center"/>
    </xf>
    <xf numFmtId="183" fontId="0" fillId="0" borderId="9" xfId="0" applyNumberFormat="1" applyFill="1" applyBorder="1" applyAlignment="1">
      <alignment horizontal="center" vertical="center"/>
    </xf>
    <xf numFmtId="0" fontId="23" fillId="0" borderId="9" xfId="6" applyFill="1" applyBorder="1" applyAlignment="1">
      <alignment horizontal="center" vertical="center"/>
    </xf>
    <xf numFmtId="0" fontId="2" fillId="12" borderId="5" xfId="0" applyFont="1" applyFill="1" applyBorder="1" applyAlignment="1">
      <alignment horizontal="center" vertical="center"/>
    </xf>
    <xf numFmtId="0" fontId="2" fillId="0" borderId="6" xfId="0" applyFont="1" applyBorder="1" applyAlignment="1">
      <alignment horizontal="center" vertical="center" wrapText="1"/>
    </xf>
    <xf numFmtId="0" fontId="2" fillId="13" borderId="1" xfId="6" applyFont="1" applyFill="1" applyBorder="1" applyAlignment="1">
      <alignment horizontal="center" vertical="center"/>
    </xf>
    <xf numFmtId="0" fontId="2" fillId="13" borderId="1" xfId="0" applyFont="1" applyFill="1" applyBorder="1" applyAlignment="1">
      <alignment vertical="center"/>
    </xf>
    <xf numFmtId="0" fontId="2" fillId="0" borderId="2" xfId="0" applyFont="1" applyBorder="1" applyAlignment="1">
      <alignment horizontal="center" vertical="center" wrapText="1"/>
    </xf>
    <xf numFmtId="0" fontId="2" fillId="13" borderId="1" xfId="0" applyFont="1" applyFill="1" applyBorder="1" applyAlignment="1">
      <alignment vertical="center" wrapText="1"/>
    </xf>
    <xf numFmtId="0" fontId="2" fillId="0" borderId="1" xfId="0" applyFont="1" applyBorder="1" applyAlignment="1">
      <alignment vertical="center"/>
    </xf>
    <xf numFmtId="43" fontId="2" fillId="3" borderId="1" xfId="0" applyNumberFormat="1" applyFont="1" applyFill="1" applyBorder="1" applyAlignment="1">
      <alignment vertical="center"/>
    </xf>
    <xf numFmtId="0" fontId="2" fillId="0" borderId="1" xfId="0" applyFont="1" applyFill="1" applyBorder="1" applyAlignment="1">
      <alignment vertical="center"/>
    </xf>
    <xf numFmtId="43" fontId="2" fillId="3" borderId="1" xfId="1" applyFont="1" applyFill="1" applyBorder="1" applyAlignment="1">
      <alignment vertical="center"/>
    </xf>
    <xf numFmtId="10" fontId="2" fillId="3" borderId="1" xfId="3" applyNumberFormat="1" applyFont="1" applyFill="1" applyBorder="1" applyAlignment="1">
      <alignment vertical="center"/>
    </xf>
    <xf numFmtId="178" fontId="2" fillId="14" borderId="1" xfId="0" applyNumberFormat="1" applyFont="1" applyFill="1" applyBorder="1" applyAlignment="1">
      <alignment vertical="center"/>
    </xf>
    <xf numFmtId="43" fontId="2" fillId="0" borderId="1" xfId="1" applyFont="1" applyBorder="1" applyAlignment="1">
      <alignment vertical="center"/>
    </xf>
    <xf numFmtId="0" fontId="2" fillId="0" borderId="1" xfId="0" applyFont="1" applyBorder="1" applyAlignment="1">
      <alignment vertical="center" wrapText="1"/>
    </xf>
    <xf numFmtId="43" fontId="24" fillId="3" borderId="1" xfId="0" applyNumberFormat="1" applyFont="1" applyFill="1" applyBorder="1" applyAlignment="1">
      <alignment vertical="center"/>
    </xf>
    <xf numFmtId="10" fontId="24" fillId="3" borderId="1" xfId="3" applyNumberFormat="1" applyFont="1" applyFill="1" applyBorder="1" applyAlignment="1">
      <alignment vertical="center"/>
    </xf>
    <xf numFmtId="0" fontId="2" fillId="0" borderId="1" xfId="0" applyFont="1" applyBorder="1" applyAlignment="1">
      <alignment horizontal="left" vertical="center"/>
    </xf>
    <xf numFmtId="179" fontId="2" fillId="3" borderId="1" xfId="3" applyNumberFormat="1" applyFont="1" applyFill="1" applyBorder="1" applyAlignment="1">
      <alignment vertical="center"/>
    </xf>
    <xf numFmtId="0" fontId="2" fillId="3" borderId="1" xfId="0" applyFont="1" applyFill="1" applyBorder="1" applyAlignment="1">
      <alignment vertical="center"/>
    </xf>
    <xf numFmtId="0" fontId="2" fillId="12" borderId="1" xfId="0" applyFont="1" applyFill="1" applyBorder="1" applyAlignment="1">
      <alignment vertical="center"/>
    </xf>
    <xf numFmtId="43" fontId="2" fillId="12" borderId="1" xfId="3" applyNumberFormat="1" applyFont="1" applyFill="1" applyBorder="1" applyAlignment="1">
      <alignment vertical="center"/>
    </xf>
    <xf numFmtId="43" fontId="2" fillId="12" borderId="1" xfId="1" applyFont="1" applyFill="1" applyBorder="1" applyAlignment="1">
      <alignment vertical="center"/>
    </xf>
    <xf numFmtId="0" fontId="2" fillId="12" borderId="1" xfId="0" applyFont="1" applyFill="1" applyBorder="1" applyAlignment="1">
      <alignment vertical="center" wrapText="1"/>
    </xf>
    <xf numFmtId="0" fontId="12" fillId="0" borderId="0" xfId="0" applyFont="1" applyFill="1" applyBorder="1" applyAlignment="1">
      <alignment vertical="center"/>
    </xf>
    <xf numFmtId="43" fontId="12" fillId="0" borderId="0" xfId="1" applyFont="1" applyFill="1" applyBorder="1" applyAlignment="1">
      <alignment vertical="center"/>
    </xf>
    <xf numFmtId="43" fontId="0" fillId="0" borderId="0" xfId="0" applyNumberFormat="1" applyFill="1" applyAlignment="1">
      <alignment horizontal="center" vertical="center"/>
    </xf>
    <xf numFmtId="43" fontId="2" fillId="15" borderId="1" xfId="0" applyNumberFormat="1" applyFont="1" applyFill="1" applyBorder="1" applyAlignment="1">
      <alignment horizontal="center" vertical="center"/>
    </xf>
    <xf numFmtId="43" fontId="2" fillId="15" borderId="1" xfId="0" applyNumberFormat="1" applyFont="1" applyFill="1" applyBorder="1" applyAlignment="1">
      <alignment horizontal="left" vertical="center"/>
    </xf>
    <xf numFmtId="0" fontId="2" fillId="15" borderId="1" xfId="0" applyFont="1" applyFill="1" applyBorder="1" applyAlignment="1">
      <alignment horizontal="center" vertical="center"/>
    </xf>
    <xf numFmtId="178" fontId="2" fillId="15" borderId="1" xfId="0" applyNumberFormat="1" applyFont="1" applyFill="1" applyBorder="1" applyAlignment="1">
      <alignment horizontal="center" vertical="center"/>
    </xf>
    <xf numFmtId="0" fontId="2" fillId="0" borderId="1" xfId="0" applyFont="1" applyBorder="1" applyAlignment="1">
      <alignment horizontal="center" vertical="center"/>
    </xf>
    <xf numFmtId="178" fontId="0" fillId="0" borderId="1" xfId="0" applyNumberFormat="1" applyBorder="1" applyAlignment="1">
      <alignment horizontal="center" vertical="center"/>
    </xf>
    <xf numFmtId="182" fontId="0" fillId="0" borderId="1" xfId="0" applyNumberFormat="1" applyBorder="1" applyAlignment="1">
      <alignment horizontal="center" vertical="center"/>
    </xf>
    <xf numFmtId="0" fontId="2" fillId="3" borderId="1" xfId="0" applyFont="1" applyFill="1" applyBorder="1" applyAlignment="1">
      <alignment horizontal="center" vertical="center"/>
    </xf>
    <xf numFmtId="178" fontId="0" fillId="3" borderId="1" xfId="0" applyNumberFormat="1" applyFill="1" applyBorder="1" applyAlignment="1">
      <alignment horizontal="center" vertical="center"/>
    </xf>
    <xf numFmtId="178" fontId="0" fillId="0" borderId="1" xfId="0" applyNumberFormat="1" applyFill="1" applyBorder="1" applyAlignment="1">
      <alignment horizontal="center" vertical="center"/>
    </xf>
    <xf numFmtId="0" fontId="2" fillId="0" borderId="1" xfId="0" applyFont="1" applyFill="1" applyBorder="1" applyAlignment="1">
      <alignment horizontal="left" vertical="center"/>
    </xf>
    <xf numFmtId="43" fontId="0" fillId="0" borderId="0" xfId="0" applyNumberFormat="1" applyAlignment="1">
      <alignment horizontal="center" vertical="center"/>
    </xf>
    <xf numFmtId="0" fontId="0" fillId="0" borderId="1" xfId="0" applyFont="1" applyBorder="1" applyAlignment="1">
      <alignment horizontal="center" vertical="center"/>
    </xf>
    <xf numFmtId="0" fontId="2" fillId="16" borderId="1" xfId="0" applyFont="1" applyFill="1" applyBorder="1" applyAlignment="1">
      <alignment vertical="center"/>
    </xf>
    <xf numFmtId="0" fontId="2" fillId="16" borderId="1" xfId="0" applyFont="1" applyFill="1" applyBorder="1" applyAlignment="1">
      <alignment vertical="center" wrapText="1"/>
    </xf>
    <xf numFmtId="184" fontId="0" fillId="0" borderId="0" xfId="0" applyNumberFormat="1" applyFont="1" applyFill="1" applyAlignment="1">
      <alignment horizontal="center" vertical="center"/>
    </xf>
    <xf numFmtId="184" fontId="0" fillId="0" borderId="0" xfId="0" applyNumberFormat="1" applyFill="1" applyAlignment="1">
      <alignment horizontal="center" vertical="center"/>
    </xf>
    <xf numFmtId="178" fontId="0" fillId="0" borderId="0" xfId="0" applyNumberFormat="1" applyBorder="1" applyAlignment="1">
      <alignment vertical="center"/>
    </xf>
    <xf numFmtId="0" fontId="0" fillId="0" borderId="0" xfId="0" applyBorder="1" applyAlignment="1">
      <alignment horizontal="center" vertical="center"/>
    </xf>
    <xf numFmtId="43" fontId="0" fillId="0" borderId="0" xfId="1" applyFont="1" applyBorder="1" applyAlignment="1">
      <alignment horizontal="center" vertical="center"/>
    </xf>
    <xf numFmtId="178" fontId="0" fillId="0" borderId="0" xfId="0" applyNumberFormat="1" applyFill="1" applyAlignment="1">
      <alignment vertical="center"/>
    </xf>
    <xf numFmtId="43" fontId="0" fillId="0" borderId="0" xfId="1" applyFont="1" applyFill="1" applyAlignment="1">
      <alignment horizontal="center" vertical="center"/>
    </xf>
    <xf numFmtId="0" fontId="0" fillId="17" borderId="0" xfId="0" applyFont="1" applyFill="1" applyAlignment="1">
      <alignment vertical="center" wrapText="1"/>
    </xf>
    <xf numFmtId="178" fontId="0" fillId="0" borderId="0" xfId="0" applyNumberFormat="1" applyAlignment="1">
      <alignment vertical="center" wrapText="1"/>
    </xf>
    <xf numFmtId="0" fontId="0" fillId="0" borderId="0" xfId="0" applyAlignment="1">
      <alignment horizontal="center" vertical="center" wrapText="1"/>
    </xf>
    <xf numFmtId="178" fontId="0" fillId="0" borderId="0" xfId="0" applyNumberFormat="1" applyAlignment="1">
      <alignment horizontal="center" vertical="center" wrapText="1"/>
    </xf>
    <xf numFmtId="178" fontId="0" fillId="0" borderId="0" xfId="1" applyNumberFormat="1" applyFont="1" applyAlignment="1">
      <alignment horizontal="center" vertical="center" wrapText="1"/>
    </xf>
    <xf numFmtId="43" fontId="0" fillId="17" borderId="0" xfId="0" applyNumberFormat="1" applyFill="1" applyAlignment="1">
      <alignment vertical="center"/>
    </xf>
    <xf numFmtId="178" fontId="0" fillId="0" borderId="0" xfId="0" applyNumberFormat="1" applyFill="1" applyBorder="1" applyAlignment="1">
      <alignment vertical="center" wrapText="1"/>
    </xf>
    <xf numFmtId="178" fontId="0" fillId="0" borderId="0" xfId="0" applyNumberFormat="1" applyAlignment="1">
      <alignment horizontal="center" vertical="center"/>
    </xf>
    <xf numFmtId="178" fontId="0" fillId="0" borderId="0" xfId="1" applyNumberFormat="1" applyFont="1" applyAlignment="1">
      <alignment horizontal="center" vertical="center"/>
    </xf>
    <xf numFmtId="178" fontId="0" fillId="0" borderId="0" xfId="0" applyNumberFormat="1" applyFill="1" applyAlignment="1">
      <alignment horizontal="center" vertical="center"/>
    </xf>
    <xf numFmtId="178" fontId="0" fillId="0" borderId="0" xfId="1" applyNumberFormat="1" applyFont="1" applyFill="1" applyAlignment="1">
      <alignment horizontal="center" vertical="center"/>
    </xf>
    <xf numFmtId="178" fontId="0" fillId="4" borderId="0" xfId="0" applyNumberFormat="1" applyFill="1" applyAlignment="1">
      <alignment vertical="center"/>
    </xf>
    <xf numFmtId="10" fontId="0" fillId="0" borderId="0" xfId="3" applyNumberFormat="1" applyAlignment="1">
      <alignment horizontal="center" vertical="center"/>
    </xf>
    <xf numFmtId="43" fontId="0" fillId="17" borderId="0" xfId="1" applyNumberFormat="1" applyFont="1" applyFill="1" applyAlignment="1">
      <alignment vertical="center"/>
    </xf>
    <xf numFmtId="178" fontId="0" fillId="0" borderId="0" xfId="1" applyNumberFormat="1" applyFont="1" applyAlignment="1">
      <alignment vertical="center"/>
    </xf>
    <xf numFmtId="178" fontId="0" fillId="0" borderId="0" xfId="1" applyNumberFormat="1" applyFont="1" applyAlignment="1">
      <alignment vertical="center" wrapText="1"/>
    </xf>
    <xf numFmtId="178" fontId="0" fillId="5" borderId="0" xfId="0" applyNumberFormat="1" applyFill="1" applyAlignment="1">
      <alignment vertical="center"/>
    </xf>
    <xf numFmtId="185" fontId="0" fillId="17" borderId="0" xfId="1" applyNumberFormat="1" applyFont="1" applyFill="1" applyAlignment="1">
      <alignment vertical="center"/>
    </xf>
    <xf numFmtId="10" fontId="0" fillId="0" borderId="0" xfId="3" applyNumberFormat="1" applyAlignment="1">
      <alignment vertical="center"/>
    </xf>
    <xf numFmtId="178" fontId="0" fillId="0" borderId="0" xfId="0" applyNumberFormat="1" applyFont="1" applyAlignment="1">
      <alignment vertical="center"/>
    </xf>
    <xf numFmtId="178" fontId="0" fillId="0" borderId="0" xfId="0" applyNumberFormat="1" applyFont="1" applyAlignment="1">
      <alignment horizontal="center" vertical="center"/>
    </xf>
    <xf numFmtId="0" fontId="0" fillId="0" borderId="0" xfId="0" applyFont="1" applyAlignment="1">
      <alignment horizontal="center" vertical="center"/>
    </xf>
    <xf numFmtId="43" fontId="0" fillId="0" borderId="0" xfId="0" applyNumberFormat="1" applyFont="1" applyAlignment="1">
      <alignment vertical="center"/>
    </xf>
    <xf numFmtId="0" fontId="0" fillId="4" borderId="1" xfId="0" applyFill="1" applyBorder="1" applyAlignment="1">
      <alignment horizontal="center" vertical="center"/>
    </xf>
    <xf numFmtId="43" fontId="0" fillId="4" borderId="1" xfId="1" applyFont="1" applyFill="1" applyBorder="1" applyAlignment="1">
      <alignment horizontal="center" vertical="center"/>
    </xf>
    <xf numFmtId="10" fontId="0" fillId="4" borderId="1" xfId="3" applyNumberFormat="1" applyFont="1" applyFill="1" applyBorder="1" applyAlignment="1">
      <alignment horizontal="center" vertical="center"/>
    </xf>
    <xf numFmtId="178" fontId="7" fillId="18" borderId="0" xfId="0" applyNumberFormat="1" applyFont="1" applyFill="1" applyAlignment="1">
      <alignment horizontal="center" vertical="center"/>
    </xf>
    <xf numFmtId="178" fontId="2" fillId="19" borderId="1" xfId="0" applyNumberFormat="1" applyFont="1" applyFill="1" applyBorder="1" applyAlignment="1">
      <alignment horizontal="center" vertical="center"/>
    </xf>
    <xf numFmtId="178" fontId="2" fillId="20" borderId="1" xfId="0" applyNumberFormat="1" applyFont="1" applyFill="1" applyBorder="1" applyAlignment="1">
      <alignment horizontal="center" vertical="center"/>
    </xf>
    <xf numFmtId="0" fontId="2" fillId="18" borderId="1" xfId="0" applyFont="1" applyFill="1" applyBorder="1" applyAlignment="1">
      <alignment horizontal="left" vertical="center" wrapText="1"/>
    </xf>
    <xf numFmtId="178" fontId="2" fillId="18" borderId="1" xfId="0" applyNumberFormat="1" applyFont="1" applyFill="1" applyBorder="1" applyAlignment="1">
      <alignment horizontal="center" vertical="center" wrapText="1"/>
    </xf>
    <xf numFmtId="178" fontId="2" fillId="18" borderId="1" xfId="1" applyNumberFormat="1" applyFont="1" applyFill="1" applyBorder="1" applyAlignment="1">
      <alignment horizontal="center" vertical="center" wrapText="1"/>
    </xf>
    <xf numFmtId="178" fontId="0" fillId="20" borderId="1" xfId="0" applyNumberFormat="1" applyFill="1" applyBorder="1" applyAlignment="1">
      <alignment horizontal="center" vertical="center"/>
    </xf>
    <xf numFmtId="178" fontId="0" fillId="0" borderId="1" xfId="1" applyNumberFormat="1" applyFont="1" applyBorder="1" applyAlignment="1">
      <alignment horizontal="center" vertical="center"/>
    </xf>
    <xf numFmtId="182" fontId="0" fillId="20" borderId="1" xfId="0" applyNumberFormat="1" applyFill="1" applyBorder="1" applyAlignment="1">
      <alignment horizontal="center" vertical="center"/>
    </xf>
    <xf numFmtId="178" fontId="0" fillId="0" borderId="1" xfId="0" applyNumberFormat="1" applyFont="1" applyBorder="1" applyAlignment="1">
      <alignment horizontal="center" vertical="center"/>
    </xf>
    <xf numFmtId="178" fontId="2" fillId="0" borderId="1" xfId="0" applyNumberFormat="1" applyFont="1" applyBorder="1" applyAlignment="1">
      <alignment horizontal="left" vertical="center" indent="1"/>
    </xf>
    <xf numFmtId="0" fontId="0" fillId="0" borderId="1" xfId="0" applyFont="1" applyFill="1" applyBorder="1" applyAlignment="1">
      <alignment horizontal="left" vertical="center" indent="2"/>
    </xf>
    <xf numFmtId="0" fontId="19" fillId="0" borderId="0" xfId="0" applyFont="1" applyAlignment="1">
      <alignment horizontal="center" vertical="center"/>
    </xf>
    <xf numFmtId="0" fontId="2" fillId="0" borderId="1" xfId="0" applyFont="1" applyBorder="1" applyAlignment="1">
      <alignment horizontal="left" vertical="center" indent="1"/>
    </xf>
    <xf numFmtId="178" fontId="0" fillId="20" borderId="0" xfId="0" applyNumberFormat="1" applyFill="1" applyAlignment="1">
      <alignment horizontal="center" vertical="center"/>
    </xf>
    <xf numFmtId="0" fontId="0" fillId="0" borderId="1" xfId="0" applyBorder="1" applyAlignment="1">
      <alignment horizontal="center" vertical="center"/>
    </xf>
    <xf numFmtId="178" fontId="0" fillId="0" borderId="1" xfId="3" applyNumberFormat="1" applyBorder="1" applyAlignment="1">
      <alignment horizontal="center" vertical="center"/>
    </xf>
    <xf numFmtId="178" fontId="0" fillId="3" borderId="1" xfId="3" applyNumberFormat="1" applyFill="1" applyBorder="1" applyAlignment="1">
      <alignment horizontal="center" vertical="center"/>
    </xf>
    <xf numFmtId="10" fontId="0" fillId="3" borderId="1" xfId="3" applyNumberFormat="1" applyFill="1" applyBorder="1" applyAlignment="1">
      <alignment horizontal="center" vertical="center"/>
    </xf>
    <xf numFmtId="0" fontId="7" fillId="0" borderId="0" xfId="0" applyFont="1" applyAlignment="1">
      <alignment vertical="center"/>
    </xf>
    <xf numFmtId="0" fontId="2" fillId="0" borderId="0" xfId="0" applyFont="1" applyFill="1" applyBorder="1" applyAlignment="1">
      <alignment horizontal="center" vertical="center"/>
    </xf>
    <xf numFmtId="10" fontId="0" fillId="0" borderId="0" xfId="3" applyNumberFormat="1" applyFill="1" applyBorder="1" applyAlignment="1">
      <alignment horizontal="center" vertical="center"/>
    </xf>
    <xf numFmtId="178" fontId="0" fillId="0" borderId="0" xfId="3" applyNumberFormat="1" applyAlignment="1">
      <alignment horizontal="center" vertical="center"/>
    </xf>
    <xf numFmtId="178" fontId="0" fillId="4" borderId="1" xfId="0" applyNumberFormat="1" applyFill="1" applyBorder="1" applyAlignment="1">
      <alignment horizontal="center" vertical="center"/>
    </xf>
    <xf numFmtId="0" fontId="0" fillId="4" borderId="1" xfId="0" applyFont="1" applyFill="1" applyBorder="1" applyAlignment="1">
      <alignment horizontal="center" vertical="center"/>
    </xf>
    <xf numFmtId="178" fontId="0" fillId="4" borderId="1" xfId="0" applyNumberFormat="1" applyFont="1" applyFill="1" applyBorder="1" applyAlignment="1">
      <alignment horizontal="center" vertical="center"/>
    </xf>
    <xf numFmtId="178" fontId="7" fillId="0" borderId="0" xfId="0" applyNumberFormat="1" applyFont="1" applyFill="1" applyAlignment="1">
      <alignment horizontal="center" vertical="center"/>
    </xf>
    <xf numFmtId="0" fontId="2" fillId="18" borderId="1" xfId="0" applyFont="1" applyFill="1" applyBorder="1" applyAlignment="1">
      <alignment horizontal="center" vertical="center"/>
    </xf>
    <xf numFmtId="178" fontId="7" fillId="18" borderId="1" xfId="0" applyNumberFormat="1" applyFont="1" applyFill="1" applyBorder="1" applyAlignment="1">
      <alignment horizontal="center" vertical="center"/>
    </xf>
    <xf numFmtId="178" fontId="7" fillId="18" borderId="3" xfId="0" applyNumberFormat="1" applyFont="1" applyFill="1" applyBorder="1" applyAlignment="1">
      <alignment horizontal="center" vertical="center"/>
    </xf>
    <xf numFmtId="178" fontId="7" fillId="18" borderId="10" xfId="0" applyNumberFormat="1" applyFont="1" applyFill="1" applyBorder="1" applyAlignment="1">
      <alignment horizontal="center" vertical="center"/>
    </xf>
    <xf numFmtId="178" fontId="7" fillId="18" borderId="4" xfId="0" applyNumberFormat="1" applyFont="1" applyFill="1" applyBorder="1" applyAlignment="1">
      <alignment horizontal="center" vertical="center"/>
    </xf>
    <xf numFmtId="0" fontId="0" fillId="0" borderId="1" xfId="0" applyFill="1" applyBorder="1" applyAlignment="1">
      <alignment horizontal="center" vertical="center"/>
    </xf>
    <xf numFmtId="0" fontId="0" fillId="3" borderId="1" xfId="0" applyFill="1" applyBorder="1" applyAlignment="1">
      <alignment horizontal="center" vertical="center"/>
    </xf>
    <xf numFmtId="178" fontId="0" fillId="0" borderId="0" xfId="0" applyNumberFormat="1" applyFill="1" applyBorder="1" applyAlignment="1">
      <alignment horizontal="center" vertical="center"/>
    </xf>
    <xf numFmtId="178" fontId="0" fillId="0" borderId="1" xfId="3" applyNumberFormat="1" applyFont="1" applyFill="1" applyBorder="1" applyAlignment="1">
      <alignment horizontal="center" vertical="center"/>
    </xf>
    <xf numFmtId="178" fontId="0" fillId="3" borderId="1" xfId="3" applyNumberFormat="1" applyFont="1" applyFill="1" applyBorder="1" applyAlignment="1">
      <alignment horizontal="center" vertical="center"/>
    </xf>
    <xf numFmtId="0" fontId="2" fillId="4" borderId="1" xfId="0" applyFont="1" applyFill="1" applyBorder="1" applyAlignment="1">
      <alignment horizontal="left" vertical="center" indent="1"/>
    </xf>
    <xf numFmtId="178" fontId="0" fillId="0" borderId="0" xfId="3" applyNumberFormat="1" applyFont="1" applyFill="1" applyBorder="1" applyAlignment="1">
      <alignment horizontal="center" vertical="center"/>
    </xf>
    <xf numFmtId="0" fontId="0" fillId="0" borderId="0" xfId="0" applyBorder="1" applyAlignment="1">
      <alignment vertical="center" wrapText="1"/>
    </xf>
    <xf numFmtId="0" fontId="0" fillId="0" borderId="0" xfId="0" applyFill="1" applyAlignment="1">
      <alignment vertical="center" wrapText="1"/>
    </xf>
    <xf numFmtId="43" fontId="0" fillId="0" borderId="0" xfId="1" applyFont="1" applyAlignment="1">
      <alignment vertical="center" wrapText="1"/>
    </xf>
    <xf numFmtId="0" fontId="0" fillId="0" borderId="0" xfId="0" applyFont="1" applyAlignment="1">
      <alignment vertical="center" wrapText="1"/>
    </xf>
    <xf numFmtId="0" fontId="0" fillId="0" borderId="0" xfId="0" applyFill="1" applyAlignment="1">
      <alignment horizontal="center" vertical="center" wrapText="1"/>
    </xf>
    <xf numFmtId="178" fontId="7" fillId="18" borderId="1" xfId="0" applyNumberFormat="1" applyFont="1" applyFill="1" applyBorder="1" applyAlignment="1">
      <alignment horizontal="center" vertical="center" wrapText="1"/>
    </xf>
    <xf numFmtId="0" fontId="2" fillId="18" borderId="1" xfId="0" applyFont="1" applyFill="1" applyBorder="1" applyAlignment="1">
      <alignment horizontal="center" vertical="center" wrapText="1"/>
    </xf>
    <xf numFmtId="0" fontId="0" fillId="0" borderId="1" xfId="0" applyBorder="1" applyAlignment="1">
      <alignment horizontal="center" vertical="center" wrapText="1"/>
    </xf>
    <xf numFmtId="178" fontId="0" fillId="0" borderId="1" xfId="1" applyNumberFormat="1" applyFont="1" applyFill="1" applyBorder="1" applyAlignment="1">
      <alignment horizontal="center" vertical="center"/>
    </xf>
    <xf numFmtId="0" fontId="0" fillId="0" borderId="1" xfId="0" applyFill="1" applyBorder="1" applyAlignment="1">
      <alignment horizontal="center" vertical="center" wrapText="1"/>
    </xf>
    <xf numFmtId="178" fontId="0" fillId="0" borderId="1" xfId="3" applyNumberFormat="1" applyFont="1" applyFill="1" applyBorder="1" applyAlignment="1">
      <alignment horizontal="left" vertical="center" wrapText="1"/>
    </xf>
    <xf numFmtId="178" fontId="0" fillId="0" borderId="1" xfId="3" applyNumberFormat="1" applyFont="1" applyFill="1" applyBorder="1" applyAlignment="1">
      <alignment horizontal="center" vertical="center" wrapText="1"/>
    </xf>
    <xf numFmtId="178" fontId="0" fillId="4" borderId="1" xfId="3" applyNumberFormat="1" applyFont="1" applyFill="1" applyBorder="1" applyAlignment="1">
      <alignment horizontal="left" vertical="center" wrapText="1"/>
    </xf>
    <xf numFmtId="178" fontId="0" fillId="3" borderId="1" xfId="3" applyNumberFormat="1" applyFont="1" applyFill="1" applyBorder="1" applyAlignment="1">
      <alignment horizontal="center" vertical="center" wrapText="1"/>
    </xf>
    <xf numFmtId="186" fontId="0" fillId="0" borderId="0" xfId="0" applyNumberFormat="1" applyAlignment="1">
      <alignment vertical="center"/>
    </xf>
    <xf numFmtId="43" fontId="0" fillId="0" borderId="0" xfId="0" applyNumberFormat="1" applyAlignment="1">
      <alignment vertical="center"/>
    </xf>
    <xf numFmtId="9" fontId="0" fillId="0" borderId="0" xfId="0" applyNumberFormat="1" applyAlignment="1">
      <alignment vertical="center"/>
    </xf>
    <xf numFmtId="10" fontId="0" fillId="0" borderId="0" xfId="3" applyNumberFormat="1" applyFont="1" applyAlignment="1">
      <alignment vertical="center"/>
    </xf>
    <xf numFmtId="1" fontId="0" fillId="0" borderId="0" xfId="0" applyNumberFormat="1" applyAlignment="1">
      <alignment horizontal="center"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7" fillId="0" borderId="0" xfId="0" applyFont="1" applyAlignment="1">
      <alignment horizontal="center" vertical="center"/>
    </xf>
    <xf numFmtId="178" fontId="25" fillId="3" borderId="1" xfId="3" applyNumberFormat="1" applyFont="1" applyFill="1" applyBorder="1" applyAlignment="1">
      <alignment horizontal="center" vertical="center"/>
    </xf>
    <xf numFmtId="10" fontId="25" fillId="3" borderId="1" xfId="3" applyNumberFormat="1" applyFont="1" applyFill="1" applyBorder="1" applyAlignment="1">
      <alignment horizontal="center" vertical="center"/>
    </xf>
    <xf numFmtId="0" fontId="2" fillId="4" borderId="1" xfId="0" applyFont="1" applyFill="1" applyBorder="1" applyAlignment="1">
      <alignment horizontal="center" vertical="center"/>
    </xf>
    <xf numFmtId="178" fontId="2" fillId="4" borderId="1" xfId="0" applyNumberFormat="1" applyFont="1" applyFill="1" applyBorder="1" applyAlignment="1">
      <alignment horizontal="center" vertical="center"/>
    </xf>
    <xf numFmtId="178" fontId="2" fillId="4" borderId="1" xfId="0" applyNumberFormat="1" applyFont="1" applyFill="1" applyBorder="1" applyAlignment="1">
      <alignment vertical="center"/>
    </xf>
    <xf numFmtId="10" fontId="2" fillId="4" borderId="1" xfId="3" applyNumberFormat="1" applyFont="1" applyFill="1" applyBorder="1" applyAlignment="1">
      <alignment horizontal="center" vertical="center"/>
    </xf>
    <xf numFmtId="178" fontId="0" fillId="0" borderId="1" xfId="0" applyNumberFormat="1" applyBorder="1" applyAlignment="1">
      <alignment vertical="center"/>
    </xf>
    <xf numFmtId="10" fontId="0" fillId="0" borderId="1" xfId="3" applyNumberFormat="1" applyBorder="1" applyAlignment="1">
      <alignment horizontal="center" vertical="center"/>
    </xf>
    <xf numFmtId="178" fontId="2" fillId="0" borderId="1" xfId="0" applyNumberFormat="1" applyFont="1" applyBorder="1" applyAlignment="1">
      <alignment horizontal="left" vertical="center"/>
    </xf>
    <xf numFmtId="178" fontId="2" fillId="0" borderId="1" xfId="0" applyNumberFormat="1" applyFont="1" applyBorder="1" applyAlignment="1">
      <alignment vertical="center"/>
    </xf>
    <xf numFmtId="0" fontId="0" fillId="0" borderId="1" xfId="0" applyFont="1" applyFill="1" applyBorder="1" applyAlignment="1">
      <alignment vertical="center"/>
    </xf>
    <xf numFmtId="0" fontId="2" fillId="4" borderId="1" xfId="0" applyFont="1" applyFill="1" applyBorder="1" applyAlignment="1">
      <alignment horizontal="center" vertical="center" wrapText="1"/>
    </xf>
    <xf numFmtId="178" fontId="2" fillId="4" borderId="1" xfId="0" applyNumberFormat="1" applyFont="1" applyFill="1" applyBorder="1" applyAlignment="1">
      <alignment horizontal="center" vertical="center" wrapText="1"/>
    </xf>
    <xf numFmtId="0" fontId="2" fillId="4" borderId="1" xfId="0" applyFont="1" applyFill="1" applyBorder="1" applyAlignment="1">
      <alignment vertical="center" wrapText="1"/>
    </xf>
    <xf numFmtId="43" fontId="13" fillId="0" borderId="0" xfId="1" applyFont="1" applyAlignment="1">
      <alignment horizontal="center" vertical="center"/>
    </xf>
    <xf numFmtId="0" fontId="13" fillId="17" borderId="0" xfId="0" applyFont="1" applyFill="1" applyAlignment="1">
      <alignment horizontal="center" vertical="center"/>
    </xf>
    <xf numFmtId="0" fontId="13" fillId="0" borderId="0" xfId="0" applyFont="1" applyAlignment="1">
      <alignment horizontal="center" vertical="center"/>
    </xf>
    <xf numFmtId="187" fontId="13" fillId="0" borderId="0" xfId="0" applyNumberFormat="1" applyFont="1" applyAlignment="1">
      <alignment horizontal="center" vertical="center"/>
    </xf>
    <xf numFmtId="178" fontId="13" fillId="0" borderId="0" xfId="0" applyNumberFormat="1" applyFont="1" applyAlignment="1">
      <alignment horizontal="center" vertical="center"/>
    </xf>
    <xf numFmtId="0" fontId="12" fillId="0" borderId="1" xfId="0" applyFont="1" applyBorder="1" applyAlignment="1">
      <alignment vertical="center"/>
    </xf>
    <xf numFmtId="9" fontId="12" fillId="0" borderId="1" xfId="0" applyNumberFormat="1" applyFont="1" applyBorder="1" applyAlignment="1">
      <alignment vertical="center"/>
    </xf>
    <xf numFmtId="9" fontId="0" fillId="0" borderId="1" xfId="3" applyFont="1" applyBorder="1" applyAlignment="1">
      <alignment vertical="center"/>
    </xf>
    <xf numFmtId="9" fontId="0" fillId="0" borderId="0" xfId="3" applyFont="1" applyBorder="1" applyAlignment="1">
      <alignment vertical="center"/>
    </xf>
    <xf numFmtId="0" fontId="26" fillId="9" borderId="1" xfId="0" applyFont="1" applyFill="1" applyBorder="1" applyAlignment="1">
      <alignment horizontal="center" vertical="center"/>
    </xf>
    <xf numFmtId="43" fontId="26" fillId="9" borderId="1" xfId="1" applyFont="1" applyFill="1" applyBorder="1" applyAlignment="1">
      <alignment horizontal="center" vertical="center" wrapText="1"/>
    </xf>
    <xf numFmtId="0" fontId="12" fillId="9" borderId="1" xfId="0" applyFont="1" applyFill="1" applyBorder="1" applyAlignment="1">
      <alignment horizontal="center" vertical="center"/>
    </xf>
    <xf numFmtId="0" fontId="12" fillId="21" borderId="1" xfId="0" applyFont="1" applyFill="1" applyBorder="1" applyAlignment="1">
      <alignment horizontal="center" vertical="center"/>
    </xf>
    <xf numFmtId="0" fontId="26" fillId="9" borderId="1" xfId="0" applyFont="1" applyFill="1" applyBorder="1" applyAlignment="1">
      <alignment horizontal="center" vertical="center" wrapText="1"/>
    </xf>
    <xf numFmtId="43" fontId="26" fillId="9" borderId="1" xfId="0" applyNumberFormat="1" applyFont="1" applyFill="1" applyBorder="1" applyAlignment="1">
      <alignment horizontal="center" vertical="center" wrapText="1"/>
    </xf>
    <xf numFmtId="43" fontId="26" fillId="9" borderId="1" xfId="1" applyFont="1" applyFill="1" applyBorder="1" applyAlignment="1">
      <alignment horizontal="center" vertical="center"/>
    </xf>
    <xf numFmtId="43" fontId="12" fillId="9" borderId="1" xfId="1" applyFont="1" applyFill="1" applyBorder="1" applyAlignment="1">
      <alignment horizontal="center" vertical="center"/>
    </xf>
    <xf numFmtId="179" fontId="12" fillId="21" borderId="1" xfId="0" applyNumberFormat="1" applyFont="1" applyFill="1" applyBorder="1" applyAlignment="1">
      <alignment horizontal="center" vertical="center"/>
    </xf>
    <xf numFmtId="43" fontId="26" fillId="9" borderId="1" xfId="1" applyNumberFormat="1" applyFont="1" applyFill="1" applyBorder="1" applyAlignment="1">
      <alignment horizontal="center" vertical="center"/>
    </xf>
    <xf numFmtId="0" fontId="12" fillId="22" borderId="1" xfId="0" applyFont="1" applyFill="1" applyBorder="1" applyAlignment="1">
      <alignment horizontal="center" vertical="center"/>
    </xf>
    <xf numFmtId="43" fontId="12" fillId="22" borderId="1" xfId="1" applyFont="1" applyFill="1" applyBorder="1" applyAlignment="1">
      <alignment horizontal="center" vertical="center"/>
    </xf>
    <xf numFmtId="0" fontId="26" fillId="23" borderId="1" xfId="0" applyFont="1" applyFill="1" applyBorder="1" applyAlignment="1">
      <alignment horizontal="center" vertical="center"/>
    </xf>
    <xf numFmtId="43" fontId="26" fillId="23" borderId="1" xfId="0" applyNumberFormat="1" applyFont="1" applyFill="1" applyBorder="1" applyAlignment="1">
      <alignment horizontal="center" vertical="center"/>
    </xf>
    <xf numFmtId="43" fontId="13" fillId="3" borderId="0" xfId="1" applyFont="1" applyFill="1" applyAlignment="1">
      <alignment horizontal="center" vertical="center"/>
    </xf>
    <xf numFmtId="43" fontId="13" fillId="17" borderId="0" xfId="0" applyNumberFormat="1" applyFont="1" applyFill="1" applyAlignment="1">
      <alignment horizontal="center" vertical="center"/>
    </xf>
    <xf numFmtId="43" fontId="13" fillId="0" borderId="0" xfId="0" applyNumberFormat="1" applyFont="1" applyAlignment="1">
      <alignment horizontal="center" vertical="center"/>
    </xf>
    <xf numFmtId="187" fontId="0" fillId="0" borderId="0" xfId="0" applyNumberFormat="1" applyAlignment="1">
      <alignment vertical="center"/>
    </xf>
    <xf numFmtId="43" fontId="19" fillId="21" borderId="1" xfId="1" applyFont="1" applyFill="1" applyBorder="1" applyAlignment="1">
      <alignment horizontal="center" vertical="center" wrapText="1"/>
    </xf>
    <xf numFmtId="0" fontId="13" fillId="21" borderId="1" xfId="0" applyFont="1" applyFill="1" applyBorder="1" applyAlignment="1">
      <alignment horizontal="center" vertical="center"/>
    </xf>
    <xf numFmtId="0" fontId="13" fillId="24" borderId="1" xfId="0" applyFont="1" applyFill="1" applyBorder="1" applyAlignment="1">
      <alignment horizontal="center" vertical="center"/>
    </xf>
    <xf numFmtId="0" fontId="13" fillId="25" borderId="1" xfId="0" applyFont="1" applyFill="1" applyBorder="1" applyAlignment="1">
      <alignment horizontal="center" vertical="center" wrapText="1"/>
    </xf>
    <xf numFmtId="0" fontId="13" fillId="25" borderId="1" xfId="0" applyFont="1" applyFill="1" applyBorder="1" applyAlignment="1">
      <alignment horizontal="center" vertical="center"/>
    </xf>
    <xf numFmtId="0" fontId="12" fillId="25" borderId="1" xfId="0" applyFont="1" applyFill="1" applyBorder="1" applyAlignment="1">
      <alignment horizontal="center" vertical="center"/>
    </xf>
    <xf numFmtId="187" fontId="13" fillId="25" borderId="1" xfId="0" applyNumberFormat="1" applyFont="1" applyFill="1" applyBorder="1" applyAlignment="1">
      <alignment horizontal="center" vertical="center"/>
    </xf>
    <xf numFmtId="179" fontId="13" fillId="21" borderId="1" xfId="0" applyNumberFormat="1" applyFont="1" applyFill="1" applyBorder="1" applyAlignment="1">
      <alignment horizontal="center" vertical="center"/>
    </xf>
    <xf numFmtId="43" fontId="13" fillId="21" borderId="1" xfId="0" applyNumberFormat="1" applyFont="1" applyFill="1" applyBorder="1" applyAlignment="1">
      <alignment horizontal="center" vertical="center"/>
    </xf>
    <xf numFmtId="43" fontId="13" fillId="24" borderId="1" xfId="0" applyNumberFormat="1" applyFont="1" applyFill="1" applyBorder="1" applyAlignment="1">
      <alignment horizontal="center" vertical="center"/>
    </xf>
    <xf numFmtId="43" fontId="13" fillId="25" borderId="1" xfId="0" applyNumberFormat="1" applyFont="1" applyFill="1" applyBorder="1" applyAlignment="1">
      <alignment horizontal="center" vertical="center"/>
    </xf>
    <xf numFmtId="10" fontId="13" fillId="25" borderId="1" xfId="3" applyNumberFormat="1" applyFont="1" applyFill="1" applyBorder="1" applyAlignment="1">
      <alignment horizontal="center" vertical="center"/>
    </xf>
    <xf numFmtId="179" fontId="12" fillId="25" borderId="1" xfId="0" applyNumberFormat="1" applyFont="1" applyFill="1" applyBorder="1" applyAlignment="1">
      <alignment horizontal="center" vertical="center"/>
    </xf>
    <xf numFmtId="187" fontId="13" fillId="3" borderId="1" xfId="0" applyNumberFormat="1" applyFont="1" applyFill="1" applyBorder="1" applyAlignment="1">
      <alignment horizontal="center" vertical="center"/>
    </xf>
    <xf numFmtId="0" fontId="12" fillId="24" borderId="1" xfId="0" applyFont="1" applyFill="1" applyBorder="1" applyAlignment="1">
      <alignment horizontal="center" vertical="center"/>
    </xf>
    <xf numFmtId="43" fontId="26" fillId="25" borderId="1" xfId="1" applyFont="1" applyFill="1" applyBorder="1" applyAlignment="1">
      <alignment horizontal="center" vertical="center" wrapText="1"/>
    </xf>
    <xf numFmtId="43" fontId="12" fillId="24" borderId="1" xfId="1" applyFont="1" applyFill="1" applyBorder="1" applyAlignment="1">
      <alignment horizontal="center" vertical="center"/>
    </xf>
    <xf numFmtId="43" fontId="12" fillId="3" borderId="1" xfId="1" applyFont="1" applyFill="1" applyBorder="1" applyAlignment="1">
      <alignment horizontal="center" vertical="center"/>
    </xf>
    <xf numFmtId="43" fontId="12" fillId="25" borderId="1" xfId="1" applyFont="1" applyFill="1" applyBorder="1" applyAlignment="1">
      <alignment horizontal="center" vertical="center"/>
    </xf>
    <xf numFmtId="187" fontId="12" fillId="25" borderId="1" xfId="1" applyNumberFormat="1" applyFont="1" applyFill="1" applyBorder="1" applyAlignment="1">
      <alignment horizontal="center" vertical="center"/>
    </xf>
    <xf numFmtId="10" fontId="26" fillId="23" borderId="1" xfId="3" applyNumberFormat="1" applyFont="1" applyFill="1" applyBorder="1" applyAlignment="1">
      <alignment horizontal="center" vertical="center"/>
    </xf>
    <xf numFmtId="43" fontId="26" fillId="26" borderId="1" xfId="0" applyNumberFormat="1" applyFont="1" applyFill="1" applyBorder="1" applyAlignment="1">
      <alignment horizontal="center" vertical="center"/>
    </xf>
    <xf numFmtId="43" fontId="13" fillId="0" borderId="0" xfId="1" applyFont="1" applyFill="1" applyAlignment="1">
      <alignment horizontal="center" vertical="center"/>
    </xf>
    <xf numFmtId="187" fontId="13" fillId="17" borderId="0" xfId="0" applyNumberFormat="1" applyFont="1" applyFill="1" applyAlignment="1">
      <alignment horizontal="center" vertical="center"/>
    </xf>
    <xf numFmtId="0" fontId="12" fillId="0" borderId="6" xfId="0" applyFont="1" applyBorder="1" applyAlignment="1">
      <alignment horizontal="center" vertical="center"/>
    </xf>
    <xf numFmtId="0" fontId="12" fillId="6" borderId="1" xfId="0" applyFont="1" applyFill="1" applyBorder="1" applyAlignment="1">
      <alignment horizontal="center" vertical="center"/>
    </xf>
    <xf numFmtId="43" fontId="12" fillId="6" borderId="1" xfId="0" applyNumberFormat="1" applyFont="1" applyFill="1" applyBorder="1" applyAlignment="1">
      <alignment horizontal="center" vertical="center"/>
    </xf>
    <xf numFmtId="10" fontId="12" fillId="6" borderId="1" xfId="3" applyNumberFormat="1" applyFont="1" applyFill="1" applyBorder="1" applyAlignment="1">
      <alignment horizontal="center" vertical="center"/>
    </xf>
    <xf numFmtId="187" fontId="12" fillId="6" borderId="1" xfId="0" applyNumberFormat="1" applyFont="1" applyFill="1" applyBorder="1" applyAlignment="1">
      <alignment horizontal="center" vertical="center"/>
    </xf>
    <xf numFmtId="0" fontId="12" fillId="0" borderId="7" xfId="0" applyFont="1" applyBorder="1" applyAlignment="1">
      <alignment horizontal="center" vertical="center"/>
    </xf>
    <xf numFmtId="43" fontId="12" fillId="0" borderId="1" xfId="0" applyNumberFormat="1" applyFont="1" applyBorder="1" applyAlignment="1">
      <alignment horizontal="center" vertical="center"/>
    </xf>
    <xf numFmtId="178" fontId="12" fillId="0" borderId="1" xfId="0" applyNumberFormat="1" applyFont="1" applyBorder="1" applyAlignment="1">
      <alignment horizontal="center" vertical="center"/>
    </xf>
    <xf numFmtId="10" fontId="12" fillId="0" borderId="1" xfId="3" applyNumberFormat="1" applyFont="1" applyBorder="1" applyAlignment="1">
      <alignment horizontal="center" vertical="center"/>
    </xf>
    <xf numFmtId="0" fontId="12" fillId="0" borderId="1" xfId="0" applyFont="1" applyBorder="1" applyAlignment="1">
      <alignment horizontal="center" vertical="center"/>
    </xf>
    <xf numFmtId="178" fontId="12" fillId="0" borderId="1" xfId="1" applyNumberFormat="1" applyFont="1" applyBorder="1" applyAlignment="1">
      <alignment horizontal="center" vertical="center"/>
    </xf>
    <xf numFmtId="0" fontId="12" fillId="0" borderId="2" xfId="0" applyFont="1" applyBorder="1" applyAlignment="1">
      <alignment horizontal="center" vertical="center"/>
    </xf>
    <xf numFmtId="178" fontId="1" fillId="0" borderId="0" xfId="0" applyNumberFormat="1" applyFont="1" applyBorder="1" applyAlignment="1">
      <alignment vertical="center"/>
    </xf>
    <xf numFmtId="0" fontId="12" fillId="27" borderId="1" xfId="0" applyFont="1" applyFill="1" applyBorder="1" applyAlignment="1">
      <alignment horizontal="center" vertical="center"/>
    </xf>
    <xf numFmtId="43" fontId="13" fillId="17" borderId="11" xfId="1" applyFont="1" applyFill="1" applyBorder="1" applyAlignment="1">
      <alignment horizontal="center" vertical="center"/>
    </xf>
    <xf numFmtId="179" fontId="13" fillId="25" borderId="1" xfId="0" applyNumberFormat="1" applyFont="1" applyFill="1" applyBorder="1" applyAlignment="1">
      <alignment horizontal="center" vertical="center"/>
    </xf>
    <xf numFmtId="43" fontId="12" fillId="27" borderId="1" xfId="0" applyNumberFormat="1" applyFont="1" applyFill="1" applyBorder="1" applyAlignment="1">
      <alignment horizontal="center" vertical="center"/>
    </xf>
    <xf numFmtId="43" fontId="13" fillId="17" borderId="0" xfId="1" applyFont="1" applyFill="1" applyAlignment="1">
      <alignment horizontal="center" vertical="center"/>
    </xf>
    <xf numFmtId="178" fontId="13" fillId="17" borderId="0" xfId="0" applyNumberFormat="1" applyFont="1" applyFill="1" applyAlignment="1">
      <alignment horizontal="center" vertical="center"/>
    </xf>
    <xf numFmtId="0" fontId="13" fillId="27" borderId="1" xfId="0" applyFont="1" applyFill="1" applyBorder="1" applyAlignment="1">
      <alignment horizontal="center" vertical="center"/>
    </xf>
    <xf numFmtId="43" fontId="12" fillId="27" borderId="1" xfId="1" applyFont="1" applyFill="1" applyBorder="1" applyAlignment="1">
      <alignment horizontal="center" vertical="center"/>
    </xf>
    <xf numFmtId="178" fontId="13" fillId="0" borderId="0" xfId="1" applyNumberFormat="1" applyFont="1" applyAlignment="1">
      <alignment horizontal="center" vertical="center"/>
    </xf>
    <xf numFmtId="179" fontId="0" fillId="0" borderId="0" xfId="50" applyNumberFormat="1" applyFont="1"/>
    <xf numFmtId="0" fontId="2" fillId="9" borderId="1" xfId="0" applyFont="1" applyFill="1" applyBorder="1" applyAlignment="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9" fontId="2" fillId="0" borderId="1" xfId="3" applyFont="1" applyBorder="1" applyAlignment="1">
      <alignment vertical="center"/>
    </xf>
    <xf numFmtId="9" fontId="2" fillId="0" borderId="1" xfId="3" applyNumberFormat="1" applyFont="1" applyBorder="1" applyAlignment="1">
      <alignment vertical="center"/>
    </xf>
    <xf numFmtId="178" fontId="2" fillId="3" borderId="1" xfId="0" applyNumberFormat="1" applyFont="1" applyFill="1" applyBorder="1" applyAlignment="1">
      <alignment vertical="center"/>
    </xf>
    <xf numFmtId="0" fontId="2" fillId="0" borderId="2" xfId="0" applyFont="1" applyBorder="1" applyAlignment="1">
      <alignment horizontal="center" vertical="center"/>
    </xf>
    <xf numFmtId="0" fontId="0" fillId="12" borderId="1" xfId="0" applyFill="1" applyBorder="1" applyAlignment="1">
      <alignment horizontal="center" vertical="center"/>
    </xf>
    <xf numFmtId="0" fontId="0" fillId="12" borderId="1" xfId="0" applyFont="1" applyFill="1" applyBorder="1" applyAlignment="1">
      <alignment vertical="center"/>
    </xf>
    <xf numFmtId="186" fontId="0" fillId="3" borderId="1" xfId="3" applyNumberFormat="1" applyFont="1" applyFill="1" applyBorder="1" applyAlignment="1">
      <alignment vertical="center"/>
    </xf>
    <xf numFmtId="9" fontId="0" fillId="3" borderId="1" xfId="3" applyFont="1" applyFill="1" applyBorder="1" applyAlignment="1">
      <alignment vertical="center"/>
    </xf>
    <xf numFmtId="179" fontId="0" fillId="6" borderId="0" xfId="50" applyNumberFormat="1" applyFont="1" applyFill="1"/>
    <xf numFmtId="0" fontId="12" fillId="0" borderId="12" xfId="0" applyFont="1" applyBorder="1" applyAlignment="1">
      <alignment horizontal="center" vertical="center"/>
    </xf>
    <xf numFmtId="0" fontId="12" fillId="0" borderId="5" xfId="0" applyFont="1" applyBorder="1" applyAlignment="1">
      <alignment horizontal="center" vertical="center"/>
    </xf>
    <xf numFmtId="0" fontId="0" fillId="9" borderId="1" xfId="0" applyFont="1" applyFill="1" applyBorder="1" applyAlignment="1">
      <alignment vertical="center"/>
    </xf>
    <xf numFmtId="10" fontId="0" fillId="9" borderId="1" xfId="3" applyNumberFormat="1" applyFont="1" applyFill="1" applyBorder="1" applyAlignment="1">
      <alignment vertical="center"/>
    </xf>
    <xf numFmtId="0" fontId="0" fillId="0" borderId="5" xfId="0" applyFont="1" applyFill="1" applyBorder="1" applyAlignment="1">
      <alignment horizontal="center" vertical="center"/>
    </xf>
    <xf numFmtId="183" fontId="0" fillId="0" borderId="5" xfId="0" applyNumberFormat="1" applyFill="1" applyBorder="1" applyAlignment="1">
      <alignment horizontal="center" vertical="center"/>
    </xf>
    <xf numFmtId="0" fontId="23" fillId="0" borderId="5" xfId="6" applyFill="1" applyBorder="1" applyAlignment="1">
      <alignment horizontal="center" vertical="center"/>
    </xf>
    <xf numFmtId="0" fontId="0" fillId="0" borderId="5" xfId="0" applyFont="1" applyFill="1" applyBorder="1" applyAlignment="1">
      <alignment vertical="center"/>
    </xf>
    <xf numFmtId="10" fontId="0" fillId="0" borderId="5" xfId="3" applyNumberFormat="1" applyFont="1" applyFill="1" applyBorder="1" applyAlignment="1">
      <alignment vertical="center"/>
    </xf>
    <xf numFmtId="0" fontId="0" fillId="0" borderId="5" xfId="0" applyFill="1" applyBorder="1" applyAlignment="1">
      <alignment vertical="center"/>
    </xf>
    <xf numFmtId="0" fontId="2" fillId="28" borderId="5" xfId="0" applyFont="1" applyFill="1" applyBorder="1" applyAlignment="1">
      <alignment horizontal="center" vertical="center"/>
    </xf>
    <xf numFmtId="43" fontId="27" fillId="9" borderId="1" xfId="1" applyFont="1" applyFill="1" applyBorder="1" applyAlignment="1">
      <alignment horizontal="center" vertical="center"/>
    </xf>
    <xf numFmtId="10" fontId="12" fillId="9" borderId="1" xfId="3" applyNumberFormat="1" applyFont="1" applyFill="1" applyBorder="1" applyAlignment="1">
      <alignment horizontal="center" vertical="center"/>
    </xf>
    <xf numFmtId="0" fontId="13" fillId="0" borderId="1" xfId="0" applyFont="1" applyBorder="1" applyAlignment="1">
      <alignment horizontal="center" vertical="center"/>
    </xf>
    <xf numFmtId="43" fontId="26" fillId="3" borderId="1" xfId="1" applyFont="1" applyFill="1" applyBorder="1" applyAlignment="1">
      <alignment horizontal="center" vertical="center"/>
    </xf>
    <xf numFmtId="0" fontId="12" fillId="29" borderId="10" xfId="0" applyFont="1" applyFill="1" applyBorder="1" applyAlignment="1">
      <alignment horizontal="center" vertical="center"/>
    </xf>
    <xf numFmtId="0" fontId="12" fillId="29" borderId="4" xfId="0" applyFont="1" applyFill="1" applyBorder="1" applyAlignment="1">
      <alignment horizontal="center" vertical="center"/>
    </xf>
    <xf numFmtId="43" fontId="12" fillId="29" borderId="1" xfId="0" applyNumberFormat="1" applyFont="1" applyFill="1" applyBorder="1" applyAlignment="1">
      <alignment horizontal="center" vertical="center"/>
    </xf>
    <xf numFmtId="43" fontId="26" fillId="29" borderId="1" xfId="1" applyFont="1" applyFill="1" applyBorder="1" applyAlignment="1">
      <alignment horizontal="center" vertical="center"/>
    </xf>
    <xf numFmtId="10" fontId="12" fillId="29" borderId="1" xfId="3" applyNumberFormat="1" applyFont="1" applyFill="1" applyBorder="1" applyAlignment="1">
      <alignment horizontal="center" vertical="center"/>
    </xf>
    <xf numFmtId="188" fontId="12" fillId="9" borderId="1" xfId="1" applyNumberFormat="1" applyFont="1" applyFill="1" applyBorder="1" applyAlignment="1">
      <alignment horizontal="center" vertical="center"/>
    </xf>
    <xf numFmtId="189" fontId="12" fillId="9" borderId="1" xfId="1" applyNumberFormat="1" applyFont="1" applyFill="1" applyBorder="1" applyAlignment="1">
      <alignment horizontal="center" vertical="center"/>
    </xf>
    <xf numFmtId="0" fontId="12" fillId="29" borderId="9" xfId="0" applyFont="1" applyFill="1" applyBorder="1" applyAlignment="1">
      <alignment horizontal="center" vertical="center"/>
    </xf>
    <xf numFmtId="0" fontId="12" fillId="29" borderId="13" xfId="0" applyFont="1" applyFill="1" applyBorder="1" applyAlignment="1">
      <alignment horizontal="center" vertical="center"/>
    </xf>
    <xf numFmtId="43" fontId="12" fillId="29" borderId="1" xfId="1" applyFont="1" applyFill="1" applyBorder="1" applyAlignment="1">
      <alignment horizontal="center" vertical="center"/>
    </xf>
    <xf numFmtId="0" fontId="12" fillId="29" borderId="1" xfId="0" applyFont="1" applyFill="1" applyBorder="1" applyAlignment="1">
      <alignment horizontal="center" vertical="center"/>
    </xf>
    <xf numFmtId="0" fontId="12" fillId="11" borderId="5" xfId="0" applyFont="1" applyFill="1" applyBorder="1" applyAlignment="1">
      <alignment horizontal="center" vertical="center"/>
    </xf>
    <xf numFmtId="0" fontId="12" fillId="11" borderId="14" xfId="0" applyFont="1" applyFill="1" applyBorder="1" applyAlignment="1">
      <alignment horizontal="center" vertical="center"/>
    </xf>
    <xf numFmtId="43" fontId="12" fillId="11" borderId="1" xfId="0" applyNumberFormat="1" applyFont="1" applyFill="1" applyBorder="1" applyAlignment="1">
      <alignment horizontal="center" vertical="center"/>
    </xf>
    <xf numFmtId="43" fontId="12" fillId="11" borderId="1" xfId="1" applyFont="1" applyFill="1" applyBorder="1" applyAlignment="1">
      <alignment horizontal="center" vertical="center"/>
    </xf>
    <xf numFmtId="10" fontId="12" fillId="11" borderId="1" xfId="3" applyNumberFormat="1" applyFont="1" applyFill="1" applyBorder="1" applyAlignment="1">
      <alignment horizontal="center" vertical="center"/>
    </xf>
    <xf numFmtId="0" fontId="12" fillId="11" borderId="1" xfId="0" applyFont="1" applyFill="1" applyBorder="1" applyAlignment="1">
      <alignment horizontal="center" vertical="center"/>
    </xf>
    <xf numFmtId="0" fontId="13" fillId="0" borderId="9" xfId="0" applyFont="1" applyBorder="1" applyAlignment="1">
      <alignment horizontal="center" vertical="center"/>
    </xf>
    <xf numFmtId="0" fontId="12" fillId="0" borderId="1" xfId="0" applyFont="1" applyFill="1" applyBorder="1" applyAlignment="1">
      <alignment horizontal="center" vertical="center"/>
    </xf>
    <xf numFmtId="178" fontId="13" fillId="0" borderId="1" xfId="0" applyNumberFormat="1" applyFont="1" applyFill="1" applyBorder="1" applyAlignment="1">
      <alignment horizontal="center" vertical="center"/>
    </xf>
    <xf numFmtId="43" fontId="26" fillId="0" borderId="1" xfId="1" applyFont="1" applyFill="1" applyBorder="1" applyAlignment="1">
      <alignment horizontal="center" vertical="center"/>
    </xf>
    <xf numFmtId="178" fontId="13" fillId="3" borderId="1" xfId="0" applyNumberFormat="1" applyFont="1" applyFill="1" applyBorder="1" applyAlignment="1">
      <alignment horizontal="center" vertical="center"/>
    </xf>
    <xf numFmtId="178" fontId="13" fillId="0" borderId="0" xfId="0" applyNumberFormat="1" applyFont="1" applyAlignment="1">
      <alignment horizontal="left" vertical="center"/>
    </xf>
    <xf numFmtId="185" fontId="12" fillId="29" borderId="1" xfId="0" applyNumberFormat="1" applyFont="1" applyFill="1" applyBorder="1" applyAlignment="1">
      <alignment horizontal="center" vertical="center"/>
    </xf>
    <xf numFmtId="185" fontId="12" fillId="11" borderId="1" xfId="1" applyNumberFormat="1" applyFont="1" applyFill="1" applyBorder="1" applyAlignment="1">
      <alignment horizontal="center" vertical="center"/>
    </xf>
    <xf numFmtId="0" fontId="13" fillId="0" borderId="0" xfId="0" applyFont="1" applyAlignment="1">
      <alignment horizontal="left" vertical="center"/>
    </xf>
    <xf numFmtId="0" fontId="0" fillId="6" borderId="0" xfId="0" applyFill="1" applyAlignment="1">
      <alignment vertical="center"/>
    </xf>
    <xf numFmtId="0" fontId="0" fillId="12" borderId="1" xfId="0" applyFill="1" applyBorder="1" applyAlignment="1">
      <alignment vertical="center"/>
    </xf>
    <xf numFmtId="0" fontId="0" fillId="12" borderId="12" xfId="0" applyFill="1" applyBorder="1" applyAlignment="1">
      <alignment horizontal="center" vertical="center"/>
    </xf>
    <xf numFmtId="0" fontId="0" fillId="12" borderId="5" xfId="0" applyFill="1" applyBorder="1" applyAlignment="1">
      <alignment horizontal="center" vertical="center"/>
    </xf>
    <xf numFmtId="43" fontId="28" fillId="12" borderId="1" xfId="1" applyFont="1" applyFill="1" applyBorder="1">
      <alignment vertical="center"/>
    </xf>
    <xf numFmtId="43" fontId="28" fillId="3" borderId="1" xfId="1" applyFont="1" applyFill="1" applyBorder="1" applyAlignment="1"/>
    <xf numFmtId="43" fontId="28" fillId="3" borderId="1" xfId="1" applyFont="1" applyFill="1" applyBorder="1" applyAlignment="1">
      <alignment horizontal="right"/>
    </xf>
    <xf numFmtId="43" fontId="29" fillId="3" borderId="1" xfId="1" applyFont="1" applyFill="1" applyBorder="1" applyAlignment="1"/>
    <xf numFmtId="43" fontId="28" fillId="3" borderId="1" xfId="1" applyFont="1" applyFill="1" applyBorder="1" applyAlignment="1">
      <alignment horizontal="center" vertical="center"/>
    </xf>
    <xf numFmtId="43" fontId="29" fillId="3" borderId="1" xfId="1" applyFont="1" applyFill="1" applyBorder="1" applyAlignment="1">
      <alignment horizontal="center" vertical="center"/>
    </xf>
    <xf numFmtId="43" fontId="28" fillId="3" borderId="1" xfId="1" applyFont="1" applyFill="1" applyBorder="1">
      <alignment vertical="center"/>
    </xf>
    <xf numFmtId="0" fontId="0" fillId="3" borderId="1" xfId="0" applyFill="1" applyBorder="1" applyAlignment="1">
      <alignment vertical="center"/>
    </xf>
    <xf numFmtId="0" fontId="0" fillId="12" borderId="14" xfId="0" applyFill="1" applyBorder="1" applyAlignment="1">
      <alignment horizontal="center" vertical="center"/>
    </xf>
    <xf numFmtId="0" fontId="0" fillId="30" borderId="12" xfId="0" applyFill="1" applyBorder="1" applyAlignment="1">
      <alignment horizontal="center" vertical="center"/>
    </xf>
    <xf numFmtId="0" fontId="0" fillId="30" borderId="5" xfId="0" applyFill="1" applyBorder="1" applyAlignment="1">
      <alignment horizontal="center" vertical="center"/>
    </xf>
    <xf numFmtId="43" fontId="28" fillId="30" borderId="1" xfId="1" applyFont="1" applyFill="1" applyBorder="1">
      <alignment vertical="center"/>
    </xf>
    <xf numFmtId="0" fontId="0" fillId="30" borderId="1" xfId="0" applyFill="1" applyBorder="1" applyAlignment="1">
      <alignment horizontal="center" vertical="center"/>
    </xf>
    <xf numFmtId="43" fontId="28" fillId="6" borderId="1" xfId="1" applyFont="1" applyFill="1" applyBorder="1" applyAlignment="1"/>
    <xf numFmtId="43" fontId="29" fillId="6" borderId="1" xfId="1" applyFont="1" applyFill="1" applyBorder="1" applyAlignment="1"/>
    <xf numFmtId="43" fontId="30" fillId="3" borderId="1" xfId="1" applyFont="1" applyFill="1" applyBorder="1">
      <alignment vertical="center"/>
    </xf>
    <xf numFmtId="43" fontId="31" fillId="3" borderId="1" xfId="1" applyFont="1" applyFill="1" applyBorder="1">
      <alignment vertical="center"/>
    </xf>
    <xf numFmtId="43" fontId="31" fillId="6" borderId="1" xfId="1" applyFont="1" applyFill="1" applyBorder="1">
      <alignment vertical="center"/>
    </xf>
    <xf numFmtId="43" fontId="28" fillId="6" borderId="1" xfId="1" applyFont="1" applyFill="1" applyBorder="1">
      <alignment vertical="center"/>
    </xf>
    <xf numFmtId="0" fontId="0" fillId="30" borderId="14" xfId="0" applyFill="1" applyBorder="1" applyAlignment="1">
      <alignment horizontal="center" vertical="center"/>
    </xf>
    <xf numFmtId="0" fontId="0" fillId="31" borderId="12" xfId="0" applyFill="1" applyBorder="1" applyAlignment="1">
      <alignment horizontal="center" vertical="center"/>
    </xf>
    <xf numFmtId="43" fontId="28" fillId="31" borderId="1" xfId="1" applyFont="1" applyFill="1" applyBorder="1">
      <alignment vertical="center"/>
    </xf>
    <xf numFmtId="0" fontId="0" fillId="31" borderId="5" xfId="0" applyFill="1" applyBorder="1" applyAlignment="1">
      <alignment horizontal="center" vertical="center"/>
    </xf>
    <xf numFmtId="43" fontId="0" fillId="6" borderId="1" xfId="0" applyNumberFormat="1" applyFill="1" applyBorder="1" applyAlignment="1">
      <alignment vertical="center"/>
    </xf>
    <xf numFmtId="0" fontId="0" fillId="6" borderId="1" xfId="0" applyFill="1" applyBorder="1" applyAlignment="1">
      <alignment vertical="center"/>
    </xf>
    <xf numFmtId="43" fontId="30" fillId="6" borderId="1" xfId="1" applyFont="1" applyFill="1" applyBorder="1">
      <alignment vertical="center"/>
    </xf>
    <xf numFmtId="0" fontId="0" fillId="0" borderId="0" xfId="0" applyFill="1" applyBorder="1" applyAlignment="1"/>
    <xf numFmtId="0" fontId="0" fillId="0" borderId="0" xfId="0" applyFill="1" applyBorder="1" applyAlignment="1">
      <alignment wrapText="1"/>
    </xf>
    <xf numFmtId="190" fontId="13" fillId="0" borderId="0" xfId="0" applyNumberFormat="1" applyFont="1" applyFill="1" applyBorder="1" applyAlignment="1">
      <alignment horizontal="center" vertical="center"/>
    </xf>
    <xf numFmtId="0" fontId="0" fillId="0" borderId="0" xfId="0" applyFill="1" applyBorder="1" applyAlignment="1">
      <alignment horizontal="center"/>
    </xf>
    <xf numFmtId="191" fontId="0" fillId="0" borderId="0" xfId="0" applyNumberFormat="1" applyFill="1" applyBorder="1" applyAlignment="1">
      <alignment horizontal="right"/>
    </xf>
    <xf numFmtId="190" fontId="0" fillId="0" borderId="0" xfId="0" applyNumberFormat="1" applyFill="1" applyBorder="1" applyAlignment="1"/>
    <xf numFmtId="192" fontId="0" fillId="0" borderId="0" xfId="0" applyNumberFormat="1" applyFill="1" applyBorder="1" applyAlignment="1">
      <alignment horizontal="right"/>
    </xf>
    <xf numFmtId="191" fontId="0" fillId="0" borderId="0" xfId="0" applyNumberFormat="1" applyFill="1" applyBorder="1" applyAlignment="1"/>
    <xf numFmtId="0" fontId="32" fillId="0" borderId="5"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6" xfId="0" applyFont="1" applyFill="1" applyBorder="1" applyAlignment="1">
      <alignment horizontal="center" vertical="center" wrapText="1"/>
    </xf>
    <xf numFmtId="190" fontId="13" fillId="0" borderId="6" xfId="0" applyNumberFormat="1" applyFont="1" applyFill="1" applyBorder="1" applyAlignment="1">
      <alignment horizontal="center" vertical="center" wrapText="1"/>
    </xf>
    <xf numFmtId="191" fontId="13" fillId="0" borderId="6" xfId="0" applyNumberFormat="1"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2" xfId="0" applyFont="1" applyFill="1" applyBorder="1" applyAlignment="1">
      <alignment horizontal="center" vertical="center" wrapText="1"/>
    </xf>
    <xf numFmtId="190" fontId="13" fillId="0" borderId="2" xfId="0" applyNumberFormat="1" applyFont="1" applyFill="1" applyBorder="1" applyAlignment="1">
      <alignment horizontal="center" vertical="center" wrapText="1"/>
    </xf>
    <xf numFmtId="191" fontId="13" fillId="0" borderId="2" xfId="0" applyNumberFormat="1"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190" fontId="13" fillId="0" borderId="1" xfId="0" applyNumberFormat="1" applyFont="1" applyFill="1" applyBorder="1" applyAlignment="1">
      <alignment horizontal="center" vertical="center"/>
    </xf>
    <xf numFmtId="178" fontId="13" fillId="0" borderId="1" xfId="0" applyNumberFormat="1" applyFont="1" applyFill="1" applyBorder="1" applyAlignment="1">
      <alignment horizontal="right" vertical="center"/>
    </xf>
    <xf numFmtId="191" fontId="13" fillId="0" borderId="1" xfId="0" applyNumberFormat="1" applyFont="1" applyFill="1" applyBorder="1" applyAlignment="1">
      <alignment horizontal="right" vertical="center"/>
    </xf>
    <xf numFmtId="0" fontId="0" fillId="0" borderId="1" xfId="0" applyFill="1" applyBorder="1" applyAlignment="1"/>
    <xf numFmtId="0" fontId="19" fillId="0" borderId="15" xfId="97" applyNumberFormat="1" applyFont="1" applyFill="1" applyBorder="1" applyAlignment="1" applyProtection="1">
      <alignment horizontal="center" vertical="center"/>
    </xf>
    <xf numFmtId="0" fontId="0" fillId="0" borderId="1" xfId="0" applyFill="1" applyBorder="1" applyAlignment="1">
      <alignment wrapText="1"/>
    </xf>
    <xf numFmtId="191" fontId="13" fillId="0" borderId="1" xfId="0" applyNumberFormat="1" applyFont="1" applyFill="1" applyBorder="1" applyAlignment="1">
      <alignment horizontal="center" vertical="center"/>
    </xf>
    <xf numFmtId="0" fontId="0" fillId="0" borderId="1" xfId="0" applyFont="1" applyFill="1" applyBorder="1" applyAlignment="1">
      <alignment horizontal="center"/>
    </xf>
    <xf numFmtId="190" fontId="13" fillId="0" borderId="3" xfId="0" applyNumberFormat="1" applyFont="1" applyFill="1" applyBorder="1" applyAlignment="1">
      <alignment horizontal="center" vertical="center"/>
    </xf>
    <xf numFmtId="190" fontId="13" fillId="0" borderId="10" xfId="0" applyNumberFormat="1" applyFont="1" applyFill="1" applyBorder="1" applyAlignment="1">
      <alignment horizontal="center" vertical="center"/>
    </xf>
    <xf numFmtId="190" fontId="13" fillId="0" borderId="4" xfId="0" applyNumberFormat="1" applyFont="1" applyFill="1" applyBorder="1" applyAlignment="1">
      <alignment horizontal="center" vertical="center"/>
    </xf>
    <xf numFmtId="0" fontId="13" fillId="0" borderId="3" xfId="0" applyFont="1" applyFill="1" applyBorder="1" applyAlignment="1">
      <alignment horizontal="center" vertical="center" wrapText="1"/>
    </xf>
    <xf numFmtId="0" fontId="13" fillId="0" borderId="10" xfId="0" applyFont="1" applyFill="1" applyBorder="1" applyAlignment="1">
      <alignment horizontal="center" vertical="center" wrapText="1"/>
    </xf>
    <xf numFmtId="190" fontId="13" fillId="0" borderId="1" xfId="0" applyNumberFormat="1" applyFont="1" applyFill="1" applyBorder="1" applyAlignment="1">
      <alignment horizontal="center" vertical="center" wrapText="1"/>
    </xf>
    <xf numFmtId="190" fontId="13" fillId="0" borderId="1" xfId="0" applyNumberFormat="1" applyFont="1" applyFill="1" applyBorder="1" applyAlignment="1">
      <alignment horizontal="right" vertical="center"/>
    </xf>
    <xf numFmtId="0" fontId="13" fillId="0" borderId="4" xfId="0" applyFont="1" applyFill="1" applyBorder="1" applyAlignment="1">
      <alignment horizontal="center" vertical="center" wrapText="1"/>
    </xf>
    <xf numFmtId="0" fontId="13" fillId="32" borderId="6" xfId="0" applyFont="1" applyFill="1" applyBorder="1" applyAlignment="1">
      <alignment horizontal="center" vertical="center" wrapText="1"/>
    </xf>
    <xf numFmtId="192" fontId="13" fillId="0" borderId="1" xfId="0" applyNumberFormat="1" applyFont="1" applyFill="1" applyBorder="1" applyAlignment="1">
      <alignment horizontal="right" vertical="center"/>
    </xf>
    <xf numFmtId="0" fontId="13" fillId="32" borderId="2" xfId="0" applyFont="1" applyFill="1" applyBorder="1" applyAlignment="1">
      <alignment horizontal="center" vertical="center" wrapText="1"/>
    </xf>
    <xf numFmtId="178" fontId="13" fillId="32" borderId="1" xfId="0" applyNumberFormat="1" applyFont="1" applyFill="1" applyBorder="1" applyAlignment="1">
      <alignment horizontal="right" vertical="center"/>
    </xf>
    <xf numFmtId="10" fontId="13" fillId="0" borderId="1" xfId="0" applyNumberFormat="1" applyFont="1" applyFill="1" applyBorder="1" applyAlignment="1">
      <alignment horizontal="right" vertical="center"/>
    </xf>
    <xf numFmtId="191" fontId="13" fillId="0" borderId="1" xfId="1" applyNumberFormat="1" applyFont="1" applyBorder="1" applyAlignment="1">
      <alignment horizontal="right" vertical="center"/>
    </xf>
    <xf numFmtId="0" fontId="0" fillId="0" borderId="0" xfId="0" applyFill="1" applyBorder="1" applyAlignment="1">
      <alignment vertical="center" wrapText="1"/>
    </xf>
    <xf numFmtId="0" fontId="0" fillId="0" borderId="0" xfId="0" applyFont="1" applyFill="1" applyBorder="1" applyAlignment="1">
      <alignment vertical="center" wrapText="1"/>
    </xf>
    <xf numFmtId="0" fontId="0" fillId="0" borderId="0" xfId="0" applyFill="1" applyBorder="1" applyAlignment="1">
      <alignment horizontal="center" vertical="center" wrapText="1"/>
    </xf>
    <xf numFmtId="0" fontId="0" fillId="0" borderId="0" xfId="0" applyFill="1" applyBorder="1" applyAlignment="1">
      <alignment horizontal="left" vertical="center" wrapText="1"/>
    </xf>
    <xf numFmtId="0" fontId="33" fillId="0" borderId="0"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2" fillId="0" borderId="17" xfId="0" applyFont="1" applyFill="1" applyBorder="1" applyAlignment="1">
      <alignment horizontal="left" vertical="center" wrapText="1"/>
    </xf>
    <xf numFmtId="0" fontId="12" fillId="0" borderId="17" xfId="0" applyFont="1" applyFill="1" applyBorder="1" applyAlignment="1">
      <alignment vertical="center" wrapText="1"/>
    </xf>
    <xf numFmtId="0" fontId="12" fillId="0" borderId="18" xfId="0" applyFont="1" applyFill="1" applyBorder="1" applyAlignment="1">
      <alignment horizontal="center" vertical="center" wrapText="1"/>
    </xf>
    <xf numFmtId="0" fontId="34" fillId="0" borderId="19" xfId="0" applyFont="1" applyFill="1" applyBorder="1" applyAlignment="1">
      <alignment horizontal="center" vertical="center" wrapText="1"/>
    </xf>
    <xf numFmtId="0" fontId="35" fillId="6" borderId="2" xfId="50" applyFont="1" applyFill="1" applyBorder="1" applyAlignment="1">
      <alignment horizontal="center" vertical="center" wrapText="1"/>
    </xf>
    <xf numFmtId="0" fontId="34" fillId="0" borderId="1" xfId="0" applyFont="1" applyFill="1" applyBorder="1" applyAlignment="1">
      <alignment horizontal="left" vertical="center" wrapText="1"/>
    </xf>
    <xf numFmtId="0" fontId="34" fillId="0" borderId="1" xfId="0" applyFont="1" applyFill="1" applyBorder="1" applyAlignment="1">
      <alignment vertical="center" wrapText="1"/>
    </xf>
    <xf numFmtId="0" fontId="34" fillId="0" borderId="20" xfId="0" applyFont="1" applyFill="1" applyBorder="1" applyAlignment="1">
      <alignment vertical="center" wrapText="1"/>
    </xf>
    <xf numFmtId="0" fontId="34" fillId="0" borderId="0" xfId="0" applyFont="1" applyFill="1" applyBorder="1" applyAlignment="1">
      <alignment vertical="center" wrapText="1"/>
    </xf>
    <xf numFmtId="0" fontId="13" fillId="33" borderId="1" xfId="0" applyFont="1" applyFill="1" applyBorder="1" applyAlignment="1">
      <alignment horizontal="center" vertical="center" wrapText="1"/>
    </xf>
    <xf numFmtId="0" fontId="13" fillId="33" borderId="1" xfId="0" applyFont="1" applyFill="1" applyBorder="1" applyAlignment="1">
      <alignment horizontal="left" vertical="center" wrapText="1"/>
    </xf>
    <xf numFmtId="0" fontId="13" fillId="33" borderId="1" xfId="0" applyFont="1" applyFill="1" applyBorder="1" applyAlignment="1">
      <alignment vertical="center" wrapText="1"/>
    </xf>
    <xf numFmtId="0" fontId="0" fillId="0" borderId="1" xfId="0" applyFill="1" applyBorder="1" applyAlignment="1">
      <alignment vertical="center" wrapText="1"/>
    </xf>
    <xf numFmtId="0" fontId="13" fillId="0" borderId="0" xfId="0" applyFont="1" applyFill="1" applyBorder="1" applyAlignment="1">
      <alignment horizontal="center" vertical="center" wrapText="1"/>
    </xf>
    <xf numFmtId="0" fontId="10" fillId="0" borderId="0" xfId="0" applyFont="1" applyFill="1" applyBorder="1" applyAlignment="1">
      <alignment horizontal="center" vertical="center"/>
    </xf>
    <xf numFmtId="0" fontId="36" fillId="0" borderId="0" xfId="0" applyFont="1" applyFill="1" applyBorder="1" applyAlignment="1">
      <alignment horizontal="center" vertical="center"/>
    </xf>
    <xf numFmtId="0" fontId="37" fillId="3" borderId="0" xfId="0" applyFont="1" applyFill="1" applyBorder="1" applyAlignment="1">
      <alignment horizontal="center" vertical="center"/>
    </xf>
    <xf numFmtId="0" fontId="37" fillId="0" borderId="0" xfId="0" applyFont="1" applyFill="1" applyBorder="1" applyAlignment="1">
      <alignment horizontal="center" vertical="center"/>
    </xf>
    <xf numFmtId="0" fontId="38" fillId="0" borderId="0" xfId="0" applyFont="1" applyFill="1" applyBorder="1" applyAlignment="1">
      <alignment horizontal="center" vertical="center"/>
    </xf>
    <xf numFmtId="0" fontId="10" fillId="0" borderId="0" xfId="0" applyFont="1" applyFill="1" applyBorder="1" applyAlignment="1">
      <alignment horizontal="center" vertical="center" wrapText="1"/>
    </xf>
    <xf numFmtId="0" fontId="39" fillId="0" borderId="0" xfId="0" applyFont="1" applyFill="1" applyBorder="1" applyAlignment="1">
      <alignment horizontal="center" vertical="center"/>
    </xf>
    <xf numFmtId="0" fontId="39" fillId="0" borderId="0" xfId="0" applyFont="1" applyFill="1" applyBorder="1" applyAlignment="1">
      <alignment horizontal="center" vertical="center" wrapText="1"/>
    </xf>
    <xf numFmtId="0" fontId="40" fillId="0" borderId="0" xfId="0" applyFont="1" applyFill="1" applyBorder="1" applyAlignment="1">
      <alignment horizontal="left" vertical="top" wrapText="1"/>
    </xf>
    <xf numFmtId="0" fontId="40" fillId="0" borderId="0" xfId="0" applyFont="1" applyFill="1" applyAlignment="1">
      <alignment horizontal="left" vertical="top" wrapText="1"/>
    </xf>
    <xf numFmtId="0" fontId="41" fillId="0" borderId="0" xfId="0" applyFont="1" applyFill="1" applyBorder="1" applyAlignment="1">
      <alignment horizontal="left" vertical="top"/>
    </xf>
    <xf numFmtId="0" fontId="42" fillId="34" borderId="1" xfId="0" applyFont="1" applyFill="1" applyBorder="1" applyAlignment="1">
      <alignment horizontal="center" vertical="center"/>
    </xf>
    <xf numFmtId="0" fontId="42" fillId="34" borderId="1" xfId="0" applyFont="1" applyFill="1" applyBorder="1" applyAlignment="1">
      <alignment horizontal="center" vertical="center" wrapText="1"/>
    </xf>
    <xf numFmtId="0" fontId="43" fillId="34" borderId="1" xfId="0" applyFont="1" applyFill="1" applyBorder="1" applyAlignment="1">
      <alignment horizontal="center" vertical="center"/>
    </xf>
    <xf numFmtId="0" fontId="43" fillId="34" borderId="1" xfId="0" applyFont="1" applyFill="1" applyBorder="1" applyAlignment="1">
      <alignment horizontal="center" vertical="center" wrapText="1"/>
    </xf>
    <xf numFmtId="0" fontId="37" fillId="3" borderId="6" xfId="0" applyFont="1" applyFill="1" applyBorder="1" applyAlignment="1">
      <alignment horizontal="center" vertical="center"/>
    </xf>
    <xf numFmtId="0" fontId="37" fillId="3" borderId="6" xfId="0" applyFont="1" applyFill="1" applyBorder="1" applyAlignment="1">
      <alignment horizontal="center" vertical="center" wrapText="1"/>
    </xf>
    <xf numFmtId="0" fontId="44" fillId="3" borderId="1" xfId="0" applyFont="1" applyFill="1" applyBorder="1" applyAlignment="1">
      <alignment horizontal="center" vertical="center" wrapText="1"/>
    </xf>
    <xf numFmtId="0" fontId="45" fillId="3" borderId="6" xfId="0" applyFont="1" applyFill="1" applyBorder="1" applyAlignment="1">
      <alignment horizontal="center" vertical="center" wrapText="1"/>
    </xf>
    <xf numFmtId="9" fontId="37" fillId="3" borderId="6" xfId="0" applyNumberFormat="1" applyFont="1" applyFill="1" applyBorder="1" applyAlignment="1">
      <alignment horizontal="center" vertical="center" wrapText="1"/>
    </xf>
    <xf numFmtId="0" fontId="37" fillId="35" borderId="6" xfId="0" applyFont="1" applyFill="1" applyBorder="1" applyAlignment="1">
      <alignment horizontal="center" vertical="center"/>
    </xf>
    <xf numFmtId="0" fontId="37" fillId="35" borderId="6" xfId="0" applyFont="1" applyFill="1" applyBorder="1" applyAlignment="1">
      <alignment horizontal="center" vertical="center" wrapText="1"/>
    </xf>
    <xf numFmtId="0" fontId="37" fillId="35" borderId="1" xfId="0" applyFont="1" applyFill="1" applyBorder="1" applyAlignment="1">
      <alignment horizontal="center" vertical="center" wrapText="1"/>
    </xf>
    <xf numFmtId="183" fontId="37" fillId="35" borderId="1" xfId="0" applyNumberFormat="1" applyFont="1" applyFill="1" applyBorder="1" applyAlignment="1">
      <alignment horizontal="center" vertical="center" wrapText="1"/>
    </xf>
    <xf numFmtId="0" fontId="45" fillId="35" borderId="6" xfId="0" applyFont="1" applyFill="1" applyBorder="1" applyAlignment="1">
      <alignment horizontal="center" vertical="center" wrapText="1"/>
    </xf>
    <xf numFmtId="9" fontId="37" fillId="35" borderId="6" xfId="0" applyNumberFormat="1" applyFont="1" applyFill="1" applyBorder="1" applyAlignment="1">
      <alignment horizontal="center" vertical="center" wrapText="1"/>
    </xf>
    <xf numFmtId="0" fontId="37" fillId="35" borderId="7" xfId="0" applyFont="1" applyFill="1" applyBorder="1" applyAlignment="1">
      <alignment horizontal="center" vertical="center"/>
    </xf>
    <xf numFmtId="0" fontId="37" fillId="35" borderId="7" xfId="0" applyFont="1" applyFill="1" applyBorder="1" applyAlignment="1">
      <alignment horizontal="center" vertical="center" wrapText="1"/>
    </xf>
    <xf numFmtId="0" fontId="45" fillId="35" borderId="7" xfId="0" applyFont="1" applyFill="1" applyBorder="1" applyAlignment="1">
      <alignment horizontal="center" vertical="center" wrapText="1"/>
    </xf>
    <xf numFmtId="9" fontId="37" fillId="35" borderId="7" xfId="0" applyNumberFormat="1" applyFont="1" applyFill="1" applyBorder="1" applyAlignment="1">
      <alignment horizontal="center" vertical="center" wrapText="1"/>
    </xf>
    <xf numFmtId="0" fontId="37" fillId="35" borderId="2" xfId="0" applyFont="1" applyFill="1" applyBorder="1" applyAlignment="1">
      <alignment horizontal="center" vertical="center"/>
    </xf>
    <xf numFmtId="0" fontId="37" fillId="35" borderId="2" xfId="0" applyFont="1" applyFill="1" applyBorder="1" applyAlignment="1">
      <alignment horizontal="center" vertical="center" wrapText="1"/>
    </xf>
    <xf numFmtId="0" fontId="45" fillId="35" borderId="2" xfId="0" applyFont="1" applyFill="1" applyBorder="1" applyAlignment="1">
      <alignment horizontal="center" vertical="center" wrapText="1"/>
    </xf>
    <xf numFmtId="9" fontId="37" fillId="35" borderId="2" xfId="0" applyNumberFormat="1" applyFont="1" applyFill="1" applyBorder="1" applyAlignment="1">
      <alignment horizontal="center" vertical="center" wrapText="1"/>
    </xf>
    <xf numFmtId="179" fontId="45" fillId="35" borderId="6" xfId="0" applyNumberFormat="1" applyFont="1" applyFill="1" applyBorder="1" applyAlignment="1">
      <alignment horizontal="center" vertical="center" wrapText="1"/>
    </xf>
    <xf numFmtId="179" fontId="45" fillId="35" borderId="7" xfId="0" applyNumberFormat="1" applyFont="1" applyFill="1" applyBorder="1" applyAlignment="1">
      <alignment horizontal="center" vertical="center" wrapText="1"/>
    </xf>
    <xf numFmtId="0" fontId="45" fillId="35" borderId="6" xfId="0" applyFont="1" applyFill="1" applyBorder="1" applyAlignment="1">
      <alignment horizontal="center" vertical="center"/>
    </xf>
    <xf numFmtId="0" fontId="45" fillId="35" borderId="2" xfId="0" applyFont="1" applyFill="1" applyBorder="1" applyAlignment="1">
      <alignment horizontal="center" vertical="center"/>
    </xf>
    <xf numFmtId="179" fontId="45" fillId="35" borderId="1" xfId="0" applyNumberFormat="1" applyFont="1" applyFill="1" applyBorder="1" applyAlignment="1">
      <alignment horizontal="center" vertical="center" wrapText="1"/>
    </xf>
    <xf numFmtId="0" fontId="45" fillId="35" borderId="7" xfId="0" applyFont="1" applyFill="1" applyBorder="1" applyAlignment="1">
      <alignment horizontal="center" vertical="center"/>
    </xf>
    <xf numFmtId="49" fontId="37" fillId="35" borderId="1" xfId="0" applyNumberFormat="1" applyFont="1" applyFill="1" applyBorder="1" applyAlignment="1">
      <alignment horizontal="center" vertical="center" wrapText="1"/>
    </xf>
    <xf numFmtId="0" fontId="38" fillId="35" borderId="6" xfId="0" applyFont="1" applyFill="1" applyBorder="1" applyAlignment="1">
      <alignment horizontal="center" vertical="center"/>
    </xf>
    <xf numFmtId="0" fontId="38" fillId="35" borderId="6" xfId="0" applyFont="1" applyFill="1" applyBorder="1" applyAlignment="1">
      <alignment horizontal="center" vertical="center" wrapText="1"/>
    </xf>
    <xf numFmtId="49" fontId="38" fillId="35" borderId="1" xfId="0" applyNumberFormat="1" applyFont="1" applyFill="1" applyBorder="1" applyAlignment="1">
      <alignment horizontal="center" vertical="center" wrapText="1"/>
    </xf>
    <xf numFmtId="179" fontId="38" fillId="35" borderId="1" xfId="0" applyNumberFormat="1" applyFont="1" applyFill="1" applyBorder="1" applyAlignment="1">
      <alignment horizontal="center" vertical="center" wrapText="1"/>
    </xf>
    <xf numFmtId="9" fontId="38" fillId="35" borderId="6" xfId="0" applyNumberFormat="1" applyFont="1" applyFill="1" applyBorder="1" applyAlignment="1">
      <alignment horizontal="center" vertical="center" wrapText="1"/>
    </xf>
    <xf numFmtId="0" fontId="38" fillId="35" borderId="2" xfId="0" applyFont="1" applyFill="1" applyBorder="1" applyAlignment="1">
      <alignment horizontal="center" vertical="center"/>
    </xf>
    <xf numFmtId="0" fontId="38" fillId="35" borderId="2" xfId="0" applyFont="1" applyFill="1" applyBorder="1" applyAlignment="1">
      <alignment horizontal="center" vertical="center" wrapText="1"/>
    </xf>
    <xf numFmtId="9" fontId="38" fillId="35" borderId="2" xfId="0" applyNumberFormat="1" applyFont="1" applyFill="1" applyBorder="1" applyAlignment="1">
      <alignment horizontal="center" vertical="center" wrapText="1"/>
    </xf>
    <xf numFmtId="0" fontId="46" fillId="34" borderId="1" xfId="0" applyFont="1" applyFill="1" applyBorder="1" applyAlignment="1">
      <alignment horizontal="center" vertical="center"/>
    </xf>
    <xf numFmtId="179" fontId="37" fillId="3" borderId="6" xfId="0" applyNumberFormat="1" applyFont="1" applyFill="1" applyBorder="1" applyAlignment="1">
      <alignment horizontal="center" vertical="center"/>
    </xf>
    <xf numFmtId="0" fontId="45" fillId="3" borderId="1" xfId="0" applyFont="1" applyFill="1" applyBorder="1" applyAlignment="1">
      <alignment horizontal="center" vertical="center"/>
    </xf>
    <xf numFmtId="179" fontId="45" fillId="3" borderId="1" xfId="0" applyNumberFormat="1" applyFont="1" applyFill="1" applyBorder="1" applyAlignment="1">
      <alignment horizontal="center" vertical="center"/>
    </xf>
    <xf numFmtId="179" fontId="47" fillId="3" borderId="21" xfId="0" applyNumberFormat="1" applyFont="1" applyFill="1" applyBorder="1" applyAlignment="1">
      <alignment horizontal="center" vertical="center"/>
    </xf>
    <xf numFmtId="0" fontId="37" fillId="3" borderId="13" xfId="0" applyFont="1" applyFill="1" applyBorder="1" applyAlignment="1">
      <alignment horizontal="center" vertical="center"/>
    </xf>
    <xf numFmtId="0" fontId="37" fillId="3" borderId="1" xfId="0" applyFont="1" applyFill="1" applyBorder="1" applyAlignment="1">
      <alignment horizontal="center" vertical="center"/>
    </xf>
    <xf numFmtId="179" fontId="37" fillId="35" borderId="6" xfId="0" applyNumberFormat="1" applyFont="1" applyFill="1" applyBorder="1" applyAlignment="1">
      <alignment horizontal="center" vertical="center"/>
    </xf>
    <xf numFmtId="0" fontId="45" fillId="35" borderId="1" xfId="0" applyFont="1" applyFill="1" applyBorder="1" applyAlignment="1">
      <alignment horizontal="center" vertical="center"/>
    </xf>
    <xf numFmtId="179" fontId="45" fillId="35" borderId="1" xfId="0" applyNumberFormat="1" applyFont="1" applyFill="1" applyBorder="1" applyAlignment="1">
      <alignment horizontal="center" vertical="center"/>
    </xf>
    <xf numFmtId="179" fontId="47" fillId="35" borderId="21" xfId="0" applyNumberFormat="1" applyFont="1" applyFill="1" applyBorder="1" applyAlignment="1">
      <alignment horizontal="center" vertical="center"/>
    </xf>
    <xf numFmtId="0" fontId="37" fillId="35" borderId="13" xfId="0" applyFont="1" applyFill="1" applyBorder="1" applyAlignment="1">
      <alignment horizontal="center" vertical="center"/>
    </xf>
    <xf numFmtId="0" fontId="37" fillId="35" borderId="1" xfId="0" applyFont="1" applyFill="1" applyBorder="1" applyAlignment="1">
      <alignment horizontal="center" vertical="center"/>
    </xf>
    <xf numFmtId="179" fontId="37" fillId="35" borderId="2" xfId="0" applyNumberFormat="1" applyFont="1" applyFill="1" applyBorder="1" applyAlignment="1">
      <alignment horizontal="center" vertical="center"/>
    </xf>
    <xf numFmtId="0" fontId="45" fillId="5" borderId="1" xfId="0" applyFont="1" applyFill="1" applyBorder="1" applyAlignment="1">
      <alignment horizontal="center" vertical="center"/>
    </xf>
    <xf numFmtId="179" fontId="47" fillId="35" borderId="11" xfId="0" applyNumberFormat="1" applyFont="1" applyFill="1" applyBorder="1" applyAlignment="1">
      <alignment horizontal="center" vertical="center"/>
    </xf>
    <xf numFmtId="0" fontId="37" fillId="35" borderId="22" xfId="0" applyFont="1" applyFill="1" applyBorder="1" applyAlignment="1">
      <alignment horizontal="center" vertical="center"/>
    </xf>
    <xf numFmtId="0" fontId="48" fillId="35" borderId="1" xfId="0" applyFont="1" applyFill="1" applyBorder="1" applyAlignment="1">
      <alignment horizontal="center" vertical="center"/>
    </xf>
    <xf numFmtId="179" fontId="47" fillId="35" borderId="12" xfId="0" applyNumberFormat="1" applyFont="1" applyFill="1" applyBorder="1" applyAlignment="1">
      <alignment horizontal="center" vertical="center"/>
    </xf>
    <xf numFmtId="0" fontId="37" fillId="35" borderId="14" xfId="0" applyFont="1" applyFill="1" applyBorder="1" applyAlignment="1">
      <alignment horizontal="center" vertical="center"/>
    </xf>
    <xf numFmtId="0" fontId="47" fillId="35" borderId="21" xfId="0" applyFont="1" applyFill="1" applyBorder="1" applyAlignment="1">
      <alignment horizontal="center" vertical="center"/>
    </xf>
    <xf numFmtId="0" fontId="47" fillId="35" borderId="11" xfId="0" applyFont="1" applyFill="1" applyBorder="1" applyAlignment="1">
      <alignment horizontal="center" vertical="center"/>
    </xf>
    <xf numFmtId="0" fontId="44" fillId="35" borderId="1" xfId="0" applyFont="1" applyFill="1" applyBorder="1" applyAlignment="1">
      <alignment horizontal="center" vertical="center"/>
    </xf>
    <xf numFmtId="0" fontId="47" fillId="35" borderId="12" xfId="0" applyFont="1" applyFill="1" applyBorder="1" applyAlignment="1">
      <alignment horizontal="center" vertical="center"/>
    </xf>
    <xf numFmtId="179" fontId="37" fillId="35" borderId="1" xfId="0" applyNumberFormat="1" applyFont="1" applyFill="1" applyBorder="1" applyAlignment="1">
      <alignment horizontal="center" vertical="center"/>
    </xf>
    <xf numFmtId="179" fontId="45" fillId="35" borderId="6" xfId="0" applyNumberFormat="1" applyFont="1" applyFill="1" applyBorder="1" applyAlignment="1">
      <alignment horizontal="center" vertical="center"/>
    </xf>
    <xf numFmtId="179" fontId="45" fillId="35" borderId="2" xfId="0" applyNumberFormat="1" applyFont="1" applyFill="1" applyBorder="1" applyAlignment="1">
      <alignment horizontal="center" vertical="center"/>
    </xf>
    <xf numFmtId="179" fontId="47" fillId="35" borderId="6" xfId="0" applyNumberFormat="1" applyFont="1" applyFill="1" applyBorder="1" applyAlignment="1">
      <alignment horizontal="center" vertical="center"/>
    </xf>
    <xf numFmtId="179" fontId="47" fillId="35" borderId="7" xfId="0" applyNumberFormat="1" applyFont="1" applyFill="1" applyBorder="1" applyAlignment="1">
      <alignment horizontal="center" vertical="center"/>
    </xf>
    <xf numFmtId="179" fontId="47" fillId="35" borderId="2" xfId="0" applyNumberFormat="1" applyFont="1" applyFill="1" applyBorder="1" applyAlignment="1">
      <alignment horizontal="center" vertical="center"/>
    </xf>
    <xf numFmtId="179" fontId="38" fillId="35" borderId="1" xfId="0" applyNumberFormat="1" applyFont="1" applyFill="1" applyBorder="1" applyAlignment="1">
      <alignment horizontal="center" vertical="center"/>
    </xf>
    <xf numFmtId="0" fontId="38" fillId="35" borderId="1" xfId="0" applyFont="1" applyFill="1" applyBorder="1" applyAlignment="1">
      <alignment horizontal="center" vertical="center"/>
    </xf>
    <xf numFmtId="179" fontId="38" fillId="35" borderId="6" xfId="0" applyNumberFormat="1" applyFont="1" applyFill="1" applyBorder="1" applyAlignment="1">
      <alignment horizontal="center" vertical="center"/>
    </xf>
    <xf numFmtId="179" fontId="38" fillId="35" borderId="2" xfId="0" applyNumberFormat="1" applyFont="1" applyFill="1" applyBorder="1" applyAlignment="1">
      <alignment horizontal="center" vertical="center"/>
    </xf>
    <xf numFmtId="183" fontId="45" fillId="3" borderId="1" xfId="0" applyNumberFormat="1" applyFont="1" applyFill="1" applyBorder="1" applyAlignment="1">
      <alignment horizontal="center" vertical="center"/>
    </xf>
    <xf numFmtId="183" fontId="45" fillId="35" borderId="1" xfId="0" applyNumberFormat="1" applyFont="1" applyFill="1" applyBorder="1" applyAlignment="1">
      <alignment horizontal="center" vertical="center"/>
    </xf>
    <xf numFmtId="183" fontId="38" fillId="35" borderId="1" xfId="0" applyNumberFormat="1" applyFont="1" applyFill="1" applyBorder="1" applyAlignment="1">
      <alignment horizontal="center" vertical="center"/>
    </xf>
    <xf numFmtId="0" fontId="45" fillId="35" borderId="1" xfId="0" applyFont="1" applyFill="1" applyBorder="1" applyAlignment="1">
      <alignment horizontal="center" vertical="center" wrapText="1"/>
    </xf>
    <xf numFmtId="9" fontId="37" fillId="35" borderId="1" xfId="0" applyNumberFormat="1" applyFont="1" applyFill="1" applyBorder="1" applyAlignment="1">
      <alignment horizontal="center" vertical="center" wrapText="1"/>
    </xf>
    <xf numFmtId="0" fontId="48" fillId="35" borderId="6" xfId="0" applyFont="1" applyFill="1" applyBorder="1" applyAlignment="1">
      <alignment horizontal="center" vertical="center"/>
    </xf>
    <xf numFmtId="0" fontId="48" fillId="35" borderId="2" xfId="0" applyFont="1" applyFill="1" applyBorder="1" applyAlignment="1">
      <alignment horizontal="center" vertical="center"/>
    </xf>
    <xf numFmtId="0" fontId="37" fillId="0" borderId="0" xfId="0" applyFont="1" applyFill="1" applyBorder="1" applyAlignment="1">
      <alignment horizontal="center" vertical="center" wrapText="1"/>
    </xf>
    <xf numFmtId="0" fontId="45" fillId="0" borderId="0" xfId="0" applyFont="1" applyFill="1" applyBorder="1" applyAlignment="1">
      <alignment horizontal="center" vertical="center"/>
    </xf>
    <xf numFmtId="0" fontId="49" fillId="0" borderId="0" xfId="0" applyFont="1" applyFill="1" applyBorder="1" applyAlignment="1">
      <alignment horizontal="center" vertical="center"/>
    </xf>
    <xf numFmtId="0" fontId="47" fillId="35" borderId="1" xfId="0" applyFont="1" applyFill="1" applyBorder="1" applyAlignment="1">
      <alignment horizontal="center" vertical="center"/>
    </xf>
    <xf numFmtId="0" fontId="50" fillId="3" borderId="0" xfId="102" applyFont="1" applyFill="1" applyBorder="1"/>
    <xf numFmtId="0" fontId="51" fillId="36" borderId="0" xfId="102" applyFont="1" applyFill="1" applyBorder="1"/>
    <xf numFmtId="0" fontId="52" fillId="3" borderId="0" xfId="102" applyFont="1" applyFill="1" applyBorder="1"/>
    <xf numFmtId="0" fontId="51" fillId="0" borderId="0" xfId="102" applyFont="1" applyFill="1" applyBorder="1"/>
    <xf numFmtId="0" fontId="51" fillId="4" borderId="0" xfId="102" applyFont="1" applyFill="1" applyBorder="1"/>
    <xf numFmtId="0" fontId="51" fillId="0" borderId="0" xfId="102" applyFont="1" applyFill="1" applyBorder="1" applyAlignment="1">
      <alignment horizontal="center" wrapText="1"/>
    </xf>
    <xf numFmtId="43" fontId="51" fillId="0" borderId="0" xfId="102" applyNumberFormat="1" applyFont="1" applyFill="1" applyBorder="1" applyAlignment="1">
      <alignment wrapText="1"/>
    </xf>
    <xf numFmtId="43" fontId="51" fillId="0" borderId="0" xfId="102" applyNumberFormat="1" applyFont="1" applyFill="1" applyBorder="1" applyAlignment="1">
      <alignment horizontal="center" wrapText="1"/>
    </xf>
    <xf numFmtId="0" fontId="51" fillId="0" borderId="0" xfId="102" applyFont="1" applyFill="1" applyBorder="1" applyAlignment="1">
      <alignment wrapText="1"/>
    </xf>
    <xf numFmtId="193" fontId="53" fillId="0" borderId="1" xfId="0" applyNumberFormat="1" applyFont="1" applyFill="1" applyBorder="1" applyAlignment="1">
      <alignment horizontal="center" vertical="center"/>
    </xf>
    <xf numFmtId="194" fontId="53" fillId="0" borderId="1" xfId="0" applyNumberFormat="1" applyFont="1" applyFill="1" applyBorder="1" applyAlignment="1">
      <alignment horizontal="center" vertical="center"/>
    </xf>
    <xf numFmtId="193" fontId="53" fillId="0" borderId="1" xfId="0" applyNumberFormat="1" applyFont="1" applyFill="1" applyBorder="1" applyAlignment="1">
      <alignment horizontal="left" vertical="center"/>
    </xf>
    <xf numFmtId="193" fontId="54" fillId="26" borderId="1" xfId="0" applyNumberFormat="1" applyFont="1" applyFill="1" applyBorder="1" applyAlignment="1">
      <alignment horizontal="center" vertical="center" wrapText="1"/>
    </xf>
    <xf numFmtId="193" fontId="50" fillId="26" borderId="1" xfId="0" applyNumberFormat="1" applyFont="1" applyFill="1" applyBorder="1" applyAlignment="1">
      <alignment horizontal="center" vertical="center" wrapText="1"/>
    </xf>
    <xf numFmtId="193" fontId="50" fillId="26" borderId="1" xfId="0" applyNumberFormat="1" applyFont="1" applyFill="1" applyBorder="1" applyAlignment="1">
      <alignment horizontal="center" vertical="center"/>
    </xf>
    <xf numFmtId="194" fontId="50" fillId="26" borderId="6" xfId="0" applyNumberFormat="1" applyFont="1" applyFill="1" applyBorder="1" applyAlignment="1">
      <alignment horizontal="center" vertical="center"/>
    </xf>
    <xf numFmtId="187" fontId="50" fillId="26" borderId="1" xfId="1" applyNumberFormat="1" applyFont="1" applyFill="1" applyBorder="1" applyAlignment="1">
      <alignment horizontal="center" vertical="center" wrapText="1"/>
    </xf>
    <xf numFmtId="194" fontId="50" fillId="26" borderId="2" xfId="0" applyNumberFormat="1" applyFont="1" applyFill="1" applyBorder="1" applyAlignment="1">
      <alignment horizontal="center" vertical="center"/>
    </xf>
    <xf numFmtId="193" fontId="50" fillId="3" borderId="1" xfId="0" applyNumberFormat="1" applyFont="1" applyFill="1" applyBorder="1" applyAlignment="1">
      <alignment horizontal="left" vertical="center"/>
    </xf>
    <xf numFmtId="193" fontId="50" fillId="3" borderId="1" xfId="0" applyNumberFormat="1" applyFont="1" applyFill="1" applyBorder="1" applyAlignment="1">
      <alignment vertical="center" wrapText="1"/>
    </xf>
    <xf numFmtId="193" fontId="50" fillId="3" borderId="1" xfId="0" applyNumberFormat="1" applyFont="1" applyFill="1" applyBorder="1" applyAlignment="1">
      <alignment horizontal="left" vertical="center" wrapText="1"/>
    </xf>
    <xf numFmtId="194" fontId="50" fillId="3" borderId="1" xfId="0" applyNumberFormat="1" applyFont="1" applyFill="1" applyBorder="1" applyAlignment="1">
      <alignment horizontal="center" vertical="center" wrapText="1"/>
    </xf>
    <xf numFmtId="193" fontId="50" fillId="3" borderId="1" xfId="0" applyNumberFormat="1" applyFont="1" applyFill="1" applyBorder="1" applyAlignment="1">
      <alignment horizontal="center" vertical="center" wrapText="1"/>
    </xf>
    <xf numFmtId="179" fontId="50" fillId="3" borderId="1" xfId="0" applyNumberFormat="1" applyFont="1" applyFill="1" applyBorder="1" applyAlignment="1">
      <alignment horizontal="center" vertical="center"/>
    </xf>
    <xf numFmtId="193" fontId="54" fillId="36" borderId="1" xfId="0" applyNumberFormat="1" applyFont="1" applyFill="1" applyBorder="1" applyAlignment="1">
      <alignment horizontal="center" vertical="center" wrapText="1"/>
    </xf>
    <xf numFmtId="193" fontId="54" fillId="36" borderId="3" xfId="0" applyNumberFormat="1" applyFont="1" applyFill="1" applyBorder="1" applyAlignment="1">
      <alignment vertical="center" wrapText="1"/>
    </xf>
    <xf numFmtId="193" fontId="54" fillId="36" borderId="3" xfId="0" applyNumberFormat="1" applyFont="1" applyFill="1" applyBorder="1" applyAlignment="1">
      <alignment horizontal="left" vertical="center" wrapText="1"/>
    </xf>
    <xf numFmtId="193" fontId="54" fillId="36" borderId="4" xfId="0" applyNumberFormat="1" applyFont="1" applyFill="1" applyBorder="1" applyAlignment="1">
      <alignment horizontal="left" vertical="center" wrapText="1"/>
    </xf>
    <xf numFmtId="194" fontId="54" fillId="36" borderId="1" xfId="0" applyNumberFormat="1" applyFont="1" applyFill="1" applyBorder="1" applyAlignment="1">
      <alignment horizontal="center" vertical="center" wrapText="1"/>
    </xf>
    <xf numFmtId="179" fontId="54" fillId="36" borderId="1" xfId="0" applyNumberFormat="1" applyFont="1" applyFill="1" applyBorder="1" applyAlignment="1">
      <alignment horizontal="center" vertical="center"/>
    </xf>
    <xf numFmtId="0" fontId="54" fillId="0" borderId="1" xfId="0" applyFont="1" applyFill="1" applyBorder="1" applyAlignment="1">
      <alignment horizontal="center" vertical="center"/>
    </xf>
    <xf numFmtId="0" fontId="54" fillId="0" borderId="1" xfId="0" applyFont="1" applyFill="1" applyBorder="1" applyAlignment="1">
      <alignment vertical="center" wrapText="1"/>
    </xf>
    <xf numFmtId="0" fontId="54" fillId="0" borderId="1" xfId="0" applyNumberFormat="1" applyFont="1" applyFill="1" applyBorder="1" applyAlignment="1">
      <alignment horizontal="center" vertical="center" wrapText="1"/>
    </xf>
    <xf numFmtId="0" fontId="54" fillId="0" borderId="1" xfId="0" applyFont="1" applyFill="1" applyBorder="1" applyAlignment="1">
      <alignment horizontal="left" vertical="center" wrapText="1"/>
    </xf>
    <xf numFmtId="194" fontId="54" fillId="0" borderId="1" xfId="0" applyNumberFormat="1" applyFont="1" applyFill="1" applyBorder="1" applyAlignment="1">
      <alignment horizontal="center" vertical="center" wrapText="1"/>
    </xf>
    <xf numFmtId="0" fontId="54" fillId="0" borderId="1" xfId="0" applyFont="1" applyFill="1" applyBorder="1" applyAlignment="1">
      <alignment horizontal="center" vertical="center" wrapText="1"/>
    </xf>
    <xf numFmtId="179" fontId="54" fillId="0" borderId="1" xfId="0" applyNumberFormat="1" applyFont="1" applyFill="1" applyBorder="1" applyAlignment="1">
      <alignment horizontal="center" vertical="center"/>
    </xf>
    <xf numFmtId="179" fontId="54" fillId="0" borderId="1" xfId="0" applyNumberFormat="1" applyFont="1" applyFill="1" applyBorder="1" applyAlignment="1">
      <alignment horizontal="center" vertical="center" wrapText="1"/>
    </xf>
    <xf numFmtId="193" fontId="50" fillId="3" borderId="1" xfId="0" applyNumberFormat="1" applyFont="1" applyFill="1" applyBorder="1" applyAlignment="1">
      <alignment vertical="center"/>
    </xf>
    <xf numFmtId="193" fontId="54" fillId="0" borderId="1" xfId="0" applyNumberFormat="1" applyFont="1" applyFill="1" applyBorder="1" applyAlignment="1">
      <alignment horizontal="left" vertical="center" wrapText="1"/>
    </xf>
    <xf numFmtId="193" fontId="54" fillId="0" borderId="1" xfId="0" applyNumberFormat="1" applyFont="1" applyFill="1" applyBorder="1" applyAlignment="1">
      <alignment horizontal="center" vertical="center" wrapText="1"/>
    </xf>
    <xf numFmtId="182" fontId="50" fillId="26" borderId="6" xfId="0" applyNumberFormat="1" applyFont="1" applyFill="1" applyBorder="1" applyAlignment="1">
      <alignment horizontal="center" vertical="center" wrapText="1"/>
    </xf>
    <xf numFmtId="182" fontId="50" fillId="26" borderId="2" xfId="0" applyNumberFormat="1" applyFont="1" applyFill="1" applyBorder="1" applyAlignment="1">
      <alignment horizontal="center" vertical="center" wrapText="1"/>
    </xf>
    <xf numFmtId="193" fontId="54" fillId="36" borderId="1" xfId="0" applyNumberFormat="1" applyFont="1" applyFill="1" applyBorder="1" applyAlignment="1">
      <alignment vertical="center" wrapText="1"/>
    </xf>
    <xf numFmtId="193" fontId="54" fillId="0" borderId="1" xfId="0" applyNumberFormat="1" applyFont="1" applyFill="1" applyBorder="1" applyAlignment="1">
      <alignment vertical="center" wrapText="1"/>
    </xf>
    <xf numFmtId="0" fontId="54" fillId="4" borderId="1" xfId="0" applyFont="1" applyFill="1" applyBorder="1" applyAlignment="1">
      <alignment horizontal="center" vertical="center"/>
    </xf>
    <xf numFmtId="0" fontId="50" fillId="4" borderId="1" xfId="0" applyFont="1" applyFill="1" applyBorder="1" applyAlignment="1">
      <alignment vertical="center" wrapText="1"/>
    </xf>
    <xf numFmtId="0" fontId="54" fillId="4" borderId="1" xfId="0" applyFont="1" applyFill="1" applyBorder="1" applyAlignment="1">
      <alignment horizontal="center" vertical="center" wrapText="1"/>
    </xf>
    <xf numFmtId="0" fontId="54" fillId="4" borderId="1" xfId="0" applyFont="1" applyFill="1" applyBorder="1" applyAlignment="1">
      <alignment horizontal="left" vertical="center" wrapText="1"/>
    </xf>
    <xf numFmtId="194" fontId="54" fillId="4" borderId="1" xfId="0" applyNumberFormat="1" applyFont="1" applyFill="1" applyBorder="1" applyAlignment="1">
      <alignment horizontal="center" vertical="center" wrapText="1"/>
    </xf>
    <xf numFmtId="179" fontId="54" fillId="4" borderId="1" xfId="0" applyNumberFormat="1" applyFont="1" applyFill="1" applyBorder="1" applyAlignment="1">
      <alignment horizontal="center" vertical="center"/>
    </xf>
    <xf numFmtId="179" fontId="55" fillId="0" borderId="0" xfId="50" applyNumberFormat="1" applyFont="1" applyFill="1" applyAlignment="1">
      <alignment horizontal="center"/>
    </xf>
    <xf numFmtId="179" fontId="34" fillId="37" borderId="0" xfId="50" applyNumberFormat="1" applyFont="1" applyFill="1"/>
    <xf numFmtId="179" fontId="34" fillId="0" borderId="0" xfId="50" applyNumberFormat="1" applyFont="1" applyFill="1"/>
    <xf numFmtId="179" fontId="34" fillId="36" borderId="0" xfId="50" applyNumberFormat="1" applyFont="1" applyFill="1"/>
    <xf numFmtId="179" fontId="34" fillId="38" borderId="0" xfId="50" applyNumberFormat="1" applyFont="1" applyFill="1"/>
    <xf numFmtId="179" fontId="34" fillId="4" borderId="0" xfId="50" applyNumberFormat="1" applyFont="1" applyFill="1"/>
    <xf numFmtId="179" fontId="34" fillId="0" borderId="0" xfId="50" applyNumberFormat="1" applyFont="1" applyFill="1" applyAlignment="1">
      <alignment horizontal="center" vertical="center" wrapText="1"/>
    </xf>
    <xf numFmtId="179" fontId="34" fillId="0" borderId="0" xfId="50" applyNumberFormat="1" applyFont="1" applyFill="1" applyAlignment="1">
      <alignment horizontal="right"/>
    </xf>
    <xf numFmtId="179" fontId="34" fillId="0" borderId="0" xfId="50" applyNumberFormat="1" applyFont="1" applyFill="1" applyAlignment="1">
      <alignment horizontal="center"/>
    </xf>
    <xf numFmtId="179" fontId="34" fillId="0" borderId="0" xfId="50" applyNumberFormat="1" applyFont="1" applyFill="1" applyAlignment="1">
      <alignment horizontal="left"/>
    </xf>
    <xf numFmtId="0" fontId="34" fillId="0" borderId="1" xfId="0" applyFont="1" applyFill="1" applyBorder="1" applyAlignment="1">
      <alignment horizontal="center" vertical="center"/>
    </xf>
    <xf numFmtId="0" fontId="34" fillId="0" borderId="1" xfId="0" applyFont="1" applyFill="1" applyBorder="1" applyAlignment="1">
      <alignment horizontal="center" vertical="center" wrapText="1"/>
    </xf>
    <xf numFmtId="0" fontId="56" fillId="0" borderId="1" xfId="6" applyFont="1" applyFill="1" applyBorder="1" applyAlignment="1">
      <alignment horizontal="right" vertical="center"/>
    </xf>
    <xf numFmtId="0" fontId="34" fillId="0" borderId="0" xfId="0" applyFont="1" applyFill="1" applyAlignment="1">
      <alignment horizontal="right" vertical="center" wrapText="1"/>
    </xf>
    <xf numFmtId="0" fontId="34" fillId="0" borderId="0" xfId="0" applyFont="1" applyFill="1" applyAlignment="1">
      <alignment horizontal="center" vertical="center" wrapText="1"/>
    </xf>
    <xf numFmtId="0" fontId="34" fillId="0" borderId="6" xfId="0" applyFont="1" applyFill="1" applyBorder="1" applyAlignment="1">
      <alignment horizontal="center" vertical="center"/>
    </xf>
    <xf numFmtId="183" fontId="34" fillId="0" borderId="6" xfId="0" applyNumberFormat="1" applyFont="1" applyFill="1" applyBorder="1" applyAlignment="1">
      <alignment horizontal="center" vertical="center" wrapText="1"/>
    </xf>
    <xf numFmtId="0" fontId="56" fillId="0" borderId="6" xfId="6" applyFont="1" applyFill="1" applyBorder="1" applyAlignment="1">
      <alignment horizontal="right" vertical="center"/>
    </xf>
    <xf numFmtId="0" fontId="57" fillId="26" borderId="1" xfId="0" applyFont="1" applyFill="1" applyBorder="1" applyAlignment="1">
      <alignment horizontal="center" vertical="center" wrapText="1"/>
    </xf>
    <xf numFmtId="0" fontId="57" fillId="26" borderId="1" xfId="0" applyFont="1" applyFill="1" applyBorder="1" applyAlignment="1">
      <alignment horizontal="right" vertical="center" wrapText="1"/>
    </xf>
    <xf numFmtId="0" fontId="57" fillId="26" borderId="6" xfId="0" applyFont="1" applyFill="1" applyBorder="1" applyAlignment="1">
      <alignment horizontal="right" vertical="center" wrapText="1"/>
    </xf>
    <xf numFmtId="179" fontId="55" fillId="26" borderId="1" xfId="63" applyNumberFormat="1" applyFont="1" applyFill="1" applyBorder="1" applyAlignment="1">
      <alignment horizontal="center" vertical="center" wrapText="1"/>
    </xf>
    <xf numFmtId="179" fontId="55" fillId="26" borderId="7" xfId="63" applyNumberFormat="1" applyFont="1" applyFill="1" applyBorder="1" applyAlignment="1">
      <alignment horizontal="center" vertical="center" wrapText="1"/>
    </xf>
    <xf numFmtId="179" fontId="55" fillId="26" borderId="2" xfId="63" applyNumberFormat="1" applyFont="1" applyFill="1" applyBorder="1" applyAlignment="1">
      <alignment horizontal="center" vertical="center" wrapText="1"/>
    </xf>
    <xf numFmtId="180" fontId="34" fillId="37" borderId="1" xfId="63" applyNumberFormat="1" applyFont="1" applyFill="1" applyBorder="1" applyAlignment="1">
      <alignment horizontal="center" vertical="center" wrapText="1"/>
    </xf>
    <xf numFmtId="179" fontId="34" fillId="37" borderId="1" xfId="63" applyNumberFormat="1" applyFont="1" applyFill="1" applyBorder="1" applyAlignment="1">
      <alignment horizontal="center" vertical="center" wrapText="1"/>
    </xf>
    <xf numFmtId="179" fontId="34" fillId="37" borderId="1" xfId="63" applyNumberFormat="1" applyFont="1" applyFill="1" applyBorder="1" applyAlignment="1">
      <alignment horizontal="right" vertical="center" wrapText="1"/>
    </xf>
    <xf numFmtId="179" fontId="34" fillId="0" borderId="1" xfId="63" applyNumberFormat="1" applyFont="1" applyFill="1" applyBorder="1" applyAlignment="1">
      <alignment horizontal="center" vertical="center" wrapText="1"/>
    </xf>
    <xf numFmtId="179" fontId="34" fillId="0" borderId="1" xfId="63" applyNumberFormat="1" applyFont="1" applyFill="1" applyBorder="1" applyAlignment="1">
      <alignment horizontal="right" vertical="center" wrapText="1"/>
    </xf>
    <xf numFmtId="179" fontId="34" fillId="36" borderId="1" xfId="63" applyNumberFormat="1" applyFont="1" applyFill="1" applyBorder="1" applyAlignment="1">
      <alignment horizontal="center" vertical="center" wrapText="1"/>
    </xf>
    <xf numFmtId="179" fontId="34" fillId="36" borderId="1" xfId="63" applyNumberFormat="1" applyFont="1" applyFill="1" applyBorder="1" applyAlignment="1">
      <alignment horizontal="right" vertical="center" wrapText="1"/>
    </xf>
    <xf numFmtId="179" fontId="34" fillId="0" borderId="1" xfId="63" applyNumberFormat="1" applyFont="1" applyFill="1" applyBorder="1" applyAlignment="1" applyProtection="1">
      <alignment horizontal="center" vertical="center" wrapText="1"/>
    </xf>
    <xf numFmtId="179" fontId="34" fillId="0" borderId="1" xfId="63"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wrapText="1"/>
    </xf>
    <xf numFmtId="179" fontId="34" fillId="38" borderId="1" xfId="63" applyNumberFormat="1" applyFont="1" applyFill="1" applyBorder="1" applyAlignment="1">
      <alignment horizontal="center" vertical="center" wrapText="1"/>
    </xf>
    <xf numFmtId="179" fontId="34" fillId="38" borderId="1" xfId="63" applyNumberFormat="1" applyFont="1" applyFill="1" applyBorder="1" applyAlignment="1" applyProtection="1">
      <alignment horizontal="center" vertical="center" wrapText="1"/>
    </xf>
    <xf numFmtId="179" fontId="34" fillId="38" borderId="1" xfId="63" applyNumberFormat="1" applyFont="1" applyFill="1" applyBorder="1" applyAlignment="1">
      <alignment horizontal="right" vertical="center" wrapText="1"/>
    </xf>
    <xf numFmtId="176" fontId="58" fillId="0" borderId="1" xfId="0" applyNumberFormat="1" applyFont="1" applyFill="1" applyBorder="1" applyAlignment="1" applyProtection="1">
      <alignment horizontal="center" vertical="center" wrapText="1"/>
      <protection locked="0"/>
    </xf>
    <xf numFmtId="179" fontId="34" fillId="38" borderId="1" xfId="63" applyNumberFormat="1" applyFont="1" applyFill="1" applyBorder="1" applyAlignment="1" applyProtection="1">
      <alignment horizontal="right" vertical="center" wrapText="1"/>
    </xf>
    <xf numFmtId="0" fontId="34" fillId="0" borderId="0" xfId="0" applyFont="1" applyFill="1" applyAlignment="1">
      <alignment horizontal="left" vertical="center" wrapText="1"/>
    </xf>
    <xf numFmtId="0" fontId="59" fillId="26" borderId="6" xfId="0" applyFont="1" applyFill="1" applyBorder="1" applyAlignment="1">
      <alignment horizontal="left" vertical="center" wrapText="1"/>
    </xf>
    <xf numFmtId="0" fontId="57" fillId="26" borderId="6" xfId="0" applyFont="1" applyFill="1" applyBorder="1" applyAlignment="1">
      <alignment horizontal="center" vertical="center" wrapText="1"/>
    </xf>
    <xf numFmtId="179" fontId="55" fillId="26" borderId="1" xfId="63" applyNumberFormat="1" applyFont="1" applyFill="1" applyBorder="1" applyAlignment="1">
      <alignment horizontal="left" vertical="center" wrapText="1"/>
    </xf>
    <xf numFmtId="179" fontId="55" fillId="26" borderId="6" xfId="63" applyNumberFormat="1" applyFont="1" applyFill="1" applyBorder="1" applyAlignment="1">
      <alignment horizontal="center" vertical="center" wrapText="1"/>
    </xf>
    <xf numFmtId="179" fontId="34" fillId="37" borderId="1" xfId="63" applyNumberFormat="1" applyFont="1" applyFill="1" applyBorder="1" applyAlignment="1">
      <alignment horizontal="left" vertical="center" wrapText="1"/>
    </xf>
    <xf numFmtId="179" fontId="34" fillId="0" borderId="1" xfId="63" applyNumberFormat="1" applyFont="1" applyFill="1" applyBorder="1" applyAlignment="1">
      <alignment horizontal="left" vertical="center" wrapText="1"/>
    </xf>
    <xf numFmtId="179" fontId="34" fillId="36" borderId="1" xfId="63" applyNumberFormat="1" applyFont="1" applyFill="1" applyBorder="1" applyAlignment="1">
      <alignment horizontal="left" vertical="center" wrapText="1"/>
    </xf>
    <xf numFmtId="179" fontId="34" fillId="0" borderId="1" xfId="63" applyNumberFormat="1" applyFont="1" applyFill="1" applyBorder="1" applyAlignment="1">
      <alignment horizontal="left" vertical="top" wrapText="1"/>
    </xf>
    <xf numFmtId="179" fontId="34" fillId="0" borderId="6" xfId="63" applyNumberFormat="1" applyFont="1" applyFill="1" applyBorder="1" applyAlignment="1">
      <alignment horizontal="center" vertical="center" wrapText="1"/>
    </xf>
    <xf numFmtId="179" fontId="34" fillId="0" borderId="2" xfId="63" applyNumberFormat="1" applyFont="1" applyFill="1" applyBorder="1" applyAlignment="1">
      <alignment horizontal="center" vertical="center" wrapText="1"/>
    </xf>
    <xf numFmtId="178" fontId="34" fillId="0" borderId="1" xfId="63" applyNumberFormat="1" applyFont="1" applyFill="1" applyBorder="1" applyAlignment="1">
      <alignment horizontal="left" vertical="center" wrapText="1"/>
    </xf>
    <xf numFmtId="180" fontId="34" fillId="0" borderId="1" xfId="63" applyNumberFormat="1" applyFont="1" applyFill="1" applyBorder="1" applyAlignment="1">
      <alignment horizontal="left" vertical="center" wrapText="1"/>
    </xf>
    <xf numFmtId="179" fontId="34" fillId="38" borderId="1" xfId="63" applyNumberFormat="1" applyFont="1" applyFill="1" applyBorder="1" applyAlignment="1">
      <alignment horizontal="left" vertical="center" wrapText="1"/>
    </xf>
    <xf numFmtId="179" fontId="34" fillId="0" borderId="0" xfId="50" applyNumberFormat="1" applyFont="1" applyFill="1" applyAlignment="1"/>
    <xf numFmtId="179" fontId="34" fillId="0" borderId="0" xfId="50" applyNumberFormat="1" applyFont="1" applyFill="1" applyAlignment="1">
      <alignment horizontal="center" vertical="center"/>
    </xf>
    <xf numFmtId="0" fontId="34" fillId="0" borderId="1" xfId="0" applyNumberFormat="1" applyFont="1" applyFill="1" applyBorder="1" applyAlignment="1" applyProtection="1">
      <alignment horizontal="center" vertical="center" wrapText="1"/>
      <protection locked="0"/>
    </xf>
    <xf numFmtId="180" fontId="34" fillId="0" borderId="1" xfId="63" applyNumberFormat="1" applyFont="1" applyFill="1" applyBorder="1" applyAlignment="1" applyProtection="1">
      <alignment horizontal="center" vertical="center" wrapText="1"/>
      <protection locked="0"/>
    </xf>
    <xf numFmtId="179" fontId="34" fillId="36" borderId="0" xfId="50" applyNumberFormat="1" applyFont="1" applyFill="1" applyAlignment="1">
      <alignment vertical="center"/>
    </xf>
    <xf numFmtId="179" fontId="34" fillId="36" borderId="0" xfId="50" applyNumberFormat="1" applyFont="1" applyFill="1" applyAlignment="1">
      <alignment horizontal="center" vertical="center"/>
    </xf>
    <xf numFmtId="176" fontId="34" fillId="0" borderId="1" xfId="0" applyNumberFormat="1" applyFont="1" applyFill="1" applyBorder="1" applyAlignment="1" applyProtection="1">
      <alignment horizontal="center" vertical="center" wrapText="1"/>
      <protection locked="0"/>
    </xf>
    <xf numFmtId="179" fontId="34" fillId="0" borderId="3" xfId="63" applyNumberFormat="1" applyFont="1" applyFill="1" applyBorder="1" applyAlignment="1" applyProtection="1">
      <alignment horizontal="center" vertical="center" wrapText="1"/>
      <protection locked="0"/>
    </xf>
    <xf numFmtId="179" fontId="34" fillId="0" borderId="3" xfId="63" applyNumberFormat="1" applyFont="1" applyFill="1" applyBorder="1" applyAlignment="1" applyProtection="1">
      <alignment horizontal="center" vertical="center" wrapText="1"/>
    </xf>
    <xf numFmtId="179" fontId="60" fillId="0" borderId="1" xfId="63" applyNumberFormat="1" applyFont="1" applyFill="1" applyBorder="1" applyAlignment="1">
      <alignment horizontal="center" vertical="center" wrapText="1"/>
    </xf>
    <xf numFmtId="179" fontId="61" fillId="0" borderId="1" xfId="63" applyNumberFormat="1" applyFont="1" applyFill="1" applyBorder="1" applyAlignment="1">
      <alignment horizontal="left" vertical="center" wrapText="1"/>
    </xf>
    <xf numFmtId="179" fontId="34" fillId="0" borderId="1" xfId="50" applyNumberFormat="1" applyFont="1" applyFill="1" applyBorder="1" applyAlignment="1">
      <alignment horizontal="center" vertical="center" wrapText="1"/>
    </xf>
    <xf numFmtId="179" fontId="34" fillId="0" borderId="1" xfId="50" applyNumberFormat="1" applyFont="1" applyFill="1" applyBorder="1" applyAlignment="1" applyProtection="1">
      <alignment horizontal="center" vertical="center" wrapText="1"/>
      <protection locked="0"/>
    </xf>
    <xf numFmtId="180" fontId="34" fillId="37" borderId="1" xfId="63" applyNumberFormat="1" applyFont="1" applyFill="1" applyBorder="1" applyAlignment="1">
      <alignment horizontal="right" vertical="center" wrapText="1"/>
    </xf>
    <xf numFmtId="180" fontId="55" fillId="4" borderId="1" xfId="63" applyNumberFormat="1" applyFont="1" applyFill="1" applyBorder="1" applyAlignment="1">
      <alignment horizontal="center" vertical="center" wrapText="1"/>
    </xf>
    <xf numFmtId="179" fontId="55" fillId="4" borderId="1" xfId="63" applyNumberFormat="1" applyFont="1" applyFill="1" applyBorder="1" applyAlignment="1">
      <alignment horizontal="center" vertical="center" wrapText="1"/>
    </xf>
    <xf numFmtId="179" fontId="55" fillId="4" borderId="1" xfId="63" applyNumberFormat="1" applyFont="1" applyFill="1" applyBorder="1" applyAlignment="1">
      <alignment horizontal="right" vertical="center" wrapText="1"/>
    </xf>
    <xf numFmtId="179" fontId="61" fillId="36" borderId="1" xfId="63" applyNumberFormat="1" applyFont="1" applyFill="1" applyBorder="1" applyAlignment="1">
      <alignment horizontal="left" vertical="center" wrapText="1"/>
    </xf>
    <xf numFmtId="179" fontId="34" fillId="4" borderId="1" xfId="63" applyNumberFormat="1" applyFont="1" applyFill="1" applyBorder="1" applyAlignment="1">
      <alignment horizontal="left" vertical="center" wrapText="1"/>
    </xf>
    <xf numFmtId="179" fontId="34" fillId="0" borderId="0" xfId="50" applyNumberFormat="1" applyFont="1"/>
    <xf numFmtId="179" fontId="34" fillId="0" borderId="0" xfId="50" applyNumberFormat="1" applyFont="1" applyAlignment="1">
      <alignment vertical="center"/>
    </xf>
    <xf numFmtId="179" fontId="34" fillId="0" borderId="0" xfId="50" applyNumberFormat="1" applyFont="1" applyAlignment="1">
      <alignment horizontal="center" vertical="center"/>
    </xf>
    <xf numFmtId="179" fontId="55" fillId="0" borderId="0" xfId="50" applyNumberFormat="1" applyFont="1"/>
    <xf numFmtId="179" fontId="34" fillId="33" borderId="0" xfId="50" applyNumberFormat="1" applyFont="1" applyFill="1"/>
    <xf numFmtId="179" fontId="61" fillId="0" borderId="0" xfId="50" applyNumberFormat="1" applyFont="1" applyFill="1"/>
    <xf numFmtId="179" fontId="34" fillId="39" borderId="0" xfId="50" applyNumberFormat="1" applyFont="1" applyFill="1"/>
    <xf numFmtId="179" fontId="34" fillId="0" borderId="0" xfId="50" applyNumberFormat="1" applyFont="1" applyAlignment="1">
      <alignment horizontal="center" vertical="center" wrapText="1"/>
    </xf>
    <xf numFmtId="179" fontId="34" fillId="6" borderId="0" xfId="50" applyNumberFormat="1" applyFont="1" applyFill="1"/>
    <xf numFmtId="0" fontId="34" fillId="11" borderId="1" xfId="0" applyFont="1" applyFill="1" applyBorder="1" applyAlignment="1">
      <alignment horizontal="center" vertical="center"/>
    </xf>
    <xf numFmtId="0" fontId="34" fillId="11" borderId="1" xfId="0" applyFont="1" applyFill="1" applyBorder="1" applyAlignment="1">
      <alignment horizontal="center" vertical="center" wrapText="1"/>
    </xf>
    <xf numFmtId="0" fontId="56" fillId="0" borderId="1" xfId="6" applyFont="1" applyBorder="1" applyAlignment="1">
      <alignment horizontal="center" vertical="center"/>
    </xf>
    <xf numFmtId="0" fontId="34" fillId="0" borderId="0" xfId="0" applyFont="1" applyAlignment="1">
      <alignment horizontal="center" vertical="center" wrapText="1"/>
    </xf>
    <xf numFmtId="0" fontId="34" fillId="11" borderId="6" xfId="0" applyFont="1" applyFill="1" applyBorder="1" applyAlignment="1">
      <alignment horizontal="center" vertical="center"/>
    </xf>
    <xf numFmtId="183" fontId="34" fillId="11" borderId="6" xfId="0" applyNumberFormat="1" applyFont="1" applyFill="1" applyBorder="1" applyAlignment="1">
      <alignment horizontal="center" vertical="center" wrapText="1"/>
    </xf>
    <xf numFmtId="0" fontId="56" fillId="0" borderId="6" xfId="6" applyFont="1" applyBorder="1" applyAlignment="1">
      <alignment horizontal="center" vertical="center"/>
    </xf>
    <xf numFmtId="179" fontId="34" fillId="0" borderId="0" xfId="0" applyNumberFormat="1" applyFont="1" applyAlignment="1">
      <alignment horizontal="center" vertical="center" wrapText="1"/>
    </xf>
    <xf numFmtId="0" fontId="55" fillId="28" borderId="1" xfId="0" applyFont="1" applyFill="1" applyBorder="1" applyAlignment="1">
      <alignment horizontal="center" vertical="center" wrapText="1"/>
    </xf>
    <xf numFmtId="179" fontId="34" fillId="15" borderId="1" xfId="63" applyNumberFormat="1" applyFont="1" applyFill="1" applyBorder="1" applyAlignment="1">
      <alignment horizontal="center" vertical="center" wrapText="1"/>
    </xf>
    <xf numFmtId="179" fontId="34" fillId="40" borderId="1" xfId="63" applyNumberFormat="1" applyFont="1" applyFill="1" applyBorder="1" applyAlignment="1">
      <alignment horizontal="center" wrapText="1"/>
    </xf>
    <xf numFmtId="179" fontId="34" fillId="15" borderId="1" xfId="50" applyNumberFormat="1" applyFont="1" applyFill="1" applyBorder="1" applyAlignment="1">
      <alignment horizontal="center" vertical="center"/>
    </xf>
    <xf numFmtId="179" fontId="55" fillId="15" borderId="1" xfId="63" applyNumberFormat="1" applyFont="1" applyFill="1" applyBorder="1" applyAlignment="1">
      <alignment horizontal="center" vertical="center" wrapText="1"/>
    </xf>
    <xf numFmtId="195" fontId="55" fillId="3" borderId="1" xfId="63" applyNumberFormat="1" applyFont="1" applyFill="1" applyBorder="1" applyAlignment="1">
      <alignment horizontal="center" vertical="center" wrapText="1"/>
    </xf>
    <xf numFmtId="179" fontId="34" fillId="3" borderId="1" xfId="63" applyNumberFormat="1" applyFont="1" applyFill="1" applyBorder="1" applyAlignment="1">
      <alignment horizontal="center" vertical="center" wrapText="1"/>
    </xf>
    <xf numFmtId="179" fontId="55" fillId="0" borderId="1" xfId="63" applyNumberFormat="1" applyFont="1" applyFill="1" applyBorder="1" applyAlignment="1">
      <alignment horizontal="center" vertical="center" wrapText="1"/>
    </xf>
    <xf numFmtId="180" fontId="55" fillId="8" borderId="1" xfId="63" applyNumberFormat="1" applyFont="1" applyFill="1" applyBorder="1" applyAlignment="1">
      <alignment horizontal="center" vertical="center" wrapText="1"/>
    </xf>
    <xf numFmtId="179" fontId="55" fillId="8" borderId="1" xfId="63" applyNumberFormat="1" applyFont="1" applyFill="1" applyBorder="1" applyAlignment="1">
      <alignment horizontal="center" vertical="center" wrapText="1"/>
    </xf>
    <xf numFmtId="179" fontId="55" fillId="0" borderId="1" xfId="63" applyNumberFormat="1" applyFont="1" applyFill="1" applyBorder="1" applyAlignment="1">
      <alignment horizontal="left" vertical="center" wrapText="1"/>
    </xf>
    <xf numFmtId="179" fontId="55" fillId="29" borderId="1" xfId="63" applyNumberFormat="1" applyFont="1" applyFill="1" applyBorder="1" applyAlignment="1">
      <alignment horizontal="center" vertical="center" wrapText="1"/>
    </xf>
    <xf numFmtId="179" fontId="34" fillId="0" borderId="1" xfId="1" applyNumberFormat="1" applyFont="1" applyFill="1" applyBorder="1" applyAlignment="1">
      <alignment horizontal="center" vertical="center" wrapText="1"/>
    </xf>
    <xf numFmtId="179" fontId="34" fillId="36" borderId="1" xfId="63" applyNumberFormat="1" applyFont="1" applyFill="1" applyBorder="1" applyAlignment="1" applyProtection="1">
      <alignment horizontal="center" vertical="center" wrapText="1"/>
    </xf>
    <xf numFmtId="179" fontId="34" fillId="36" borderId="1" xfId="1" applyNumberFormat="1" applyFont="1" applyFill="1" applyBorder="1" applyAlignment="1">
      <alignment horizontal="center" vertical="center" wrapText="1"/>
    </xf>
    <xf numFmtId="179" fontId="34" fillId="10" borderId="1" xfId="63" applyNumberFormat="1" applyFont="1" applyFill="1" applyBorder="1" applyAlignment="1">
      <alignment horizontal="center" wrapText="1"/>
    </xf>
    <xf numFmtId="195" fontId="34" fillId="3" borderId="1" xfId="63" applyNumberFormat="1" applyFont="1" applyFill="1" applyBorder="1" applyAlignment="1">
      <alignment horizontal="center" vertical="center" wrapText="1"/>
    </xf>
    <xf numFmtId="0" fontId="55" fillId="0" borderId="1" xfId="0" applyFont="1" applyFill="1" applyBorder="1" applyAlignment="1">
      <alignment horizontal="center" vertical="center" wrapText="1"/>
    </xf>
    <xf numFmtId="179" fontId="34" fillId="0" borderId="0" xfId="50" applyNumberFormat="1" applyFont="1" applyFill="1" applyAlignment="1">
      <alignment vertical="center"/>
    </xf>
    <xf numFmtId="179" fontId="55" fillId="0" borderId="0" xfId="50" applyNumberFormat="1" applyFont="1" applyFill="1"/>
    <xf numFmtId="179" fontId="55" fillId="0" borderId="0" xfId="50" applyNumberFormat="1" applyFont="1" applyFill="1" applyAlignment="1">
      <alignment horizontal="center" vertical="center"/>
    </xf>
    <xf numFmtId="179" fontId="34" fillId="29" borderId="1" xfId="63" applyNumberFormat="1" applyFont="1" applyFill="1" applyBorder="1" applyAlignment="1">
      <alignment horizontal="center" vertical="center" wrapText="1"/>
    </xf>
    <xf numFmtId="179" fontId="61" fillId="0" borderId="1" xfId="63" applyNumberFormat="1" applyFont="1" applyFill="1" applyBorder="1" applyAlignment="1">
      <alignment horizontal="center" vertical="center" wrapText="1"/>
    </xf>
    <xf numFmtId="176" fontId="61" fillId="0" borderId="1" xfId="0" applyNumberFormat="1" applyFont="1" applyFill="1" applyBorder="1" applyAlignment="1" applyProtection="1">
      <alignment horizontal="center" vertical="center" wrapText="1"/>
      <protection locked="0"/>
    </xf>
    <xf numFmtId="179" fontId="61" fillId="0" borderId="1" xfId="1" applyNumberFormat="1" applyFont="1" applyFill="1" applyBorder="1" applyAlignment="1">
      <alignment horizontal="center" vertical="center" wrapText="1"/>
    </xf>
    <xf numFmtId="179" fontId="34" fillId="41" borderId="1" xfId="1" applyNumberFormat="1" applyFont="1" applyFill="1" applyBorder="1" applyAlignment="1">
      <alignment horizontal="center" vertical="center" wrapText="1"/>
    </xf>
    <xf numFmtId="179" fontId="55" fillId="0" borderId="1" xfId="1" applyNumberFormat="1" applyFont="1" applyFill="1" applyBorder="1" applyAlignment="1">
      <alignment horizontal="center" vertical="center" wrapText="1"/>
    </xf>
    <xf numFmtId="179" fontId="34" fillId="39" borderId="1" xfId="63" applyNumberFormat="1" applyFont="1" applyFill="1" applyBorder="1" applyAlignment="1">
      <alignment horizontal="center" vertical="center" wrapText="1"/>
    </xf>
    <xf numFmtId="179" fontId="34" fillId="39" borderId="1" xfId="63" applyNumberFormat="1" applyFont="1" applyFill="1" applyBorder="1" applyAlignment="1">
      <alignment horizontal="left" vertical="center" wrapText="1"/>
    </xf>
    <xf numFmtId="179" fontId="61" fillId="39" borderId="1" xfId="63" applyNumberFormat="1" applyFont="1" applyFill="1" applyBorder="1" applyAlignment="1">
      <alignment horizontal="left" vertical="center" wrapText="1"/>
    </xf>
    <xf numFmtId="180" fontId="55" fillId="10" borderId="1" xfId="63" applyNumberFormat="1" applyFont="1" applyFill="1" applyBorder="1" applyAlignment="1">
      <alignment horizontal="center" vertical="center" wrapText="1"/>
    </xf>
    <xf numFmtId="179" fontId="55" fillId="11" borderId="1" xfId="63" applyNumberFormat="1" applyFont="1" applyFill="1" applyBorder="1" applyAlignment="1">
      <alignment horizontal="center" vertical="center" wrapText="1"/>
    </xf>
    <xf numFmtId="179" fontId="55" fillId="41" borderId="1" xfId="50" applyNumberFormat="1" applyFont="1" applyFill="1" applyBorder="1" applyAlignment="1">
      <alignment horizontal="center" vertical="center"/>
    </xf>
    <xf numFmtId="179" fontId="55" fillId="41" borderId="1" xfId="50" applyNumberFormat="1" applyFont="1" applyFill="1" applyBorder="1" applyAlignment="1">
      <alignment horizontal="left" vertical="center"/>
    </xf>
    <xf numFmtId="180" fontId="55" fillId="0" borderId="1" xfId="50" applyNumberFormat="1" applyFont="1" applyBorder="1" applyAlignment="1">
      <alignment horizontal="center" vertical="center"/>
    </xf>
    <xf numFmtId="179" fontId="55" fillId="0" borderId="1" xfId="50" applyNumberFormat="1" applyFont="1" applyFill="1" applyBorder="1" applyAlignment="1">
      <alignment horizontal="left" vertical="center"/>
    </xf>
    <xf numFmtId="179" fontId="55" fillId="0" borderId="1" xfId="50" applyNumberFormat="1" applyFont="1" applyBorder="1" applyAlignment="1">
      <alignment horizontal="left" vertical="center"/>
    </xf>
    <xf numFmtId="179" fontId="55" fillId="0" borderId="1" xfId="50" applyNumberFormat="1" applyFont="1" applyBorder="1" applyAlignment="1">
      <alignment vertical="center"/>
    </xf>
    <xf numFmtId="179" fontId="55" fillId="0" borderId="3" xfId="50" applyNumberFormat="1" applyFont="1" applyBorder="1" applyAlignment="1">
      <alignment horizontal="left" vertical="center"/>
    </xf>
    <xf numFmtId="179" fontId="55" fillId="0" borderId="4" xfId="50" applyNumberFormat="1" applyFont="1" applyBorder="1" applyAlignment="1">
      <alignment horizontal="left" vertical="center"/>
    </xf>
    <xf numFmtId="179" fontId="55" fillId="0" borderId="1" xfId="50" applyNumberFormat="1" applyFont="1" applyBorder="1" applyAlignment="1">
      <alignment horizontal="center" vertical="center"/>
    </xf>
    <xf numFmtId="179" fontId="34" fillId="0" borderId="1" xfId="50" applyNumberFormat="1" applyFont="1" applyBorder="1"/>
    <xf numFmtId="179" fontId="62" fillId="0" borderId="1" xfId="50" applyNumberFormat="1" applyFont="1" applyBorder="1" applyAlignment="1">
      <alignment vertical="center" wrapText="1"/>
    </xf>
    <xf numFmtId="179" fontId="34" fillId="0" borderId="0" xfId="50" applyNumberFormat="1" applyFont="1" applyAlignment="1">
      <alignment wrapText="1"/>
    </xf>
    <xf numFmtId="179" fontId="62" fillId="0" borderId="1" xfId="50" applyNumberFormat="1" applyFont="1" applyBorder="1" applyAlignment="1">
      <alignment vertical="center"/>
    </xf>
    <xf numFmtId="179" fontId="34" fillId="0" borderId="1" xfId="50" applyNumberFormat="1" applyFont="1" applyBorder="1" applyAlignment="1">
      <alignment wrapText="1"/>
    </xf>
    <xf numFmtId="179" fontId="34" fillId="0" borderId="0" xfId="50" applyNumberFormat="1" applyFont="1" applyAlignment="1"/>
    <xf numFmtId="179" fontId="55" fillId="0" borderId="1" xfId="63" applyNumberFormat="1" applyFont="1" applyFill="1" applyBorder="1" applyAlignment="1">
      <alignment horizontal="right" vertical="center" wrapText="1"/>
    </xf>
    <xf numFmtId="179" fontId="55" fillId="3" borderId="0" xfId="50" applyNumberFormat="1" applyFont="1" applyFill="1" applyAlignment="1">
      <alignment horizontal="center" vertical="center" wrapText="1"/>
    </xf>
    <xf numFmtId="179" fontId="55" fillId="3" borderId="0" xfId="50" applyNumberFormat="1" applyFont="1" applyFill="1" applyAlignment="1">
      <alignment horizontal="center" vertical="center"/>
    </xf>
    <xf numFmtId="179" fontId="34" fillId="0" borderId="0" xfId="50" applyNumberFormat="1" applyFont="1" applyAlignment="1">
      <alignment horizontal="center"/>
    </xf>
    <xf numFmtId="179" fontId="34" fillId="3" borderId="0" xfId="50" applyNumberFormat="1" applyFont="1" applyFill="1"/>
    <xf numFmtId="180" fontId="55" fillId="41" borderId="1" xfId="50" applyNumberFormat="1" applyFont="1" applyFill="1" applyBorder="1" applyAlignment="1">
      <alignment horizontal="center" vertical="center"/>
    </xf>
    <xf numFmtId="179" fontId="34" fillId="41" borderId="1" xfId="50" applyNumberFormat="1" applyFont="1" applyFill="1" applyBorder="1" applyAlignment="1">
      <alignment horizontal="left" vertical="center"/>
    </xf>
    <xf numFmtId="179" fontId="55" fillId="41" borderId="1" xfId="50" applyNumberFormat="1" applyFont="1" applyFill="1" applyBorder="1" applyAlignment="1">
      <alignment vertical="center"/>
    </xf>
    <xf numFmtId="179" fontId="55" fillId="0" borderId="1" xfId="50" applyNumberFormat="1" applyFont="1" applyFill="1" applyBorder="1" applyAlignment="1">
      <alignment horizontal="center" vertical="center"/>
    </xf>
    <xf numFmtId="179" fontId="55" fillId="0" borderId="1" xfId="50" applyNumberFormat="1" applyFont="1" applyFill="1" applyBorder="1" applyAlignment="1">
      <alignment vertical="center"/>
    </xf>
    <xf numFmtId="179" fontId="34" fillId="0" borderId="0" xfId="50" applyNumberFormat="1" applyFont="1" applyAlignment="1">
      <alignment horizontal="left"/>
    </xf>
    <xf numFmtId="0" fontId="0" fillId="42" borderId="0" xfId="0" applyFill="1" applyAlignment="1">
      <alignment horizontal="center" vertical="center" wrapText="1"/>
    </xf>
    <xf numFmtId="0" fontId="0" fillId="10" borderId="1" xfId="0" applyFont="1" applyFill="1" applyBorder="1" applyAlignment="1">
      <alignment horizontal="center" vertical="center"/>
    </xf>
    <xf numFmtId="0" fontId="0" fillId="10" borderId="1" xfId="0" applyFill="1" applyBorder="1" applyAlignment="1">
      <alignment horizontal="center" vertical="center"/>
    </xf>
    <xf numFmtId="0" fontId="63" fillId="43" borderId="1" xfId="6" applyFont="1" applyFill="1" applyBorder="1" applyAlignment="1">
      <alignment horizontal="center" vertical="center"/>
    </xf>
    <xf numFmtId="183" fontId="0" fillId="10" borderId="1" xfId="0" applyNumberFormat="1" applyFill="1" applyBorder="1" applyAlignment="1">
      <alignment horizontal="center" vertical="center"/>
    </xf>
    <xf numFmtId="0" fontId="2" fillId="12" borderId="5" xfId="0" applyFont="1" applyFill="1" applyBorder="1" applyAlignment="1">
      <alignment horizontal="center" vertical="center" wrapText="1"/>
    </xf>
    <xf numFmtId="0" fontId="2" fillId="12" borderId="1" xfId="0" applyFont="1" applyFill="1" applyBorder="1" applyAlignment="1">
      <alignment horizontal="center" vertical="center"/>
    </xf>
    <xf numFmtId="0" fontId="2" fillId="12" borderId="6" xfId="0" applyFont="1" applyFill="1" applyBorder="1" applyAlignment="1">
      <alignment horizontal="center" vertical="center"/>
    </xf>
    <xf numFmtId="0" fontId="2" fillId="42" borderId="3" xfId="0" applyFont="1" applyFill="1" applyBorder="1" applyAlignment="1">
      <alignment horizontal="center" vertical="center" wrapText="1"/>
    </xf>
    <xf numFmtId="0" fontId="2" fillId="42" borderId="4" xfId="0" applyFont="1" applyFill="1" applyBorder="1" applyAlignment="1">
      <alignment horizontal="center" vertical="center" wrapText="1"/>
    </xf>
    <xf numFmtId="0" fontId="2" fillId="42" borderId="1" xfId="0" applyFont="1" applyFill="1" applyBorder="1" applyAlignment="1">
      <alignment horizontal="center" vertical="center"/>
    </xf>
    <xf numFmtId="43" fontId="64" fillId="3" borderId="1" xfId="0" applyNumberFormat="1" applyFont="1" applyFill="1" applyBorder="1" applyAlignment="1" applyProtection="1">
      <alignment horizontal="center" vertical="center"/>
      <protection locked="0"/>
    </xf>
    <xf numFmtId="178" fontId="2" fillId="42" borderId="1" xfId="0" applyNumberFormat="1" applyFont="1" applyFill="1" applyBorder="1" applyAlignment="1">
      <alignment horizontal="center" vertical="center"/>
    </xf>
    <xf numFmtId="43" fontId="2" fillId="0" borderId="1" xfId="0" applyNumberFormat="1" applyFont="1" applyFill="1" applyBorder="1" applyAlignment="1" applyProtection="1">
      <alignment horizontal="center" vertical="center"/>
      <protection locked="0"/>
    </xf>
    <xf numFmtId="43" fontId="2" fillId="42" borderId="1" xfId="0" applyNumberFormat="1" applyFont="1" applyFill="1" applyBorder="1" applyAlignment="1">
      <alignment horizontal="center" vertical="center"/>
    </xf>
    <xf numFmtId="43" fontId="2" fillId="3" borderId="1" xfId="0" applyNumberFormat="1" applyFont="1" applyFill="1" applyBorder="1" applyAlignment="1">
      <alignment horizontal="center" vertical="center"/>
    </xf>
    <xf numFmtId="0" fontId="2" fillId="42" borderId="3" xfId="0" applyFont="1" applyFill="1" applyBorder="1" applyAlignment="1">
      <alignment horizontal="center" vertical="center"/>
    </xf>
    <xf numFmtId="0" fontId="2" fillId="42" borderId="4" xfId="0" applyFont="1" applyFill="1" applyBorder="1" applyAlignment="1">
      <alignment horizontal="center" vertical="center"/>
    </xf>
    <xf numFmtId="43" fontId="24" fillId="3" borderId="1" xfId="0" applyNumberFormat="1" applyFont="1" applyFill="1" applyBorder="1" applyAlignment="1" applyProtection="1">
      <alignment horizontal="center" vertical="center"/>
      <protection locked="0"/>
    </xf>
    <xf numFmtId="178" fontId="64" fillId="0" borderId="1" xfId="0" applyNumberFormat="1" applyFont="1" applyFill="1" applyBorder="1" applyAlignment="1">
      <alignment horizontal="center" vertical="center"/>
    </xf>
    <xf numFmtId="43" fontId="2" fillId="44" borderId="1" xfId="0" applyNumberFormat="1" applyFont="1" applyFill="1" applyBorder="1" applyAlignment="1">
      <alignment horizontal="center" vertical="center"/>
    </xf>
    <xf numFmtId="43" fontId="64" fillId="44" borderId="1" xfId="0" applyNumberFormat="1" applyFont="1" applyFill="1" applyBorder="1" applyAlignment="1">
      <alignment horizontal="center" vertical="center"/>
    </xf>
    <xf numFmtId="43" fontId="64" fillId="0" borderId="1" xfId="0" applyNumberFormat="1"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protection locked="0"/>
    </xf>
    <xf numFmtId="0" fontId="2" fillId="42" borderId="3" xfId="0" applyNumberFormat="1" applyFont="1" applyFill="1" applyBorder="1" applyAlignment="1" applyProtection="1">
      <alignment horizontal="center" vertical="center"/>
    </xf>
    <xf numFmtId="0" fontId="2" fillId="42" borderId="4" xfId="0" applyNumberFormat="1" applyFont="1" applyFill="1" applyBorder="1" applyAlignment="1" applyProtection="1">
      <alignment horizontal="center" vertical="center"/>
    </xf>
    <xf numFmtId="43" fontId="64" fillId="3" borderId="1" xfId="0" applyNumberFormat="1" applyFont="1" applyFill="1" applyBorder="1" applyAlignment="1">
      <alignment horizontal="center" vertical="center"/>
    </xf>
    <xf numFmtId="0" fontId="2" fillId="42" borderId="6" xfId="0" applyNumberFormat="1" applyFont="1" applyFill="1" applyBorder="1" applyAlignment="1" applyProtection="1">
      <alignment horizontal="center" vertical="center"/>
    </xf>
    <xf numFmtId="43" fontId="24" fillId="3" borderId="1" xfId="0" applyNumberFormat="1" applyFont="1" applyFill="1" applyBorder="1" applyAlignment="1">
      <alignment horizontal="center" vertical="center"/>
    </xf>
    <xf numFmtId="0" fontId="64" fillId="0" borderId="1" xfId="0" applyFont="1" applyFill="1" applyBorder="1" applyAlignment="1">
      <alignment horizontal="center" vertical="center"/>
    </xf>
    <xf numFmtId="10" fontId="2" fillId="42" borderId="1" xfId="0" applyNumberFormat="1" applyFont="1" applyFill="1" applyBorder="1" applyAlignment="1">
      <alignment horizontal="center" vertical="center"/>
    </xf>
    <xf numFmtId="10" fontId="2" fillId="0" borderId="1" xfId="0" applyNumberFormat="1" applyFont="1" applyFill="1" applyBorder="1" applyAlignment="1">
      <alignment horizontal="center" vertical="center"/>
    </xf>
    <xf numFmtId="9" fontId="2" fillId="42" borderId="1" xfId="0" applyNumberFormat="1" applyFont="1" applyFill="1" applyBorder="1" applyAlignment="1">
      <alignment horizontal="center" vertical="center"/>
    </xf>
    <xf numFmtId="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12" fillId="0" borderId="1" xfId="97" applyFont="1" applyFill="1" applyBorder="1" applyAlignment="1">
      <alignment horizontal="center" vertical="center" readingOrder="1"/>
    </xf>
    <xf numFmtId="0" fontId="24" fillId="0" borderId="1" xfId="0" applyFont="1" applyFill="1" applyBorder="1" applyAlignment="1">
      <alignment horizontal="center" vertical="center" wrapText="1"/>
    </xf>
    <xf numFmtId="0" fontId="0" fillId="0" borderId="1" xfId="0" applyFill="1" applyBorder="1" applyAlignment="1" applyProtection="1">
      <alignment horizontal="center" vertical="center" wrapText="1"/>
      <protection locked="0"/>
    </xf>
    <xf numFmtId="0" fontId="0" fillId="0" borderId="6" xfId="0" applyFont="1" applyFill="1" applyBorder="1" applyAlignment="1">
      <alignment horizontal="center" vertical="center" wrapText="1"/>
    </xf>
    <xf numFmtId="0" fontId="2" fillId="0" borderId="6" xfId="0" applyFont="1" applyFill="1" applyBorder="1" applyAlignment="1">
      <alignment horizontal="center" vertical="center"/>
    </xf>
    <xf numFmtId="0" fontId="0" fillId="0" borderId="7"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2" fillId="3" borderId="1" xfId="0" applyFont="1" applyFill="1" applyBorder="1" applyAlignment="1" applyProtection="1">
      <alignment horizontal="center" vertical="center" wrapText="1"/>
      <protection locked="0"/>
    </xf>
    <xf numFmtId="43" fontId="0" fillId="42" borderId="0" xfId="0" applyNumberFormat="1" applyFill="1" applyAlignment="1">
      <alignment horizontal="center" vertical="center" wrapText="1"/>
    </xf>
    <xf numFmtId="0" fontId="2" fillId="42" borderId="1" xfId="0" applyFont="1" applyFill="1" applyBorder="1" applyAlignment="1">
      <alignment horizontal="center" vertical="center" wrapText="1"/>
    </xf>
    <xf numFmtId="0" fontId="64" fillId="3" borderId="1" xfId="0" applyFont="1" applyFill="1" applyBorder="1" applyAlignment="1" applyProtection="1">
      <alignment horizontal="center" vertical="center" wrapText="1"/>
      <protection locked="0"/>
    </xf>
    <xf numFmtId="43" fontId="24" fillId="3" borderId="1" xfId="0" applyNumberFormat="1" applyFont="1" applyFill="1" applyBorder="1" applyAlignment="1" applyProtection="1">
      <alignment horizontal="center" vertical="center" wrapText="1"/>
      <protection locked="0"/>
    </xf>
    <xf numFmtId="43" fontId="24" fillId="42" borderId="0" xfId="0" applyNumberFormat="1" applyFont="1" applyFill="1" applyAlignment="1">
      <alignment horizontal="center" vertical="center" wrapText="1"/>
    </xf>
    <xf numFmtId="0" fontId="0" fillId="8" borderId="3" xfId="0" applyFont="1" applyFill="1" applyBorder="1" applyAlignment="1">
      <alignment horizontal="center" vertical="center"/>
    </xf>
    <xf numFmtId="0" fontId="0" fillId="8" borderId="3" xfId="0" applyFill="1" applyBorder="1" applyAlignment="1">
      <alignment vertical="center"/>
    </xf>
    <xf numFmtId="0" fontId="64" fillId="0" borderId="1" xfId="0" applyFont="1" applyFill="1" applyBorder="1" applyAlignment="1" applyProtection="1">
      <alignment horizontal="center" vertical="center" wrapText="1"/>
      <protection locked="0"/>
    </xf>
    <xf numFmtId="9" fontId="0" fillId="42" borderId="0" xfId="3" applyFont="1" applyFill="1" applyAlignment="1">
      <alignment horizontal="center" vertical="center" wrapText="1"/>
    </xf>
    <xf numFmtId="0" fontId="0" fillId="0" borderId="6" xfId="0" applyFont="1" applyBorder="1" applyAlignment="1">
      <alignment vertical="center"/>
    </xf>
    <xf numFmtId="0" fontId="0" fillId="8" borderId="6" xfId="0" applyFill="1" applyBorder="1" applyAlignment="1">
      <alignment vertical="center"/>
    </xf>
    <xf numFmtId="0" fontId="24" fillId="0" borderId="1" xfId="0" applyFont="1" applyFill="1" applyBorder="1" applyAlignment="1" applyProtection="1">
      <alignment horizontal="center" vertical="center" wrapText="1"/>
      <protection locked="0"/>
    </xf>
    <xf numFmtId="43" fontId="24" fillId="42" borderId="0" xfId="0" applyNumberFormat="1" applyFont="1" applyFill="1" applyBorder="1" applyAlignment="1">
      <alignment horizontal="center" vertical="center" wrapText="1"/>
    </xf>
    <xf numFmtId="0" fontId="0" fillId="0" borderId="4" xfId="0" applyBorder="1" applyAlignment="1">
      <alignment vertical="center"/>
    </xf>
    <xf numFmtId="43" fontId="64" fillId="0" borderId="1" xfId="0" applyNumberFormat="1" applyFont="1" applyFill="1" applyBorder="1" applyAlignment="1" applyProtection="1">
      <alignment horizontal="center" vertical="center" wrapText="1"/>
      <protection locked="0"/>
    </xf>
    <xf numFmtId="0" fontId="0" fillId="0" borderId="2" xfId="0" applyBorder="1" applyAlignment="1">
      <alignment vertical="center"/>
    </xf>
    <xf numFmtId="0" fontId="0" fillId="8" borderId="2" xfId="0" applyFill="1" applyBorder="1" applyAlignment="1">
      <alignment vertical="center"/>
    </xf>
    <xf numFmtId="0" fontId="6" fillId="0" borderId="1" xfId="0" applyFont="1" applyFill="1" applyBorder="1" applyAlignment="1" applyProtection="1">
      <alignment horizontal="center" vertical="center" wrapText="1"/>
      <protection locked="0"/>
    </xf>
    <xf numFmtId="41" fontId="64" fillId="3" borderId="1" xfId="0" applyNumberFormat="1" applyFont="1" applyFill="1" applyBorder="1" applyAlignment="1" applyProtection="1">
      <alignment horizontal="center" vertical="center"/>
      <protection locked="0"/>
    </xf>
    <xf numFmtId="1" fontId="25" fillId="42" borderId="0" xfId="0" applyNumberFormat="1" applyFont="1" applyFill="1" applyAlignment="1">
      <alignment horizontal="center" vertical="center" wrapText="1"/>
    </xf>
    <xf numFmtId="0" fontId="25" fillId="0" borderId="1" xfId="0" applyFont="1" applyFill="1" applyBorder="1" applyAlignment="1" applyProtection="1">
      <alignment horizontal="center" vertical="center" wrapText="1"/>
      <protection locked="0"/>
    </xf>
    <xf numFmtId="43" fontId="2" fillId="0" borderId="1" xfId="0" applyNumberFormat="1" applyFont="1" applyFill="1" applyBorder="1" applyAlignment="1" applyProtection="1">
      <alignment vertical="center" wrapText="1"/>
      <protection locked="0"/>
    </xf>
    <xf numFmtId="43" fontId="2" fillId="0" borderId="1" xfId="0" applyNumberFormat="1" applyFont="1" applyFill="1" applyBorder="1" applyAlignment="1" applyProtection="1">
      <alignment vertical="center"/>
      <protection locked="0"/>
    </xf>
    <xf numFmtId="0" fontId="0" fillId="42" borderId="1" xfId="0" applyFont="1" applyFill="1" applyBorder="1" applyAlignment="1">
      <alignment horizontal="center" vertical="center" wrapText="1"/>
    </xf>
    <xf numFmtId="43" fontId="0" fillId="42" borderId="1" xfId="0" applyNumberFormat="1" applyFont="1" applyFill="1" applyBorder="1" applyAlignment="1">
      <alignment horizontal="center" vertical="center" wrapText="1"/>
    </xf>
    <xf numFmtId="43" fontId="0" fillId="0" borderId="0" xfId="0" applyNumberFormat="1" applyFill="1" applyAlignment="1">
      <alignment horizontal="center" vertical="center" wrapText="1"/>
    </xf>
    <xf numFmtId="0" fontId="0" fillId="15" borderId="0" xfId="0" applyFill="1" applyAlignment="1">
      <alignment horizontal="center" vertical="center"/>
    </xf>
    <xf numFmtId="0" fontId="0" fillId="15" borderId="0" xfId="0" applyFill="1" applyAlignment="1">
      <alignment vertical="center"/>
    </xf>
    <xf numFmtId="0" fontId="0" fillId="45" borderId="1" xfId="0" applyFont="1" applyFill="1" applyBorder="1" applyAlignment="1">
      <alignment horizontal="center" vertical="center"/>
    </xf>
    <xf numFmtId="0" fontId="0" fillId="45" borderId="1" xfId="0" applyFill="1" applyBorder="1" applyAlignment="1">
      <alignment horizontal="center" vertical="center"/>
    </xf>
    <xf numFmtId="0" fontId="23" fillId="23" borderId="1" xfId="6" applyFont="1" applyFill="1" applyBorder="1" applyAlignment="1">
      <alignment horizontal="center" vertical="center"/>
    </xf>
    <xf numFmtId="0" fontId="23" fillId="23" borderId="1" xfId="6" applyFill="1" applyBorder="1" applyAlignment="1">
      <alignment horizontal="center" vertical="center"/>
    </xf>
    <xf numFmtId="183" fontId="0" fillId="45" borderId="1" xfId="0" applyNumberFormat="1" applyFill="1" applyBorder="1" applyAlignment="1">
      <alignment horizontal="center" vertical="center"/>
    </xf>
    <xf numFmtId="0" fontId="2" fillId="46" borderId="5" xfId="0" applyFont="1" applyFill="1" applyBorder="1" applyAlignment="1">
      <alignment horizontal="center" vertical="center"/>
    </xf>
    <xf numFmtId="0" fontId="0" fillId="46" borderId="1" xfId="0" applyFont="1" applyFill="1" applyBorder="1" applyAlignment="1">
      <alignment horizontal="center" vertical="center"/>
    </xf>
    <xf numFmtId="0" fontId="0" fillId="12" borderId="1" xfId="0" applyFont="1" applyFill="1" applyBorder="1" applyAlignment="1">
      <alignment horizontal="center" vertical="center"/>
    </xf>
    <xf numFmtId="0" fontId="0" fillId="0" borderId="1" xfId="0" applyFont="1" applyFill="1" applyBorder="1" applyAlignment="1" applyProtection="1">
      <alignment horizontal="center" vertical="center"/>
      <protection locked="0"/>
    </xf>
    <xf numFmtId="0" fontId="0" fillId="15" borderId="1" xfId="0" applyFont="1" applyFill="1" applyBorder="1" applyAlignment="1">
      <alignment horizontal="center" vertical="center" wrapText="1"/>
    </xf>
    <xf numFmtId="0" fontId="0" fillId="0" borderId="6" xfId="0" applyFont="1" applyFill="1" applyBorder="1" applyAlignment="1" applyProtection="1">
      <alignment horizontal="left" vertical="center" wrapText="1"/>
      <protection locked="0"/>
    </xf>
    <xf numFmtId="0" fontId="0" fillId="15" borderId="1" xfId="0" applyFill="1" applyBorder="1" applyAlignment="1">
      <alignment vertical="center"/>
    </xf>
    <xf numFmtId="0" fontId="0" fillId="0" borderId="1" xfId="0" applyFill="1" applyBorder="1" applyAlignment="1" applyProtection="1">
      <alignment horizontal="center" vertical="center"/>
      <protection locked="0"/>
    </xf>
    <xf numFmtId="0" fontId="0" fillId="15" borderId="1" xfId="0" applyFont="1" applyFill="1" applyBorder="1" applyAlignment="1">
      <alignment horizontal="center" vertical="center"/>
    </xf>
    <xf numFmtId="0" fontId="0" fillId="0" borderId="7" xfId="0" applyFill="1" applyBorder="1" applyAlignment="1" applyProtection="1">
      <alignment horizontal="left" vertical="center" wrapText="1"/>
      <protection locked="0"/>
    </xf>
    <xf numFmtId="196" fontId="0" fillId="0" borderId="1" xfId="0" applyNumberFormat="1" applyFill="1" applyBorder="1" applyAlignment="1" applyProtection="1">
      <alignment horizontal="center" vertical="center"/>
      <protection locked="0"/>
    </xf>
    <xf numFmtId="43" fontId="0" fillId="15" borderId="1" xfId="0" applyNumberFormat="1" applyFont="1" applyFill="1" applyBorder="1" applyAlignment="1">
      <alignment vertical="center"/>
    </xf>
    <xf numFmtId="0" fontId="0" fillId="0" borderId="2" xfId="0" applyFill="1" applyBorder="1" applyAlignment="1" applyProtection="1">
      <alignment horizontal="left" vertical="center" wrapText="1"/>
      <protection locked="0"/>
    </xf>
    <xf numFmtId="43" fontId="0" fillId="15" borderId="1" xfId="0" applyNumberFormat="1" applyFill="1" applyBorder="1" applyAlignment="1">
      <alignment vertical="center"/>
    </xf>
    <xf numFmtId="43" fontId="6" fillId="3" borderId="1" xfId="1" applyFont="1" applyFill="1" applyBorder="1" applyAlignment="1" applyProtection="1">
      <alignment horizontal="center" vertical="center"/>
      <protection locked="0"/>
    </xf>
    <xf numFmtId="0" fontId="0" fillId="0" borderId="1" xfId="0" applyFill="1" applyBorder="1" applyAlignment="1" applyProtection="1">
      <alignment vertical="center"/>
      <protection locked="0"/>
    </xf>
    <xf numFmtId="185" fontId="6" fillId="15" borderId="1" xfId="1" applyNumberFormat="1" applyFont="1" applyFill="1" applyBorder="1" applyAlignment="1">
      <alignment horizontal="center" vertical="center"/>
    </xf>
    <xf numFmtId="43" fontId="0" fillId="0" borderId="1" xfId="0" applyNumberFormat="1" applyFill="1" applyBorder="1" applyAlignment="1" applyProtection="1">
      <alignment horizontal="center" vertical="center"/>
      <protection locked="0"/>
    </xf>
    <xf numFmtId="0" fontId="0" fillId="12" borderId="1" xfId="0" applyFont="1" applyFill="1" applyBorder="1" applyAlignment="1">
      <alignment horizontal="center" vertical="center" wrapText="1"/>
    </xf>
    <xf numFmtId="0" fontId="0" fillId="0" borderId="3" xfId="0" applyFill="1" applyBorder="1" applyAlignment="1" applyProtection="1">
      <alignment vertical="center"/>
      <protection locked="0"/>
    </xf>
    <xf numFmtId="0" fontId="0" fillId="0" borderId="3" xfId="0" applyFill="1" applyBorder="1" applyAlignment="1" applyProtection="1">
      <alignment horizontal="center" vertical="center"/>
      <protection locked="0"/>
    </xf>
    <xf numFmtId="0" fontId="0" fillId="0" borderId="10" xfId="0" applyFill="1" applyBorder="1" applyAlignment="1" applyProtection="1">
      <alignment horizontal="center" vertical="center"/>
      <protection locked="0"/>
    </xf>
    <xf numFmtId="0" fontId="0" fillId="0" borderId="4" xfId="0" applyFill="1" applyBorder="1" applyAlignment="1" applyProtection="1">
      <alignment horizontal="center" vertical="center"/>
      <protection locked="0"/>
    </xf>
    <xf numFmtId="0" fontId="0" fillId="0" borderId="9" xfId="0" applyFill="1" applyBorder="1" applyAlignment="1" applyProtection="1">
      <alignment horizontal="center" vertical="center"/>
      <protection locked="0"/>
    </xf>
    <xf numFmtId="182" fontId="0" fillId="0" borderId="0" xfId="0" applyNumberFormat="1" applyFill="1" applyBorder="1" applyAlignment="1">
      <alignment vertical="center"/>
    </xf>
    <xf numFmtId="0" fontId="65"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2" fillId="47" borderId="23" xfId="0" applyFont="1" applyFill="1" applyBorder="1" applyAlignment="1">
      <alignment horizontal="center" vertical="center"/>
    </xf>
    <xf numFmtId="0" fontId="2" fillId="47" borderId="24" xfId="0" applyFont="1" applyFill="1" applyBorder="1" applyAlignment="1">
      <alignment horizontal="center" vertical="center"/>
    </xf>
    <xf numFmtId="178" fontId="57" fillId="47" borderId="25" xfId="0" applyNumberFormat="1" applyFont="1" applyFill="1" applyBorder="1" applyAlignment="1">
      <alignment horizontal="center" vertical="center"/>
    </xf>
    <xf numFmtId="178" fontId="57" fillId="47" borderId="9" xfId="0" applyNumberFormat="1" applyFont="1" applyFill="1" applyBorder="1" applyAlignment="1">
      <alignment horizontal="center" vertical="center"/>
    </xf>
    <xf numFmtId="178" fontId="57" fillId="47" borderId="26" xfId="0" applyNumberFormat="1" applyFont="1" applyFill="1" applyBorder="1" applyAlignment="1">
      <alignment horizontal="center" vertical="center"/>
    </xf>
    <xf numFmtId="179" fontId="0" fillId="0" borderId="0" xfId="0" applyNumberFormat="1" applyFill="1" applyBorder="1" applyAlignment="1">
      <alignment horizontal="center" vertical="center"/>
    </xf>
    <xf numFmtId="178" fontId="57" fillId="47" borderId="27" xfId="0" applyNumberFormat="1" applyFont="1" applyFill="1" applyBorder="1" applyAlignment="1">
      <alignment horizontal="center" vertical="center"/>
    </xf>
    <xf numFmtId="178" fontId="57" fillId="47" borderId="28" xfId="0" applyNumberFormat="1" applyFont="1" applyFill="1" applyBorder="1" applyAlignment="1">
      <alignment horizontal="center" vertical="center"/>
    </xf>
    <xf numFmtId="178" fontId="57" fillId="47" borderId="29" xfId="0" applyNumberFormat="1" applyFont="1" applyFill="1" applyBorder="1" applyAlignment="1">
      <alignment horizontal="center" vertical="center"/>
    </xf>
    <xf numFmtId="0" fontId="2" fillId="12" borderId="23" xfId="0" applyFont="1" applyFill="1" applyBorder="1" applyAlignment="1">
      <alignment horizontal="center" vertical="center"/>
    </xf>
    <xf numFmtId="0" fontId="2" fillId="12" borderId="24" xfId="0" applyFont="1" applyFill="1" applyBorder="1" applyAlignment="1">
      <alignment horizontal="center" vertical="center"/>
    </xf>
    <xf numFmtId="178" fontId="57" fillId="12" borderId="25" xfId="0" applyNumberFormat="1" applyFont="1" applyFill="1" applyBorder="1" applyAlignment="1">
      <alignment horizontal="center" vertical="center"/>
    </xf>
    <xf numFmtId="178" fontId="57" fillId="12" borderId="9" xfId="0" applyNumberFormat="1" applyFont="1" applyFill="1" applyBorder="1" applyAlignment="1">
      <alignment horizontal="center" vertical="center"/>
    </xf>
    <xf numFmtId="178" fontId="0" fillId="0" borderId="0" xfId="0" applyNumberFormat="1" applyFill="1" applyBorder="1" applyAlignment="1">
      <alignment vertical="center"/>
    </xf>
    <xf numFmtId="178" fontId="57" fillId="12" borderId="30" xfId="0" applyNumberFormat="1" applyFont="1" applyFill="1" applyBorder="1" applyAlignment="1">
      <alignment horizontal="center" vertical="center"/>
    </xf>
    <xf numFmtId="178" fontId="59" fillId="12" borderId="0" xfId="0" applyNumberFormat="1" applyFont="1" applyFill="1" applyBorder="1" applyAlignment="1">
      <alignment horizontal="center" vertical="center"/>
    </xf>
    <xf numFmtId="195" fontId="0" fillId="0" borderId="0" xfId="0" applyNumberFormat="1" applyFill="1" applyBorder="1" applyAlignment="1">
      <alignment vertical="center"/>
    </xf>
    <xf numFmtId="178" fontId="57" fillId="12" borderId="27" xfId="0" applyNumberFormat="1" applyFont="1" applyFill="1" applyBorder="1" applyAlignment="1">
      <alignment horizontal="center" vertical="center"/>
    </xf>
    <xf numFmtId="178" fontId="59" fillId="12" borderId="28" xfId="0" applyNumberFormat="1" applyFont="1" applyFill="1" applyBorder="1" applyAlignment="1">
      <alignment horizontal="center" vertical="center"/>
    </xf>
    <xf numFmtId="0" fontId="2" fillId="10" borderId="23" xfId="0" applyFont="1" applyFill="1" applyBorder="1" applyAlignment="1">
      <alignment horizontal="center" vertical="center"/>
    </xf>
    <xf numFmtId="10" fontId="2" fillId="10" borderId="5" xfId="0" applyNumberFormat="1" applyFont="1" applyFill="1" applyBorder="1" applyAlignment="1">
      <alignment horizontal="center" vertical="center"/>
    </xf>
    <xf numFmtId="10" fontId="2" fillId="10" borderId="23" xfId="0" applyNumberFormat="1" applyFont="1" applyFill="1" applyBorder="1" applyAlignment="1">
      <alignment horizontal="center" vertical="center"/>
    </xf>
    <xf numFmtId="179" fontId="0" fillId="0" borderId="0" xfId="0" applyNumberFormat="1" applyFill="1" applyBorder="1" applyAlignment="1">
      <alignment vertical="center"/>
    </xf>
    <xf numFmtId="178" fontId="57" fillId="10" borderId="25" xfId="0" applyNumberFormat="1" applyFont="1" applyFill="1" applyBorder="1" applyAlignment="1">
      <alignment horizontal="center" vertical="center"/>
    </xf>
    <xf numFmtId="178" fontId="57" fillId="10" borderId="9" xfId="0" applyNumberFormat="1" applyFont="1" applyFill="1" applyBorder="1" applyAlignment="1">
      <alignment horizontal="center" vertical="center"/>
    </xf>
    <xf numFmtId="10" fontId="57" fillId="10" borderId="25" xfId="0" applyNumberFormat="1" applyFont="1" applyFill="1" applyBorder="1" applyAlignment="1">
      <alignment horizontal="center" vertical="center"/>
    </xf>
    <xf numFmtId="178" fontId="57" fillId="10" borderId="30" xfId="0" applyNumberFormat="1" applyFont="1" applyFill="1" applyBorder="1" applyAlignment="1">
      <alignment horizontal="center" vertical="center"/>
    </xf>
    <xf numFmtId="178" fontId="59" fillId="10" borderId="0" xfId="0" applyNumberFormat="1" applyFont="1" applyFill="1" applyBorder="1" applyAlignment="1">
      <alignment horizontal="center" vertical="center"/>
    </xf>
    <xf numFmtId="10" fontId="57" fillId="10" borderId="30" xfId="0" applyNumberFormat="1" applyFont="1" applyFill="1" applyBorder="1" applyAlignment="1">
      <alignment horizontal="center" vertical="center"/>
    </xf>
    <xf numFmtId="10" fontId="0" fillId="0" borderId="0" xfId="0" applyNumberFormat="1" applyFill="1" applyBorder="1" applyAlignment="1">
      <alignment horizontal="center" vertical="center"/>
    </xf>
    <xf numFmtId="178" fontId="57" fillId="10" borderId="27" xfId="0" applyNumberFormat="1" applyFont="1" applyFill="1" applyBorder="1" applyAlignment="1">
      <alignment horizontal="center" vertical="center"/>
    </xf>
    <xf numFmtId="178" fontId="59" fillId="10" borderId="28" xfId="0" applyNumberFormat="1" applyFont="1" applyFill="1" applyBorder="1" applyAlignment="1">
      <alignment horizontal="center" vertical="center"/>
    </xf>
    <xf numFmtId="10" fontId="57" fillId="10" borderId="27" xfId="0" applyNumberFormat="1" applyFont="1" applyFill="1" applyBorder="1" applyAlignment="1">
      <alignment horizontal="center" vertical="center"/>
    </xf>
    <xf numFmtId="0" fontId="2" fillId="0" borderId="0" xfId="0" applyFont="1" applyFill="1" applyBorder="1" applyAlignment="1">
      <alignment vertical="center"/>
    </xf>
    <xf numFmtId="0" fontId="2" fillId="0" borderId="0" xfId="0" applyFont="1" applyFill="1" applyBorder="1" applyAlignment="1">
      <alignment horizontal="right" vertical="center"/>
    </xf>
    <xf numFmtId="187" fontId="0" fillId="0" borderId="1" xfId="0" applyNumberFormat="1" applyBorder="1" applyAlignment="1">
      <alignment vertical="center"/>
    </xf>
    <xf numFmtId="186" fontId="0" fillId="0" borderId="1" xfId="3" applyNumberFormat="1" applyFont="1" applyBorder="1" applyAlignment="1">
      <alignment vertical="center"/>
    </xf>
    <xf numFmtId="183" fontId="0" fillId="0" borderId="0" xfId="0" applyNumberFormat="1" applyAlignment="1">
      <alignment vertical="center"/>
    </xf>
    <xf numFmtId="0" fontId="2" fillId="0" borderId="5" xfId="0" applyFont="1" applyBorder="1" applyAlignment="1">
      <alignment horizontal="center" vertical="center"/>
    </xf>
    <xf numFmtId="183" fontId="0" fillId="9" borderId="1" xfId="0" applyNumberFormat="1" applyFont="1" applyFill="1" applyBorder="1" applyAlignment="1">
      <alignment horizontal="center" vertical="center"/>
    </xf>
    <xf numFmtId="0" fontId="23" fillId="9" borderId="1" xfId="6" applyFill="1" applyBorder="1" applyAlignment="1">
      <alignment horizontal="center" vertical="center"/>
    </xf>
    <xf numFmtId="183" fontId="0" fillId="0" borderId="1" xfId="0" applyNumberFormat="1" applyFont="1" applyBorder="1" applyAlignment="1">
      <alignment horizontal="center" vertical="center"/>
    </xf>
  </cellXfs>
  <cellStyles count="12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3232" xfId="50"/>
    <cellStyle name="60% - 强调文字颜色 4 2" xfId="51"/>
    <cellStyle name="常规 2 3" xfId="52"/>
    <cellStyle name="千位分隔 3" xfId="53"/>
    <cellStyle name="标题 5" xfId="54"/>
    <cellStyle name="标题 1 2" xfId="55"/>
    <cellStyle name="60% - 强调文字颜色 5 2" xfId="56"/>
    <cellStyle name="千位分隔 5" xfId="57"/>
    <cellStyle name="标题 2 2" xfId="58"/>
    <cellStyle name="常规 2 2" xfId="59"/>
    <cellStyle name="40% - 强调文字颜色 4 2" xfId="60"/>
    <cellStyle name="强调文字颜色 4 2" xfId="61"/>
    <cellStyle name="60% - 强调文字颜色 6 2" xfId="62"/>
    <cellStyle name="常规_经济技术指标明细" xfId="63"/>
    <cellStyle name="3232 2 2" xfId="64"/>
    <cellStyle name="常规 2 4" xfId="65"/>
    <cellStyle name="60% - 强调文字颜色 1 2" xfId="66"/>
    <cellStyle name="40% - 强调文字颜色 1 2" xfId="67"/>
    <cellStyle name="强调文字颜色 1 2" xfId="68"/>
    <cellStyle name="计算 2" xfId="69"/>
    <cellStyle name="百分比 4" xfId="70"/>
    <cellStyle name="20% - 强调文字颜色 5 2" xfId="71"/>
    <cellStyle name="输出 2" xfId="72"/>
    <cellStyle name="千位分隔 9" xfId="73"/>
    <cellStyle name="强调文字颜色 2 2" xfId="74"/>
    <cellStyle name="40% - 强调文字颜色 2 2" xfId="75"/>
    <cellStyle name="检查单元格 2" xfId="76"/>
    <cellStyle name="3232 2 3" xfId="77"/>
    <cellStyle name="20% - 强调文字颜色 3 2" xfId="78"/>
    <cellStyle name="3232_6期B2-1最新测算1.16" xfId="79"/>
    <cellStyle name="20% - 强调文字颜色 6 2" xfId="80"/>
    <cellStyle name="40% - 强调文字颜色 3 2" xfId="81"/>
    <cellStyle name="强调文字颜色 3 2" xfId="82"/>
    <cellStyle name="千位分隔 2" xfId="83"/>
    <cellStyle name="60% - 强调文字颜色 2 2" xfId="84"/>
    <cellStyle name="百分比 2" xfId="85"/>
    <cellStyle name="输入 2" xfId="86"/>
    <cellStyle name="60% - 强调文字颜色 3 2" xfId="87"/>
    <cellStyle name="常规 32" xfId="88"/>
    <cellStyle name="百分比 2 2" xfId="89"/>
    <cellStyle name="百分比 3" xfId="90"/>
    <cellStyle name="适中 2" xfId="91"/>
    <cellStyle name="常规 3 2" xfId="92"/>
    <cellStyle name="标题 3 2" xfId="93"/>
    <cellStyle name="链接单元格 2" xfId="94"/>
    <cellStyle name="差 2" xfId="95"/>
    <cellStyle name="常规 11" xfId="96"/>
    <cellStyle name="常规 2" xfId="97"/>
    <cellStyle name="警告文本 2" xfId="98"/>
    <cellStyle name="好 2" xfId="99"/>
    <cellStyle name="注释 2" xfId="100"/>
    <cellStyle name="标题 4 2" xfId="101"/>
    <cellStyle name="常规 16" xfId="102"/>
    <cellStyle name="强调文字颜色 5 2" xfId="103"/>
    <cellStyle name="40% - 强调文字颜色 5 2" xfId="104"/>
    <cellStyle name="千位分隔 2 2" xfId="105"/>
    <cellStyle name="超链接 2" xfId="106"/>
    <cellStyle name="3232 3" xfId="107"/>
    <cellStyle name="解释性文本 2" xfId="108"/>
    <cellStyle name="3232 2" xfId="109"/>
    <cellStyle name="20% - 强调文字颜色 4 2" xfId="110"/>
    <cellStyle name="常规 3" xfId="111"/>
    <cellStyle name="常规_5-9月现场回款预计 2" xfId="112"/>
    <cellStyle name="常规 13" xfId="113"/>
    <cellStyle name="常规_Sheet1 2" xfId="114"/>
    <cellStyle name="强调文字颜色 6 2" xfId="115"/>
    <cellStyle name="40% - 强调文字颜色 6 2" xfId="116"/>
    <cellStyle name="20% - 强调文字颜色 2 2" xfId="117"/>
    <cellStyle name="常规 14" xfId="118"/>
    <cellStyle name="千位分隔 4" xfId="119"/>
    <cellStyle name="汇总 2" xfId="120"/>
  </cellStyles>
  <tableStyles count="0" defaultTableStyle="TableStyleMedium9" defaultPivotStyle="PivotStyleLight16"/>
  <colors>
    <mruColors>
      <color rgb="00F6D576"/>
      <color rgb="00F4C966"/>
      <color rgb="00F7FD9D"/>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1" Type="http://schemas.openxmlformats.org/officeDocument/2006/relationships/sharedStrings" Target="sharedStrings.xml"/><Relationship Id="rId40" Type="http://schemas.openxmlformats.org/officeDocument/2006/relationships/styles" Target="styles.xml"/><Relationship Id="rId4" Type="http://schemas.openxmlformats.org/officeDocument/2006/relationships/worksheet" Target="worksheets/sheet4.xml"/><Relationship Id="rId39" Type="http://schemas.openxmlformats.org/officeDocument/2006/relationships/theme" Target="theme/theme1.xml"/><Relationship Id="rId38" Type="http://schemas.openxmlformats.org/officeDocument/2006/relationships/externalLink" Target="externalLinks/externalLink10.xml"/><Relationship Id="rId37" Type="http://schemas.openxmlformats.org/officeDocument/2006/relationships/externalLink" Target="externalLinks/externalLink9.xml"/><Relationship Id="rId36" Type="http://schemas.openxmlformats.org/officeDocument/2006/relationships/externalLink" Target="externalLinks/externalLink8.xml"/><Relationship Id="rId35" Type="http://schemas.openxmlformats.org/officeDocument/2006/relationships/externalLink" Target="externalLinks/externalLink7.xml"/><Relationship Id="rId34" Type="http://schemas.openxmlformats.org/officeDocument/2006/relationships/externalLink" Target="externalLinks/externalLink6.xml"/><Relationship Id="rId33" Type="http://schemas.openxmlformats.org/officeDocument/2006/relationships/externalLink" Target="externalLinks/externalLink5.xml"/><Relationship Id="rId32" Type="http://schemas.openxmlformats.org/officeDocument/2006/relationships/externalLink" Target="externalLinks/externalLink4.xml"/><Relationship Id="rId31" Type="http://schemas.openxmlformats.org/officeDocument/2006/relationships/externalLink" Target="externalLinks/externalLink3.xml"/><Relationship Id="rId30" Type="http://schemas.openxmlformats.org/officeDocument/2006/relationships/externalLink" Target="externalLinks/externalLink2.xml"/><Relationship Id="rId3" Type="http://schemas.openxmlformats.org/officeDocument/2006/relationships/worksheet" Target="worksheets/sheet3.xml"/><Relationship Id="rId29" Type="http://schemas.openxmlformats.org/officeDocument/2006/relationships/externalLink" Target="externalLinks/externalLink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Scroll" dx="22" fmlaLink="$B$11" horiz="1" inc="10" max="2500" page="2500" val="380"/>
</file>

<file path=xl/ctrlProps/ctrlProp10.xml><?xml version="1.0" encoding="utf-8"?>
<formControlPr xmlns="http://schemas.microsoft.com/office/spreadsheetml/2009/9/main" objectType="Scroll" dx="22" fmlaLink="$D$19" horiz="1" inc="50" max="30000" page="30000" val="0"/>
</file>

<file path=xl/ctrlProps/ctrlProp11.xml><?xml version="1.0" encoding="utf-8"?>
<formControlPr xmlns="http://schemas.microsoft.com/office/spreadsheetml/2009/9/main" objectType="Scroll" dx="22" fmlaLink="$D$20" horiz="1" max="30" page="30" val="8"/>
</file>

<file path=xl/ctrlProps/ctrlProp12.xml><?xml version="1.0" encoding="utf-8"?>
<formControlPr xmlns="http://schemas.microsoft.com/office/spreadsheetml/2009/9/main" objectType="Scroll" dx="22" fmlaLink="$D$21" horiz="1" max="30" page="30" val="8"/>
</file>

<file path=xl/ctrlProps/ctrlProp13.xml><?xml version="1.0" encoding="utf-8"?>
<formControlPr xmlns="http://schemas.microsoft.com/office/spreadsheetml/2009/9/main" objectType="Scroll" dx="22" fmlaLink="$F$2" horiz="1" max="100" page="100" val="27"/>
</file>

<file path=xl/ctrlProps/ctrlProp14.xml><?xml version="1.0" encoding="utf-8"?>
<formControlPr xmlns="http://schemas.microsoft.com/office/spreadsheetml/2009/9/main" objectType="Scroll" dx="22" fmlaLink="$F$3" horiz="1" max="100" page="100" val="13"/>
</file>

<file path=xl/ctrlProps/ctrlProp15.xml><?xml version="1.0" encoding="utf-8"?>
<formControlPr xmlns="http://schemas.microsoft.com/office/spreadsheetml/2009/9/main" objectType="Scroll" dx="22" fmlaLink="$D$10" horiz="1" inc="50" max="30000" page="30000" val="0"/>
</file>

<file path=xl/ctrlProps/ctrlProp16.xml><?xml version="1.0" encoding="utf-8"?>
<formControlPr xmlns="http://schemas.microsoft.com/office/spreadsheetml/2009/9/main" objectType="Scroll" dx="22" fmlaLink="$D$11" horiz="1" inc="50" max="30000" page="30000" val="0"/>
</file>

<file path=xl/ctrlProps/ctrlProp17.xml><?xml version="1.0" encoding="utf-8"?>
<formControlPr xmlns="http://schemas.microsoft.com/office/spreadsheetml/2009/9/main" objectType="Scroll" dx="22" fmlaLink="$D$12" horiz="1" inc="50" max="30000" page="30000" val="0"/>
</file>

<file path=xl/ctrlProps/ctrlProp18.xml><?xml version="1.0" encoding="utf-8"?>
<formControlPr xmlns="http://schemas.microsoft.com/office/spreadsheetml/2009/9/main" objectType="Scroll" dx="22" fmlaLink="$D$13" horiz="1" inc="50" max="30000" page="30000" val="0"/>
</file>

<file path=xl/ctrlProps/ctrlProp2.xml><?xml version="1.0" encoding="utf-8"?>
<formControlPr xmlns="http://schemas.microsoft.com/office/spreadsheetml/2009/9/main" objectType="Scroll" dx="22" fmlaLink="$B$11" horiz="1" inc="10" max="2500" page="2500" val="380"/>
</file>

<file path=xl/ctrlProps/ctrlProp3.xml><?xml version="1.0" encoding="utf-8"?>
<formControlPr xmlns="http://schemas.microsoft.com/office/spreadsheetml/2009/9/main" objectType="Scroll" dx="22" fmlaLink="$D$7" horiz="1" inc="50" max="30000" page="30000" val="13500"/>
</file>

<file path=xl/ctrlProps/ctrlProp4.xml><?xml version="1.0" encoding="utf-8"?>
<formControlPr xmlns="http://schemas.microsoft.com/office/spreadsheetml/2009/9/main" objectType="Scroll" dx="22" fmlaLink="$D$8" horiz="1" inc="50" max="30000" page="30000" val="11500"/>
</file>

<file path=xl/ctrlProps/ctrlProp5.xml><?xml version="1.0" encoding="utf-8"?>
<formControlPr xmlns="http://schemas.microsoft.com/office/spreadsheetml/2009/9/main" objectType="Scroll" dx="22" fmlaLink="$D$9" horiz="1" inc="50" max="30000" page="30000" val="0"/>
</file>

<file path=xl/ctrlProps/ctrlProp6.xml><?xml version="1.0" encoding="utf-8"?>
<formControlPr xmlns="http://schemas.microsoft.com/office/spreadsheetml/2009/9/main" objectType="Scroll" dx="22" fmlaLink="$D$14" horiz="1" inc="50" max="30000" page="30000" val="0"/>
</file>

<file path=xl/ctrlProps/ctrlProp7.xml><?xml version="1.0" encoding="utf-8"?>
<formControlPr xmlns="http://schemas.microsoft.com/office/spreadsheetml/2009/9/main" objectType="Scroll" dx="22" fmlaLink="$D$15" horiz="1" inc="50" max="30000" page="30000" val="0"/>
</file>

<file path=xl/ctrlProps/ctrlProp8.xml><?xml version="1.0" encoding="utf-8"?>
<formControlPr xmlns="http://schemas.microsoft.com/office/spreadsheetml/2009/9/main" objectType="Scroll" dx="22" fmlaLink="$D$16" horiz="1" inc="50" max="30000" page="30000" val="0"/>
</file>

<file path=xl/ctrlProps/ctrlProp9.xml><?xml version="1.0" encoding="utf-8"?>
<formControlPr xmlns="http://schemas.microsoft.com/office/spreadsheetml/2009/9/main" objectType="Scroll" dx="22" fmlaLink="$D$17" horiz="1" inc="50" max="30000" page="30000" val="0"/>
</file>

<file path=xl/drawings/_rels/drawing3.xml.rels><?xml version="1.0" encoding="UTF-8" standalone="yes"?>
<Relationships xmlns="http://schemas.openxmlformats.org/package/2006/relationships"><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3</xdr:col>
          <xdr:colOff>114300</xdr:colOff>
          <xdr:row>10</xdr:row>
          <xdr:rowOff>57150</xdr:rowOff>
        </xdr:from>
        <xdr:to>
          <xdr:col>3</xdr:col>
          <xdr:colOff>2219325</xdr:colOff>
          <xdr:row>11</xdr:row>
          <xdr:rowOff>0</xdr:rowOff>
        </xdr:to>
        <xdr:sp>
          <xdr:nvSpPr>
            <xdr:cNvPr id="4097" name="Scroll Bar 1" hidden="1">
              <a:extLst>
                <a:ext uri="{63B3BB69-23CF-44E3-9099-C40C66FF867C}">
                  <a14:compatExt spid="_x0000_s4097"/>
                </a:ext>
              </a:extLst>
            </xdr:cNvPr>
            <xdr:cNvSpPr/>
          </xdr:nvSpPr>
          <xdr:spPr>
            <a:xfrm>
              <a:off x="5429250" y="3705225"/>
              <a:ext cx="2105025" cy="3333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10</xdr:row>
          <xdr:rowOff>57150</xdr:rowOff>
        </xdr:from>
        <xdr:to>
          <xdr:col>4</xdr:col>
          <xdr:colOff>571500</xdr:colOff>
          <xdr:row>11</xdr:row>
          <xdr:rowOff>0</xdr:rowOff>
        </xdr:to>
        <xdr:sp>
          <xdr:nvSpPr>
            <xdr:cNvPr id="4099" name="Scroll Bar 3" hidden="1">
              <a:extLst>
                <a:ext uri="{63B3BB69-23CF-44E3-9099-C40C66FF867C}">
                  <a14:compatExt spid="_x0000_s4099"/>
                </a:ext>
              </a:extLst>
            </xdr:cNvPr>
            <xdr:cNvSpPr/>
          </xdr:nvSpPr>
          <xdr:spPr>
            <a:xfrm>
              <a:off x="5429250" y="3705225"/>
              <a:ext cx="3762375" cy="333375"/>
            </a:xfrm>
            <a:prstGeom prst="rect">
              <a:avLst/>
            </a:prstGeom>
          </xdr:spPr>
        </xdr:sp>
        <xdr:clientData/>
      </xdr:twoCellAnchor>
    </mc:Choice>
    <mc:Fallback/>
  </mc:AlternateContent>
</xdr:wsDr>
</file>

<file path=xl/drawings/drawing2.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6</xdr:row>
          <xdr:rowOff>28575</xdr:rowOff>
        </xdr:from>
        <xdr:to>
          <xdr:col>7</xdr:col>
          <xdr:colOff>0</xdr:colOff>
          <xdr:row>7</xdr:row>
          <xdr:rowOff>0</xdr:rowOff>
        </xdr:to>
        <xdr:sp>
          <xdr:nvSpPr>
            <xdr:cNvPr id="6146" name="Scroll Bar 2" hidden="1">
              <a:extLst>
                <a:ext uri="{63B3BB69-23CF-44E3-9099-C40C66FF867C}">
                  <a14:compatExt spid="_x0000_s6146"/>
                </a:ext>
              </a:extLst>
            </xdr:cNvPr>
            <xdr:cNvSpPr/>
          </xdr:nvSpPr>
          <xdr:spPr>
            <a:xfrm>
              <a:off x="6915150" y="1857375"/>
              <a:ext cx="1400175" cy="26670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7</xdr:row>
          <xdr:rowOff>47625</xdr:rowOff>
        </xdr:from>
        <xdr:to>
          <xdr:col>7</xdr:col>
          <xdr:colOff>0</xdr:colOff>
          <xdr:row>8</xdr:row>
          <xdr:rowOff>0</xdr:rowOff>
        </xdr:to>
        <xdr:sp>
          <xdr:nvSpPr>
            <xdr:cNvPr id="6147" name="Scroll Bar 3" hidden="1">
              <a:extLst>
                <a:ext uri="{63B3BB69-23CF-44E3-9099-C40C66FF867C}">
                  <a14:compatExt spid="_x0000_s6147"/>
                </a:ext>
              </a:extLst>
            </xdr:cNvPr>
            <xdr:cNvSpPr/>
          </xdr:nvSpPr>
          <xdr:spPr>
            <a:xfrm>
              <a:off x="6915150" y="2171700"/>
              <a:ext cx="1400175"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xdr:row>
          <xdr:rowOff>28575</xdr:rowOff>
        </xdr:from>
        <xdr:to>
          <xdr:col>7</xdr:col>
          <xdr:colOff>0</xdr:colOff>
          <xdr:row>9</xdr:row>
          <xdr:rowOff>0</xdr:rowOff>
        </xdr:to>
        <xdr:sp>
          <xdr:nvSpPr>
            <xdr:cNvPr id="6148" name="Scroll Bar 4" hidden="1">
              <a:extLst>
                <a:ext uri="{63B3BB69-23CF-44E3-9099-C40C66FF867C}">
                  <a14:compatExt spid="_x0000_s6148"/>
                </a:ext>
              </a:extLst>
            </xdr:cNvPr>
            <xdr:cNvSpPr/>
          </xdr:nvSpPr>
          <xdr:spPr>
            <a:xfrm>
              <a:off x="6924675" y="2447925"/>
              <a:ext cx="1390650" cy="26670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13</xdr:row>
          <xdr:rowOff>28575</xdr:rowOff>
        </xdr:from>
        <xdr:to>
          <xdr:col>7</xdr:col>
          <xdr:colOff>0</xdr:colOff>
          <xdr:row>14</xdr:row>
          <xdr:rowOff>0</xdr:rowOff>
        </xdr:to>
        <xdr:sp>
          <xdr:nvSpPr>
            <xdr:cNvPr id="6149" name="Scroll Bar 5" hidden="1">
              <a:extLst>
                <a:ext uri="{63B3BB69-23CF-44E3-9099-C40C66FF867C}">
                  <a14:compatExt spid="_x0000_s6149"/>
                </a:ext>
              </a:extLst>
            </xdr:cNvPr>
            <xdr:cNvSpPr/>
          </xdr:nvSpPr>
          <xdr:spPr>
            <a:xfrm>
              <a:off x="6924675" y="3924300"/>
              <a:ext cx="1390650" cy="26670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14</xdr:row>
          <xdr:rowOff>28575</xdr:rowOff>
        </xdr:from>
        <xdr:to>
          <xdr:col>7</xdr:col>
          <xdr:colOff>0</xdr:colOff>
          <xdr:row>15</xdr:row>
          <xdr:rowOff>0</xdr:rowOff>
        </xdr:to>
        <xdr:sp>
          <xdr:nvSpPr>
            <xdr:cNvPr id="6150" name="Scroll Bar 6" hidden="1">
              <a:extLst>
                <a:ext uri="{63B3BB69-23CF-44E3-9099-C40C66FF867C}">
                  <a14:compatExt spid="_x0000_s6150"/>
                </a:ext>
              </a:extLst>
            </xdr:cNvPr>
            <xdr:cNvSpPr/>
          </xdr:nvSpPr>
          <xdr:spPr>
            <a:xfrm>
              <a:off x="6924675" y="4219575"/>
              <a:ext cx="1390650" cy="26670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15</xdr:row>
          <xdr:rowOff>19050</xdr:rowOff>
        </xdr:from>
        <xdr:to>
          <xdr:col>7</xdr:col>
          <xdr:colOff>0</xdr:colOff>
          <xdr:row>16</xdr:row>
          <xdr:rowOff>0</xdr:rowOff>
        </xdr:to>
        <xdr:sp>
          <xdr:nvSpPr>
            <xdr:cNvPr id="6151" name="Scroll Bar 7" hidden="1">
              <a:extLst>
                <a:ext uri="{63B3BB69-23CF-44E3-9099-C40C66FF867C}">
                  <a14:compatExt spid="_x0000_s6151"/>
                </a:ext>
              </a:extLst>
            </xdr:cNvPr>
            <xdr:cNvSpPr/>
          </xdr:nvSpPr>
          <xdr:spPr>
            <a:xfrm>
              <a:off x="6915150" y="4505325"/>
              <a:ext cx="1400175" cy="2762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16</xdr:row>
          <xdr:rowOff>28575</xdr:rowOff>
        </xdr:from>
        <xdr:to>
          <xdr:col>7</xdr:col>
          <xdr:colOff>0</xdr:colOff>
          <xdr:row>17</xdr:row>
          <xdr:rowOff>0</xdr:rowOff>
        </xdr:to>
        <xdr:sp>
          <xdr:nvSpPr>
            <xdr:cNvPr id="6152" name="Scroll Bar 8" hidden="1">
              <a:extLst>
                <a:ext uri="{63B3BB69-23CF-44E3-9099-C40C66FF867C}">
                  <a14:compatExt spid="_x0000_s6152"/>
                </a:ext>
              </a:extLst>
            </xdr:cNvPr>
            <xdr:cNvSpPr/>
          </xdr:nvSpPr>
          <xdr:spPr>
            <a:xfrm>
              <a:off x="6915150" y="4810125"/>
              <a:ext cx="1400175" cy="26670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18</xdr:row>
          <xdr:rowOff>19050</xdr:rowOff>
        </xdr:from>
        <xdr:to>
          <xdr:col>7</xdr:col>
          <xdr:colOff>0</xdr:colOff>
          <xdr:row>19</xdr:row>
          <xdr:rowOff>0</xdr:rowOff>
        </xdr:to>
        <xdr:sp>
          <xdr:nvSpPr>
            <xdr:cNvPr id="6154" name="Scroll Bar 10" hidden="1">
              <a:extLst>
                <a:ext uri="{63B3BB69-23CF-44E3-9099-C40C66FF867C}">
                  <a14:compatExt spid="_x0000_s6154"/>
                </a:ext>
              </a:extLst>
            </xdr:cNvPr>
            <xdr:cNvSpPr/>
          </xdr:nvSpPr>
          <xdr:spPr>
            <a:xfrm>
              <a:off x="6953250" y="5391150"/>
              <a:ext cx="1362075" cy="2762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19</xdr:row>
          <xdr:rowOff>47625</xdr:rowOff>
        </xdr:from>
        <xdr:to>
          <xdr:col>7</xdr:col>
          <xdr:colOff>0</xdr:colOff>
          <xdr:row>20</xdr:row>
          <xdr:rowOff>0</xdr:rowOff>
        </xdr:to>
        <xdr:sp>
          <xdr:nvSpPr>
            <xdr:cNvPr id="6156" name="Scroll Bar 12" hidden="1">
              <a:extLst>
                <a:ext uri="{63B3BB69-23CF-44E3-9099-C40C66FF867C}">
                  <a14:compatExt spid="_x0000_s6156"/>
                </a:ext>
              </a:extLst>
            </xdr:cNvPr>
            <xdr:cNvSpPr/>
          </xdr:nvSpPr>
          <xdr:spPr>
            <a:xfrm>
              <a:off x="6953250" y="5715000"/>
              <a:ext cx="1362075"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20</xdr:row>
          <xdr:rowOff>9525</xdr:rowOff>
        </xdr:from>
        <xdr:to>
          <xdr:col>7</xdr:col>
          <xdr:colOff>0</xdr:colOff>
          <xdr:row>21</xdr:row>
          <xdr:rowOff>0</xdr:rowOff>
        </xdr:to>
        <xdr:sp>
          <xdr:nvSpPr>
            <xdr:cNvPr id="6158" name="Scroll Bar 14" hidden="1">
              <a:extLst>
                <a:ext uri="{63B3BB69-23CF-44E3-9099-C40C66FF867C}">
                  <a14:compatExt spid="_x0000_s6158"/>
                </a:ext>
              </a:extLst>
            </xdr:cNvPr>
            <xdr:cNvSpPr/>
          </xdr:nvSpPr>
          <xdr:spPr>
            <a:xfrm>
              <a:off x="6924675" y="5972175"/>
              <a:ext cx="1390650" cy="2857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xdr:row>
          <xdr:rowOff>9525</xdr:rowOff>
        </xdr:from>
        <xdr:to>
          <xdr:col>6</xdr:col>
          <xdr:colOff>0</xdr:colOff>
          <xdr:row>2</xdr:row>
          <xdr:rowOff>0</xdr:rowOff>
        </xdr:to>
        <xdr:sp>
          <xdr:nvSpPr>
            <xdr:cNvPr id="6161" name="Scroll Bar 17" hidden="1">
              <a:extLst>
                <a:ext uri="{63B3BB69-23CF-44E3-9099-C40C66FF867C}">
                  <a14:compatExt spid="_x0000_s6161"/>
                </a:ext>
              </a:extLst>
            </xdr:cNvPr>
            <xdr:cNvSpPr/>
          </xdr:nvSpPr>
          <xdr:spPr>
            <a:xfrm>
              <a:off x="5524500" y="276225"/>
              <a:ext cx="1323975" cy="2571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xdr:row>
          <xdr:rowOff>19050</xdr:rowOff>
        </xdr:from>
        <xdr:to>
          <xdr:col>6</xdr:col>
          <xdr:colOff>0</xdr:colOff>
          <xdr:row>3</xdr:row>
          <xdr:rowOff>0</xdr:rowOff>
        </xdr:to>
        <xdr:sp>
          <xdr:nvSpPr>
            <xdr:cNvPr id="6162" name="Scroll Bar 18" hidden="1">
              <a:extLst>
                <a:ext uri="{63B3BB69-23CF-44E3-9099-C40C66FF867C}">
                  <a14:compatExt spid="_x0000_s6162"/>
                </a:ext>
              </a:extLst>
            </xdr:cNvPr>
            <xdr:cNvSpPr/>
          </xdr:nvSpPr>
          <xdr:spPr>
            <a:xfrm>
              <a:off x="5495925" y="552450"/>
              <a:ext cx="135255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9</xdr:row>
          <xdr:rowOff>28575</xdr:rowOff>
        </xdr:from>
        <xdr:to>
          <xdr:col>7</xdr:col>
          <xdr:colOff>0</xdr:colOff>
          <xdr:row>10</xdr:row>
          <xdr:rowOff>0</xdr:rowOff>
        </xdr:to>
        <xdr:sp>
          <xdr:nvSpPr>
            <xdr:cNvPr id="6164" name="Scroll Bar 20" hidden="1">
              <a:extLst>
                <a:ext uri="{63B3BB69-23CF-44E3-9099-C40C66FF867C}">
                  <a14:compatExt spid="_x0000_s6164"/>
                </a:ext>
              </a:extLst>
            </xdr:cNvPr>
            <xdr:cNvSpPr/>
          </xdr:nvSpPr>
          <xdr:spPr>
            <a:xfrm>
              <a:off x="6924675" y="2743200"/>
              <a:ext cx="1390650" cy="26670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10</xdr:row>
          <xdr:rowOff>28575</xdr:rowOff>
        </xdr:from>
        <xdr:to>
          <xdr:col>7</xdr:col>
          <xdr:colOff>0</xdr:colOff>
          <xdr:row>11</xdr:row>
          <xdr:rowOff>0</xdr:rowOff>
        </xdr:to>
        <xdr:sp>
          <xdr:nvSpPr>
            <xdr:cNvPr id="6165" name="Scroll Bar 21" hidden="1">
              <a:extLst>
                <a:ext uri="{63B3BB69-23CF-44E3-9099-C40C66FF867C}">
                  <a14:compatExt spid="_x0000_s6165"/>
                </a:ext>
              </a:extLst>
            </xdr:cNvPr>
            <xdr:cNvSpPr/>
          </xdr:nvSpPr>
          <xdr:spPr>
            <a:xfrm>
              <a:off x="6924675" y="3038475"/>
              <a:ext cx="1390650" cy="26670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11</xdr:row>
          <xdr:rowOff>28575</xdr:rowOff>
        </xdr:from>
        <xdr:to>
          <xdr:col>7</xdr:col>
          <xdr:colOff>0</xdr:colOff>
          <xdr:row>12</xdr:row>
          <xdr:rowOff>0</xdr:rowOff>
        </xdr:to>
        <xdr:sp>
          <xdr:nvSpPr>
            <xdr:cNvPr id="6167" name="Scroll Bar 23" hidden="1">
              <a:extLst>
                <a:ext uri="{63B3BB69-23CF-44E3-9099-C40C66FF867C}">
                  <a14:compatExt spid="_x0000_s6167"/>
                </a:ext>
              </a:extLst>
            </xdr:cNvPr>
            <xdr:cNvSpPr/>
          </xdr:nvSpPr>
          <xdr:spPr>
            <a:xfrm>
              <a:off x="6924675" y="3333750"/>
              <a:ext cx="1390650" cy="26670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12</xdr:row>
          <xdr:rowOff>28575</xdr:rowOff>
        </xdr:from>
        <xdr:to>
          <xdr:col>7</xdr:col>
          <xdr:colOff>0</xdr:colOff>
          <xdr:row>13</xdr:row>
          <xdr:rowOff>0</xdr:rowOff>
        </xdr:to>
        <xdr:sp>
          <xdr:nvSpPr>
            <xdr:cNvPr id="6169" name="Scroll Bar 25" hidden="1">
              <a:extLst>
                <a:ext uri="{63B3BB69-23CF-44E3-9099-C40C66FF867C}">
                  <a14:compatExt spid="_x0000_s6169"/>
                </a:ext>
              </a:extLst>
            </xdr:cNvPr>
            <xdr:cNvSpPr/>
          </xdr:nvSpPr>
          <xdr:spPr>
            <a:xfrm>
              <a:off x="6924675" y="3629025"/>
              <a:ext cx="1390650" cy="266700"/>
            </a:xfrm>
            <a:prstGeom prst="rect">
              <a:avLst/>
            </a:prstGeom>
          </xdr:spPr>
        </xdr:sp>
        <xdr:clientData/>
      </xdr:twoCellAnchor>
    </mc:Choice>
    <mc:Fallback/>
  </mc:AlternateContent>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334645</xdr:colOff>
      <xdr:row>30</xdr:row>
      <xdr:rowOff>292100</xdr:rowOff>
    </xdr:from>
    <xdr:to>
      <xdr:col>8</xdr:col>
      <xdr:colOff>0</xdr:colOff>
      <xdr:row>45</xdr:row>
      <xdr:rowOff>53975</xdr:rowOff>
    </xdr:to>
    <xdr:pic>
      <xdr:nvPicPr>
        <xdr:cNvPr id="2" name="图片 1"/>
        <xdr:cNvPicPr>
          <a:picLocks noChangeAspect="1"/>
        </xdr:cNvPicPr>
      </xdr:nvPicPr>
      <xdr:blipFill>
        <a:blip r:embed="rId1"/>
        <a:stretch>
          <a:fillRect/>
        </a:stretch>
      </xdr:blipFill>
      <xdr:spPr>
        <a:xfrm>
          <a:off x="3192145" y="11956415"/>
          <a:ext cx="6544310" cy="6838950"/>
        </a:xfrm>
        <a:prstGeom prst="rect">
          <a:avLst/>
        </a:prstGeom>
        <a:noFill/>
        <a:ln w="9525">
          <a:noFill/>
        </a:ln>
      </xdr:spPr>
    </xdr:pic>
    <xdr:clientData/>
  </xdr:twoCellAnchor>
  <xdr:twoCellAnchor editAs="oneCell">
    <xdr:from>
      <xdr:col>3</xdr:col>
      <xdr:colOff>0</xdr:colOff>
      <xdr:row>43</xdr:row>
      <xdr:rowOff>0</xdr:rowOff>
    </xdr:from>
    <xdr:to>
      <xdr:col>8</xdr:col>
      <xdr:colOff>716280</xdr:colOff>
      <xdr:row>54</xdr:row>
      <xdr:rowOff>96520</xdr:rowOff>
    </xdr:to>
    <xdr:pic>
      <xdr:nvPicPr>
        <xdr:cNvPr id="3" name="图片 2"/>
        <xdr:cNvPicPr>
          <a:picLocks noChangeAspect="1"/>
        </xdr:cNvPicPr>
      </xdr:nvPicPr>
      <xdr:blipFill>
        <a:blip r:embed="rId2"/>
        <a:stretch>
          <a:fillRect/>
        </a:stretch>
      </xdr:blipFill>
      <xdr:spPr>
        <a:xfrm>
          <a:off x="4013835" y="17797780"/>
          <a:ext cx="6438900" cy="5286375"/>
        </a:xfrm>
        <a:prstGeom prst="rect">
          <a:avLst/>
        </a:prstGeom>
        <a:noFill/>
        <a:ln w="9525">
          <a:noFill/>
        </a:ln>
      </xdr:spPr>
    </xdr:pic>
    <xdr:clientData/>
  </xdr:twoCellAnchor>
  <xdr:twoCellAnchor editAs="oneCell">
    <xdr:from>
      <xdr:col>17</xdr:col>
      <xdr:colOff>882015</xdr:colOff>
      <xdr:row>32</xdr:row>
      <xdr:rowOff>55880</xdr:rowOff>
    </xdr:from>
    <xdr:to>
      <xdr:col>25</xdr:col>
      <xdr:colOff>23495</xdr:colOff>
      <xdr:row>45</xdr:row>
      <xdr:rowOff>100330</xdr:rowOff>
    </xdr:to>
    <xdr:pic>
      <xdr:nvPicPr>
        <xdr:cNvPr id="4" name="图片 3" descr="75803ef06e4210268ed13552263dbaa"/>
        <xdr:cNvPicPr>
          <a:picLocks noChangeAspect="1"/>
        </xdr:cNvPicPr>
      </xdr:nvPicPr>
      <xdr:blipFill>
        <a:blip r:embed="rId3"/>
        <a:stretch>
          <a:fillRect/>
        </a:stretch>
      </xdr:blipFill>
      <xdr:spPr>
        <a:xfrm>
          <a:off x="24449405" y="12663805"/>
          <a:ext cx="10015220" cy="6177915"/>
        </a:xfrm>
        <a:prstGeom prst="rect">
          <a:avLst/>
        </a:prstGeom>
      </xdr:spPr>
    </xdr:pic>
    <xdr:clientData/>
  </xdr:twoCellAnchor>
  <xdr:twoCellAnchor editAs="oneCell">
    <xdr:from>
      <xdr:col>12</xdr:col>
      <xdr:colOff>0</xdr:colOff>
      <xdr:row>47</xdr:row>
      <xdr:rowOff>0</xdr:rowOff>
    </xdr:from>
    <xdr:to>
      <xdr:col>15</xdr:col>
      <xdr:colOff>1033145</xdr:colOff>
      <xdr:row>53</xdr:row>
      <xdr:rowOff>255270</xdr:rowOff>
    </xdr:to>
    <xdr:pic>
      <xdr:nvPicPr>
        <xdr:cNvPr id="5" name="图片 4"/>
        <xdr:cNvPicPr>
          <a:picLocks noChangeAspect="1"/>
        </xdr:cNvPicPr>
      </xdr:nvPicPr>
      <xdr:blipFill>
        <a:blip r:embed="rId4"/>
        <a:stretch>
          <a:fillRect/>
        </a:stretch>
      </xdr:blipFill>
      <xdr:spPr>
        <a:xfrm>
          <a:off x="15904845" y="19685000"/>
          <a:ext cx="6010275" cy="30861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henchen\Desktop\&#27979;&#31639;\&#30446;&#26631;&#25104;&#26412;&#26368;&#32456;&#29256;\\Users\chenchen\Library\Containers\com.tencent.xinWeChat\Data\Library\Application%20Support\com.tencent.xinWeChat\2.0b4.0.9\556cc9467b52c6429ec73479a811e005\Message\MessageTemp\9e20f478899dc29eb19741386f9343c8\File\\Volumes\NO%20NAME\\Volumes\NO%20NAME\2&#12289;&#26045;&#24037;&#22270;&#29256;&#30446;&#26631;&#25104;&#26412;\\Users\chenchen\Desktop\\\192.168.6.140\&#39033;&#30446;&#31649;&#29702;&#20013;&#24515;\&#36816;&#33829;&#36164;&#26009;&#24211;\&#21512;&#32422;&#37096;\&#26680;&#31639;&#37096;\&#37096;&#38376;&#24037;&#20316;\&#9733;&#21512;&#32422;&#37096;&#26376;&#24230;&#25253;&#34920;\&#22478;&#24066;&#20844;&#21496;&#26376;&#24230;&#25104;&#26412;&#32479;&#35745;\06.11.28&#25104;&#26412;&#26376;&#25253;\&#22825;&#27941;\&#22478;&#24066;&#39033;&#30446;\&#21271;&#23736;&#21326;&#24237;&#25104;&#26412;11.2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Users\chenchen\Desktop\&#27979;&#31639;\&#30446;&#26631;&#25104;&#26412;&#26368;&#32456;&#29256;\D:\&#25105;&#30340;&#25991;&#26723;\Documents\WeChat%20Files\huminjie1314520\FileStorage\File\2023-05\&#33637;&#38451;29&#21495;&#22320;&#22359;&#39033;&#30446;2020&#24180;1&#26376;&#21160;&#24577;&#25104;&#26412;&#25253;&#34920;&#65288;&#32447;&#19979;&#65289;%20-%20&#21103;&#264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sers\chenchen\Desktop\&#27979;&#31639;\&#30446;&#26631;&#25104;&#26412;&#26368;&#32456;&#29256;\\Users\chenchen\Library\Containers\com.tencent.xinWeChat\Data\Library\Application%20Support\com.tencent.xinWeChat\2.0b4.0.9\556cc9467b52c6429ec73479a811e005\Message\MessageTemp\9e20f478899dc29eb19741386f9343c8\File\\\Volumes\NO%20NAME\\\Volumes\NO%20NAME\2&#12289;&#26045;&#24037;&#22270;&#29256;&#30446;&#26631;&#25104;&#26412;\\\Users\chenchen\Desktop\D:\&#27979;&#31639;\11.5&#23391;&#27941;\&#23391;&#27941;&#22320;&#22359;1&#21495;2019-11-4%20&#30340;&#22791;&#20221;.xlk"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sers\chenchen\Desktop\&#27979;&#31639;\&#30446;&#26631;&#25104;&#26412;&#26368;&#32456;&#29256;\\Users\chenchen\Library\Containers\com.tencent.xinWeChat\Data\Library\Application%20Support\com.tencent.xinWeChat\2.0b4.0.9\556cc9467b52c6429ec73479a811e005\Message\MessageTemp\9e20f478899dc29eb19741386f9343c8\File\\\Volumes\NO%20NAME\\\Volumes\NO%20NAME\2&#12289;&#26045;&#24037;&#22270;&#29256;&#30446;&#26631;&#25104;&#26412;\\\Users\chenchen\Desktop\D:\&#25105;&#30340;&#25991;&#26723;\Documents\WeChat%20Files\wxid_la8wgjb1yxd422\FileStorage\File\2023-02\&#26041;&#26696;&#20108;&#65306;&#20843;&#37324;&#22530;&#22320;&#22359;&#27979;&#31639;2022.10.11%20-%20&#27719;&#24635;3(1)(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sers\chenchen\Desktop\&#27979;&#31639;\&#30446;&#26631;&#25104;&#26412;&#26368;&#32456;&#29256;\\Users\chenchen\Library\Containers\com.tencent.xinWeChat\Data\Library\Application%20Support\com.tencent.xinWeChat\2.0b4.0.9\556cc9467b52c6429ec73479a811e005\Message\MessageTemp\9e20f478899dc29eb19741386f9343c8\File\\\Volumes\NO%20NAME\\\Volumes\NO%20NAME\2&#12289;&#26045;&#24037;&#22270;&#29256;&#30446;&#26631;&#25104;&#26412;\\\Users\chenchen\Desktop\D:\&#23452;&#38451;&#39033;&#30446;\&#30446;&#26631;&#25104;&#26412;\&#26045;&#24037;&#22270;&#29256;&#26412;\&#23665;&#27700;&#25991;&#33489;&#27979;&#31639;&#26032;&#34920;2020.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chenchen\Desktop\&#27979;&#31639;\&#30446;&#26631;&#25104;&#26412;&#26368;&#32456;&#29256;\\Users\chenchen\Library\Containers\com.tencent.xinWeChat\Data\Library\Application%20Support\com.tencent.xinWeChat\2.0b4.0.9\556cc9467b52c6429ec73479a811e005\Message\MessageTemp\9e20f478899dc29eb19741386f9343c8\File\&#20843;&#37324;&#22530;&#22320;&#22359;&#27979;&#31639;&#12304;&#20154;&#38450;&#38754;&#31215;&#35843;&#25972;&#12289;&#22686;&#21152;&#21806;&#27004;&#37096;&#12289;&#23454;&#38469;&#29616;&#37329;&#27969;&#12305;2022.11.30%20-&#65288;&#22303;&#22320;&#25353;&#21344;&#22320;&#38754;&#31215;&#25674;&#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chenchen\Desktop\&#27979;&#31639;\&#30446;&#26631;&#25104;&#26412;&#26368;&#32456;&#29256;\\Users\chenchen\Library\Containers\com.tencent.xinWeChat\Data\Library\Application%20Support\com.tencent.xinWeChat\2.0b4.0.9\556cc9467b52c6429ec73479a811e005\Message\MessageTemp\9e20f478899dc29eb19741386f9343c8\File\\Volumes\NO%20NAME\\Volumes\NO%20NAME\2&#12289;&#26045;&#24037;&#22270;&#29256;&#30446;&#26631;&#25104;&#26412;\\Users\chenchen\Desktop\\Users\WIN10\Documents\WeChat%20Files\wxid_5xmrzosqt5wp12\FileStorage\File\2022-11\&#33457;&#22253;&#26449;&#22320;&#22359;&#27979;&#31639;&#65288;&#32431;11&#23618;&#65289;0921&#29616;&#37329;&#27969;&#65288;&#25343;&#35777;&#39044;&#21806;&#6528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chenchen\Desktop\&#27979;&#31639;\&#30446;&#26631;&#25104;&#26412;&#26368;&#32456;&#29256;\\Users\chenchen\Library\Containers\com.tencent.xinWeChat\Data\Library\Application%20Support\com.tencent.xinWeChat\2.0b4.0.9\556cc9467b52c6429ec73479a811e005\Message\MessageTemp\9e20f478899dc29eb19741386f9343c8\File\\Volumes\NO%20NAME\\Volumes\NO%20NAME\2&#12289;&#26045;&#24037;&#22270;&#29256;&#30446;&#26631;&#25104;&#26412;\\Users\chenchen\Desktop\\2022&#24180;&#24230;&#38598;&#35757;\&#20843;&#37324;&#22530;&#38598;&#35757;\&#20843;&#37324;&#22530;&#39033;&#30446;&#20840;&#21608;&#26399;&#39044;&#31639;&#32534;&#21046;\&#20843;&#37324;&#22530;&#20840;&#21608;&#26399;&#27979;&#31639;&#20108;&#29256;2022.11.30\&#27719;&#24635;&#20843;&#37324;&#22530;&#39033;&#30446;&#20840;&#21608;&#26399;&#39044;&#31639;&#22635;&#25253;--2022.11.3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chenchen\Desktop\&#27979;&#31639;\&#30446;&#26631;&#25104;&#26412;&#26368;&#32456;&#29256;\\Users\jinke\AppData\Local\Temp\Rar$DIa15316.24460\&#27827;&#21335;&#21306;&#22495;&#37073;&#24030;&#37329;&#27700;&#26472;&#37329;&#39033;&#30446;8&#26376;&#20221;&#21160;&#24577;&#25104;&#26412;&#21488;&#36134;&#3492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chenchen\Desktop\&#27979;&#31639;\&#30446;&#26631;&#25104;&#26412;&#26368;&#32456;&#29256;\\\192.168.6.140\&#39033;&#30446;&#31649;&#29702;&#20013;&#24515;\&#36816;&#33829;&#36164;&#26009;&#24211;\&#21512;&#32422;&#37096;\&#26680;&#31639;&#37096;\&#37096;&#38376;&#24037;&#20316;\&#9733;&#21512;&#32422;&#37096;&#26376;&#24230;&#25253;&#34920;\&#22478;&#24066;&#20844;&#21496;&#26376;&#24230;&#25104;&#26412;&#32479;&#35745;\06.11.28&#25104;&#26412;&#26376;&#25253;\&#22825;&#27941;\&#22478;&#24066;&#39033;&#30446;\&#21271;&#23736;&#21326;&#24237;&#25104;&#26412;11.2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拨款台帐"/>
      <sheetName val="合同台帐"/>
      <sheetName val="集团模板"/>
      <sheetName val="成本指标明细"/>
    </sheetNames>
    <sheetDataSet>
      <sheetData sheetId="0"/>
      <sheetData sheetId="1"/>
      <sheetData sheetId="2"/>
      <sheetData sheetId="3"/>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演示流程"/>
      <sheetName val="动态成本台帐 (3)"/>
      <sheetName val="使用说明"/>
      <sheetName val="摘要汇总表"/>
      <sheetName val="情况说明"/>
      <sheetName val="目标成本对比"/>
      <sheetName val="动态成本台帐"/>
      <sheetName val="合同台帐"/>
      <sheetName val="已发生签证"/>
      <sheetName val="未转签证变更"/>
      <sheetName val="已发生无合同成本"/>
      <sheetName val="待发生合约规划"/>
      <sheetName val="动态成本台帐 (2)"/>
      <sheetName val="总包成本分析测算表"/>
    </sheetNames>
    <sheetDataSet>
      <sheetData sheetId="0" refreshError="1"/>
      <sheetData sheetId="1" refreshError="1"/>
      <sheetData sheetId="2" refreshError="1"/>
      <sheetData sheetId="3" refreshError="1"/>
      <sheetData sheetId="4" refreshError="1"/>
      <sheetData sheetId="5" refreshError="1"/>
      <sheetData sheetId="6" refreshError="1">
        <row r="3">
          <cell r="J3" t="str">
            <v>当前预期超支节余率</v>
          </cell>
        </row>
      </sheetData>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目录"/>
      <sheetName val="项目概况"/>
      <sheetName val="经济指标"/>
      <sheetName val="成本测算明细"/>
      <sheetName val="税率"/>
      <sheetName val="收入及土地测算"/>
      <sheetName val="预计销售收入及费用情况表"/>
      <sheetName val="项目资金筹措"/>
      <sheetName val="税金计算表"/>
      <sheetName val="项目利润情况表"/>
      <sheetName val="销售计划表"/>
      <sheetName val="工程及开发计划"/>
      <sheetName val="管理费用"/>
      <sheetName val="现金流预测"/>
      <sheetName val="数据源（不可删除）"/>
      <sheetName val="1"/>
    </sheetNames>
    <sheetDataSet>
      <sheetData sheetId="0"/>
      <sheetData sheetId="1" refreshError="1"/>
      <sheetData sheetId="2">
        <row r="6">
          <cell r="G6">
            <v>54.13839</v>
          </cell>
        </row>
        <row r="8">
          <cell r="G8">
            <v>2.30000005541354</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静态成本表(汇报表)"/>
      <sheetName val="目录"/>
      <sheetName val="项目测算对比分析"/>
      <sheetName val="项目概况"/>
      <sheetName val="经济指标"/>
      <sheetName val="成本测算明细"/>
      <sheetName val="税率"/>
      <sheetName val="收入及土地测算"/>
      <sheetName val="预计销售收入及费用情况表"/>
      <sheetName val="项目资金筹措"/>
      <sheetName val="税金计算表"/>
      <sheetName val="项目利润情况表"/>
      <sheetName val="销售计划表"/>
      <sheetName val="工程及开发计划"/>
      <sheetName val="管理费用"/>
      <sheetName val="现金流预测"/>
      <sheetName val="数据源（不可删除）"/>
      <sheetName val="推售计划"/>
      <sheetName val="现金流"/>
      <sheetName va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65">
          <cell r="C65">
            <v>11600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目录"/>
      <sheetName val="项目概况"/>
      <sheetName val="经济指标"/>
      <sheetName val="成本测算明细"/>
      <sheetName val="税率"/>
      <sheetName val="收入及土地测算"/>
      <sheetName val="预计销售收入及费用情况表"/>
      <sheetName val="项目资金筹措"/>
      <sheetName val="税金计算表"/>
      <sheetName val="项目利润情况表"/>
      <sheetName val="销售计划表"/>
      <sheetName val="工程及开发计划"/>
      <sheetName val="管理费用"/>
      <sheetName val="现金流预测"/>
      <sheetName val="数据源（不可删除）"/>
      <sheetName val="1"/>
      <sheetName val="Sheet1"/>
    </sheetNames>
    <sheetDataSet>
      <sheetData sheetId="0"/>
      <sheetData sheetId="1"/>
      <sheetData sheetId="2"/>
      <sheetData sheetId="3"/>
      <sheetData sheetId="4"/>
      <sheetData sheetId="5"/>
      <sheetData sheetId="6"/>
      <sheetData sheetId="7">
        <row r="9">
          <cell r="C9">
            <v>12263.13688</v>
          </cell>
        </row>
        <row r="11">
          <cell r="C11">
            <v>0</v>
          </cell>
        </row>
      </sheetData>
      <sheetData sheetId="8"/>
      <sheetData sheetId="9">
        <row r="20">
          <cell r="B20">
            <v>2838.66753215214</v>
          </cell>
        </row>
      </sheetData>
      <sheetData sheetId="10"/>
      <sheetData sheetId="11"/>
      <sheetData sheetId="12"/>
      <sheetData sheetId="13"/>
      <sheetData sheetId="14"/>
      <sheetData sheetId="15"/>
      <sheetData sheetId="16"/>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目录"/>
      <sheetName val="项目测算对比分析"/>
      <sheetName val="项目概况"/>
      <sheetName val="经济指标"/>
      <sheetName val="成本测算明细"/>
      <sheetName val="税率"/>
      <sheetName val="收入及土地测算"/>
      <sheetName val="预计销售收入及费用情况表"/>
      <sheetName val="项目资金筹措"/>
      <sheetName val="税金计算表"/>
      <sheetName val="项目利润情况表"/>
      <sheetName val="销售计划表"/>
      <sheetName val="工程及开发计划"/>
      <sheetName val="管理费用"/>
      <sheetName val="现金流预测"/>
      <sheetName val="数据源（不可删除）"/>
      <sheetName val="推售计划"/>
      <sheetName val="现金流"/>
      <sheetName val="拟排现金流"/>
      <sheetName val="1"/>
    </sheetNames>
    <sheetDataSet>
      <sheetData sheetId="0"/>
      <sheetData sheetId="1"/>
      <sheetData sheetId="2"/>
      <sheetData sheetId="3">
        <row r="8">
          <cell r="G8">
            <v>48400</v>
          </cell>
        </row>
        <row r="20">
          <cell r="G20">
            <v>21062.86</v>
          </cell>
        </row>
      </sheetData>
      <sheetData sheetId="4"/>
      <sheetData sheetId="5"/>
      <sheetData sheetId="6"/>
      <sheetData sheetId="7">
        <row r="23">
          <cell r="E23">
            <v>66200.8</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目录"/>
      <sheetName val="项目测算对比分析"/>
      <sheetName val="项目概况"/>
      <sheetName val="经济指标"/>
      <sheetName val="成本测算明细"/>
      <sheetName val="税率"/>
      <sheetName val="收入及土地测算"/>
      <sheetName val="预计销售收入及费用情况表"/>
      <sheetName val="项目资金筹措"/>
      <sheetName val="税金计算表"/>
      <sheetName val="项目利润情况表"/>
      <sheetName val="销售计划表"/>
      <sheetName val="工程及开发计划"/>
      <sheetName val="管理费用"/>
      <sheetName val="现金流预测"/>
      <sheetName val="数据源（不可删除）"/>
      <sheetName val="推售计划"/>
      <sheetName val="现金流"/>
      <sheetName val="1"/>
      <sheetName val="合同台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7">
          <cell r="C17">
            <v>0.08</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目录"/>
      <sheetName val="测算利润"/>
      <sheetName val="全周期预算汇总"/>
      <sheetName val="资金流量趋势"/>
      <sheetName val="销售推售计划表"/>
      <sheetName val="货值"/>
      <sheetName val="管理费用预算"/>
      <sheetName val="组织架构"/>
      <sheetName val="机构人员编制"/>
      <sheetName val="开办费预算"/>
      <sheetName val="销售费用预算"/>
      <sheetName val="工程支付节点"/>
      <sheetName val="开发计划预算"/>
      <sheetName val="成本、设计预算"/>
      <sheetName val="备注"/>
      <sheetName val="税金、利息、按揭保证金"/>
      <sheetName val="税金说明表"/>
      <sheetName val="总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row>
      </sheetData>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Macro1"/>
      <sheetName val="results"/>
      <sheetName val="results_2"/>
      <sheetName val="results_3"/>
      <sheetName val="results_4"/>
      <sheetName val="results_5"/>
      <sheetName val="results_6"/>
      <sheetName val="results_7"/>
      <sheetName val="results_8"/>
      <sheetName val="results_9"/>
      <sheetName val="results_10"/>
      <sheetName val="面积变化跟踪表"/>
      <sheetName val="成本动态台帐(不含增值税）"/>
      <sheetName val="合同台帐"/>
      <sheetName val="签证台帐"/>
      <sheetName val="设计变更台帐 "/>
      <sheetName val="无合同费用台帐 "/>
      <sheetName val="待发生合约规划"/>
      <sheetName val="工程进度表（每月实时更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拨款台帐"/>
      <sheetName val="合同台帐"/>
      <sheetName val="集团模板"/>
      <sheetName val="成本指标明细"/>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5.xml.rels><?xml version="1.0" encoding="UTF-8" standalone="yes"?>
<Relationships xmlns="http://schemas.openxmlformats.org/package/2006/relationships"><Relationship Id="rId9" Type="http://schemas.openxmlformats.org/officeDocument/2006/relationships/ctrlProp" Target="../ctrlProps/ctrlProp9.xml"/><Relationship Id="rId8" Type="http://schemas.openxmlformats.org/officeDocument/2006/relationships/ctrlProp" Target="../ctrlProps/ctrlProp8.xml"/><Relationship Id="rId7" Type="http://schemas.openxmlformats.org/officeDocument/2006/relationships/ctrlProp" Target="../ctrlProps/ctrlProp7.xml"/><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 Id="rId3" Type="http://schemas.openxmlformats.org/officeDocument/2006/relationships/ctrlProp" Target="../ctrlProps/ctrlProp3.xml"/><Relationship Id="rId2" Type="http://schemas.openxmlformats.org/officeDocument/2006/relationships/vmlDrawing" Target="../drawings/vmlDrawing3.vml"/><Relationship Id="rId18" Type="http://schemas.openxmlformats.org/officeDocument/2006/relationships/ctrlProp" Target="../ctrlProps/ctrlProp18.xml"/><Relationship Id="rId17" Type="http://schemas.openxmlformats.org/officeDocument/2006/relationships/ctrlProp" Target="../ctrlProps/ctrlProp17.xml"/><Relationship Id="rId16" Type="http://schemas.openxmlformats.org/officeDocument/2006/relationships/ctrlProp" Target="../ctrlProps/ctrlProp16.xml"/><Relationship Id="rId15" Type="http://schemas.openxmlformats.org/officeDocument/2006/relationships/ctrlProp" Target="../ctrlProps/ctrlProp15.xml"/><Relationship Id="rId14" Type="http://schemas.openxmlformats.org/officeDocument/2006/relationships/ctrlProp" Target="../ctrlProps/ctrlProp14.xml"/><Relationship Id="rId13" Type="http://schemas.openxmlformats.org/officeDocument/2006/relationships/ctrlProp" Target="../ctrlProps/ctrlProp13.xml"/><Relationship Id="rId12" Type="http://schemas.openxmlformats.org/officeDocument/2006/relationships/ctrlProp" Target="../ctrlProps/ctrlProp12.xml"/><Relationship Id="rId11" Type="http://schemas.openxmlformats.org/officeDocument/2006/relationships/ctrlProp" Target="../ctrlProps/ctrlProp11.xml"/><Relationship Id="rId10" Type="http://schemas.openxmlformats.org/officeDocument/2006/relationships/ctrlProp" Target="../ctrlProps/ctrlProp10.xml"/><Relationship Id="rId1" Type="http://schemas.openxmlformats.org/officeDocument/2006/relationships/drawing" Target="../drawings/drawing2.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2.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3.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comments" Target="../comments4.xml"/></Relationships>
</file>

<file path=xl/worksheets/_rels/sheet4.xml.rels><?xml version="1.0" encoding="UTF-8" standalone="yes"?>
<Relationships xmlns="http://schemas.openxmlformats.org/package/2006/relationships"><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workbookViewId="0">
      <selection activeCell="C19" sqref="C19"/>
    </sheetView>
  </sheetViews>
  <sheetFormatPr defaultColWidth="9" defaultRowHeight="28.5" customHeight="1" outlineLevelCol="5"/>
  <cols>
    <col min="1" max="1" width="7.375" style="139" customWidth="1"/>
    <col min="2" max="2" width="26" customWidth="1"/>
    <col min="3" max="4" width="13.625" customWidth="1"/>
    <col min="5" max="5" width="23.875" style="987" customWidth="1"/>
    <col min="6" max="6" width="13.625" customWidth="1"/>
  </cols>
  <sheetData>
    <row r="1" customHeight="1" spans="1:6">
      <c r="A1" s="988" t="str">
        <f>项目概况!B6&amp;"项目投资情况及全面预算表"</f>
        <v>洛龙区八里堂地块（挂牌）项目投资情况及全面预算表</v>
      </c>
      <c r="B1" s="988"/>
      <c r="C1" s="988"/>
      <c r="D1" s="988"/>
      <c r="E1" s="988"/>
      <c r="F1" s="988"/>
    </row>
    <row r="2" customHeight="1" spans="1:6">
      <c r="A2" s="142" t="s">
        <v>0</v>
      </c>
      <c r="B2" s="142" t="s">
        <v>1</v>
      </c>
      <c r="C2" s="142" t="s">
        <v>2</v>
      </c>
      <c r="D2" s="142" t="s">
        <v>3</v>
      </c>
      <c r="E2" s="989" t="s">
        <v>4</v>
      </c>
      <c r="F2" s="142" t="s">
        <v>5</v>
      </c>
    </row>
    <row r="3" customHeight="1" spans="1:6">
      <c r="A3" s="148">
        <v>1</v>
      </c>
      <c r="B3" s="990" t="s">
        <v>6</v>
      </c>
      <c r="C3" s="148" t="s">
        <v>7</v>
      </c>
      <c r="D3" s="223" t="s">
        <v>8</v>
      </c>
      <c r="E3" s="991" t="s">
        <v>9</v>
      </c>
      <c r="F3" s="274"/>
    </row>
    <row r="4" customHeight="1" spans="1:6">
      <c r="A4" s="148">
        <v>2</v>
      </c>
      <c r="B4" s="990" t="s">
        <v>10</v>
      </c>
      <c r="C4" s="148" t="s">
        <v>11</v>
      </c>
      <c r="D4" s="223" t="s">
        <v>12</v>
      </c>
      <c r="E4" s="991" t="s">
        <v>9</v>
      </c>
      <c r="F4" s="274"/>
    </row>
    <row r="5" customHeight="1" spans="1:6">
      <c r="A5" s="148">
        <v>3</v>
      </c>
      <c r="B5" s="990" t="s">
        <v>13</v>
      </c>
      <c r="C5" s="148" t="s">
        <v>14</v>
      </c>
      <c r="D5" s="223" t="s">
        <v>15</v>
      </c>
      <c r="E5" s="991" t="s">
        <v>9</v>
      </c>
      <c r="F5" s="274"/>
    </row>
    <row r="6" customHeight="1" spans="1:6">
      <c r="A6" s="148">
        <v>4</v>
      </c>
      <c r="B6" s="990" t="s">
        <v>16</v>
      </c>
      <c r="C6" s="148" t="s">
        <v>17</v>
      </c>
      <c r="D6" s="223" t="s">
        <v>18</v>
      </c>
      <c r="E6" s="991" t="s">
        <v>9</v>
      </c>
      <c r="F6" s="274"/>
    </row>
    <row r="7" customHeight="1" spans="1:6">
      <c r="A7" s="148">
        <v>5</v>
      </c>
      <c r="B7" s="990" t="s">
        <v>19</v>
      </c>
      <c r="C7" s="148" t="s">
        <v>20</v>
      </c>
      <c r="D7" s="223" t="s">
        <v>21</v>
      </c>
      <c r="E7" s="991" t="s">
        <v>9</v>
      </c>
      <c r="F7" s="274"/>
    </row>
    <row r="8" customHeight="1" spans="1:6">
      <c r="A8" s="148">
        <v>6</v>
      </c>
      <c r="B8" s="990" t="s">
        <v>22</v>
      </c>
      <c r="C8" s="148" t="s">
        <v>20</v>
      </c>
      <c r="D8" s="223" t="s">
        <v>21</v>
      </c>
      <c r="E8" s="991" t="s">
        <v>9</v>
      </c>
      <c r="F8" s="274"/>
    </row>
    <row r="9" customHeight="1" spans="1:6">
      <c r="A9" s="148">
        <v>7</v>
      </c>
      <c r="B9" s="990" t="s">
        <v>23</v>
      </c>
      <c r="C9" s="148" t="s">
        <v>20</v>
      </c>
      <c r="D9" s="223" t="s">
        <v>21</v>
      </c>
      <c r="E9" s="991" t="s">
        <v>9</v>
      </c>
      <c r="F9" s="274"/>
    </row>
    <row r="10" hidden="1" customHeight="1" spans="1:6">
      <c r="A10" s="148">
        <v>8</v>
      </c>
      <c r="B10" s="142" t="s">
        <v>24</v>
      </c>
      <c r="C10" s="274"/>
      <c r="D10" s="274"/>
      <c r="E10" s="991" t="s">
        <v>9</v>
      </c>
      <c r="F10" s="274"/>
    </row>
    <row r="11" hidden="1" customHeight="1" spans="1:6">
      <c r="A11" s="148">
        <v>9</v>
      </c>
      <c r="B11" s="142" t="s">
        <v>25</v>
      </c>
      <c r="C11" s="274"/>
      <c r="D11" s="274"/>
      <c r="E11" s="991" t="s">
        <v>9</v>
      </c>
      <c r="F11" s="274"/>
    </row>
    <row r="12" hidden="1" customHeight="1" spans="1:6">
      <c r="A12" s="148">
        <v>10</v>
      </c>
      <c r="B12" s="142" t="s">
        <v>26</v>
      </c>
      <c r="C12" s="274"/>
      <c r="D12" s="274"/>
      <c r="E12" s="991" t="s">
        <v>9</v>
      </c>
      <c r="F12" s="274"/>
    </row>
    <row r="13" hidden="1" customHeight="1" spans="1:6">
      <c r="A13" s="148">
        <v>11</v>
      </c>
      <c r="B13" s="142" t="s">
        <v>27</v>
      </c>
      <c r="C13" s="274"/>
      <c r="D13" s="274"/>
      <c r="E13" s="991" t="s">
        <v>9</v>
      </c>
      <c r="F13" s="274"/>
    </row>
    <row r="14" hidden="1" customHeight="1" spans="1:6">
      <c r="A14" s="148">
        <v>12</v>
      </c>
      <c r="B14" s="142" t="s">
        <v>28</v>
      </c>
      <c r="C14" s="274"/>
      <c r="D14" s="274"/>
      <c r="E14" s="991" t="s">
        <v>9</v>
      </c>
      <c r="F14" s="274"/>
    </row>
  </sheetData>
  <mergeCells count="1">
    <mergeCell ref="A1:F1"/>
  </mergeCells>
  <dataValidations count="2">
    <dataValidation type="list" allowBlank="1" showInputMessage="1" showErrorMessage="1" sqref="C2 C15:C1048576">
      <formula1>#REF!</formula1>
    </dataValidation>
    <dataValidation type="list" allowBlank="1" showInputMessage="1" showErrorMessage="1" sqref="C3:C14">
      <formula1>'数据源（不可删除）'!$C$2:$C$17</formula1>
    </dataValidation>
  </dataValidations>
  <hyperlinks>
    <hyperlink ref="B3" location="项目概况!A1" display="项目概况"/>
    <hyperlink ref="B4" location="经济指标!A1" display="经济指标"/>
    <hyperlink ref="B5" location="成本测算明细!A1" display="成本测算明细表"/>
    <hyperlink ref="B6" location="各业态预计销售情况表!A1" display="预计销售收入及费用情况表"/>
    <hyperlink ref="B7" location="项目资金筹措!A1" display="项目资金筹措"/>
    <hyperlink ref="B8" location="税金计算表!A1" display="税金计算表"/>
    <hyperlink ref="B9" location="项目利润情况表!A1" display="利润情况"/>
  </hyperlinks>
  <pageMargins left="0.699305555555556" right="0.699305555555556"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zoomScaleSheetLayoutView="60" workbookViewId="0">
      <selection activeCell="E20" sqref="E20"/>
    </sheetView>
  </sheetViews>
  <sheetFormatPr defaultColWidth="9" defaultRowHeight="14.25" outlineLevelCol="7"/>
  <cols>
    <col min="1" max="1" width="5" style="534" customWidth="1"/>
    <col min="2" max="2" width="22.375" style="535" customWidth="1"/>
    <col min="3" max="3" width="11" style="535" customWidth="1"/>
    <col min="4" max="4" width="21.375" style="535" customWidth="1"/>
    <col min="5" max="5" width="18.875" style="532" customWidth="1"/>
    <col min="6" max="6" width="29.125" style="532" customWidth="1"/>
    <col min="7" max="7" width="16" style="532" customWidth="1"/>
    <col min="8" max="8" width="14.75" style="532" customWidth="1"/>
    <col min="9" max="16384" width="9" style="532"/>
  </cols>
  <sheetData>
    <row r="1" ht="29.25" customHeight="1" spans="1:6">
      <c r="A1" s="536" t="s">
        <v>1042</v>
      </c>
      <c r="B1" s="536"/>
      <c r="C1" s="536"/>
      <c r="D1" s="536"/>
      <c r="E1" s="536"/>
      <c r="F1" s="536"/>
    </row>
    <row r="2" s="533" customFormat="1" ht="23.25" customHeight="1" spans="1:8">
      <c r="A2" s="537" t="s">
        <v>0</v>
      </c>
      <c r="B2" s="538" t="s">
        <v>1</v>
      </c>
      <c r="C2" s="538" t="s">
        <v>1043</v>
      </c>
      <c r="D2" s="538" t="s">
        <v>1044</v>
      </c>
      <c r="E2" s="539" t="s">
        <v>1045</v>
      </c>
      <c r="F2" s="540" t="s">
        <v>1046</v>
      </c>
      <c r="H2" s="532"/>
    </row>
    <row r="3" ht="30" customHeight="1" spans="1:7">
      <c r="A3" s="541"/>
      <c r="B3" s="542"/>
      <c r="C3" s="543"/>
      <c r="D3" s="543"/>
      <c r="E3" s="544"/>
      <c r="F3" s="545"/>
      <c r="G3" s="546"/>
    </row>
    <row r="4" ht="30" customHeight="1" spans="1:7">
      <c r="A4" s="541"/>
      <c r="B4" s="543"/>
      <c r="C4" s="543"/>
      <c r="D4" s="543"/>
      <c r="E4" s="544"/>
      <c r="F4" s="545"/>
      <c r="G4" s="546"/>
    </row>
    <row r="5" ht="30" customHeight="1" spans="1:7">
      <c r="A5" s="541"/>
      <c r="B5" s="543"/>
      <c r="C5" s="543"/>
      <c r="D5" s="543"/>
      <c r="E5" s="544"/>
      <c r="F5" s="545"/>
      <c r="G5" s="546"/>
    </row>
    <row r="6" ht="30" customHeight="1" spans="1:6">
      <c r="A6" s="547"/>
      <c r="B6" s="548"/>
      <c r="C6" s="548"/>
      <c r="D6" s="548"/>
      <c r="E6" s="549"/>
      <c r="F6" s="550"/>
    </row>
    <row r="7" ht="30" customHeight="1" spans="1:6">
      <c r="A7" s="547"/>
      <c r="B7" s="548"/>
      <c r="C7" s="548"/>
      <c r="D7" s="548"/>
      <c r="E7" s="549"/>
      <c r="F7" s="550"/>
    </row>
    <row r="8" ht="30" customHeight="1" spans="1:6">
      <c r="A8" s="541"/>
      <c r="B8" s="543"/>
      <c r="C8" s="543"/>
      <c r="D8" s="548"/>
      <c r="E8" s="549"/>
      <c r="F8" s="545"/>
    </row>
    <row r="9" ht="30" customHeight="1" spans="1:7">
      <c r="A9" s="541"/>
      <c r="B9" s="543"/>
      <c r="C9" s="543"/>
      <c r="D9" s="543"/>
      <c r="E9" s="549"/>
      <c r="F9" s="545"/>
      <c r="G9" s="546"/>
    </row>
    <row r="10" ht="30" customHeight="1" spans="1:6">
      <c r="A10" s="541"/>
      <c r="B10" s="543"/>
      <c r="C10" s="543"/>
      <c r="D10" s="543"/>
      <c r="E10" s="549"/>
      <c r="F10" s="545"/>
    </row>
    <row r="11" ht="30" customHeight="1" spans="1:8">
      <c r="A11" s="541"/>
      <c r="B11" s="543"/>
      <c r="C11" s="543"/>
      <c r="D11" s="543"/>
      <c r="E11" s="549"/>
      <c r="F11" s="545"/>
      <c r="H11" s="551"/>
    </row>
    <row r="12" ht="30" customHeight="1" spans="1:6">
      <c r="A12" s="541"/>
      <c r="B12" s="543"/>
      <c r="C12" s="543"/>
      <c r="D12" s="543"/>
      <c r="E12" s="544"/>
      <c r="F12" s="545"/>
    </row>
    <row r="13" spans="1:6">
      <c r="A13" s="535" t="s">
        <v>1047</v>
      </c>
      <c r="E13" s="535"/>
      <c r="F13" s="535"/>
    </row>
  </sheetData>
  <mergeCells count="2">
    <mergeCell ref="A1:F1"/>
    <mergeCell ref="A13:F13"/>
  </mergeCells>
  <pageMargins left="0.7" right="0.7" top="0.75" bottom="0.75" header="0.3" footer="0.3"/>
  <pageSetup paperSize="9" orientation="portrait" horizont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E19" sqref="E19"/>
    </sheetView>
  </sheetViews>
  <sheetFormatPr defaultColWidth="9" defaultRowHeight="14.25" outlineLevelCol="7"/>
  <cols>
    <col min="1" max="1" width="5" style="534" customWidth="1"/>
    <col min="2" max="2" width="22.375" style="535" customWidth="1"/>
    <col min="3" max="3" width="11" style="535" customWidth="1"/>
    <col min="4" max="4" width="21.375" style="535" customWidth="1"/>
    <col min="5" max="5" width="18.875" style="532" customWidth="1"/>
    <col min="6" max="6" width="29.125" style="532" customWidth="1"/>
    <col min="7" max="7" width="16" style="532" customWidth="1"/>
    <col min="8" max="8" width="14.75" style="532" customWidth="1"/>
    <col min="9" max="16384" width="9" style="532"/>
  </cols>
  <sheetData>
    <row r="1" s="532" customFormat="1" ht="29.25" customHeight="1" spans="1:6">
      <c r="A1" s="536" t="s">
        <v>1048</v>
      </c>
      <c r="B1" s="536"/>
      <c r="C1" s="536"/>
      <c r="D1" s="536"/>
      <c r="E1" s="536"/>
      <c r="F1" s="536"/>
    </row>
    <row r="2" s="533" customFormat="1" ht="23.25" customHeight="1" spans="1:8">
      <c r="A2" s="537" t="s">
        <v>0</v>
      </c>
      <c r="B2" s="538" t="s">
        <v>1049</v>
      </c>
      <c r="C2" s="538" t="s">
        <v>1050</v>
      </c>
      <c r="D2" s="538" t="s">
        <v>1051</v>
      </c>
      <c r="E2" s="539" t="s">
        <v>1052</v>
      </c>
      <c r="F2" s="540" t="s">
        <v>1053</v>
      </c>
      <c r="H2" s="532"/>
    </row>
    <row r="3" s="532" customFormat="1" ht="30" customHeight="1" spans="1:7">
      <c r="A3" s="541"/>
      <c r="B3" s="542"/>
      <c r="C3" s="543"/>
      <c r="D3" s="543"/>
      <c r="E3" s="544"/>
      <c r="F3" s="545"/>
      <c r="G3" s="546"/>
    </row>
    <row r="4" s="532" customFormat="1" ht="30" customHeight="1" spans="1:7">
      <c r="A4" s="541"/>
      <c r="B4" s="543"/>
      <c r="C4" s="543"/>
      <c r="D4" s="543"/>
      <c r="E4" s="544"/>
      <c r="F4" s="545"/>
      <c r="G4" s="546"/>
    </row>
    <row r="5" s="532" customFormat="1" ht="30" customHeight="1" spans="1:7">
      <c r="A5" s="541"/>
      <c r="B5" s="543"/>
      <c r="C5" s="543"/>
      <c r="D5" s="543"/>
      <c r="E5" s="544"/>
      <c r="F5" s="545"/>
      <c r="G5" s="546"/>
    </row>
    <row r="6" s="532" customFormat="1" ht="30" customHeight="1" spans="1:6">
      <c r="A6" s="547"/>
      <c r="B6" s="548"/>
      <c r="C6" s="548"/>
      <c r="D6" s="548"/>
      <c r="E6" s="549"/>
      <c r="F6" s="550"/>
    </row>
    <row r="7" s="532" customFormat="1" ht="30" customHeight="1" spans="1:6">
      <c r="A7" s="547"/>
      <c r="B7" s="548"/>
      <c r="C7" s="548"/>
      <c r="D7" s="548"/>
      <c r="E7" s="549"/>
      <c r="F7" s="550"/>
    </row>
    <row r="8" s="532" customFormat="1" ht="30" customHeight="1" spans="1:6">
      <c r="A8" s="541"/>
      <c r="B8" s="543"/>
      <c r="C8" s="543"/>
      <c r="D8" s="548"/>
      <c r="E8" s="549"/>
      <c r="F8" s="545"/>
    </row>
    <row r="9" s="532" customFormat="1" ht="30" customHeight="1" spans="1:7">
      <c r="A9" s="541"/>
      <c r="B9" s="543"/>
      <c r="C9" s="543"/>
      <c r="D9" s="543"/>
      <c r="E9" s="549"/>
      <c r="F9" s="545"/>
      <c r="G9" s="546"/>
    </row>
    <row r="10" s="532" customFormat="1" ht="30" customHeight="1" spans="1:6">
      <c r="A10" s="541"/>
      <c r="B10" s="543"/>
      <c r="C10" s="543"/>
      <c r="D10" s="543"/>
      <c r="E10" s="549"/>
      <c r="F10" s="545"/>
    </row>
    <row r="11" s="532" customFormat="1" ht="30" customHeight="1" spans="1:8">
      <c r="A11" s="541"/>
      <c r="B11" s="543"/>
      <c r="C11" s="543"/>
      <c r="D11" s="543"/>
      <c r="E11" s="549"/>
      <c r="F11" s="545"/>
      <c r="H11" s="551"/>
    </row>
    <row r="12" s="532" customFormat="1" ht="30" customHeight="1" spans="1:6">
      <c r="A12" s="541"/>
      <c r="B12" s="543"/>
      <c r="C12" s="543"/>
      <c r="D12" s="543"/>
      <c r="E12" s="544"/>
      <c r="F12" s="545"/>
    </row>
    <row r="13" s="532" customFormat="1" spans="1:6">
      <c r="A13" s="535"/>
      <c r="B13" s="535"/>
      <c r="C13" s="535"/>
      <c r="D13" s="535"/>
      <c r="E13" s="535"/>
      <c r="F13" s="535"/>
    </row>
  </sheetData>
  <mergeCells count="2">
    <mergeCell ref="A1:F1"/>
    <mergeCell ref="A13:F13"/>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11"/>
  <sheetViews>
    <sheetView workbookViewId="0">
      <selection activeCell="J14" sqref="J14"/>
    </sheetView>
  </sheetViews>
  <sheetFormatPr defaultColWidth="8.8" defaultRowHeight="14.25"/>
  <cols>
    <col min="1" max="1" width="5.25" style="491" customWidth="1"/>
    <col min="2" max="2" width="13.625" style="492" customWidth="1"/>
    <col min="3" max="3" width="17" style="491" customWidth="1"/>
    <col min="4" max="4" width="18" style="492" customWidth="1"/>
    <col min="5" max="5" width="11.25" style="493" customWidth="1"/>
    <col min="6" max="6" width="8.25" style="494" customWidth="1"/>
    <col min="7" max="7" width="10.625" style="491" customWidth="1"/>
    <col min="8" max="8" width="13.125" style="495" customWidth="1"/>
    <col min="9" max="9" width="15" style="491" customWidth="1"/>
    <col min="10" max="10" width="18.375" style="491" customWidth="1"/>
    <col min="11" max="11" width="10.625" style="496" customWidth="1"/>
    <col min="12" max="12" width="10.75" style="496" customWidth="1"/>
    <col min="13" max="13" width="11" style="496" customWidth="1"/>
    <col min="14" max="14" width="9.625" style="491" customWidth="1"/>
    <col min="15" max="16" width="9.5" style="491" customWidth="1"/>
    <col min="17" max="17" width="9.5" style="497"/>
    <col min="18" max="18" width="9.875" style="491" customWidth="1"/>
    <col min="19" max="20" width="9.5" style="491" customWidth="1"/>
    <col min="21" max="21" width="10.25" style="491"/>
    <col min="22" max="22" width="12" style="491" customWidth="1"/>
    <col min="23" max="24" width="8.8" style="491"/>
    <col min="25" max="25" width="12.25" style="498" customWidth="1"/>
    <col min="26" max="26" width="8.8" style="491"/>
    <col min="27" max="27" width="37.125" style="491" customWidth="1"/>
    <col min="28" max="16384" width="8.8" style="491"/>
  </cols>
  <sheetData>
    <row r="1" s="491" customFormat="1" ht="35.25" customHeight="1" spans="1:27">
      <c r="A1" s="499" t="s">
        <v>1054</v>
      </c>
      <c r="B1" s="499"/>
      <c r="C1" s="499"/>
      <c r="D1" s="499"/>
      <c r="E1" s="499"/>
      <c r="F1" s="499"/>
      <c r="G1" s="499"/>
      <c r="H1" s="499"/>
      <c r="I1" s="499"/>
      <c r="J1" s="499"/>
      <c r="K1" s="499"/>
      <c r="L1" s="499"/>
      <c r="M1" s="499"/>
      <c r="N1" s="499"/>
      <c r="O1" s="499"/>
      <c r="P1" s="499"/>
      <c r="Q1" s="499"/>
      <c r="R1" s="499"/>
      <c r="S1" s="499"/>
      <c r="T1" s="499"/>
      <c r="U1" s="499"/>
      <c r="V1" s="499"/>
      <c r="W1" s="499"/>
      <c r="X1" s="499"/>
      <c r="Y1" s="499"/>
      <c r="Z1" s="499"/>
      <c r="AA1" s="499"/>
    </row>
    <row r="2" s="491" customFormat="1" ht="36" customHeight="1" spans="1:27">
      <c r="A2" s="500" t="s">
        <v>0</v>
      </c>
      <c r="B2" s="501" t="s">
        <v>1055</v>
      </c>
      <c r="C2" s="500" t="s">
        <v>1056</v>
      </c>
      <c r="D2" s="501" t="s">
        <v>1057</v>
      </c>
      <c r="E2" s="502" t="s">
        <v>1058</v>
      </c>
      <c r="F2" s="501" t="s">
        <v>76</v>
      </c>
      <c r="G2" s="501" t="s">
        <v>1059</v>
      </c>
      <c r="H2" s="503" t="s">
        <v>1060</v>
      </c>
      <c r="I2" s="501" t="s">
        <v>1061</v>
      </c>
      <c r="J2" s="500" t="s">
        <v>1062</v>
      </c>
      <c r="K2" s="518" t="s">
        <v>1063</v>
      </c>
      <c r="L2" s="519"/>
      <c r="M2" s="520"/>
      <c r="N2" s="521" t="s">
        <v>1064</v>
      </c>
      <c r="O2" s="522"/>
      <c r="P2" s="522"/>
      <c r="Q2" s="525"/>
      <c r="R2" s="521" t="s">
        <v>1065</v>
      </c>
      <c r="S2" s="522"/>
      <c r="T2" s="522"/>
      <c r="U2" s="525"/>
      <c r="V2" s="526" t="s">
        <v>1066</v>
      </c>
      <c r="W2" s="501" t="s">
        <v>1067</v>
      </c>
      <c r="X2" s="501" t="s">
        <v>1068</v>
      </c>
      <c r="Y2" s="503" t="s">
        <v>1069</v>
      </c>
      <c r="Z2" s="501" t="s">
        <v>1070</v>
      </c>
      <c r="AA2" s="501" t="s">
        <v>709</v>
      </c>
    </row>
    <row r="3" s="491" customFormat="1" ht="42.75" customHeight="1" spans="1:27">
      <c r="A3" s="504"/>
      <c r="B3" s="505"/>
      <c r="C3" s="504"/>
      <c r="D3" s="505"/>
      <c r="E3" s="506"/>
      <c r="F3" s="505"/>
      <c r="G3" s="505"/>
      <c r="H3" s="507"/>
      <c r="I3" s="505"/>
      <c r="J3" s="504"/>
      <c r="K3" s="523" t="s">
        <v>1071</v>
      </c>
      <c r="L3" s="523" t="s">
        <v>1072</v>
      </c>
      <c r="M3" s="510" t="s">
        <v>138</v>
      </c>
      <c r="N3" s="509" t="s">
        <v>1073</v>
      </c>
      <c r="O3" s="509" t="s">
        <v>1074</v>
      </c>
      <c r="P3" s="509" t="s">
        <v>1075</v>
      </c>
      <c r="Q3" s="527" t="s">
        <v>1076</v>
      </c>
      <c r="R3" s="509" t="s">
        <v>1073</v>
      </c>
      <c r="S3" s="509" t="s">
        <v>1074</v>
      </c>
      <c r="T3" s="509" t="s">
        <v>1075</v>
      </c>
      <c r="U3" s="508" t="s">
        <v>1076</v>
      </c>
      <c r="V3" s="528"/>
      <c r="W3" s="505"/>
      <c r="X3" s="505"/>
      <c r="Y3" s="507"/>
      <c r="Z3" s="505"/>
      <c r="AA3" s="505"/>
    </row>
    <row r="4" s="491" customFormat="1" ht="28.5" customHeight="1" spans="1:27">
      <c r="A4" s="508">
        <v>1</v>
      </c>
      <c r="B4" s="509"/>
      <c r="C4" s="508"/>
      <c r="D4" s="509"/>
      <c r="E4" s="510"/>
      <c r="F4" s="454"/>
      <c r="G4" s="511"/>
      <c r="H4" s="512"/>
      <c r="I4" s="512"/>
      <c r="J4" s="508"/>
      <c r="K4" s="524"/>
      <c r="L4" s="524"/>
      <c r="M4" s="524"/>
      <c r="N4" s="508"/>
      <c r="O4" s="508"/>
      <c r="P4" s="508"/>
      <c r="Q4" s="527"/>
      <c r="R4" s="508"/>
      <c r="S4" s="508"/>
      <c r="T4" s="508"/>
      <c r="U4" s="511"/>
      <c r="V4" s="529"/>
      <c r="W4" s="530"/>
      <c r="X4" s="530"/>
      <c r="Y4" s="531"/>
      <c r="Z4" s="530"/>
      <c r="AA4" s="513"/>
    </row>
    <row r="5" s="491" customFormat="1" ht="28.5" customHeight="1" spans="1:27">
      <c r="A5" s="508"/>
      <c r="B5" s="509"/>
      <c r="C5" s="508"/>
      <c r="D5" s="509"/>
      <c r="E5" s="510"/>
      <c r="F5" s="454"/>
      <c r="G5" s="511"/>
      <c r="H5" s="512"/>
      <c r="I5" s="512"/>
      <c r="J5" s="508"/>
      <c r="K5" s="516"/>
      <c r="L5" s="524"/>
      <c r="M5" s="516"/>
      <c r="N5" s="508"/>
      <c r="O5" s="508"/>
      <c r="P5" s="508"/>
      <c r="Q5" s="516"/>
      <c r="R5" s="508"/>
      <c r="S5" s="508"/>
      <c r="T5" s="508"/>
      <c r="U5" s="511"/>
      <c r="V5" s="529">
        <f t="shared" ref="V5:V11" si="0">Q5+U5</f>
        <v>0</v>
      </c>
      <c r="W5" s="530" t="e">
        <f t="shared" ref="W5:W11" si="1">V5/M5</f>
        <v>#DIV/0!</v>
      </c>
      <c r="X5" s="530" t="e">
        <f t="shared" ref="X5:X11" si="2">V5/E5</f>
        <v>#DIV/0!</v>
      </c>
      <c r="Y5" s="512">
        <f>SUM(Y6:Y8)</f>
        <v>0</v>
      </c>
      <c r="Z5" s="530" t="e">
        <f t="shared" ref="Z5:Z11" si="3">Y5/H5</f>
        <v>#DIV/0!</v>
      </c>
      <c r="AA5" s="508"/>
    </row>
    <row r="6" s="491" customFormat="1" ht="28.5" customHeight="1" spans="1:27">
      <c r="A6" s="513"/>
      <c r="B6" s="509"/>
      <c r="C6" s="508"/>
      <c r="D6" s="509"/>
      <c r="E6" s="514"/>
      <c r="F6" s="454"/>
      <c r="G6" s="511"/>
      <c r="H6" s="512"/>
      <c r="I6" s="508"/>
      <c r="J6" s="508"/>
      <c r="K6" s="514"/>
      <c r="L6" s="524"/>
      <c r="M6" s="524"/>
      <c r="N6" s="508"/>
      <c r="O6" s="508"/>
      <c r="P6" s="508"/>
      <c r="Q6" s="527"/>
      <c r="R6" s="508"/>
      <c r="S6" s="508"/>
      <c r="T6" s="508"/>
      <c r="U6" s="511"/>
      <c r="V6" s="529">
        <f t="shared" si="0"/>
        <v>0</v>
      </c>
      <c r="W6" s="530" t="e">
        <f t="shared" si="1"/>
        <v>#DIV/0!</v>
      </c>
      <c r="X6" s="530" t="e">
        <f t="shared" si="2"/>
        <v>#DIV/0!</v>
      </c>
      <c r="Y6" s="531">
        <f t="shared" ref="Y6:Y11" si="4">V6*G6</f>
        <v>0</v>
      </c>
      <c r="Z6" s="530" t="e">
        <f t="shared" si="3"/>
        <v>#DIV/0!</v>
      </c>
      <c r="AA6" s="513"/>
    </row>
    <row r="7" s="491" customFormat="1" ht="28.5" customHeight="1" spans="1:27">
      <c r="A7" s="508"/>
      <c r="B7" s="509"/>
      <c r="C7" s="508"/>
      <c r="D7" s="509"/>
      <c r="E7" s="514"/>
      <c r="F7" s="454"/>
      <c r="G7" s="511"/>
      <c r="H7" s="512"/>
      <c r="I7" s="508"/>
      <c r="J7" s="508"/>
      <c r="K7" s="514"/>
      <c r="L7" s="524"/>
      <c r="M7" s="524"/>
      <c r="N7" s="508"/>
      <c r="O7" s="508"/>
      <c r="P7" s="508"/>
      <c r="Q7" s="527"/>
      <c r="R7" s="508"/>
      <c r="S7" s="508"/>
      <c r="T7" s="508"/>
      <c r="U7" s="511"/>
      <c r="V7" s="529">
        <f t="shared" si="0"/>
        <v>0</v>
      </c>
      <c r="W7" s="530" t="e">
        <f t="shared" si="1"/>
        <v>#DIV/0!</v>
      </c>
      <c r="X7" s="530" t="e">
        <f t="shared" si="2"/>
        <v>#DIV/0!</v>
      </c>
      <c r="Y7" s="531">
        <f t="shared" si="4"/>
        <v>0</v>
      </c>
      <c r="Z7" s="530" t="e">
        <f t="shared" si="3"/>
        <v>#DIV/0!</v>
      </c>
      <c r="AA7" s="513"/>
    </row>
    <row r="8" s="491" customFormat="1" ht="28.5" customHeight="1" spans="1:27">
      <c r="A8" s="508"/>
      <c r="B8" s="509"/>
      <c r="C8" s="508"/>
      <c r="D8" s="509"/>
      <c r="E8" s="514"/>
      <c r="F8" s="454"/>
      <c r="G8" s="511"/>
      <c r="H8" s="512"/>
      <c r="I8" s="508"/>
      <c r="J8" s="508"/>
      <c r="K8" s="514"/>
      <c r="L8" s="524"/>
      <c r="M8" s="524"/>
      <c r="N8" s="508"/>
      <c r="O8" s="508"/>
      <c r="P8" s="508"/>
      <c r="Q8" s="527"/>
      <c r="R8" s="508"/>
      <c r="S8" s="508"/>
      <c r="T8" s="508"/>
      <c r="U8" s="511"/>
      <c r="V8" s="529">
        <f t="shared" si="0"/>
        <v>0</v>
      </c>
      <c r="W8" s="530" t="e">
        <f t="shared" si="1"/>
        <v>#DIV/0!</v>
      </c>
      <c r="X8" s="530" t="e">
        <f t="shared" si="2"/>
        <v>#DIV/0!</v>
      </c>
      <c r="Y8" s="531">
        <f t="shared" si="4"/>
        <v>0</v>
      </c>
      <c r="Z8" s="530" t="e">
        <f t="shared" si="3"/>
        <v>#DIV/0!</v>
      </c>
      <c r="AA8" s="513"/>
    </row>
    <row r="9" s="491" customFormat="1" ht="24.95" customHeight="1" spans="1:27">
      <c r="A9" s="513"/>
      <c r="B9" s="515"/>
      <c r="C9" s="513"/>
      <c r="D9" s="509"/>
      <c r="E9" s="516"/>
      <c r="F9" s="517"/>
      <c r="G9" s="511"/>
      <c r="H9" s="512"/>
      <c r="I9" s="513"/>
      <c r="J9" s="508"/>
      <c r="K9" s="516"/>
      <c r="L9" s="512"/>
      <c r="M9" s="516"/>
      <c r="N9" s="513"/>
      <c r="O9" s="513"/>
      <c r="P9" s="513"/>
      <c r="Q9" s="513"/>
      <c r="R9" s="513"/>
      <c r="S9" s="513"/>
      <c r="T9" s="513"/>
      <c r="U9" s="513"/>
      <c r="V9" s="529">
        <f t="shared" si="0"/>
        <v>0</v>
      </c>
      <c r="W9" s="530" t="e">
        <f t="shared" si="1"/>
        <v>#DIV/0!</v>
      </c>
      <c r="X9" s="530" t="e">
        <f t="shared" si="2"/>
        <v>#DIV/0!</v>
      </c>
      <c r="Y9" s="531">
        <f t="shared" si="4"/>
        <v>0</v>
      </c>
      <c r="Z9" s="530" t="e">
        <f t="shared" si="3"/>
        <v>#DIV/0!</v>
      </c>
      <c r="AA9" s="513"/>
    </row>
    <row r="10" s="491" customFormat="1" ht="24.95" customHeight="1" spans="1:27">
      <c r="A10" s="513"/>
      <c r="B10" s="515"/>
      <c r="C10" s="513"/>
      <c r="D10" s="509"/>
      <c r="E10" s="516"/>
      <c r="F10" s="517"/>
      <c r="G10" s="511"/>
      <c r="H10" s="512"/>
      <c r="I10" s="513"/>
      <c r="J10" s="508"/>
      <c r="K10" s="516"/>
      <c r="L10" s="512"/>
      <c r="M10" s="516"/>
      <c r="N10" s="513"/>
      <c r="O10" s="513"/>
      <c r="P10" s="513"/>
      <c r="Q10" s="513"/>
      <c r="R10" s="513"/>
      <c r="S10" s="513"/>
      <c r="T10" s="513"/>
      <c r="U10" s="513"/>
      <c r="V10" s="529">
        <f t="shared" si="0"/>
        <v>0</v>
      </c>
      <c r="W10" s="530" t="e">
        <f t="shared" si="1"/>
        <v>#DIV/0!</v>
      </c>
      <c r="X10" s="530" t="e">
        <f t="shared" si="2"/>
        <v>#DIV/0!</v>
      </c>
      <c r="Y10" s="531">
        <f t="shared" si="4"/>
        <v>0</v>
      </c>
      <c r="Z10" s="530" t="e">
        <f t="shared" si="3"/>
        <v>#DIV/0!</v>
      </c>
      <c r="AA10" s="513"/>
    </row>
    <row r="11" s="491" customFormat="1" ht="24.95" customHeight="1" spans="1:27">
      <c r="A11" s="513"/>
      <c r="B11" s="515"/>
      <c r="C11" s="513"/>
      <c r="D11" s="509"/>
      <c r="E11" s="516"/>
      <c r="F11" s="517"/>
      <c r="G11" s="511"/>
      <c r="H11" s="512"/>
      <c r="I11" s="513"/>
      <c r="J11" s="508"/>
      <c r="K11" s="516"/>
      <c r="L11" s="512"/>
      <c r="M11" s="516"/>
      <c r="N11" s="513"/>
      <c r="O11" s="513"/>
      <c r="P11" s="513"/>
      <c r="Q11" s="513"/>
      <c r="R11" s="513"/>
      <c r="S11" s="513"/>
      <c r="T11" s="513"/>
      <c r="U11" s="513"/>
      <c r="V11" s="529">
        <f t="shared" si="0"/>
        <v>0</v>
      </c>
      <c r="W11" s="530" t="e">
        <f t="shared" si="1"/>
        <v>#DIV/0!</v>
      </c>
      <c r="X11" s="530" t="e">
        <f t="shared" si="2"/>
        <v>#DIV/0!</v>
      </c>
      <c r="Y11" s="531">
        <f t="shared" si="4"/>
        <v>0</v>
      </c>
      <c r="Z11" s="530" t="e">
        <f t="shared" si="3"/>
        <v>#DIV/0!</v>
      </c>
      <c r="AA11" s="513"/>
    </row>
  </sheetData>
  <mergeCells count="20">
    <mergeCell ref="A1:AA1"/>
    <mergeCell ref="K2:M2"/>
    <mergeCell ref="N2:Q2"/>
    <mergeCell ref="R2:U2"/>
    <mergeCell ref="A2:A3"/>
    <mergeCell ref="B2:B3"/>
    <mergeCell ref="C2:C3"/>
    <mergeCell ref="D2:D3"/>
    <mergeCell ref="E2:E3"/>
    <mergeCell ref="F2:F3"/>
    <mergeCell ref="G2:G3"/>
    <mergeCell ref="H2:H3"/>
    <mergeCell ref="I2:I3"/>
    <mergeCell ref="J2:J3"/>
    <mergeCell ref="V2:V3"/>
    <mergeCell ref="W2:W3"/>
    <mergeCell ref="X2:X3"/>
    <mergeCell ref="Y2:Y3"/>
    <mergeCell ref="Z2:Z3"/>
    <mergeCell ref="AA2:AA3"/>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
  <sheetViews>
    <sheetView workbookViewId="0">
      <selection activeCell="B1" sqref="B1:D5"/>
    </sheetView>
  </sheetViews>
  <sheetFormatPr defaultColWidth="9" defaultRowHeight="14.25" outlineLevelRow="3" outlineLevelCol="2"/>
  <sheetData>
    <row r="1" spans="1:3">
      <c r="A1">
        <v>0</v>
      </c>
      <c r="B1">
        <v>0.3</v>
      </c>
      <c r="C1">
        <v>0</v>
      </c>
    </row>
    <row r="2" spans="1:3">
      <c r="A2">
        <v>0.5</v>
      </c>
      <c r="B2">
        <v>0.4</v>
      </c>
      <c r="C2">
        <v>0.05</v>
      </c>
    </row>
    <row r="3" spans="1:3">
      <c r="A3">
        <v>1</v>
      </c>
      <c r="B3">
        <v>0.5</v>
      </c>
      <c r="C3">
        <v>0.15</v>
      </c>
    </row>
    <row r="4" spans="1:3">
      <c r="A4">
        <v>2</v>
      </c>
      <c r="B4">
        <v>0.6</v>
      </c>
      <c r="C4">
        <v>0.35</v>
      </c>
    </row>
  </sheetData>
  <pageMargins left="0.699305555555556" right="0.699305555555556" top="0.75" bottom="0.75"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T16"/>
  <sheetViews>
    <sheetView workbookViewId="0">
      <pane xSplit="1" ySplit="2" topLeftCell="B3" activePane="bottomRight" state="frozen"/>
      <selection/>
      <selection pane="topRight"/>
      <selection pane="bottomLeft"/>
      <selection pane="bottomRight" activeCell="C11" sqref="C11"/>
    </sheetView>
  </sheetViews>
  <sheetFormatPr defaultColWidth="9" defaultRowHeight="36" customHeight="1"/>
  <cols>
    <col min="1" max="1" width="22.75" style="461" customWidth="1"/>
    <col min="2" max="2" width="13.875" style="461" customWidth="1"/>
    <col min="3" max="3" width="11.625" style="461" customWidth="1"/>
    <col min="4" max="5" width="13.875" style="461" customWidth="1"/>
    <col min="6" max="16" width="12.75" style="461" customWidth="1" outlineLevel="1"/>
    <col min="17" max="17" width="15.75" style="461" customWidth="1"/>
    <col min="18" max="18" width="13.25" style="461" customWidth="1"/>
    <col min="19" max="20" width="15.75" style="461" customWidth="1"/>
    <col min="21" max="22" width="12.75" style="461" customWidth="1" outlineLevel="1"/>
    <col min="23" max="24" width="13.875" style="461" customWidth="1" outlineLevel="1"/>
    <col min="25" max="28" width="12.75" style="461" customWidth="1" outlineLevel="1"/>
    <col min="29" max="30" width="11.625" style="461" customWidth="1" outlineLevel="1"/>
    <col min="31" max="31" width="8.5" style="461" customWidth="1" outlineLevel="1"/>
    <col min="32" max="32" width="15.75" style="461" customWidth="1"/>
    <col min="33" max="33" width="11.625" style="461" customWidth="1"/>
    <col min="34" max="35" width="15.75" style="461" customWidth="1"/>
    <col min="36" max="37" width="12.75" style="461" hidden="1" customWidth="1" outlineLevel="1"/>
    <col min="38" max="38" width="8.5" style="461" hidden="1" customWidth="1" outlineLevel="1"/>
    <col min="39" max="39" width="12.75" style="461" hidden="1" customWidth="1" outlineLevel="1"/>
    <col min="40" max="41" width="12.875" style="461" hidden="1" customWidth="1" outlineLevel="1"/>
    <col min="42" max="43" width="12.75" style="461" hidden="1" customWidth="1" outlineLevel="1"/>
    <col min="44" max="45" width="11.75" style="461" hidden="1" customWidth="1" outlineLevel="1"/>
    <col min="46" max="46" width="11.125" style="461" hidden="1" customWidth="1" outlineLevel="1"/>
    <col min="47" max="47" width="9" style="461" collapsed="1"/>
    <col min="48" max="16384" width="9" style="461"/>
  </cols>
  <sheetData>
    <row r="1" customHeight="1" spans="1:46">
      <c r="A1" s="462" t="s">
        <v>1077</v>
      </c>
      <c r="B1" s="463" t="s">
        <v>138</v>
      </c>
      <c r="C1" s="464"/>
      <c r="D1" s="464"/>
      <c r="E1" s="464"/>
      <c r="F1" s="464"/>
      <c r="G1" s="464"/>
      <c r="H1" s="464"/>
      <c r="I1" s="464"/>
      <c r="J1" s="464"/>
      <c r="K1" s="464"/>
      <c r="L1" s="464"/>
      <c r="M1" s="464"/>
      <c r="N1" s="464"/>
      <c r="O1" s="464"/>
      <c r="P1" s="473"/>
      <c r="Q1" s="474" t="s">
        <v>1078</v>
      </c>
      <c r="R1" s="475"/>
      <c r="S1" s="475"/>
      <c r="T1" s="475"/>
      <c r="U1" s="475"/>
      <c r="V1" s="475"/>
      <c r="W1" s="475"/>
      <c r="X1" s="475"/>
      <c r="Y1" s="475"/>
      <c r="Z1" s="475"/>
      <c r="AA1" s="475"/>
      <c r="AB1" s="475"/>
      <c r="AC1" s="475"/>
      <c r="AD1" s="475"/>
      <c r="AE1" s="484"/>
      <c r="AF1" s="485" t="s">
        <v>1079</v>
      </c>
      <c r="AG1" s="487"/>
      <c r="AH1" s="487"/>
      <c r="AI1" s="487"/>
      <c r="AJ1" s="487"/>
      <c r="AK1" s="487"/>
      <c r="AL1" s="487"/>
      <c r="AM1" s="487"/>
      <c r="AN1" s="487"/>
      <c r="AO1" s="487"/>
      <c r="AP1" s="487"/>
      <c r="AQ1" s="487"/>
      <c r="AR1" s="487"/>
      <c r="AS1" s="487"/>
      <c r="AT1" s="487"/>
    </row>
    <row r="2" customHeight="1" spans="1:46">
      <c r="A2" s="465" t="s">
        <v>1080</v>
      </c>
      <c r="B2" s="465" t="s">
        <v>1081</v>
      </c>
      <c r="C2" s="465" t="s">
        <v>1082</v>
      </c>
      <c r="D2" s="465" t="s">
        <v>1083</v>
      </c>
      <c r="E2" s="465" t="s">
        <v>1084</v>
      </c>
      <c r="F2" s="465" t="s">
        <v>1085</v>
      </c>
      <c r="G2" s="465" t="s">
        <v>1086</v>
      </c>
      <c r="H2" s="465" t="s">
        <v>1087</v>
      </c>
      <c r="I2" s="465" t="s">
        <v>1088</v>
      </c>
      <c r="J2" s="465" t="s">
        <v>1089</v>
      </c>
      <c r="K2" s="465" t="s">
        <v>1090</v>
      </c>
      <c r="L2" s="465" t="s">
        <v>1091</v>
      </c>
      <c r="M2" s="465" t="s">
        <v>1092</v>
      </c>
      <c r="N2" s="465" t="s">
        <v>1093</v>
      </c>
      <c r="O2" s="465" t="s">
        <v>1094</v>
      </c>
      <c r="P2" s="465" t="s">
        <v>1095</v>
      </c>
      <c r="Q2" s="476" t="s">
        <v>1081</v>
      </c>
      <c r="R2" s="476" t="s">
        <v>1082</v>
      </c>
      <c r="S2" s="476" t="s">
        <v>1083</v>
      </c>
      <c r="T2" s="476" t="s">
        <v>1084</v>
      </c>
      <c r="U2" s="477" t="s">
        <v>1085</v>
      </c>
      <c r="V2" s="477" t="s">
        <v>1086</v>
      </c>
      <c r="W2" s="477" t="s">
        <v>1087</v>
      </c>
      <c r="X2" s="477" t="s">
        <v>1088</v>
      </c>
      <c r="Y2" s="477" t="s">
        <v>1089</v>
      </c>
      <c r="Z2" s="477" t="s">
        <v>1090</v>
      </c>
      <c r="AA2" s="477" t="s">
        <v>1091</v>
      </c>
      <c r="AB2" s="477" t="s">
        <v>1092</v>
      </c>
      <c r="AC2" s="477" t="s">
        <v>1093</v>
      </c>
      <c r="AD2" s="477" t="s">
        <v>1094</v>
      </c>
      <c r="AE2" s="477" t="s">
        <v>1095</v>
      </c>
      <c r="AF2" s="486" t="s">
        <v>1081</v>
      </c>
      <c r="AG2" s="486" t="s">
        <v>1059</v>
      </c>
      <c r="AH2" s="486" t="s">
        <v>1083</v>
      </c>
      <c r="AI2" s="486" t="s">
        <v>1084</v>
      </c>
      <c r="AJ2" s="486" t="s">
        <v>1085</v>
      </c>
      <c r="AK2" s="486" t="s">
        <v>1086</v>
      </c>
      <c r="AL2" s="486" t="s">
        <v>1087</v>
      </c>
      <c r="AM2" s="486" t="s">
        <v>1088</v>
      </c>
      <c r="AN2" s="486" t="s">
        <v>1089</v>
      </c>
      <c r="AO2" s="486" t="s">
        <v>1090</v>
      </c>
      <c r="AP2" s="486" t="s">
        <v>1091</v>
      </c>
      <c r="AQ2" s="486" t="s">
        <v>1092</v>
      </c>
      <c r="AR2" s="486" t="s">
        <v>1093</v>
      </c>
      <c r="AS2" s="486" t="s">
        <v>1094</v>
      </c>
      <c r="AT2" s="486" t="s">
        <v>1095</v>
      </c>
    </row>
    <row r="3" customHeight="1" spans="1:46">
      <c r="A3" s="466" t="s">
        <v>1096</v>
      </c>
      <c r="B3" s="466">
        <f>Q3+AF3</f>
        <v>158.6212755</v>
      </c>
      <c r="C3" s="466" t="e">
        <f>R3+AG3</f>
        <v>#REF!</v>
      </c>
      <c r="D3" s="466" t="e">
        <f>S3+AH3</f>
        <v>#REF!</v>
      </c>
      <c r="E3" s="466" t="e">
        <f>T3+AI3</f>
        <v>#REF!</v>
      </c>
      <c r="F3" s="466">
        <f t="shared" ref="F3:P3" si="0">U3+AJ3</f>
        <v>0</v>
      </c>
      <c r="G3" s="466">
        <f t="shared" si="0"/>
        <v>0</v>
      </c>
      <c r="H3" s="466">
        <f t="shared" si="0"/>
        <v>0</v>
      </c>
      <c r="I3" s="466">
        <f t="shared" si="0"/>
        <v>0</v>
      </c>
      <c r="J3" s="466">
        <f t="shared" si="0"/>
        <v>0</v>
      </c>
      <c r="K3" s="466">
        <f t="shared" si="0"/>
        <v>0</v>
      </c>
      <c r="L3" s="466">
        <f t="shared" si="0"/>
        <v>0</v>
      </c>
      <c r="M3" s="466">
        <f t="shared" si="0"/>
        <v>0</v>
      </c>
      <c r="N3" s="466">
        <f t="shared" si="0"/>
        <v>0</v>
      </c>
      <c r="O3" s="466">
        <f t="shared" si="0"/>
        <v>0</v>
      </c>
      <c r="P3" s="466">
        <f t="shared" si="0"/>
        <v>0</v>
      </c>
      <c r="Q3" s="466">
        <f>Q4*15/10000</f>
        <v>87.3442665</v>
      </c>
      <c r="R3" s="478" t="e">
        <f>#REF!</f>
        <v>#REF!</v>
      </c>
      <c r="S3" s="466" t="e">
        <f>Q3*R3</f>
        <v>#REF!</v>
      </c>
      <c r="T3" s="466" t="e">
        <f>S3</f>
        <v>#REF!</v>
      </c>
      <c r="U3" s="478"/>
      <c r="V3" s="478"/>
      <c r="W3" s="478">
        <v>0</v>
      </c>
      <c r="X3" s="478"/>
      <c r="Y3" s="478">
        <v>0</v>
      </c>
      <c r="Z3" s="478"/>
      <c r="AA3" s="478">
        <v>0</v>
      </c>
      <c r="AB3" s="478"/>
      <c r="AC3" s="478">
        <v>0</v>
      </c>
      <c r="AD3" s="478"/>
      <c r="AE3" s="478">
        <v>0</v>
      </c>
      <c r="AF3" s="466">
        <f>AF4*15/10000</f>
        <v>71.277009</v>
      </c>
      <c r="AG3" s="478" t="e">
        <f>R3</f>
        <v>#REF!</v>
      </c>
      <c r="AH3" s="466" t="e">
        <f>AF3*AG3</f>
        <v>#REF!</v>
      </c>
      <c r="AI3" s="466" t="e">
        <f>AH3</f>
        <v>#REF!</v>
      </c>
      <c r="AJ3" s="488"/>
      <c r="AK3" s="488"/>
      <c r="AL3" s="488"/>
      <c r="AM3" s="488"/>
      <c r="AN3" s="488"/>
      <c r="AO3" s="488"/>
      <c r="AP3" s="488"/>
      <c r="AQ3" s="488"/>
      <c r="AR3" s="488"/>
      <c r="AS3" s="488"/>
      <c r="AT3" s="488"/>
    </row>
    <row r="4" customHeight="1" spans="1:46">
      <c r="A4" s="466" t="s">
        <v>1097</v>
      </c>
      <c r="B4" s="466">
        <f t="shared" ref="B4:B16" si="1">Q4+AF4</f>
        <v>105747.517</v>
      </c>
      <c r="C4" s="466">
        <f t="shared" ref="C4:C16" si="2">R4+AG4</f>
        <v>0</v>
      </c>
      <c r="D4" s="466">
        <f t="shared" ref="D4:D15" si="3">S4+AH4</f>
        <v>0</v>
      </c>
      <c r="E4" s="466">
        <f t="shared" ref="E4:E15" si="4">T4+AI4</f>
        <v>0</v>
      </c>
      <c r="F4" s="466">
        <f t="shared" ref="F4:F15" si="5">U4+AJ4</f>
        <v>0</v>
      </c>
      <c r="G4" s="466">
        <f t="shared" ref="G4:G15" si="6">V4+AK4</f>
        <v>0</v>
      </c>
      <c r="H4" s="466">
        <f t="shared" ref="H4:H15" si="7">W4+AL4</f>
        <v>0</v>
      </c>
      <c r="I4" s="466">
        <f t="shared" ref="I4:I15" si="8">X4+AM4</f>
        <v>0</v>
      </c>
      <c r="J4" s="466">
        <f t="shared" ref="J4:J15" si="9">Y4+AN4</f>
        <v>0</v>
      </c>
      <c r="K4" s="466">
        <f t="shared" ref="K4:K15" si="10">Z4+AO4</f>
        <v>0</v>
      </c>
      <c r="L4" s="466">
        <f t="shared" ref="L4:L15" si="11">AA4+AP4</f>
        <v>0</v>
      </c>
      <c r="M4" s="466">
        <f t="shared" ref="M4:M15" si="12">AB4+AQ4</f>
        <v>0</v>
      </c>
      <c r="N4" s="466">
        <f t="shared" ref="N4:N15" si="13">AC4+AR4</f>
        <v>0</v>
      </c>
      <c r="O4" s="466">
        <f t="shared" ref="O4:O15" si="14">AD4+AS4</f>
        <v>0</v>
      </c>
      <c r="P4" s="466">
        <f t="shared" ref="P4:P15" si="15">AE4+AT4</f>
        <v>0</v>
      </c>
      <c r="Q4" s="466">
        <v>58229.511</v>
      </c>
      <c r="R4" s="478"/>
      <c r="S4" s="466"/>
      <c r="T4" s="466"/>
      <c r="U4" s="478"/>
      <c r="V4" s="478"/>
      <c r="W4" s="478"/>
      <c r="X4" s="478"/>
      <c r="Y4" s="478"/>
      <c r="Z4" s="478"/>
      <c r="AA4" s="478"/>
      <c r="AB4" s="478"/>
      <c r="AC4" s="478"/>
      <c r="AD4" s="478"/>
      <c r="AE4" s="478"/>
      <c r="AF4" s="466">
        <v>47518.006</v>
      </c>
      <c r="AG4" s="478"/>
      <c r="AH4" s="466">
        <f>AF4*AG4</f>
        <v>0</v>
      </c>
      <c r="AI4" s="466"/>
      <c r="AJ4" s="489"/>
      <c r="AK4" s="489"/>
      <c r="AL4" s="489"/>
      <c r="AM4" s="489"/>
      <c r="AN4" s="489"/>
      <c r="AO4" s="489"/>
      <c r="AP4" s="489"/>
      <c r="AQ4" s="489"/>
      <c r="AR4" s="489"/>
      <c r="AS4" s="489"/>
      <c r="AT4" s="489"/>
    </row>
    <row r="5" customHeight="1" spans="1:46">
      <c r="A5" s="466" t="s">
        <v>86</v>
      </c>
      <c r="B5" s="466">
        <f t="shared" si="1"/>
        <v>7</v>
      </c>
      <c r="C5" s="466">
        <f t="shared" si="2"/>
        <v>0</v>
      </c>
      <c r="D5" s="466">
        <f t="shared" si="3"/>
        <v>0</v>
      </c>
      <c r="E5" s="466">
        <f t="shared" si="4"/>
        <v>0</v>
      </c>
      <c r="F5" s="466">
        <f t="shared" si="5"/>
        <v>0</v>
      </c>
      <c r="G5" s="466">
        <f t="shared" si="6"/>
        <v>0</v>
      </c>
      <c r="H5" s="466">
        <f t="shared" si="7"/>
        <v>0</v>
      </c>
      <c r="I5" s="466">
        <f t="shared" si="8"/>
        <v>0</v>
      </c>
      <c r="J5" s="466">
        <f t="shared" si="9"/>
        <v>0</v>
      </c>
      <c r="K5" s="466">
        <f t="shared" si="10"/>
        <v>0</v>
      </c>
      <c r="L5" s="466">
        <f t="shared" si="11"/>
        <v>0</v>
      </c>
      <c r="M5" s="466">
        <f t="shared" si="12"/>
        <v>0</v>
      </c>
      <c r="N5" s="466">
        <f t="shared" si="13"/>
        <v>0</v>
      </c>
      <c r="O5" s="466">
        <f t="shared" si="14"/>
        <v>0</v>
      </c>
      <c r="P5" s="466">
        <f t="shared" si="15"/>
        <v>0</v>
      </c>
      <c r="Q5" s="466">
        <v>3.5</v>
      </c>
      <c r="R5" s="478"/>
      <c r="S5" s="466"/>
      <c r="T5" s="466"/>
      <c r="U5" s="478"/>
      <c r="V5" s="478"/>
      <c r="W5" s="478"/>
      <c r="X5" s="478"/>
      <c r="Y5" s="478"/>
      <c r="Z5" s="478"/>
      <c r="AA5" s="478"/>
      <c r="AB5" s="478"/>
      <c r="AC5" s="478"/>
      <c r="AD5" s="478"/>
      <c r="AE5" s="478"/>
      <c r="AF5" s="466">
        <v>3.5</v>
      </c>
      <c r="AG5" s="478"/>
      <c r="AH5" s="466">
        <f>AF5*AG5</f>
        <v>0</v>
      </c>
      <c r="AI5" s="466"/>
      <c r="AJ5" s="489"/>
      <c r="AK5" s="489"/>
      <c r="AL5" s="489"/>
      <c r="AM5" s="489"/>
      <c r="AN5" s="489"/>
      <c r="AO5" s="489"/>
      <c r="AP5" s="489"/>
      <c r="AQ5" s="489"/>
      <c r="AR5" s="489"/>
      <c r="AS5" s="489"/>
      <c r="AT5" s="489"/>
    </row>
    <row r="6" customHeight="1" spans="1:46">
      <c r="A6" s="466" t="s">
        <v>135</v>
      </c>
      <c r="B6" s="466">
        <f t="shared" si="1"/>
        <v>0.5</v>
      </c>
      <c r="C6" s="466">
        <f t="shared" si="2"/>
        <v>0</v>
      </c>
      <c r="D6" s="466">
        <f t="shared" si="3"/>
        <v>0</v>
      </c>
      <c r="E6" s="466">
        <f t="shared" si="4"/>
        <v>0</v>
      </c>
      <c r="F6" s="466">
        <f t="shared" si="5"/>
        <v>0</v>
      </c>
      <c r="G6" s="466">
        <f t="shared" si="6"/>
        <v>0</v>
      </c>
      <c r="H6" s="466">
        <f t="shared" si="7"/>
        <v>0</v>
      </c>
      <c r="I6" s="466">
        <f t="shared" si="8"/>
        <v>0</v>
      </c>
      <c r="J6" s="466">
        <f t="shared" si="9"/>
        <v>0</v>
      </c>
      <c r="K6" s="466">
        <f t="shared" si="10"/>
        <v>0</v>
      </c>
      <c r="L6" s="466">
        <f t="shared" si="11"/>
        <v>0</v>
      </c>
      <c r="M6" s="466">
        <f t="shared" si="12"/>
        <v>0</v>
      </c>
      <c r="N6" s="466">
        <f t="shared" si="13"/>
        <v>0</v>
      </c>
      <c r="O6" s="466">
        <f t="shared" si="14"/>
        <v>0</v>
      </c>
      <c r="P6" s="466">
        <f t="shared" si="15"/>
        <v>0</v>
      </c>
      <c r="Q6" s="466">
        <v>0.25</v>
      </c>
      <c r="R6" s="478"/>
      <c r="S6" s="466"/>
      <c r="T6" s="466"/>
      <c r="U6" s="478"/>
      <c r="V6" s="478"/>
      <c r="W6" s="478"/>
      <c r="X6" s="478"/>
      <c r="Y6" s="478"/>
      <c r="Z6" s="478"/>
      <c r="AA6" s="478"/>
      <c r="AB6" s="478"/>
      <c r="AC6" s="478"/>
      <c r="AD6" s="478"/>
      <c r="AE6" s="478"/>
      <c r="AF6" s="466">
        <v>0.25</v>
      </c>
      <c r="AG6" s="478"/>
      <c r="AH6" s="466">
        <f>AF6*AG6</f>
        <v>0</v>
      </c>
      <c r="AI6" s="466"/>
      <c r="AJ6" s="489"/>
      <c r="AK6" s="489"/>
      <c r="AL6" s="489"/>
      <c r="AM6" s="489"/>
      <c r="AN6" s="489"/>
      <c r="AO6" s="489"/>
      <c r="AP6" s="489"/>
      <c r="AQ6" s="489"/>
      <c r="AR6" s="489"/>
      <c r="AS6" s="489"/>
      <c r="AT6" s="489"/>
    </row>
    <row r="7" customHeight="1" spans="1:46">
      <c r="A7" s="467" t="s">
        <v>1098</v>
      </c>
      <c r="B7" s="466" t="e">
        <f t="shared" si="1"/>
        <v>#REF!</v>
      </c>
      <c r="C7" s="466"/>
      <c r="D7" s="466" t="e">
        <f t="shared" si="3"/>
        <v>#REF!</v>
      </c>
      <c r="E7" s="466">
        <f t="shared" si="4"/>
        <v>0</v>
      </c>
      <c r="F7" s="466">
        <f t="shared" si="5"/>
        <v>0</v>
      </c>
      <c r="G7" s="466" t="e">
        <f t="shared" si="6"/>
        <v>#REF!</v>
      </c>
      <c r="H7" s="466" t="e">
        <f t="shared" si="7"/>
        <v>#REF!</v>
      </c>
      <c r="I7" s="466" t="e">
        <f t="shared" si="8"/>
        <v>#REF!</v>
      </c>
      <c r="J7" s="466" t="e">
        <f t="shared" si="9"/>
        <v>#REF!</v>
      </c>
      <c r="K7" s="466" t="e">
        <f t="shared" si="10"/>
        <v>#REF!</v>
      </c>
      <c r="L7" s="466" t="e">
        <f t="shared" si="11"/>
        <v>#REF!</v>
      </c>
      <c r="M7" s="466" t="e">
        <f t="shared" si="12"/>
        <v>#REF!</v>
      </c>
      <c r="N7" s="466" t="e">
        <f t="shared" si="13"/>
        <v>#REF!</v>
      </c>
      <c r="O7" s="466">
        <f t="shared" si="14"/>
        <v>0</v>
      </c>
      <c r="P7" s="466">
        <f t="shared" si="15"/>
        <v>0</v>
      </c>
      <c r="Q7" s="466" t="e">
        <f>经济指标!#REF!</f>
        <v>#REF!</v>
      </c>
      <c r="R7" s="478" t="e">
        <f>#REF!/10000</f>
        <v>#REF!</v>
      </c>
      <c r="S7" s="466" t="e">
        <f>Q7*R7</f>
        <v>#REF!</v>
      </c>
      <c r="T7" s="466"/>
      <c r="U7" s="478"/>
      <c r="V7" s="478" t="e">
        <f>S7*0.2</f>
        <v>#REF!</v>
      </c>
      <c r="W7" s="478" t="e">
        <f>S7*0.4</f>
        <v>#REF!</v>
      </c>
      <c r="X7" s="478" t="e">
        <f>S7*0.15</f>
        <v>#REF!</v>
      </c>
      <c r="Y7" s="478" t="e">
        <f>S7*0.15</f>
        <v>#REF!</v>
      </c>
      <c r="Z7" s="478" t="e">
        <f>S7*0.05</f>
        <v>#REF!</v>
      </c>
      <c r="AA7" s="478" t="e">
        <f>S7*0.05</f>
        <v>#REF!</v>
      </c>
      <c r="AB7" s="478"/>
      <c r="AC7" s="478"/>
      <c r="AD7" s="478"/>
      <c r="AE7" s="478"/>
      <c r="AF7" s="466" t="e">
        <f>经济指标!#REF!</f>
        <v>#REF!</v>
      </c>
      <c r="AG7" s="478" t="e">
        <f>#REF!/10000</f>
        <v>#REF!</v>
      </c>
      <c r="AH7" s="466" t="e">
        <f>AF7*AG7</f>
        <v>#REF!</v>
      </c>
      <c r="AI7" s="466"/>
      <c r="AJ7" s="489"/>
      <c r="AK7" s="489"/>
      <c r="AL7" s="489"/>
      <c r="AM7" s="488" t="e">
        <f>AH7*0.2</f>
        <v>#REF!</v>
      </c>
      <c r="AN7" s="488" t="e">
        <f>AH7*0.4</f>
        <v>#REF!</v>
      </c>
      <c r="AO7" s="488" t="e">
        <f>AH7*0.15</f>
        <v>#REF!</v>
      </c>
      <c r="AP7" s="488" t="e">
        <f>AH7*0.15</f>
        <v>#REF!</v>
      </c>
      <c r="AQ7" s="488" t="e">
        <f>AH7*0.05</f>
        <v>#REF!</v>
      </c>
      <c r="AR7" s="488" t="e">
        <f>AH7*0.05</f>
        <v>#REF!</v>
      </c>
      <c r="AS7" s="488"/>
      <c r="AT7" s="489"/>
    </row>
    <row r="8" customHeight="1" spans="1:46">
      <c r="A8" s="467" t="s">
        <v>1099</v>
      </c>
      <c r="B8" s="466" t="e">
        <f t="shared" si="1"/>
        <v>#REF!</v>
      </c>
      <c r="C8" s="466">
        <f t="shared" si="2"/>
        <v>0</v>
      </c>
      <c r="D8" s="466">
        <f t="shared" si="3"/>
        <v>0</v>
      </c>
      <c r="E8" s="466">
        <f t="shared" si="4"/>
        <v>0</v>
      </c>
      <c r="F8" s="466">
        <f t="shared" si="5"/>
        <v>0</v>
      </c>
      <c r="G8" s="466">
        <f t="shared" si="6"/>
        <v>0</v>
      </c>
      <c r="H8" s="466">
        <f t="shared" si="7"/>
        <v>0</v>
      </c>
      <c r="I8" s="466">
        <f t="shared" si="8"/>
        <v>0</v>
      </c>
      <c r="J8" s="466">
        <f t="shared" si="9"/>
        <v>0</v>
      </c>
      <c r="K8" s="466">
        <f t="shared" si="10"/>
        <v>0</v>
      </c>
      <c r="L8" s="466">
        <f t="shared" si="11"/>
        <v>0</v>
      </c>
      <c r="M8" s="466">
        <f t="shared" si="12"/>
        <v>0</v>
      </c>
      <c r="N8" s="466">
        <f t="shared" si="13"/>
        <v>0</v>
      </c>
      <c r="O8" s="466">
        <f t="shared" si="14"/>
        <v>0</v>
      </c>
      <c r="P8" s="466">
        <f t="shared" si="15"/>
        <v>0</v>
      </c>
      <c r="Q8" s="466" t="e">
        <f>经济指标!#REF!</f>
        <v>#REF!</v>
      </c>
      <c r="R8" s="478"/>
      <c r="S8" s="466"/>
      <c r="T8" s="466"/>
      <c r="U8" s="478"/>
      <c r="V8" s="478"/>
      <c r="W8" s="478"/>
      <c r="X8" s="478"/>
      <c r="Y8" s="478"/>
      <c r="Z8" s="478"/>
      <c r="AA8" s="478"/>
      <c r="AB8" s="478"/>
      <c r="AC8" s="478"/>
      <c r="AD8" s="478"/>
      <c r="AE8" s="478"/>
      <c r="AF8" s="472" t="e">
        <f>经济指标!#REF!</f>
        <v>#REF!</v>
      </c>
      <c r="AG8" s="489"/>
      <c r="AH8" s="472"/>
      <c r="AI8" s="472"/>
      <c r="AJ8" s="489"/>
      <c r="AK8" s="489"/>
      <c r="AL8" s="489"/>
      <c r="AM8" s="489"/>
      <c r="AN8" s="489"/>
      <c r="AO8" s="489"/>
      <c r="AP8" s="489"/>
      <c r="AQ8" s="489"/>
      <c r="AR8" s="489"/>
      <c r="AS8" s="489"/>
      <c r="AT8" s="489"/>
    </row>
    <row r="9" customHeight="1" spans="1:46">
      <c r="A9" s="467" t="s">
        <v>106</v>
      </c>
      <c r="B9" s="466">
        <f t="shared" si="1"/>
        <v>0</v>
      </c>
      <c r="C9" s="466">
        <f t="shared" si="2"/>
        <v>0</v>
      </c>
      <c r="D9" s="466">
        <f t="shared" si="3"/>
        <v>0</v>
      </c>
      <c r="E9" s="466">
        <f t="shared" si="4"/>
        <v>0</v>
      </c>
      <c r="F9" s="466">
        <f t="shared" si="5"/>
        <v>0</v>
      </c>
      <c r="G9" s="466">
        <f t="shared" si="6"/>
        <v>0</v>
      </c>
      <c r="H9" s="466">
        <f t="shared" si="7"/>
        <v>0</v>
      </c>
      <c r="I9" s="466">
        <f t="shared" si="8"/>
        <v>0</v>
      </c>
      <c r="J9" s="466">
        <f t="shared" si="9"/>
        <v>0</v>
      </c>
      <c r="K9" s="466">
        <f t="shared" si="10"/>
        <v>0</v>
      </c>
      <c r="L9" s="466">
        <f t="shared" si="11"/>
        <v>0</v>
      </c>
      <c r="M9" s="466">
        <f t="shared" si="12"/>
        <v>0</v>
      </c>
      <c r="N9" s="466">
        <f t="shared" si="13"/>
        <v>0</v>
      </c>
      <c r="O9" s="466">
        <f t="shared" si="14"/>
        <v>0</v>
      </c>
      <c r="P9" s="466">
        <f t="shared" si="15"/>
        <v>0</v>
      </c>
      <c r="Q9" s="466"/>
      <c r="R9" s="478"/>
      <c r="S9" s="466"/>
      <c r="T9" s="466"/>
      <c r="U9" s="478"/>
      <c r="V9" s="478"/>
      <c r="W9" s="478"/>
      <c r="X9" s="478"/>
      <c r="Y9" s="478"/>
      <c r="Z9" s="478"/>
      <c r="AA9" s="478"/>
      <c r="AB9" s="478"/>
      <c r="AC9" s="478"/>
      <c r="AD9" s="478"/>
      <c r="AE9" s="478"/>
      <c r="AF9" s="472"/>
      <c r="AG9" s="489"/>
      <c r="AH9" s="472"/>
      <c r="AI9" s="472"/>
      <c r="AJ9" s="489"/>
      <c r="AK9" s="489"/>
      <c r="AL9" s="489"/>
      <c r="AM9" s="489"/>
      <c r="AN9" s="489"/>
      <c r="AO9" s="489"/>
      <c r="AP9" s="489"/>
      <c r="AQ9" s="489"/>
      <c r="AR9" s="489"/>
      <c r="AS9" s="489"/>
      <c r="AT9" s="489"/>
    </row>
    <row r="10" customHeight="1" spans="1:46">
      <c r="A10" s="467" t="s">
        <v>1100</v>
      </c>
      <c r="B10" s="466">
        <f t="shared" si="1"/>
        <v>2910</v>
      </c>
      <c r="C10" s="466">
        <f t="shared" si="2"/>
        <v>0</v>
      </c>
      <c r="D10" s="466">
        <f t="shared" si="3"/>
        <v>0</v>
      </c>
      <c r="E10" s="466">
        <f t="shared" si="4"/>
        <v>0</v>
      </c>
      <c r="F10" s="466">
        <f t="shared" si="5"/>
        <v>0</v>
      </c>
      <c r="G10" s="466">
        <f t="shared" si="6"/>
        <v>0</v>
      </c>
      <c r="H10" s="466">
        <f t="shared" si="7"/>
        <v>0</v>
      </c>
      <c r="I10" s="466">
        <f t="shared" si="8"/>
        <v>0</v>
      </c>
      <c r="J10" s="466">
        <f t="shared" si="9"/>
        <v>0</v>
      </c>
      <c r="K10" s="466">
        <f t="shared" si="10"/>
        <v>0</v>
      </c>
      <c r="L10" s="466">
        <f t="shared" si="11"/>
        <v>0</v>
      </c>
      <c r="M10" s="466">
        <f t="shared" si="12"/>
        <v>0</v>
      </c>
      <c r="N10" s="466">
        <f t="shared" si="13"/>
        <v>0</v>
      </c>
      <c r="O10" s="466">
        <f t="shared" si="14"/>
        <v>0</v>
      </c>
      <c r="P10" s="466">
        <f t="shared" si="15"/>
        <v>0</v>
      </c>
      <c r="Q10" s="466">
        <v>1180</v>
      </c>
      <c r="R10" s="478">
        <v>0</v>
      </c>
      <c r="S10" s="466">
        <f>Q10*R10</f>
        <v>0</v>
      </c>
      <c r="T10" s="466"/>
      <c r="U10" s="478"/>
      <c r="V10" s="478"/>
      <c r="W10" s="478"/>
      <c r="X10" s="478"/>
      <c r="Y10" s="478"/>
      <c r="Z10" s="478"/>
      <c r="AA10" s="478"/>
      <c r="AB10" s="478"/>
      <c r="AC10" s="478"/>
      <c r="AD10" s="478"/>
      <c r="AE10" s="478"/>
      <c r="AF10" s="466">
        <v>1730</v>
      </c>
      <c r="AG10" s="478">
        <v>0</v>
      </c>
      <c r="AH10" s="466">
        <f>AF10*AG10</f>
        <v>0</v>
      </c>
      <c r="AI10" s="466"/>
      <c r="AJ10" s="489"/>
      <c r="AK10" s="489"/>
      <c r="AL10" s="489"/>
      <c r="AM10" s="489"/>
      <c r="AN10" s="489"/>
      <c r="AO10" s="489"/>
      <c r="AP10" s="489"/>
      <c r="AQ10" s="489"/>
      <c r="AR10" s="489"/>
      <c r="AS10" s="489"/>
      <c r="AT10" s="489"/>
    </row>
    <row r="11" customHeight="1" spans="1:46">
      <c r="A11" s="467" t="s">
        <v>122</v>
      </c>
      <c r="B11" s="466">
        <f t="shared" si="1"/>
        <v>6412</v>
      </c>
      <c r="C11" s="466">
        <f t="shared" si="2"/>
        <v>0</v>
      </c>
      <c r="D11" s="466">
        <f t="shared" si="3"/>
        <v>0</v>
      </c>
      <c r="E11" s="466">
        <f t="shared" si="4"/>
        <v>0</v>
      </c>
      <c r="F11" s="466">
        <f t="shared" si="5"/>
        <v>0</v>
      </c>
      <c r="G11" s="466">
        <f t="shared" si="6"/>
        <v>0</v>
      </c>
      <c r="H11" s="466">
        <f t="shared" si="7"/>
        <v>0</v>
      </c>
      <c r="I11" s="466">
        <f t="shared" si="8"/>
        <v>0</v>
      </c>
      <c r="J11" s="466">
        <f t="shared" si="9"/>
        <v>0</v>
      </c>
      <c r="K11" s="466">
        <f t="shared" si="10"/>
        <v>0</v>
      </c>
      <c r="L11" s="466">
        <f t="shared" si="11"/>
        <v>0</v>
      </c>
      <c r="M11" s="466">
        <f t="shared" si="12"/>
        <v>0</v>
      </c>
      <c r="N11" s="466">
        <f t="shared" si="13"/>
        <v>0</v>
      </c>
      <c r="O11" s="466">
        <f t="shared" si="14"/>
        <v>0</v>
      </c>
      <c r="P11" s="466">
        <f t="shared" si="15"/>
        <v>0</v>
      </c>
      <c r="Q11" s="466">
        <v>3206</v>
      </c>
      <c r="R11" s="478">
        <v>0</v>
      </c>
      <c r="S11" s="466">
        <f>Q11*R11</f>
        <v>0</v>
      </c>
      <c r="T11" s="466"/>
      <c r="U11" s="478"/>
      <c r="V11" s="478"/>
      <c r="W11" s="478"/>
      <c r="X11" s="478"/>
      <c r="Y11" s="478"/>
      <c r="Z11" s="478"/>
      <c r="AA11" s="478"/>
      <c r="AB11" s="478"/>
      <c r="AC11" s="478"/>
      <c r="AD11" s="478"/>
      <c r="AE11" s="478"/>
      <c r="AF11" s="466">
        <v>3206</v>
      </c>
      <c r="AG11" s="478">
        <v>0</v>
      </c>
      <c r="AH11" s="466">
        <f>AF11*AG11</f>
        <v>0</v>
      </c>
      <c r="AI11" s="466"/>
      <c r="AJ11" s="489"/>
      <c r="AK11" s="489"/>
      <c r="AL11" s="489"/>
      <c r="AM11" s="489"/>
      <c r="AN11" s="489"/>
      <c r="AO11" s="489"/>
      <c r="AP11" s="489"/>
      <c r="AQ11" s="489"/>
      <c r="AR11" s="489"/>
      <c r="AS11" s="489"/>
      <c r="AT11" s="489"/>
    </row>
    <row r="12" customHeight="1" spans="1:46">
      <c r="A12" s="468" t="s">
        <v>85</v>
      </c>
      <c r="B12" s="466" t="e">
        <f t="shared" si="1"/>
        <v>#REF!</v>
      </c>
      <c r="C12" s="466">
        <f t="shared" si="2"/>
        <v>0</v>
      </c>
      <c r="D12" s="466" t="e">
        <f t="shared" si="3"/>
        <v>#REF!</v>
      </c>
      <c r="E12" s="466">
        <f t="shared" si="4"/>
        <v>0</v>
      </c>
      <c r="F12" s="466">
        <f t="shared" si="5"/>
        <v>0</v>
      </c>
      <c r="G12" s="466">
        <f t="shared" si="6"/>
        <v>0</v>
      </c>
      <c r="H12" s="466">
        <f t="shared" si="7"/>
        <v>0</v>
      </c>
      <c r="I12" s="466">
        <f t="shared" si="8"/>
        <v>0</v>
      </c>
      <c r="J12" s="466">
        <f t="shared" si="9"/>
        <v>0</v>
      </c>
      <c r="K12" s="466">
        <f t="shared" si="10"/>
        <v>0</v>
      </c>
      <c r="L12" s="466">
        <f t="shared" si="11"/>
        <v>0</v>
      </c>
      <c r="M12" s="466">
        <f t="shared" si="12"/>
        <v>0</v>
      </c>
      <c r="N12" s="466">
        <f t="shared" si="13"/>
        <v>0</v>
      </c>
      <c r="O12" s="466">
        <f t="shared" si="14"/>
        <v>0</v>
      </c>
      <c r="P12" s="466">
        <f t="shared" si="15"/>
        <v>0</v>
      </c>
      <c r="Q12" s="468" t="e">
        <f>SUM(Q7:Q11)</f>
        <v>#REF!</v>
      </c>
      <c r="R12" s="479"/>
      <c r="S12" s="468" t="e">
        <f>SUM(S7:S11)</f>
        <v>#REF!</v>
      </c>
      <c r="T12" s="468"/>
      <c r="U12" s="479"/>
      <c r="V12" s="479"/>
      <c r="W12" s="479"/>
      <c r="X12" s="479"/>
      <c r="Y12" s="479"/>
      <c r="Z12" s="479"/>
      <c r="AA12" s="479"/>
      <c r="AB12" s="479"/>
      <c r="AC12" s="479"/>
      <c r="AD12" s="479"/>
      <c r="AE12" s="479"/>
      <c r="AF12" s="468" t="e">
        <f>SUM(AF7:AF11)</f>
        <v>#REF!</v>
      </c>
      <c r="AG12" s="479"/>
      <c r="AH12" s="468" t="e">
        <f>SUM(AH7:AH11)</f>
        <v>#REF!</v>
      </c>
      <c r="AI12" s="468"/>
      <c r="AJ12" s="489"/>
      <c r="AK12" s="489"/>
      <c r="AL12" s="489"/>
      <c r="AM12" s="489"/>
      <c r="AN12" s="489"/>
      <c r="AO12" s="489"/>
      <c r="AP12" s="489"/>
      <c r="AQ12" s="489"/>
      <c r="AR12" s="489"/>
      <c r="AS12" s="489"/>
      <c r="AT12" s="489"/>
    </row>
    <row r="13" customHeight="1" spans="1:46">
      <c r="A13" s="469" t="s">
        <v>1101</v>
      </c>
      <c r="B13" s="466" t="e">
        <f t="shared" si="1"/>
        <v>#REF!</v>
      </c>
      <c r="C13" s="466">
        <f t="shared" si="2"/>
        <v>0</v>
      </c>
      <c r="D13" s="466" t="e">
        <f t="shared" si="3"/>
        <v>#REF!</v>
      </c>
      <c r="E13" s="466">
        <f t="shared" si="4"/>
        <v>0</v>
      </c>
      <c r="F13" s="466">
        <f t="shared" si="5"/>
        <v>0</v>
      </c>
      <c r="G13" s="466">
        <f t="shared" si="6"/>
        <v>0</v>
      </c>
      <c r="H13" s="466">
        <f t="shared" si="7"/>
        <v>0</v>
      </c>
      <c r="I13" s="466">
        <f t="shared" si="8"/>
        <v>0</v>
      </c>
      <c r="J13" s="466">
        <f t="shared" si="9"/>
        <v>0</v>
      </c>
      <c r="K13" s="466">
        <f t="shared" si="10"/>
        <v>0</v>
      </c>
      <c r="L13" s="466">
        <f t="shared" si="11"/>
        <v>0</v>
      </c>
      <c r="M13" s="466">
        <f t="shared" si="12"/>
        <v>0</v>
      </c>
      <c r="N13" s="466">
        <f t="shared" si="13"/>
        <v>0</v>
      </c>
      <c r="O13" s="466">
        <f t="shared" si="14"/>
        <v>0</v>
      </c>
      <c r="P13" s="466">
        <f t="shared" si="15"/>
        <v>0</v>
      </c>
      <c r="Q13" s="480" t="e">
        <f>经济指标!#REF!</f>
        <v>#REF!</v>
      </c>
      <c r="R13" s="478"/>
      <c r="S13" s="466" t="e">
        <f>Q13*R13</f>
        <v>#REF!</v>
      </c>
      <c r="T13" s="466"/>
      <c r="U13" s="478"/>
      <c r="V13" s="478"/>
      <c r="W13" s="478"/>
      <c r="X13" s="478"/>
      <c r="Y13" s="478"/>
      <c r="Z13" s="478"/>
      <c r="AA13" s="478"/>
      <c r="AB13" s="478"/>
      <c r="AC13" s="478"/>
      <c r="AD13" s="478"/>
      <c r="AE13" s="478"/>
      <c r="AF13" s="480" t="e">
        <f>经济指标!#REF!</f>
        <v>#REF!</v>
      </c>
      <c r="AG13" s="490"/>
      <c r="AH13" s="466" t="e">
        <f>AF13*AG13</f>
        <v>#REF!</v>
      </c>
      <c r="AI13" s="466"/>
      <c r="AJ13" s="489"/>
      <c r="AK13" s="489"/>
      <c r="AL13" s="489"/>
      <c r="AM13" s="489"/>
      <c r="AN13" s="489"/>
      <c r="AO13" s="489"/>
      <c r="AP13" s="489"/>
      <c r="AQ13" s="489"/>
      <c r="AR13" s="489"/>
      <c r="AS13" s="489"/>
      <c r="AT13" s="489"/>
    </row>
    <row r="14" customHeight="1" spans="1:46">
      <c r="A14" s="470" t="s">
        <v>1102</v>
      </c>
      <c r="B14" s="466" t="e">
        <f t="shared" si="1"/>
        <v>#REF!</v>
      </c>
      <c r="C14" s="466">
        <f t="shared" si="2"/>
        <v>0</v>
      </c>
      <c r="D14" s="466" t="e">
        <f t="shared" si="3"/>
        <v>#REF!</v>
      </c>
      <c r="E14" s="466">
        <f t="shared" si="4"/>
        <v>0</v>
      </c>
      <c r="F14" s="466">
        <f t="shared" si="5"/>
        <v>0</v>
      </c>
      <c r="G14" s="466">
        <f t="shared" si="6"/>
        <v>0</v>
      </c>
      <c r="H14" s="466">
        <f t="shared" si="7"/>
        <v>0</v>
      </c>
      <c r="I14" s="466">
        <f t="shared" si="8"/>
        <v>0</v>
      </c>
      <c r="J14" s="466">
        <f t="shared" si="9"/>
        <v>0</v>
      </c>
      <c r="K14" s="466">
        <f t="shared" si="10"/>
        <v>0</v>
      </c>
      <c r="L14" s="466">
        <f t="shared" si="11"/>
        <v>0</v>
      </c>
      <c r="M14" s="466">
        <f t="shared" si="12"/>
        <v>0</v>
      </c>
      <c r="N14" s="466">
        <f t="shared" si="13"/>
        <v>0</v>
      </c>
      <c r="O14" s="466">
        <f t="shared" si="14"/>
        <v>0</v>
      </c>
      <c r="P14" s="466">
        <f t="shared" si="15"/>
        <v>0</v>
      </c>
      <c r="Q14" s="481" t="e">
        <f>Q12+Q13</f>
        <v>#REF!</v>
      </c>
      <c r="R14" s="482">
        <f>R12+R13</f>
        <v>0</v>
      </c>
      <c r="S14" s="481" t="e">
        <f>S12+S13</f>
        <v>#REF!</v>
      </c>
      <c r="T14" s="481"/>
      <c r="U14" s="482"/>
      <c r="V14" s="482"/>
      <c r="W14" s="482"/>
      <c r="X14" s="482"/>
      <c r="Y14" s="482"/>
      <c r="Z14" s="482"/>
      <c r="AA14" s="482"/>
      <c r="AB14" s="482"/>
      <c r="AC14" s="482"/>
      <c r="AD14" s="482"/>
      <c r="AE14" s="482"/>
      <c r="AF14" s="481" t="e">
        <f>AF12+AF13</f>
        <v>#REF!</v>
      </c>
      <c r="AG14" s="482">
        <f>AG12+AG13</f>
        <v>0</v>
      </c>
      <c r="AH14" s="481" t="e">
        <f>AH12+AH13</f>
        <v>#REF!</v>
      </c>
      <c r="AI14" s="481"/>
      <c r="AJ14" s="489"/>
      <c r="AK14" s="489"/>
      <c r="AL14" s="489"/>
      <c r="AM14" s="489"/>
      <c r="AN14" s="489"/>
      <c r="AO14" s="489"/>
      <c r="AP14" s="489"/>
      <c r="AQ14" s="489"/>
      <c r="AR14" s="489"/>
      <c r="AS14" s="489"/>
      <c r="AT14" s="489"/>
    </row>
    <row r="15" customHeight="1" spans="1:46">
      <c r="A15" s="471" t="s">
        <v>1103</v>
      </c>
      <c r="B15" s="466" t="e">
        <f t="shared" si="1"/>
        <v>#REF!</v>
      </c>
      <c r="C15" s="466" t="e">
        <f t="shared" si="2"/>
        <v>#REF!</v>
      </c>
      <c r="D15" s="466" t="e">
        <f t="shared" si="3"/>
        <v>#REF!</v>
      </c>
      <c r="E15" s="466">
        <f t="shared" si="4"/>
        <v>0</v>
      </c>
      <c r="F15" s="466">
        <f t="shared" si="5"/>
        <v>0</v>
      </c>
      <c r="G15" s="466" t="e">
        <f t="shared" si="6"/>
        <v>#REF!</v>
      </c>
      <c r="H15" s="466" t="e">
        <f t="shared" si="7"/>
        <v>#REF!</v>
      </c>
      <c r="I15" s="466" t="e">
        <f t="shared" si="8"/>
        <v>#REF!</v>
      </c>
      <c r="J15" s="466" t="e">
        <f t="shared" si="9"/>
        <v>#REF!</v>
      </c>
      <c r="K15" s="466" t="e">
        <f t="shared" si="10"/>
        <v>#REF!</v>
      </c>
      <c r="L15" s="466" t="e">
        <f t="shared" si="11"/>
        <v>#REF!</v>
      </c>
      <c r="M15" s="466" t="e">
        <f t="shared" si="12"/>
        <v>#REF!</v>
      </c>
      <c r="N15" s="466" t="e">
        <f t="shared" si="13"/>
        <v>#REF!</v>
      </c>
      <c r="O15" s="466" t="e">
        <f t="shared" si="14"/>
        <v>#REF!</v>
      </c>
      <c r="P15" s="466" t="e">
        <f t="shared" si="15"/>
        <v>#REF!</v>
      </c>
      <c r="Q15" s="480" t="e">
        <f>ROUND(Q13/45,0)</f>
        <v>#REF!</v>
      </c>
      <c r="R15" s="483" t="e">
        <f>#REF!</f>
        <v>#REF!</v>
      </c>
      <c r="S15" s="471" t="e">
        <f>Q15*R15</f>
        <v>#REF!</v>
      </c>
      <c r="T15" s="471"/>
      <c r="U15" s="483"/>
      <c r="V15" s="483" t="e">
        <f>S15*0.1</f>
        <v>#REF!</v>
      </c>
      <c r="W15" s="483" t="e">
        <f t="shared" ref="W15:AB15" si="16">$S$15*0.15</f>
        <v>#REF!</v>
      </c>
      <c r="X15" s="483" t="e">
        <f t="shared" si="16"/>
        <v>#REF!</v>
      </c>
      <c r="Y15" s="483" t="e">
        <f t="shared" si="16"/>
        <v>#REF!</v>
      </c>
      <c r="Z15" s="483" t="e">
        <f t="shared" si="16"/>
        <v>#REF!</v>
      </c>
      <c r="AA15" s="483" t="e">
        <f t="shared" si="16"/>
        <v>#REF!</v>
      </c>
      <c r="AB15" s="483" t="e">
        <f t="shared" si="16"/>
        <v>#REF!</v>
      </c>
      <c r="AC15" s="483"/>
      <c r="AD15" s="483"/>
      <c r="AE15" s="483"/>
      <c r="AF15" s="480" t="e">
        <f>ROUND(AF13/45,0)</f>
        <v>#REF!</v>
      </c>
      <c r="AG15" s="490" t="e">
        <f>#REF!</f>
        <v>#REF!</v>
      </c>
      <c r="AH15" s="471" t="e">
        <f>AF15*AG15</f>
        <v>#REF!</v>
      </c>
      <c r="AI15" s="471"/>
      <c r="AJ15" s="489"/>
      <c r="AK15" s="489"/>
      <c r="AL15" s="489"/>
      <c r="AM15" s="488" t="e">
        <f t="shared" ref="AM15:AR15" si="17">$AH$15*0.15</f>
        <v>#REF!</v>
      </c>
      <c r="AN15" s="488" t="e">
        <f t="shared" si="17"/>
        <v>#REF!</v>
      </c>
      <c r="AO15" s="488" t="e">
        <f t="shared" si="17"/>
        <v>#REF!</v>
      </c>
      <c r="AP15" s="488" t="e">
        <f t="shared" si="17"/>
        <v>#REF!</v>
      </c>
      <c r="AQ15" s="488" t="e">
        <f t="shared" si="17"/>
        <v>#REF!</v>
      </c>
      <c r="AR15" s="488" t="e">
        <f t="shared" si="17"/>
        <v>#REF!</v>
      </c>
      <c r="AS15" s="488" t="e">
        <f>$AH$15*0.05</f>
        <v>#REF!</v>
      </c>
      <c r="AT15" s="488" t="e">
        <f>$AH$15*0.05</f>
        <v>#REF!</v>
      </c>
    </row>
    <row r="16" customHeight="1" spans="1:46">
      <c r="A16" s="472" t="s">
        <v>1104</v>
      </c>
      <c r="B16" s="466" t="e">
        <f t="shared" si="1"/>
        <v>#REF!</v>
      </c>
      <c r="C16" s="466" t="e">
        <f t="shared" si="2"/>
        <v>#REF!</v>
      </c>
      <c r="D16" s="466" t="e">
        <f>SUM(D7:D9)+D15</f>
        <v>#REF!</v>
      </c>
      <c r="E16" s="466">
        <f t="shared" ref="E16:AT16" si="18">SUM(E7:E9)+E15</f>
        <v>0</v>
      </c>
      <c r="F16" s="466">
        <f t="shared" si="18"/>
        <v>0</v>
      </c>
      <c r="G16" s="466" t="e">
        <f t="shared" si="18"/>
        <v>#REF!</v>
      </c>
      <c r="H16" s="466" t="e">
        <f t="shared" si="18"/>
        <v>#REF!</v>
      </c>
      <c r="I16" s="466" t="e">
        <f t="shared" si="18"/>
        <v>#REF!</v>
      </c>
      <c r="J16" s="466" t="e">
        <f t="shared" si="18"/>
        <v>#REF!</v>
      </c>
      <c r="K16" s="466" t="e">
        <f t="shared" si="18"/>
        <v>#REF!</v>
      </c>
      <c r="L16" s="466" t="e">
        <f t="shared" si="18"/>
        <v>#REF!</v>
      </c>
      <c r="M16" s="466" t="e">
        <f t="shared" si="18"/>
        <v>#REF!</v>
      </c>
      <c r="N16" s="466" t="e">
        <f t="shared" si="18"/>
        <v>#REF!</v>
      </c>
      <c r="O16" s="466" t="e">
        <f t="shared" si="18"/>
        <v>#REF!</v>
      </c>
      <c r="P16" s="466" t="e">
        <f t="shared" si="18"/>
        <v>#REF!</v>
      </c>
      <c r="Q16" s="466" t="e">
        <f t="shared" si="18"/>
        <v>#REF!</v>
      </c>
      <c r="R16" s="466" t="e">
        <f t="shared" si="18"/>
        <v>#REF!</v>
      </c>
      <c r="S16" s="466" t="e">
        <f t="shared" si="18"/>
        <v>#REF!</v>
      </c>
      <c r="T16" s="466">
        <f t="shared" si="18"/>
        <v>0</v>
      </c>
      <c r="U16" s="466">
        <f t="shared" si="18"/>
        <v>0</v>
      </c>
      <c r="V16" s="466" t="e">
        <f t="shared" si="18"/>
        <v>#REF!</v>
      </c>
      <c r="W16" s="466" t="e">
        <f t="shared" si="18"/>
        <v>#REF!</v>
      </c>
      <c r="X16" s="466" t="e">
        <f t="shared" si="18"/>
        <v>#REF!</v>
      </c>
      <c r="Y16" s="466" t="e">
        <f t="shared" si="18"/>
        <v>#REF!</v>
      </c>
      <c r="Z16" s="466" t="e">
        <f t="shared" si="18"/>
        <v>#REF!</v>
      </c>
      <c r="AA16" s="466" t="e">
        <f t="shared" si="18"/>
        <v>#REF!</v>
      </c>
      <c r="AB16" s="466" t="e">
        <f t="shared" si="18"/>
        <v>#REF!</v>
      </c>
      <c r="AC16" s="466">
        <f t="shared" si="18"/>
        <v>0</v>
      </c>
      <c r="AD16" s="466">
        <f t="shared" si="18"/>
        <v>0</v>
      </c>
      <c r="AE16" s="466">
        <f t="shared" si="18"/>
        <v>0</v>
      </c>
      <c r="AF16" s="466" t="e">
        <f t="shared" si="18"/>
        <v>#REF!</v>
      </c>
      <c r="AG16" s="466" t="e">
        <f t="shared" si="18"/>
        <v>#REF!</v>
      </c>
      <c r="AH16" s="466" t="e">
        <f t="shared" si="18"/>
        <v>#REF!</v>
      </c>
      <c r="AI16" s="466">
        <f t="shared" si="18"/>
        <v>0</v>
      </c>
      <c r="AJ16" s="466">
        <f t="shared" si="18"/>
        <v>0</v>
      </c>
      <c r="AK16" s="466">
        <f t="shared" si="18"/>
        <v>0</v>
      </c>
      <c r="AL16" s="466">
        <f t="shared" si="18"/>
        <v>0</v>
      </c>
      <c r="AM16" s="466" t="e">
        <f t="shared" si="18"/>
        <v>#REF!</v>
      </c>
      <c r="AN16" s="466" t="e">
        <f t="shared" si="18"/>
        <v>#REF!</v>
      </c>
      <c r="AO16" s="466" t="e">
        <f t="shared" si="18"/>
        <v>#REF!</v>
      </c>
      <c r="AP16" s="466" t="e">
        <f t="shared" si="18"/>
        <v>#REF!</v>
      </c>
      <c r="AQ16" s="466" t="e">
        <f t="shared" si="18"/>
        <v>#REF!</v>
      </c>
      <c r="AR16" s="466" t="e">
        <f t="shared" si="18"/>
        <v>#REF!</v>
      </c>
      <c r="AS16" s="466" t="e">
        <f t="shared" si="18"/>
        <v>#REF!</v>
      </c>
      <c r="AT16" s="466" t="e">
        <f t="shared" si="18"/>
        <v>#REF!</v>
      </c>
    </row>
  </sheetData>
  <mergeCells count="3">
    <mergeCell ref="B1:P1"/>
    <mergeCell ref="Q1:AE1"/>
    <mergeCell ref="AF1:AT1"/>
  </mergeCells>
  <pageMargins left="0.699305555555556" right="0.699305555555556" top="0.75" bottom="0.75"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7"/>
  <sheetViews>
    <sheetView zoomScale="115" zoomScaleNormal="115" workbookViewId="0">
      <selection activeCell="H8" sqref="H8"/>
    </sheetView>
  </sheetViews>
  <sheetFormatPr defaultColWidth="9" defaultRowHeight="30" customHeight="1"/>
  <cols>
    <col min="1" max="1" width="12.25" style="336" customWidth="1"/>
    <col min="2" max="2" width="15.125" style="336" customWidth="1"/>
    <col min="3" max="3" width="14.5" style="336" customWidth="1"/>
    <col min="4" max="4" width="15.125" style="336" customWidth="1"/>
    <col min="5" max="5" width="14.875" style="336" customWidth="1"/>
    <col min="6" max="6" width="18" style="336" customWidth="1"/>
    <col min="7" max="7" width="19.25" style="336" customWidth="1"/>
    <col min="8" max="8" width="12.875" style="336" customWidth="1"/>
    <col min="9" max="9" width="12.625" style="336" customWidth="1"/>
    <col min="10" max="10" width="20.5" style="338" customWidth="1"/>
    <col min="11" max="11" width="14.0666666666667" style="338" customWidth="1"/>
    <col min="12" max="12" width="15.4416666666667" style="338" customWidth="1"/>
    <col min="13" max="13" width="12" style="336" customWidth="1"/>
    <col min="14" max="14" width="9" style="336"/>
    <col min="15" max="15" width="16.0916666666667" style="338" customWidth="1"/>
    <col min="16" max="16" width="14.8416666666667" style="338" customWidth="1"/>
    <col min="17" max="17" width="17.025" style="336" customWidth="1"/>
    <col min="18" max="16384" width="9" style="336"/>
  </cols>
  <sheetData>
    <row r="1" customFormat="1" ht="21" customHeight="1" spans="1:16">
      <c r="A1" s="178" t="s">
        <v>49</v>
      </c>
      <c r="B1" s="179" t="str">
        <f>目录!C6</f>
        <v>销售中心</v>
      </c>
      <c r="C1" s="180" t="s">
        <v>50</v>
      </c>
      <c r="D1" s="420" t="s">
        <v>1105</v>
      </c>
      <c r="E1" s="421"/>
      <c r="F1" s="421"/>
      <c r="J1" s="138"/>
      <c r="K1" s="138"/>
      <c r="L1" s="138"/>
      <c r="O1" s="138"/>
      <c r="P1" s="138"/>
    </row>
    <row r="2" customFormat="1" ht="21" customHeight="1" spans="1:16">
      <c r="A2" s="178" t="s">
        <v>3</v>
      </c>
      <c r="B2" s="179" t="str">
        <f>目录!D6</f>
        <v>赵瑞波</v>
      </c>
      <c r="C2" s="180"/>
      <c r="D2" s="422" t="s">
        <v>705</v>
      </c>
      <c r="E2" s="423">
        <v>0.03</v>
      </c>
      <c r="F2" s="140">
        <v>27</v>
      </c>
      <c r="J2" s="138"/>
      <c r="K2" s="138"/>
      <c r="L2" s="138"/>
      <c r="O2" s="138"/>
      <c r="P2" s="138"/>
    </row>
    <row r="3" customFormat="1" ht="21" customHeight="1" spans="1:16">
      <c r="A3" s="178" t="s">
        <v>4</v>
      </c>
      <c r="B3" s="181" t="str">
        <f>目录!E6</f>
        <v>2022.10.31</v>
      </c>
      <c r="C3" s="180"/>
      <c r="D3" s="422" t="s">
        <v>706</v>
      </c>
      <c r="E3" s="423">
        <v>0.02</v>
      </c>
      <c r="F3" s="140">
        <v>13</v>
      </c>
      <c r="G3" s="315">
        <f>I23/E23</f>
        <v>0.02</v>
      </c>
      <c r="H3" t="s">
        <v>1106</v>
      </c>
      <c r="J3" s="138"/>
      <c r="K3" s="138"/>
      <c r="L3" s="138"/>
      <c r="O3" s="138"/>
      <c r="P3" s="138"/>
    </row>
    <row r="4" s="172" customFormat="1" ht="21" customHeight="1" spans="1:16">
      <c r="A4" s="424"/>
      <c r="B4" s="425"/>
      <c r="C4" s="426"/>
      <c r="D4" s="427"/>
      <c r="E4" s="428"/>
      <c r="F4" s="429"/>
      <c r="J4" s="231">
        <f>H8</f>
        <v>66</v>
      </c>
      <c r="K4" s="231"/>
      <c r="L4" s="231"/>
      <c r="O4" s="231"/>
      <c r="P4" s="231"/>
    </row>
    <row r="5" customHeight="1" spans="1:11">
      <c r="A5" s="430" t="str">
        <f>项目概况!B6&amp;"项目预计销售收入及费用情况表"</f>
        <v>洛龙区八里堂地块（挂牌）项目预计销售收入及费用情况表</v>
      </c>
      <c r="B5" s="430"/>
      <c r="C5" s="430"/>
      <c r="D5" s="430"/>
      <c r="E5" s="430"/>
      <c r="F5" s="430"/>
      <c r="G5" s="430"/>
      <c r="H5" s="430"/>
      <c r="I5" s="430"/>
      <c r="K5" s="338">
        <f>60*48+40*24</f>
        <v>3840</v>
      </c>
    </row>
    <row r="6" customHeight="1" spans="1:16">
      <c r="A6" s="343" t="s">
        <v>1107</v>
      </c>
      <c r="B6" s="343" t="s">
        <v>75</v>
      </c>
      <c r="C6" s="344" t="s">
        <v>79</v>
      </c>
      <c r="D6" s="344" t="s">
        <v>1108</v>
      </c>
      <c r="E6" s="349" t="s">
        <v>1109</v>
      </c>
      <c r="F6" s="345" t="s">
        <v>1110</v>
      </c>
      <c r="G6" s="345" t="s">
        <v>1111</v>
      </c>
      <c r="H6" s="345" t="s">
        <v>705</v>
      </c>
      <c r="I6" s="345" t="s">
        <v>1112</v>
      </c>
      <c r="J6" s="453" t="s">
        <v>1077</v>
      </c>
      <c r="K6" s="454" t="s">
        <v>1113</v>
      </c>
      <c r="L6" s="454" t="s">
        <v>1114</v>
      </c>
      <c r="M6" s="454"/>
      <c r="O6" s="338" t="s">
        <v>1115</v>
      </c>
      <c r="P6" s="338" t="s">
        <v>1116</v>
      </c>
    </row>
    <row r="7" ht="23.25" customHeight="1" spans="1:17">
      <c r="A7" s="347" t="str">
        <f>经济指标!B9</f>
        <v>地上部分1</v>
      </c>
      <c r="B7" s="347" t="str">
        <f>经济指标!C9</f>
        <v>洋房</v>
      </c>
      <c r="C7" s="349">
        <f>经济指标!G9</f>
        <v>31642.84</v>
      </c>
      <c r="D7" s="431">
        <v>13500</v>
      </c>
      <c r="E7" s="349">
        <f>C7*D7/10000</f>
        <v>42717.834</v>
      </c>
      <c r="F7" s="432">
        <f>E7/$E$23</f>
        <v>0.656044966913969</v>
      </c>
      <c r="G7" s="433"/>
      <c r="H7" s="349">
        <f>E7*E2</f>
        <v>1281.53502</v>
      </c>
      <c r="I7" s="349">
        <f>E7*$E$3</f>
        <v>854.35668</v>
      </c>
      <c r="J7" s="455" t="s">
        <v>1081</v>
      </c>
      <c r="K7" s="454">
        <v>10976</v>
      </c>
      <c r="L7" s="454">
        <f>C8-K7</f>
        <v>5716.48</v>
      </c>
      <c r="M7" s="454"/>
      <c r="O7" s="338">
        <v>43718.4</v>
      </c>
      <c r="P7" s="338">
        <f>E7-O7</f>
        <v>-1000.566</v>
      </c>
      <c r="Q7" s="336" t="s">
        <v>1117</v>
      </c>
    </row>
    <row r="8" ht="23.25" customHeight="1" spans="1:17">
      <c r="A8" s="347" t="str">
        <f>经济指标!B10</f>
        <v>地上部分2</v>
      </c>
      <c r="B8" s="347" t="str">
        <f>经济指标!C10</f>
        <v>别墅</v>
      </c>
      <c r="C8" s="349">
        <f>经济指标!G10</f>
        <v>16692.48</v>
      </c>
      <c r="D8" s="431">
        <f>E8/C8*10000</f>
        <v>11500</v>
      </c>
      <c r="E8" s="349">
        <f>K9+L9</f>
        <v>19196.352</v>
      </c>
      <c r="F8" s="432">
        <f>E8/$E$23</f>
        <v>0.294810596265459</v>
      </c>
      <c r="G8" s="433"/>
      <c r="H8" s="434">
        <v>66</v>
      </c>
      <c r="I8" s="349">
        <f>E8*$E$3</f>
        <v>383.92704</v>
      </c>
      <c r="J8" s="455" t="s">
        <v>1059</v>
      </c>
      <c r="K8" s="454">
        <v>11500</v>
      </c>
      <c r="L8" s="454">
        <v>11500</v>
      </c>
      <c r="M8" s="454"/>
      <c r="O8" s="338">
        <v>18418.4</v>
      </c>
      <c r="P8" s="338">
        <f t="shared" ref="P8:P23" si="0">E8-O8</f>
        <v>777.951999999997</v>
      </c>
      <c r="Q8" s="336" t="s">
        <v>1118</v>
      </c>
    </row>
    <row r="9" ht="23.25" customHeight="1" spans="1:16">
      <c r="A9" s="347" t="str">
        <f>经济指标!B11</f>
        <v>地上部分3</v>
      </c>
      <c r="B9" s="347" t="str">
        <f>经济指标!C11</f>
        <v>小高层</v>
      </c>
      <c r="C9" s="349">
        <f>经济指标!G11</f>
        <v>0</v>
      </c>
      <c r="D9" s="349"/>
      <c r="E9" s="349">
        <f t="shared" ref="E9:E17" si="1">C9*D9/10000</f>
        <v>0</v>
      </c>
      <c r="F9" s="432">
        <f>E9/$E$23</f>
        <v>0</v>
      </c>
      <c r="G9" s="433"/>
      <c r="H9" s="349"/>
      <c r="I9" s="349">
        <f t="shared" ref="I9:I21" si="2">E9*$E$3</f>
        <v>0</v>
      </c>
      <c r="J9" s="455" t="s">
        <v>1119</v>
      </c>
      <c r="K9" s="456">
        <f>K7*K8/10000</f>
        <v>12622.4</v>
      </c>
      <c r="L9" s="456">
        <f t="shared" ref="L9" si="3">L7*L8/10000</f>
        <v>6573.952</v>
      </c>
      <c r="M9" s="454"/>
      <c r="O9" s="338">
        <v>0</v>
      </c>
      <c r="P9" s="338">
        <f t="shared" si="0"/>
        <v>0</v>
      </c>
    </row>
    <row r="10" ht="23.25" customHeight="1" spans="1:16">
      <c r="A10" s="347" t="str">
        <f>经济指标!B12</f>
        <v>地上部分4</v>
      </c>
      <c r="B10" s="347" t="str">
        <f>经济指标!C12</f>
        <v>公寓</v>
      </c>
      <c r="C10" s="349">
        <f>经济指标!G12</f>
        <v>0</v>
      </c>
      <c r="D10" s="349">
        <v>0</v>
      </c>
      <c r="E10" s="349">
        <f t="shared" si="1"/>
        <v>0</v>
      </c>
      <c r="F10" s="432">
        <f t="shared" ref="F10:F13" si="4">E10/$E$23</f>
        <v>0</v>
      </c>
      <c r="G10" s="433"/>
      <c r="H10" s="349"/>
      <c r="I10" s="349">
        <f t="shared" ref="I10:I13" si="5">E10*$E$3</f>
        <v>0</v>
      </c>
      <c r="J10" s="455" t="s">
        <v>1120</v>
      </c>
      <c r="K10" s="454">
        <f>[3]项目利润情况表!$C$65</f>
        <v>11600</v>
      </c>
      <c r="L10" s="454">
        <f>K10</f>
        <v>11600</v>
      </c>
      <c r="M10" s="454"/>
      <c r="O10" s="338">
        <v>0</v>
      </c>
      <c r="P10" s="338">
        <f t="shared" si="0"/>
        <v>0</v>
      </c>
    </row>
    <row r="11" ht="23.25" customHeight="1" spans="1:16">
      <c r="A11" s="347" t="str">
        <f>经济指标!B13</f>
        <v>地上部分5</v>
      </c>
      <c r="B11" s="347" t="str">
        <f>经济指标!C13</f>
        <v>商业</v>
      </c>
      <c r="C11" s="349">
        <f>经济指标!G13</f>
        <v>0</v>
      </c>
      <c r="D11" s="431">
        <v>0</v>
      </c>
      <c r="E11" s="349">
        <f t="shared" si="1"/>
        <v>0</v>
      </c>
      <c r="F11" s="432">
        <f t="shared" si="4"/>
        <v>0</v>
      </c>
      <c r="G11" s="433"/>
      <c r="H11" s="349"/>
      <c r="I11" s="349">
        <f t="shared" si="5"/>
        <v>0</v>
      </c>
      <c r="J11" s="454" t="s">
        <v>1121</v>
      </c>
      <c r="K11" s="454">
        <f>K8-K10</f>
        <v>-100</v>
      </c>
      <c r="L11" s="454">
        <f t="shared" ref="L11" si="6">L8-L10</f>
        <v>-100</v>
      </c>
      <c r="M11" s="454"/>
      <c r="O11" s="338">
        <v>0</v>
      </c>
      <c r="P11" s="338">
        <f t="shared" si="0"/>
        <v>0</v>
      </c>
    </row>
    <row r="12" ht="23.25" customHeight="1" spans="1:16">
      <c r="A12" s="347" t="str">
        <f>经济指标!B14</f>
        <v>地上部分6</v>
      </c>
      <c r="B12" s="347" t="str">
        <f>经济指标!C14</f>
        <v>办公</v>
      </c>
      <c r="C12" s="349">
        <f>经济指标!G14</f>
        <v>0</v>
      </c>
      <c r="D12" s="349">
        <v>0</v>
      </c>
      <c r="E12" s="349">
        <f t="shared" si="1"/>
        <v>0</v>
      </c>
      <c r="F12" s="432">
        <f t="shared" si="4"/>
        <v>0</v>
      </c>
      <c r="G12" s="433"/>
      <c r="H12" s="349"/>
      <c r="I12" s="349">
        <f t="shared" si="5"/>
        <v>0</v>
      </c>
      <c r="O12" s="338">
        <v>0</v>
      </c>
      <c r="P12" s="338">
        <f t="shared" si="0"/>
        <v>0</v>
      </c>
    </row>
    <row r="13" ht="23.25" customHeight="1" spans="1:16">
      <c r="A13" s="347" t="str">
        <f>经济指标!B15</f>
        <v>地上部分7</v>
      </c>
      <c r="B13" s="347" t="str">
        <f>经济指标!C15</f>
        <v>装配式</v>
      </c>
      <c r="C13" s="349">
        <f>经济指标!G15</f>
        <v>0</v>
      </c>
      <c r="D13" s="431"/>
      <c r="E13" s="349">
        <f t="shared" si="1"/>
        <v>0</v>
      </c>
      <c r="F13" s="432">
        <f t="shared" si="4"/>
        <v>0</v>
      </c>
      <c r="G13" s="433"/>
      <c r="H13" s="349"/>
      <c r="I13" s="349">
        <f t="shared" si="5"/>
        <v>0</v>
      </c>
      <c r="O13" s="338">
        <v>0</v>
      </c>
      <c r="P13" s="338">
        <f t="shared" si="0"/>
        <v>0</v>
      </c>
    </row>
    <row r="14" ht="23.25" customHeight="1" spans="1:16">
      <c r="A14" s="347" t="str">
        <f>经济指标!B16</f>
        <v>地上部分8</v>
      </c>
      <c r="B14" s="347" t="str">
        <f>经济指标!C16</f>
        <v>物业用房及消防控制室</v>
      </c>
      <c r="C14" s="349">
        <f>经济指标!G16</f>
        <v>0</v>
      </c>
      <c r="D14" s="349"/>
      <c r="E14" s="349">
        <f t="shared" si="1"/>
        <v>0</v>
      </c>
      <c r="F14" s="432">
        <f t="shared" ref="F14:F23" si="7">E14/$E$23</f>
        <v>0</v>
      </c>
      <c r="G14" s="433"/>
      <c r="H14" s="349"/>
      <c r="I14" s="349">
        <f t="shared" si="2"/>
        <v>0</v>
      </c>
      <c r="M14" s="338"/>
      <c r="O14" s="338">
        <v>0</v>
      </c>
      <c r="P14" s="338">
        <f t="shared" si="0"/>
        <v>0</v>
      </c>
    </row>
    <row r="15" ht="23.25" customHeight="1" spans="1:16">
      <c r="A15" s="347" t="str">
        <f>经济指标!B17</f>
        <v>地上部分9</v>
      </c>
      <c r="B15" s="347" t="str">
        <f>经济指标!C17</f>
        <v>公共厕所及开闭所</v>
      </c>
      <c r="C15" s="349">
        <f>经济指标!G17</f>
        <v>0</v>
      </c>
      <c r="D15" s="349">
        <v>0</v>
      </c>
      <c r="E15" s="349">
        <f t="shared" si="1"/>
        <v>0</v>
      </c>
      <c r="F15" s="432">
        <f t="shared" si="7"/>
        <v>0</v>
      </c>
      <c r="G15" s="433"/>
      <c r="H15" s="349"/>
      <c r="I15" s="349">
        <f t="shared" si="2"/>
        <v>0</v>
      </c>
      <c r="O15" s="338">
        <v>0</v>
      </c>
      <c r="P15" s="338">
        <f t="shared" si="0"/>
        <v>0</v>
      </c>
    </row>
    <row r="16" ht="23.25" customHeight="1" spans="1:16">
      <c r="A16" s="347" t="str">
        <f>经济指标!B18</f>
        <v>地上部分10</v>
      </c>
      <c r="B16" s="347" t="str">
        <f>经济指标!C18</f>
        <v>社区服务站</v>
      </c>
      <c r="C16" s="349">
        <f>经济指标!G18</f>
        <v>0</v>
      </c>
      <c r="D16" s="349">
        <v>0</v>
      </c>
      <c r="E16" s="349">
        <f t="shared" si="1"/>
        <v>0</v>
      </c>
      <c r="F16" s="432">
        <f t="shared" si="7"/>
        <v>0</v>
      </c>
      <c r="G16" s="433"/>
      <c r="H16" s="349"/>
      <c r="I16" s="349">
        <f t="shared" si="2"/>
        <v>0</v>
      </c>
      <c r="J16" s="457" t="s">
        <v>1122</v>
      </c>
      <c r="O16" s="338">
        <v>0</v>
      </c>
      <c r="P16" s="338">
        <f t="shared" si="0"/>
        <v>0</v>
      </c>
    </row>
    <row r="17" ht="23.25" customHeight="1" spans="1:16">
      <c r="A17" s="347" t="str">
        <f>经济指标!B19</f>
        <v>地上部分11</v>
      </c>
      <c r="B17" s="347" t="str">
        <f>经济指标!C19</f>
        <v>老年日间照料</v>
      </c>
      <c r="C17" s="349">
        <f>经济指标!G19</f>
        <v>0</v>
      </c>
      <c r="D17" s="349">
        <v>0</v>
      </c>
      <c r="E17" s="349">
        <f t="shared" si="1"/>
        <v>0</v>
      </c>
      <c r="F17" s="432">
        <f t="shared" si="7"/>
        <v>0</v>
      </c>
      <c r="G17" s="433"/>
      <c r="H17" s="349"/>
      <c r="I17" s="349">
        <f t="shared" si="2"/>
        <v>0</v>
      </c>
      <c r="O17" s="338">
        <v>0</v>
      </c>
      <c r="P17" s="338">
        <f t="shared" si="0"/>
        <v>0</v>
      </c>
    </row>
    <row r="18" ht="23.25" customHeight="1" spans="1:16">
      <c r="A18" s="435" t="s">
        <v>1123</v>
      </c>
      <c r="B18" s="436"/>
      <c r="C18" s="437">
        <f>SUM(C7:C17)</f>
        <v>48335.32</v>
      </c>
      <c r="D18" s="438">
        <f>E18*10000/C18</f>
        <v>12809.3050795981</v>
      </c>
      <c r="E18" s="437">
        <f>SUM(E7:E17)</f>
        <v>61914.186</v>
      </c>
      <c r="F18" s="439">
        <f t="shared" si="7"/>
        <v>0.950855563179428</v>
      </c>
      <c r="G18" s="437">
        <f t="shared" ref="G18:H18" si="8">SUM(G7:G17)</f>
        <v>0</v>
      </c>
      <c r="H18" s="437">
        <f t="shared" si="8"/>
        <v>1347.53502</v>
      </c>
      <c r="I18" s="458">
        <f>I7+I8</f>
        <v>1238.28372</v>
      </c>
      <c r="O18" s="81">
        <v>62136.8</v>
      </c>
      <c r="P18" s="81">
        <f t="shared" si="0"/>
        <v>-222.614000000001</v>
      </c>
    </row>
    <row r="19" ht="23.25" customHeight="1" spans="1:16">
      <c r="A19" s="345" t="str">
        <f>经济指标!B21</f>
        <v>地下部分1</v>
      </c>
      <c r="B19" s="345" t="str">
        <f>经济指标!C21</f>
        <v>储藏室</v>
      </c>
      <c r="C19" s="350">
        <f>经济指标!G21</f>
        <v>0</v>
      </c>
      <c r="D19" s="350"/>
      <c r="E19" s="350">
        <f>C19*D19/10000</f>
        <v>0</v>
      </c>
      <c r="F19" s="432">
        <f t="shared" si="7"/>
        <v>0</v>
      </c>
      <c r="G19" s="345"/>
      <c r="H19" s="350">
        <f>E19*$E$2</f>
        <v>0</v>
      </c>
      <c r="I19" s="350">
        <f t="shared" si="2"/>
        <v>0</v>
      </c>
      <c r="O19" s="338">
        <v>0</v>
      </c>
      <c r="P19" s="338">
        <f t="shared" si="0"/>
        <v>0</v>
      </c>
    </row>
    <row r="20" ht="23.25" customHeight="1" spans="1:17">
      <c r="A20" s="345" t="str">
        <f>经济指标!B22</f>
        <v>地下部分2</v>
      </c>
      <c r="B20" s="345" t="str">
        <f>经济指标!C22</f>
        <v>人防车位</v>
      </c>
      <c r="C20" s="440">
        <f>经济指标!I22</f>
        <v>99</v>
      </c>
      <c r="D20" s="441">
        <v>8</v>
      </c>
      <c r="E20" s="350">
        <f>C20*D20</f>
        <v>792</v>
      </c>
      <c r="F20" s="432">
        <f t="shared" si="7"/>
        <v>0.0121632481130917</v>
      </c>
      <c r="G20" s="345"/>
      <c r="H20" s="350"/>
      <c r="I20" s="350">
        <f t="shared" si="2"/>
        <v>15.84</v>
      </c>
      <c r="O20" s="338">
        <v>819.755789473684</v>
      </c>
      <c r="P20" s="338">
        <f t="shared" si="0"/>
        <v>-27.755789473684</v>
      </c>
      <c r="Q20" s="460" t="s">
        <v>1124</v>
      </c>
    </row>
    <row r="21" ht="23.25" customHeight="1" spans="1:17">
      <c r="A21" s="345" t="str">
        <f>经济指标!B23</f>
        <v>地下部分3</v>
      </c>
      <c r="B21" s="345" t="str">
        <f>经济指标!C23</f>
        <v>非人防车位</v>
      </c>
      <c r="C21" s="440">
        <f>经济指标!I23</f>
        <v>301</v>
      </c>
      <c r="D21" s="441">
        <v>8</v>
      </c>
      <c r="E21" s="350">
        <f>C21*D21</f>
        <v>2408</v>
      </c>
      <c r="F21" s="432">
        <f t="shared" si="7"/>
        <v>0.0369811887074807</v>
      </c>
      <c r="G21" s="345"/>
      <c r="H21" s="378">
        <f>376*D21*E2</f>
        <v>90.24</v>
      </c>
      <c r="I21" s="350">
        <f t="shared" si="2"/>
        <v>48.16</v>
      </c>
      <c r="J21" s="338" t="s">
        <v>1125</v>
      </c>
      <c r="O21" s="338">
        <v>3244.24421052632</v>
      </c>
      <c r="P21" s="338">
        <f t="shared" si="0"/>
        <v>-836.24421052632</v>
      </c>
      <c r="Q21" s="460" t="s">
        <v>1124</v>
      </c>
    </row>
    <row r="22" ht="23.25" customHeight="1" spans="1:17">
      <c r="A22" s="442" t="s">
        <v>1126</v>
      </c>
      <c r="B22" s="443"/>
      <c r="C22" s="437">
        <f>经济指标!G20</f>
        <v>22235.51</v>
      </c>
      <c r="D22" s="444">
        <f>E22*10000/C22</f>
        <v>1439.13946655597</v>
      </c>
      <c r="E22" s="437">
        <f>SUM(E19:E21)</f>
        <v>3200</v>
      </c>
      <c r="F22" s="439">
        <f t="shared" si="7"/>
        <v>0.0491444368205724</v>
      </c>
      <c r="G22" s="445"/>
      <c r="H22" s="437">
        <f>SUM(H19:H21)</f>
        <v>90.24</v>
      </c>
      <c r="I22" s="437">
        <f>SUM(I19:I21)</f>
        <v>64</v>
      </c>
      <c r="O22" s="81">
        <v>4064</v>
      </c>
      <c r="P22" s="81">
        <f t="shared" si="0"/>
        <v>-864</v>
      </c>
      <c r="Q22" s="460"/>
    </row>
    <row r="23" ht="23.25" customHeight="1" spans="1:16">
      <c r="A23" s="446" t="s">
        <v>138</v>
      </c>
      <c r="B23" s="447"/>
      <c r="C23" s="448">
        <f>C18+C22</f>
        <v>70570.83</v>
      </c>
      <c r="D23" s="449">
        <f>E23*10000/C23</f>
        <v>9226.78477778992</v>
      </c>
      <c r="E23" s="448">
        <f>E18+E22</f>
        <v>65114.186</v>
      </c>
      <c r="F23" s="450">
        <f t="shared" si="7"/>
        <v>1</v>
      </c>
      <c r="G23" s="451"/>
      <c r="H23" s="448">
        <f>H18+H22</f>
        <v>1437.77502</v>
      </c>
      <c r="I23" s="459">
        <f>I22+I18</f>
        <v>1302.28372</v>
      </c>
      <c r="O23" s="81">
        <v>66200.8</v>
      </c>
      <c r="P23" s="81">
        <f t="shared" si="0"/>
        <v>-1086.614</v>
      </c>
    </row>
    <row r="24" ht="23.25" customHeight="1" spans="1:9">
      <c r="A24" s="452" t="s">
        <v>1127</v>
      </c>
      <c r="B24" s="452"/>
      <c r="C24" s="452"/>
      <c r="D24" s="452"/>
      <c r="E24" s="452"/>
      <c r="F24" s="452"/>
      <c r="H24" s="338">
        <f>E23*E2</f>
        <v>1953.42558</v>
      </c>
      <c r="I24" s="338">
        <f>E23*E3</f>
        <v>1302.28372</v>
      </c>
    </row>
    <row r="25" customHeight="1" spans="3:5">
      <c r="C25" s="336">
        <f>C23-经济指标!G7</f>
        <v>0</v>
      </c>
      <c r="E25" s="336">
        <f>E23-[5]预计销售收入及费用情况表!$E$23</f>
        <v>-1086.614</v>
      </c>
    </row>
    <row r="27" customHeight="1" spans="8:8">
      <c r="H27" s="359"/>
    </row>
  </sheetData>
  <mergeCells count="7">
    <mergeCell ref="D1:F1"/>
    <mergeCell ref="A5:I5"/>
    <mergeCell ref="A18:B18"/>
    <mergeCell ref="A22:B22"/>
    <mergeCell ref="A23:B23"/>
    <mergeCell ref="A24:F24"/>
    <mergeCell ref="C1:C3"/>
  </mergeCells>
  <hyperlinks>
    <hyperlink ref="C1:C3" location="目录!A1" display="返回目录"/>
  </hyperlinks>
  <pageMargins left="0.707638888888889" right="0.707638888888889" top="0.747916666666667" bottom="0.747916666666667" header="0.313888888888889" footer="0.313888888888889"/>
  <pageSetup paperSize="9" orientation="landscape"/>
  <headerFooter/>
  <drawing r:id="rId1"/>
  <legacyDrawing r:id="rId2"/>
  <mc:AlternateContent xmlns:mc="http://schemas.openxmlformats.org/markup-compatibility/2006">
    <mc:Choice Requires="x14">
      <controls>
        <mc:AlternateContent xmlns:mc="http://schemas.openxmlformats.org/markup-compatibility/2006">
          <mc:Choice Requires="x14">
            <control shapeId="6146" name="Scroll Bar 2" r:id="rId3">
              <controlPr defaultSize="0">
                <anchor moveWithCells="1">
                  <from>
                    <xdr:col>6</xdr:col>
                    <xdr:colOff>66675</xdr:colOff>
                    <xdr:row>6</xdr:row>
                    <xdr:rowOff>28575</xdr:rowOff>
                  </from>
                  <to>
                    <xdr:col>7</xdr:col>
                    <xdr:colOff>0</xdr:colOff>
                    <xdr:row>7</xdr:row>
                    <xdr:rowOff>0</xdr:rowOff>
                  </to>
                </anchor>
              </controlPr>
            </control>
          </mc:Choice>
        </mc:AlternateContent>
        <mc:AlternateContent xmlns:mc="http://schemas.openxmlformats.org/markup-compatibility/2006">
          <mc:Choice Requires="x14">
            <control shapeId="6147" name="Scroll Bar 3" r:id="rId4">
              <controlPr defaultSize="0">
                <anchor moveWithCells="1">
                  <from>
                    <xdr:col>6</xdr:col>
                    <xdr:colOff>66675</xdr:colOff>
                    <xdr:row>7</xdr:row>
                    <xdr:rowOff>47625</xdr:rowOff>
                  </from>
                  <to>
                    <xdr:col>7</xdr:col>
                    <xdr:colOff>0</xdr:colOff>
                    <xdr:row>8</xdr:row>
                    <xdr:rowOff>0</xdr:rowOff>
                  </to>
                </anchor>
              </controlPr>
            </control>
          </mc:Choice>
        </mc:AlternateContent>
        <mc:AlternateContent xmlns:mc="http://schemas.openxmlformats.org/markup-compatibility/2006">
          <mc:Choice Requires="x14">
            <control shapeId="6148" name="Scroll Bar 4" r:id="rId5">
              <controlPr defaultSize="0">
                <anchor moveWithCells="1">
                  <from>
                    <xdr:col>6</xdr:col>
                    <xdr:colOff>76200</xdr:colOff>
                    <xdr:row>8</xdr:row>
                    <xdr:rowOff>28575</xdr:rowOff>
                  </from>
                  <to>
                    <xdr:col>7</xdr:col>
                    <xdr:colOff>0</xdr:colOff>
                    <xdr:row>9</xdr:row>
                    <xdr:rowOff>0</xdr:rowOff>
                  </to>
                </anchor>
              </controlPr>
            </control>
          </mc:Choice>
        </mc:AlternateContent>
        <mc:AlternateContent xmlns:mc="http://schemas.openxmlformats.org/markup-compatibility/2006">
          <mc:Choice Requires="x14">
            <control shapeId="6149" name="Scroll Bar 5" r:id="rId6">
              <controlPr defaultSize="0">
                <anchor moveWithCells="1">
                  <from>
                    <xdr:col>6</xdr:col>
                    <xdr:colOff>76200</xdr:colOff>
                    <xdr:row>13</xdr:row>
                    <xdr:rowOff>28575</xdr:rowOff>
                  </from>
                  <to>
                    <xdr:col>7</xdr:col>
                    <xdr:colOff>0</xdr:colOff>
                    <xdr:row>14</xdr:row>
                    <xdr:rowOff>0</xdr:rowOff>
                  </to>
                </anchor>
              </controlPr>
            </control>
          </mc:Choice>
        </mc:AlternateContent>
        <mc:AlternateContent xmlns:mc="http://schemas.openxmlformats.org/markup-compatibility/2006">
          <mc:Choice Requires="x14">
            <control shapeId="6150" name="Scroll Bar 6" r:id="rId7">
              <controlPr defaultSize="0">
                <anchor moveWithCells="1">
                  <from>
                    <xdr:col>6</xdr:col>
                    <xdr:colOff>76200</xdr:colOff>
                    <xdr:row>14</xdr:row>
                    <xdr:rowOff>28575</xdr:rowOff>
                  </from>
                  <to>
                    <xdr:col>7</xdr:col>
                    <xdr:colOff>0</xdr:colOff>
                    <xdr:row>15</xdr:row>
                    <xdr:rowOff>0</xdr:rowOff>
                  </to>
                </anchor>
              </controlPr>
            </control>
          </mc:Choice>
        </mc:AlternateContent>
        <mc:AlternateContent xmlns:mc="http://schemas.openxmlformats.org/markup-compatibility/2006">
          <mc:Choice Requires="x14">
            <control shapeId="6151" name="Scroll Bar 7" r:id="rId8">
              <controlPr defaultSize="0">
                <anchor moveWithCells="1">
                  <from>
                    <xdr:col>6</xdr:col>
                    <xdr:colOff>66675</xdr:colOff>
                    <xdr:row>15</xdr:row>
                    <xdr:rowOff>19050</xdr:rowOff>
                  </from>
                  <to>
                    <xdr:col>7</xdr:col>
                    <xdr:colOff>0</xdr:colOff>
                    <xdr:row>16</xdr:row>
                    <xdr:rowOff>0</xdr:rowOff>
                  </to>
                </anchor>
              </controlPr>
            </control>
          </mc:Choice>
        </mc:AlternateContent>
        <mc:AlternateContent xmlns:mc="http://schemas.openxmlformats.org/markup-compatibility/2006">
          <mc:Choice Requires="x14">
            <control shapeId="6152" name="Scroll Bar 8" r:id="rId9">
              <controlPr defaultSize="0">
                <anchor moveWithCells="1">
                  <from>
                    <xdr:col>6</xdr:col>
                    <xdr:colOff>66675</xdr:colOff>
                    <xdr:row>16</xdr:row>
                    <xdr:rowOff>28575</xdr:rowOff>
                  </from>
                  <to>
                    <xdr:col>7</xdr:col>
                    <xdr:colOff>0</xdr:colOff>
                    <xdr:row>17</xdr:row>
                    <xdr:rowOff>0</xdr:rowOff>
                  </to>
                </anchor>
              </controlPr>
            </control>
          </mc:Choice>
        </mc:AlternateContent>
        <mc:AlternateContent xmlns:mc="http://schemas.openxmlformats.org/markup-compatibility/2006">
          <mc:Choice Requires="x14">
            <control shapeId="6154" name="Scroll Bar 10" r:id="rId10">
              <controlPr defaultSize="0">
                <anchor moveWithCells="1">
                  <from>
                    <xdr:col>6</xdr:col>
                    <xdr:colOff>104775</xdr:colOff>
                    <xdr:row>18</xdr:row>
                    <xdr:rowOff>19050</xdr:rowOff>
                  </from>
                  <to>
                    <xdr:col>7</xdr:col>
                    <xdr:colOff>0</xdr:colOff>
                    <xdr:row>19</xdr:row>
                    <xdr:rowOff>0</xdr:rowOff>
                  </to>
                </anchor>
              </controlPr>
            </control>
          </mc:Choice>
        </mc:AlternateContent>
        <mc:AlternateContent xmlns:mc="http://schemas.openxmlformats.org/markup-compatibility/2006">
          <mc:Choice Requires="x14">
            <control shapeId="6156" name="Scroll Bar 12" r:id="rId11">
              <controlPr defaultSize="0">
                <anchor moveWithCells="1">
                  <from>
                    <xdr:col>6</xdr:col>
                    <xdr:colOff>104775</xdr:colOff>
                    <xdr:row>19</xdr:row>
                    <xdr:rowOff>47625</xdr:rowOff>
                  </from>
                  <to>
                    <xdr:col>7</xdr:col>
                    <xdr:colOff>0</xdr:colOff>
                    <xdr:row>20</xdr:row>
                    <xdr:rowOff>0</xdr:rowOff>
                  </to>
                </anchor>
              </controlPr>
            </control>
          </mc:Choice>
        </mc:AlternateContent>
        <mc:AlternateContent xmlns:mc="http://schemas.openxmlformats.org/markup-compatibility/2006">
          <mc:Choice Requires="x14">
            <control shapeId="6158" name="Scroll Bar 14" r:id="rId12">
              <controlPr defaultSize="0">
                <anchor moveWithCells="1">
                  <from>
                    <xdr:col>6</xdr:col>
                    <xdr:colOff>76200</xdr:colOff>
                    <xdr:row>20</xdr:row>
                    <xdr:rowOff>9525</xdr:rowOff>
                  </from>
                  <to>
                    <xdr:col>7</xdr:col>
                    <xdr:colOff>0</xdr:colOff>
                    <xdr:row>21</xdr:row>
                    <xdr:rowOff>0</xdr:rowOff>
                  </to>
                </anchor>
              </controlPr>
            </control>
          </mc:Choice>
        </mc:AlternateContent>
        <mc:AlternateContent xmlns:mc="http://schemas.openxmlformats.org/markup-compatibility/2006">
          <mc:Choice Requires="x14">
            <control shapeId="6161" name="Scroll Bar 17" r:id="rId13">
              <controlPr defaultSize="0">
                <anchor moveWithCells="1">
                  <from>
                    <xdr:col>5</xdr:col>
                    <xdr:colOff>47625</xdr:colOff>
                    <xdr:row>1</xdr:row>
                    <xdr:rowOff>9525</xdr:rowOff>
                  </from>
                  <to>
                    <xdr:col>6</xdr:col>
                    <xdr:colOff>0</xdr:colOff>
                    <xdr:row>2</xdr:row>
                    <xdr:rowOff>0</xdr:rowOff>
                  </to>
                </anchor>
              </controlPr>
            </control>
          </mc:Choice>
        </mc:AlternateContent>
        <mc:AlternateContent xmlns:mc="http://schemas.openxmlformats.org/markup-compatibility/2006">
          <mc:Choice Requires="x14">
            <control shapeId="6162" name="Scroll Bar 18" r:id="rId14">
              <controlPr defaultSize="0">
                <anchor moveWithCells="1">
                  <from>
                    <xdr:col>5</xdr:col>
                    <xdr:colOff>19050</xdr:colOff>
                    <xdr:row>2</xdr:row>
                    <xdr:rowOff>19050</xdr:rowOff>
                  </from>
                  <to>
                    <xdr:col>6</xdr:col>
                    <xdr:colOff>0</xdr:colOff>
                    <xdr:row>3</xdr:row>
                    <xdr:rowOff>0</xdr:rowOff>
                  </to>
                </anchor>
              </controlPr>
            </control>
          </mc:Choice>
        </mc:AlternateContent>
        <mc:AlternateContent xmlns:mc="http://schemas.openxmlformats.org/markup-compatibility/2006">
          <mc:Choice Requires="x14">
            <control shapeId="6164" name="Scroll Bar 20" r:id="rId15">
              <controlPr defaultSize="0">
                <anchor moveWithCells="1">
                  <from>
                    <xdr:col>6</xdr:col>
                    <xdr:colOff>76200</xdr:colOff>
                    <xdr:row>9</xdr:row>
                    <xdr:rowOff>28575</xdr:rowOff>
                  </from>
                  <to>
                    <xdr:col>7</xdr:col>
                    <xdr:colOff>0</xdr:colOff>
                    <xdr:row>10</xdr:row>
                    <xdr:rowOff>0</xdr:rowOff>
                  </to>
                </anchor>
              </controlPr>
            </control>
          </mc:Choice>
        </mc:AlternateContent>
        <mc:AlternateContent xmlns:mc="http://schemas.openxmlformats.org/markup-compatibility/2006">
          <mc:Choice Requires="x14">
            <control shapeId="6165" name="Scroll Bar 21" r:id="rId16">
              <controlPr defaultSize="0">
                <anchor moveWithCells="1">
                  <from>
                    <xdr:col>6</xdr:col>
                    <xdr:colOff>76200</xdr:colOff>
                    <xdr:row>10</xdr:row>
                    <xdr:rowOff>28575</xdr:rowOff>
                  </from>
                  <to>
                    <xdr:col>7</xdr:col>
                    <xdr:colOff>0</xdr:colOff>
                    <xdr:row>11</xdr:row>
                    <xdr:rowOff>0</xdr:rowOff>
                  </to>
                </anchor>
              </controlPr>
            </control>
          </mc:Choice>
        </mc:AlternateContent>
        <mc:AlternateContent xmlns:mc="http://schemas.openxmlformats.org/markup-compatibility/2006">
          <mc:Choice Requires="x14">
            <control shapeId="6167" name="Scroll Bar 23" r:id="rId17">
              <controlPr defaultSize="0">
                <anchor moveWithCells="1">
                  <from>
                    <xdr:col>6</xdr:col>
                    <xdr:colOff>76200</xdr:colOff>
                    <xdr:row>11</xdr:row>
                    <xdr:rowOff>28575</xdr:rowOff>
                  </from>
                  <to>
                    <xdr:col>7</xdr:col>
                    <xdr:colOff>0</xdr:colOff>
                    <xdr:row>12</xdr:row>
                    <xdr:rowOff>0</xdr:rowOff>
                  </to>
                </anchor>
              </controlPr>
            </control>
          </mc:Choice>
        </mc:AlternateContent>
        <mc:AlternateContent xmlns:mc="http://schemas.openxmlformats.org/markup-compatibility/2006">
          <mc:Choice Requires="x14">
            <control shapeId="6169" name="Scroll Bar 25" r:id="rId18">
              <controlPr defaultSize="0">
                <anchor moveWithCells="1">
                  <from>
                    <xdr:col>6</xdr:col>
                    <xdr:colOff>76200</xdr:colOff>
                    <xdr:row>12</xdr:row>
                    <xdr:rowOff>28575</xdr:rowOff>
                  </from>
                  <to>
                    <xdr:col>7</xdr:col>
                    <xdr:colOff>0</xdr:colOff>
                    <xdr:row>13</xdr:row>
                    <xdr:rowOff>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6"/>
  <sheetViews>
    <sheetView workbookViewId="0">
      <selection activeCell="C19" sqref="C19"/>
    </sheetView>
  </sheetViews>
  <sheetFormatPr defaultColWidth="9" defaultRowHeight="14.25"/>
  <cols>
    <col min="1" max="1" width="9.625" customWidth="1"/>
    <col min="2" max="2" width="19.125" customWidth="1"/>
    <col min="3" max="3" width="20.125" customWidth="1"/>
    <col min="4" max="4" width="16.625" style="139" customWidth="1"/>
    <col min="5" max="5" width="23.5" customWidth="1"/>
    <col min="6" max="6" width="27.75" customWidth="1"/>
  </cols>
  <sheetData>
    <row r="1" s="407" customFormat="1" ht="35.25" customHeight="1" spans="1:17">
      <c r="A1" s="178" t="s">
        <v>49</v>
      </c>
      <c r="B1" s="179" t="str">
        <f>目录!C7</f>
        <v>财务中心</v>
      </c>
      <c r="C1" s="180" t="s">
        <v>50</v>
      </c>
      <c r="D1" s="235"/>
      <c r="E1" s="235"/>
      <c r="F1" s="235"/>
      <c r="G1" s="235"/>
      <c r="P1" s="419"/>
      <c r="Q1" s="419"/>
    </row>
    <row r="2" s="407" customFormat="1" ht="35.25" customHeight="1" spans="1:17">
      <c r="A2" s="178" t="s">
        <v>3</v>
      </c>
      <c r="B2" s="179" t="str">
        <f>目录!D7</f>
        <v>王晓莉</v>
      </c>
      <c r="C2" s="180"/>
      <c r="D2" s="235"/>
      <c r="E2" s="235"/>
      <c r="F2" s="235"/>
      <c r="G2" s="235"/>
      <c r="P2" s="419"/>
      <c r="Q2" s="419"/>
    </row>
    <row r="3" s="407" customFormat="1" ht="35.25" customHeight="1" spans="1:17">
      <c r="A3" s="178" t="s">
        <v>4</v>
      </c>
      <c r="B3" s="181" t="str">
        <f>目录!E7</f>
        <v>2022.10.31</v>
      </c>
      <c r="C3" s="180"/>
      <c r="D3" s="235"/>
      <c r="E3" s="235"/>
      <c r="F3" s="235"/>
      <c r="G3" s="235"/>
      <c r="P3" s="419"/>
      <c r="Q3" s="419"/>
    </row>
    <row r="4" ht="34.5" customHeight="1" spans="1:5">
      <c r="A4" s="185" t="str">
        <f>项目概况!B6&amp;"项目资金筹措表"</f>
        <v>洛龙区八里堂地块（挂牌）项目资金筹措表</v>
      </c>
      <c r="B4" s="185"/>
      <c r="C4" s="185"/>
      <c r="D4" s="185"/>
      <c r="E4" s="185"/>
    </row>
    <row r="5" ht="25.5" customHeight="1" spans="1:5">
      <c r="A5" s="408" t="s">
        <v>0</v>
      </c>
      <c r="B5" s="408" t="s">
        <v>51</v>
      </c>
      <c r="C5" s="408" t="s">
        <v>1043</v>
      </c>
      <c r="D5" s="146" t="s">
        <v>76</v>
      </c>
      <c r="E5" s="215" t="s">
        <v>1128</v>
      </c>
    </row>
    <row r="6" ht="26.25" customHeight="1" spans="1:5">
      <c r="A6" s="146">
        <v>1</v>
      </c>
      <c r="B6" s="408" t="s">
        <v>1129</v>
      </c>
      <c r="C6" s="194">
        <f>成本测算明细!D239</f>
        <v>55860.7098330667</v>
      </c>
      <c r="D6" s="215" t="s">
        <v>67</v>
      </c>
      <c r="E6" s="409"/>
    </row>
    <row r="7" ht="26.25" customHeight="1" spans="1:6">
      <c r="A7" s="146">
        <v>2</v>
      </c>
      <c r="B7" s="408" t="s">
        <v>1130</v>
      </c>
      <c r="C7" s="194">
        <f>成本测算明细!D10</f>
        <v>22449.4773197381</v>
      </c>
      <c r="D7" s="215" t="s">
        <v>67</v>
      </c>
      <c r="E7" s="410"/>
      <c r="F7" s="172"/>
    </row>
    <row r="8" ht="26.25" customHeight="1" spans="1:6">
      <c r="A8" s="146">
        <v>3</v>
      </c>
      <c r="B8" s="408" t="s">
        <v>1131</v>
      </c>
      <c r="C8" s="197">
        <v>890</v>
      </c>
      <c r="D8" s="215" t="s">
        <v>67</v>
      </c>
      <c r="E8" s="410"/>
      <c r="F8" s="172"/>
    </row>
    <row r="9" ht="26.25" customHeight="1" spans="1:5">
      <c r="A9" s="146" t="s">
        <v>1132</v>
      </c>
      <c r="B9" s="408" t="s">
        <v>1133</v>
      </c>
      <c r="C9" s="194">
        <f>C7+C8</f>
        <v>23339.4773197381</v>
      </c>
      <c r="D9" s="215" t="s">
        <v>67</v>
      </c>
      <c r="E9" s="410"/>
    </row>
    <row r="10" ht="26.25" customHeight="1" spans="1:5">
      <c r="A10" s="146">
        <v>4</v>
      </c>
      <c r="B10" s="408" t="s">
        <v>1134</v>
      </c>
      <c r="C10" s="191"/>
      <c r="D10" s="215"/>
      <c r="E10" s="410"/>
    </row>
    <row r="11" ht="26.25" customHeight="1" spans="1:5">
      <c r="A11" s="146">
        <v>5</v>
      </c>
      <c r="B11" s="408" t="s">
        <v>1135</v>
      </c>
      <c r="C11" s="194">
        <v>0</v>
      </c>
      <c r="D11" s="215" t="s">
        <v>67</v>
      </c>
      <c r="E11" s="410"/>
    </row>
    <row r="12" ht="26.25" customHeight="1" spans="1:5">
      <c r="A12" s="146">
        <v>6</v>
      </c>
      <c r="B12" s="408" t="s">
        <v>1136</v>
      </c>
      <c r="C12" s="411">
        <v>0.15</v>
      </c>
      <c r="D12" s="215" t="s">
        <v>1137</v>
      </c>
      <c r="E12" s="410"/>
    </row>
    <row r="13" ht="26.25" customHeight="1" spans="1:5">
      <c r="A13" s="146">
        <v>7</v>
      </c>
      <c r="B13" s="408" t="s">
        <v>1138</v>
      </c>
      <c r="C13" s="191"/>
      <c r="D13" s="215" t="s">
        <v>1139</v>
      </c>
      <c r="E13" s="410"/>
    </row>
    <row r="14" ht="26.25" customHeight="1" spans="1:5">
      <c r="A14" s="146">
        <v>8</v>
      </c>
      <c r="B14" s="408" t="s">
        <v>1140</v>
      </c>
      <c r="C14" s="203">
        <f>C11*C12*C13/12</f>
        <v>0</v>
      </c>
      <c r="D14" s="215" t="s">
        <v>67</v>
      </c>
      <c r="E14" s="410"/>
    </row>
    <row r="15" ht="26.25" customHeight="1" spans="1:5">
      <c r="A15" s="146">
        <v>9</v>
      </c>
      <c r="B15" s="408" t="s">
        <v>1141</v>
      </c>
      <c r="C15" s="192">
        <f>C7/2+C8</f>
        <v>12114.738659869</v>
      </c>
      <c r="D15" s="215"/>
      <c r="E15" s="410"/>
    </row>
    <row r="16" ht="26.25" customHeight="1" spans="1:5">
      <c r="A16" s="146"/>
      <c r="B16" s="408" t="s">
        <v>1134</v>
      </c>
      <c r="C16" s="192"/>
      <c r="D16" s="215"/>
      <c r="E16" s="410"/>
    </row>
    <row r="17" ht="26.25" customHeight="1" spans="1:5">
      <c r="A17" s="146">
        <v>10</v>
      </c>
      <c r="B17" s="408" t="s">
        <v>1142</v>
      </c>
      <c r="C17" s="412">
        <v>0.08</v>
      </c>
      <c r="D17" s="215"/>
      <c r="E17" s="410"/>
    </row>
    <row r="18" ht="26.25" customHeight="1" spans="1:5">
      <c r="A18" s="146">
        <v>11</v>
      </c>
      <c r="B18" s="408" t="s">
        <v>1143</v>
      </c>
      <c r="C18" s="191">
        <v>12</v>
      </c>
      <c r="D18" s="215" t="s">
        <v>1139</v>
      </c>
      <c r="E18" s="410"/>
    </row>
    <row r="19" ht="26.25" customHeight="1" spans="1:6">
      <c r="A19" s="146">
        <v>12</v>
      </c>
      <c r="B19" s="408" t="s">
        <v>1144</v>
      </c>
      <c r="C19" s="413">
        <f>现金流!I14+现金流!K14+现金流!M25</f>
        <v>2107.55192869767</v>
      </c>
      <c r="D19" s="215" t="s">
        <v>67</v>
      </c>
      <c r="E19" s="410"/>
      <c r="F19" s="313"/>
    </row>
    <row r="20" ht="26.25" customHeight="1" spans="1:6">
      <c r="A20" s="146">
        <v>13</v>
      </c>
      <c r="B20" s="408" t="s">
        <v>1145</v>
      </c>
      <c r="C20" s="194">
        <f>C19</f>
        <v>2107.55192869767</v>
      </c>
      <c r="D20" s="215"/>
      <c r="E20" s="414"/>
      <c r="F20" s="313"/>
    </row>
    <row r="21" ht="35.25" hidden="1" customHeight="1" spans="1:5">
      <c r="A21" s="415">
        <v>14</v>
      </c>
      <c r="B21" s="416" t="s">
        <v>1146</v>
      </c>
      <c r="C21" s="417">
        <f>IF(C14=0,[4]项目利润情况表!B20/[4]项目资金筹措!C9,[4]项目利润情况表!B20/([4]项目资金筹措!C9-[4]项目资金筹措!C11))</f>
        <v>0.231479723330964</v>
      </c>
      <c r="D21" s="274"/>
      <c r="E21" s="140"/>
    </row>
    <row r="22" ht="23.1" hidden="1" customHeight="1" spans="1:5">
      <c r="A22" s="415">
        <v>15</v>
      </c>
      <c r="B22" s="416" t="s">
        <v>1147</v>
      </c>
      <c r="C22" s="140">
        <v>8</v>
      </c>
      <c r="D22" s="223" t="s">
        <v>1139</v>
      </c>
      <c r="E22" s="140"/>
    </row>
    <row r="23" ht="24" hidden="1" customHeight="1" spans="1:5">
      <c r="A23" s="415">
        <v>16</v>
      </c>
      <c r="B23" s="416" t="s">
        <v>1148</v>
      </c>
      <c r="C23" s="418">
        <f>C21*12/C22</f>
        <v>0.347219584996446</v>
      </c>
      <c r="D23" s="274"/>
      <c r="E23" s="140"/>
    </row>
    <row r="24" hidden="1"/>
    <row r="25" spans="6:6">
      <c r="F25" s="313"/>
    </row>
    <row r="26" spans="3:3">
      <c r="C26" s="313"/>
    </row>
  </sheetData>
  <mergeCells count="3">
    <mergeCell ref="A4:E4"/>
    <mergeCell ref="C1:C3"/>
    <mergeCell ref="E6:E20"/>
  </mergeCells>
  <hyperlinks>
    <hyperlink ref="C1:C3" location="目录!A1" display="返回目录"/>
  </hyperlinks>
  <pageMargins left="0.699305555555556" right="0.699305555555556" top="0.75" bottom="0.75"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44"/>
  <sheetViews>
    <sheetView topLeftCell="H1" workbookViewId="0">
      <selection activeCell="T7" sqref="T7"/>
    </sheetView>
  </sheetViews>
  <sheetFormatPr defaultColWidth="9" defaultRowHeight="30" customHeight="1"/>
  <cols>
    <col min="1" max="1" width="12.25" style="336" customWidth="1"/>
    <col min="2" max="2" width="19.875" style="336" customWidth="1"/>
    <col min="3" max="4" width="14.5" style="336" customWidth="1"/>
    <col min="5" max="5" width="15.125" style="336" customWidth="1"/>
    <col min="6" max="6" width="14.75" style="336" customWidth="1"/>
    <col min="7" max="7" width="13.5" style="336" customWidth="1"/>
    <col min="8" max="8" width="14.75" style="336" customWidth="1"/>
    <col min="9" max="9" width="12.875" style="336" customWidth="1"/>
    <col min="10" max="10" width="13" style="336" customWidth="1"/>
    <col min="11" max="11" width="18.875" style="336" customWidth="1"/>
    <col min="12" max="12" width="18.5916666666667" style="336" customWidth="1"/>
    <col min="13" max="13" width="16" style="336" customWidth="1"/>
    <col min="14" max="14" width="13.375" style="336" customWidth="1"/>
    <col min="15" max="15" width="14.125" style="337" customWidth="1"/>
    <col min="16" max="16" width="17.5" style="336" customWidth="1"/>
    <col min="17" max="19" width="14.125" style="336" customWidth="1"/>
    <col min="20" max="20" width="16.375" style="338" customWidth="1"/>
    <col min="21" max="22" width="11.125" style="338"/>
    <col min="23" max="16384" width="9" style="336"/>
  </cols>
  <sheetData>
    <row r="1" customFormat="1" ht="21" customHeight="1" spans="1:22">
      <c r="A1" s="178" t="s">
        <v>49</v>
      </c>
      <c r="B1" s="179" t="str">
        <f>目录!C8</f>
        <v>财务中心</v>
      </c>
      <c r="C1" s="180" t="s">
        <v>50</v>
      </c>
      <c r="D1" s="180"/>
      <c r="E1" s="339" t="s">
        <v>1149</v>
      </c>
      <c r="F1" s="340">
        <v>0.9</v>
      </c>
      <c r="G1" s="341">
        <v>0.09</v>
      </c>
      <c r="H1" s="342"/>
      <c r="O1" s="360"/>
      <c r="P1" t="s">
        <v>1150</v>
      </c>
      <c r="Q1" s="138">
        <v>13038</v>
      </c>
      <c r="R1" t="s">
        <v>1059</v>
      </c>
      <c r="T1" s="138"/>
      <c r="U1" s="138"/>
      <c r="V1" s="138"/>
    </row>
    <row r="2" customFormat="1" ht="21" customHeight="1" spans="1:22">
      <c r="A2" s="178" t="s">
        <v>3</v>
      </c>
      <c r="B2" s="179" t="str">
        <f>目录!D8</f>
        <v>王晓莉</v>
      </c>
      <c r="C2" s="180"/>
      <c r="D2" s="180"/>
      <c r="E2" s="339" t="s">
        <v>1151</v>
      </c>
      <c r="F2" s="340">
        <v>0.5</v>
      </c>
      <c r="G2" s="341">
        <v>0.06</v>
      </c>
      <c r="H2" s="342"/>
      <c r="O2" s="360"/>
      <c r="Q2" s="138">
        <v>144</v>
      </c>
      <c r="R2" t="s">
        <v>1081</v>
      </c>
      <c r="S2" s="374">
        <f>IF(H2&gt;$Q$1,(H2-L2)*0.035,(H2-L2)*0.015)</f>
        <v>0</v>
      </c>
      <c r="T2" s="138"/>
      <c r="U2" s="138"/>
      <c r="V2" s="138"/>
    </row>
    <row r="3" customFormat="1" ht="21" customHeight="1" spans="1:22">
      <c r="A3" s="178" t="s">
        <v>4</v>
      </c>
      <c r="B3" s="181" t="str">
        <f>目录!E8</f>
        <v>2022.10.31</v>
      </c>
      <c r="C3" s="180"/>
      <c r="D3" s="180"/>
      <c r="E3" s="339" t="s">
        <v>1152</v>
      </c>
      <c r="F3" s="339"/>
      <c r="G3" s="341">
        <v>0.09</v>
      </c>
      <c r="H3" s="342"/>
      <c r="O3" s="360"/>
      <c r="Q3" s="138">
        <v>1</v>
      </c>
      <c r="R3" t="s">
        <v>86</v>
      </c>
      <c r="T3" s="138"/>
      <c r="U3" s="138"/>
      <c r="V3" s="138"/>
    </row>
    <row r="4" ht="18.75" spans="1:17">
      <c r="A4" s="185" t="str">
        <f>项目概况!B6&amp;"项目税金计算"</f>
        <v>洛龙区八里堂地块（挂牌）项目税金计算</v>
      </c>
      <c r="B4" s="185"/>
      <c r="C4" s="185"/>
      <c r="D4" s="185"/>
      <c r="E4" s="185"/>
      <c r="F4" s="185"/>
      <c r="G4" s="185"/>
      <c r="H4" s="185"/>
      <c r="I4" s="185"/>
      <c r="J4" s="185"/>
      <c r="K4" s="185"/>
      <c r="L4" s="185"/>
      <c r="M4" s="185"/>
      <c r="N4" s="185"/>
      <c r="O4" s="185"/>
      <c r="P4" s="185"/>
      <c r="Q4" s="397"/>
    </row>
    <row r="5" ht="24" customHeight="1" spans="1:19">
      <c r="A5" s="343" t="s">
        <v>75</v>
      </c>
      <c r="B5" s="343" t="s">
        <v>75</v>
      </c>
      <c r="C5" s="344" t="s">
        <v>77</v>
      </c>
      <c r="D5" s="344" t="s">
        <v>79</v>
      </c>
      <c r="E5" s="344" t="s">
        <v>1153</v>
      </c>
      <c r="F5" s="344" t="s">
        <v>1154</v>
      </c>
      <c r="G5" s="345" t="s">
        <v>707</v>
      </c>
      <c r="H5" s="346" t="s">
        <v>1155</v>
      </c>
      <c r="I5" s="361" t="s">
        <v>1156</v>
      </c>
      <c r="J5" s="362" t="s">
        <v>1157</v>
      </c>
      <c r="K5" s="363" t="s">
        <v>1158</v>
      </c>
      <c r="L5" s="364" t="s">
        <v>1159</v>
      </c>
      <c r="M5" s="365" t="s">
        <v>1160</v>
      </c>
      <c r="N5" s="365" t="s">
        <v>1161</v>
      </c>
      <c r="O5" s="366" t="s">
        <v>1162</v>
      </c>
      <c r="P5" s="367" t="s">
        <v>1163</v>
      </c>
      <c r="Q5" s="365" t="s">
        <v>1164</v>
      </c>
      <c r="R5" s="398" t="s">
        <v>1165</v>
      </c>
      <c r="S5" s="399" t="s">
        <v>54</v>
      </c>
    </row>
    <row r="6" ht="24" customHeight="1" spans="1:19">
      <c r="A6" s="347" t="str">
        <f>经济指标!B9</f>
        <v>地上部分1</v>
      </c>
      <c r="B6" s="347" t="str">
        <f>经济指标!C9</f>
        <v>洋房</v>
      </c>
      <c r="C6" s="348">
        <f>经济指标!E9</f>
        <v>31642.84</v>
      </c>
      <c r="D6" s="348">
        <f>经济指标!G9</f>
        <v>31642.84</v>
      </c>
      <c r="E6" s="349">
        <f>预计销售收入及费用情况表!E7/预计销售收入及费用情况表!C7*10000</f>
        <v>13500</v>
      </c>
      <c r="F6" s="349">
        <f>成本测算明细!H239</f>
        <v>9848.8060643268</v>
      </c>
      <c r="G6" s="350">
        <f>成本测算明细!H244</f>
        <v>1046.58264329742</v>
      </c>
      <c r="H6" s="351">
        <f>IFERROR(H22/D22*10000,0)</f>
        <v>235.73498942597</v>
      </c>
      <c r="I6" s="368">
        <f>E6/(1+$G$3)*0.03</f>
        <v>371.559633027523</v>
      </c>
      <c r="J6" s="369">
        <f>H6-I6</f>
        <v>-135.824643601553</v>
      </c>
      <c r="K6" s="370">
        <f>IFERROR(K22/D22*10000,0)</f>
        <v>28.2881987311164</v>
      </c>
      <c r="L6" s="371">
        <f>(F6-F6/(1+$G$1)*$G$1*$F$1)*1.3+K6</f>
        <v>11880.2872029306</v>
      </c>
      <c r="M6" s="371">
        <f>E6/(1+$G$3)-L6</f>
        <v>505.033897986808</v>
      </c>
      <c r="N6" s="372">
        <f>IFERROR(M6/L6,0)</f>
        <v>0.0425102431751168</v>
      </c>
      <c r="O6" s="373">
        <f>IFERROR(O22/D22*10000,0)</f>
        <v>459.495412844036</v>
      </c>
      <c r="P6" s="374">
        <f>(E6-I6)*0.035</f>
        <v>459.495412844037</v>
      </c>
      <c r="Q6" s="400">
        <f>O6-P6</f>
        <v>-1.13686837721616e-12</v>
      </c>
      <c r="R6" s="401">
        <f>O6+K6+H6</f>
        <v>723.518601001122</v>
      </c>
      <c r="S6" s="402">
        <f t="shared" ref="S6:S19" si="0">R6*D6/10000</f>
        <v>2289.41833285024</v>
      </c>
    </row>
    <row r="7" ht="24" customHeight="1" spans="1:19">
      <c r="A7" s="347" t="str">
        <f>经济指标!B10</f>
        <v>地上部分2</v>
      </c>
      <c r="B7" s="347" t="str">
        <f>经济指标!C10</f>
        <v>别墅</v>
      </c>
      <c r="C7" s="348">
        <f>经济指标!E10</f>
        <v>16692.48</v>
      </c>
      <c r="D7" s="348">
        <f>经济指标!G10</f>
        <v>16692.48</v>
      </c>
      <c r="E7" s="349">
        <f>预计销售收入及费用情况表!D8</f>
        <v>11500</v>
      </c>
      <c r="F7" s="349">
        <f>成本测算明细!J239</f>
        <v>10283.5142735135</v>
      </c>
      <c r="G7" s="350">
        <f>成本测算明细!J244</f>
        <v>657.725800926564</v>
      </c>
      <c r="H7" s="351">
        <f t="shared" ref="H7:H19" si="1">IFERROR(H23/D23*10000,0)</f>
        <v>200.811287288789</v>
      </c>
      <c r="I7" s="368">
        <f>E7/(1+$G$3)*0.03</f>
        <v>316.51376146789</v>
      </c>
      <c r="J7" s="369">
        <f t="shared" ref="J7:J19" si="2">H7-I7</f>
        <v>-115.702474179101</v>
      </c>
      <c r="K7" s="370">
        <f t="shared" ref="K7:K19" si="3">IFERROR(K23/D23*10000,0)</f>
        <v>24.0973544746547</v>
      </c>
      <c r="L7" s="371">
        <f t="shared" ref="L7:L19" si="4">(F7-F7/(1+$G$1)*$G$1*$F$1)*1.3+K7</f>
        <v>12399.2218247202</v>
      </c>
      <c r="M7" s="371">
        <f t="shared" ref="M7:M19" si="5">E7/(1+$G$3)-L7</f>
        <v>-1848.76310912389</v>
      </c>
      <c r="N7" s="372">
        <f t="shared" ref="N7:N19" si="6">IFERROR(M7/L7,0)</f>
        <v>-0.149103156251147</v>
      </c>
      <c r="O7" s="373">
        <f t="shared" ref="O7:O19" si="7">IFERROR(O23/D23*10000,0)</f>
        <v>391.422018348623</v>
      </c>
      <c r="P7" s="374">
        <f>(E7-I7)*0.035</f>
        <v>391.422018348624</v>
      </c>
      <c r="Q7" s="400">
        <f t="shared" ref="Q7:Q19" si="8">O7-P7</f>
        <v>-9.66338120633736e-13</v>
      </c>
      <c r="R7" s="401">
        <f t="shared" ref="R7:R19" si="9">O7+K7+H7</f>
        <v>616.330660112067</v>
      </c>
      <c r="S7" s="402">
        <f t="shared" si="0"/>
        <v>1028.80872173075</v>
      </c>
    </row>
    <row r="8" ht="24" hidden="1" customHeight="1" spans="1:19">
      <c r="A8" s="347" t="str">
        <f>经济指标!B11</f>
        <v>地上部分3</v>
      </c>
      <c r="B8" s="347" t="str">
        <f>经济指标!C11</f>
        <v>小高层</v>
      </c>
      <c r="C8" s="348">
        <f>经济指标!E11</f>
        <v>0</v>
      </c>
      <c r="D8" s="348">
        <f>经济指标!G11</f>
        <v>0</v>
      </c>
      <c r="E8" s="349">
        <f>预计销售收入及费用情况表!D9</f>
        <v>0</v>
      </c>
      <c r="F8" s="349">
        <v>0</v>
      </c>
      <c r="G8" s="350">
        <v>0</v>
      </c>
      <c r="H8" s="351">
        <f t="shared" si="1"/>
        <v>0</v>
      </c>
      <c r="I8" s="368">
        <f t="shared" ref="I8:I19" si="10">E8/(1+$G$3)*0.03</f>
        <v>0</v>
      </c>
      <c r="J8" s="369">
        <f t="shared" si="2"/>
        <v>0</v>
      </c>
      <c r="K8" s="370">
        <f t="shared" si="3"/>
        <v>0</v>
      </c>
      <c r="L8" s="371">
        <f t="shared" si="4"/>
        <v>0</v>
      </c>
      <c r="M8" s="371">
        <f t="shared" si="5"/>
        <v>0</v>
      </c>
      <c r="N8" s="372">
        <f t="shared" si="6"/>
        <v>0</v>
      </c>
      <c r="O8" s="373">
        <f t="shared" si="7"/>
        <v>0</v>
      </c>
      <c r="P8" s="374">
        <f>IF(E8&gt;$Q$1,(E8-I8)*0.035,(E8-I8)*0.015)</f>
        <v>0</v>
      </c>
      <c r="Q8" s="400">
        <f t="shared" si="8"/>
        <v>0</v>
      </c>
      <c r="R8" s="401">
        <f t="shared" si="9"/>
        <v>0</v>
      </c>
      <c r="S8" s="402">
        <f t="shared" si="0"/>
        <v>0</v>
      </c>
    </row>
    <row r="9" ht="24" hidden="1" customHeight="1" spans="1:19">
      <c r="A9" s="347" t="str">
        <f>经济指标!B12</f>
        <v>地上部分4</v>
      </c>
      <c r="B9" s="347" t="str">
        <f>经济指标!C12</f>
        <v>公寓</v>
      </c>
      <c r="C9" s="348">
        <f>经济指标!E12</f>
        <v>0</v>
      </c>
      <c r="D9" s="348">
        <f>经济指标!G12</f>
        <v>0</v>
      </c>
      <c r="E9" s="349">
        <f>预计销售收入及费用情况表!D10</f>
        <v>0</v>
      </c>
      <c r="F9" s="349">
        <v>0</v>
      </c>
      <c r="G9" s="350">
        <v>0</v>
      </c>
      <c r="H9" s="351">
        <f t="shared" si="1"/>
        <v>0</v>
      </c>
      <c r="I9" s="368">
        <f t="shared" si="10"/>
        <v>0</v>
      </c>
      <c r="J9" s="369">
        <f t="shared" si="2"/>
        <v>0</v>
      </c>
      <c r="K9" s="370">
        <f t="shared" si="3"/>
        <v>0</v>
      </c>
      <c r="L9" s="371">
        <f t="shared" si="4"/>
        <v>0</v>
      </c>
      <c r="M9" s="371">
        <f t="shared" si="5"/>
        <v>0</v>
      </c>
      <c r="N9" s="372">
        <f t="shared" si="6"/>
        <v>0</v>
      </c>
      <c r="O9" s="373">
        <f t="shared" si="7"/>
        <v>0</v>
      </c>
      <c r="P9" s="367">
        <f>(E9-I9)*0.045</f>
        <v>0</v>
      </c>
      <c r="Q9" s="400">
        <f t="shared" si="8"/>
        <v>0</v>
      </c>
      <c r="R9" s="401">
        <f t="shared" si="9"/>
        <v>0</v>
      </c>
      <c r="S9" s="402">
        <f t="shared" si="0"/>
        <v>0</v>
      </c>
    </row>
    <row r="10" ht="24" hidden="1" customHeight="1" spans="1:19">
      <c r="A10" s="347" t="str">
        <f>经济指标!B13</f>
        <v>地上部分5</v>
      </c>
      <c r="B10" s="347" t="str">
        <f>经济指标!C13</f>
        <v>商业</v>
      </c>
      <c r="C10" s="348">
        <f>经济指标!E13</f>
        <v>0</v>
      </c>
      <c r="D10" s="348">
        <f>经济指标!G13</f>
        <v>0</v>
      </c>
      <c r="E10" s="349">
        <f>预计销售收入及费用情况表!D11</f>
        <v>0</v>
      </c>
      <c r="F10" s="349">
        <v>0</v>
      </c>
      <c r="G10" s="350">
        <v>0</v>
      </c>
      <c r="H10" s="351">
        <f t="shared" si="1"/>
        <v>0</v>
      </c>
      <c r="I10" s="368">
        <f t="shared" si="10"/>
        <v>0</v>
      </c>
      <c r="J10" s="369">
        <f t="shared" si="2"/>
        <v>0</v>
      </c>
      <c r="K10" s="370">
        <f t="shared" si="3"/>
        <v>0</v>
      </c>
      <c r="L10" s="371">
        <f t="shared" si="4"/>
        <v>0</v>
      </c>
      <c r="M10" s="371">
        <f t="shared" si="5"/>
        <v>0</v>
      </c>
      <c r="N10" s="372">
        <f t="shared" si="6"/>
        <v>0</v>
      </c>
      <c r="O10" s="373">
        <f t="shared" si="7"/>
        <v>0</v>
      </c>
      <c r="P10" s="367">
        <f>(E10-I10)*0.045</f>
        <v>0</v>
      </c>
      <c r="Q10" s="400">
        <f t="shared" si="8"/>
        <v>0</v>
      </c>
      <c r="R10" s="401">
        <f t="shared" si="9"/>
        <v>0</v>
      </c>
      <c r="S10" s="402">
        <f t="shared" si="0"/>
        <v>0</v>
      </c>
    </row>
    <row r="11" ht="24" hidden="1" customHeight="1" spans="1:19">
      <c r="A11" s="347" t="str">
        <f>经济指标!B14</f>
        <v>地上部分6</v>
      </c>
      <c r="B11" s="347" t="str">
        <f>经济指标!C14</f>
        <v>办公</v>
      </c>
      <c r="C11" s="348">
        <f>经济指标!E14</f>
        <v>0</v>
      </c>
      <c r="D11" s="348">
        <f>经济指标!G14</f>
        <v>0</v>
      </c>
      <c r="E11" s="349">
        <f>预计销售收入及费用情况表!D12</f>
        <v>0</v>
      </c>
      <c r="F11" s="352">
        <v>0</v>
      </c>
      <c r="G11" s="350">
        <v>0</v>
      </c>
      <c r="H11" s="351">
        <f t="shared" si="1"/>
        <v>0</v>
      </c>
      <c r="I11" s="368">
        <f t="shared" si="10"/>
        <v>0</v>
      </c>
      <c r="J11" s="369">
        <f t="shared" si="2"/>
        <v>0</v>
      </c>
      <c r="K11" s="370">
        <f t="shared" si="3"/>
        <v>0</v>
      </c>
      <c r="L11" s="371">
        <f t="shared" si="4"/>
        <v>0</v>
      </c>
      <c r="M11" s="371">
        <f t="shared" si="5"/>
        <v>0</v>
      </c>
      <c r="N11" s="372">
        <f t="shared" si="6"/>
        <v>0</v>
      </c>
      <c r="O11" s="373">
        <f t="shared" si="7"/>
        <v>0</v>
      </c>
      <c r="P11" s="367">
        <f>(E11-I11)*0.045</f>
        <v>0</v>
      </c>
      <c r="Q11" s="400">
        <f t="shared" si="8"/>
        <v>0</v>
      </c>
      <c r="R11" s="401">
        <f t="shared" si="9"/>
        <v>0</v>
      </c>
      <c r="S11" s="402">
        <f t="shared" si="0"/>
        <v>0</v>
      </c>
    </row>
    <row r="12" ht="24" hidden="1" customHeight="1" spans="1:19">
      <c r="A12" s="347" t="str">
        <f>经济指标!B15</f>
        <v>地上部分7</v>
      </c>
      <c r="B12" s="347" t="str">
        <f>经济指标!C15</f>
        <v>装配式</v>
      </c>
      <c r="C12" s="348">
        <f>经济指标!E15</f>
        <v>0</v>
      </c>
      <c r="D12" s="348">
        <f>经济指标!G15</f>
        <v>0</v>
      </c>
      <c r="E12" s="349">
        <f>预计销售收入及费用情况表!D13</f>
        <v>0</v>
      </c>
      <c r="F12" s="352">
        <v>0</v>
      </c>
      <c r="G12" s="350">
        <v>0</v>
      </c>
      <c r="H12" s="351">
        <f t="shared" si="1"/>
        <v>0</v>
      </c>
      <c r="I12" s="368">
        <f t="shared" si="10"/>
        <v>0</v>
      </c>
      <c r="J12" s="369">
        <f t="shared" si="2"/>
        <v>0</v>
      </c>
      <c r="K12" s="370">
        <f t="shared" si="3"/>
        <v>0</v>
      </c>
      <c r="L12" s="371">
        <f t="shared" si="4"/>
        <v>0</v>
      </c>
      <c r="M12" s="371">
        <f t="shared" si="5"/>
        <v>0</v>
      </c>
      <c r="N12" s="372">
        <f t="shared" si="6"/>
        <v>0</v>
      </c>
      <c r="O12" s="373">
        <f t="shared" si="7"/>
        <v>0</v>
      </c>
      <c r="P12" s="374">
        <f>IF(E12&gt;$Q$1,(E12-I12)*0.035,(E12-I12)*0.015)</f>
        <v>0</v>
      </c>
      <c r="Q12" s="400">
        <f t="shared" si="8"/>
        <v>0</v>
      </c>
      <c r="R12" s="401">
        <f t="shared" si="9"/>
        <v>0</v>
      </c>
      <c r="S12" s="402">
        <f t="shared" si="0"/>
        <v>0</v>
      </c>
    </row>
    <row r="13" ht="24" customHeight="1" spans="1:19">
      <c r="A13" s="347" t="str">
        <f>经济指标!B16</f>
        <v>地上部分8</v>
      </c>
      <c r="B13" s="347" t="str">
        <f>经济指标!C16</f>
        <v>物业用房及消防控制室</v>
      </c>
      <c r="C13" s="348">
        <f>经济指标!E16</f>
        <v>332.64</v>
      </c>
      <c r="D13" s="348">
        <f>经济指标!G16</f>
        <v>0</v>
      </c>
      <c r="E13" s="349">
        <f>预计销售收入及费用情况表!D14</f>
        <v>0</v>
      </c>
      <c r="F13" s="352">
        <v>0</v>
      </c>
      <c r="G13" s="350">
        <v>0</v>
      </c>
      <c r="H13" s="351">
        <f t="shared" si="1"/>
        <v>0</v>
      </c>
      <c r="I13" s="368">
        <f t="shared" si="10"/>
        <v>0</v>
      </c>
      <c r="J13" s="369">
        <f t="shared" si="2"/>
        <v>0</v>
      </c>
      <c r="K13" s="370">
        <f t="shared" si="3"/>
        <v>0</v>
      </c>
      <c r="L13" s="371">
        <f t="shared" si="4"/>
        <v>0</v>
      </c>
      <c r="M13" s="371">
        <f t="shared" si="5"/>
        <v>0</v>
      </c>
      <c r="N13" s="372">
        <f t="shared" si="6"/>
        <v>0</v>
      </c>
      <c r="O13" s="373">
        <f t="shared" si="7"/>
        <v>0</v>
      </c>
      <c r="P13" s="367">
        <f t="shared" ref="P13:P17" si="11">(E13-I13)*0.015</f>
        <v>0</v>
      </c>
      <c r="Q13" s="400">
        <f t="shared" si="8"/>
        <v>0</v>
      </c>
      <c r="R13" s="401">
        <f t="shared" si="9"/>
        <v>0</v>
      </c>
      <c r="S13" s="402">
        <f t="shared" si="0"/>
        <v>0</v>
      </c>
    </row>
    <row r="14" ht="24" hidden="1" customHeight="1" spans="1:19">
      <c r="A14" s="347" t="str">
        <f>经济指标!B17</f>
        <v>地上部分9</v>
      </c>
      <c r="B14" s="347" t="str">
        <f>经济指标!C17</f>
        <v>公共厕所及开闭所</v>
      </c>
      <c r="C14" s="348">
        <f>经济指标!E17</f>
        <v>198.49</v>
      </c>
      <c r="D14" s="348">
        <f>经济指标!G17</f>
        <v>0</v>
      </c>
      <c r="E14" s="349">
        <f>预计销售收入及费用情况表!D15</f>
        <v>0</v>
      </c>
      <c r="F14" s="352">
        <v>0</v>
      </c>
      <c r="G14" s="350">
        <v>0</v>
      </c>
      <c r="H14" s="351">
        <f t="shared" si="1"/>
        <v>0</v>
      </c>
      <c r="I14" s="368">
        <f t="shared" si="10"/>
        <v>0</v>
      </c>
      <c r="J14" s="369">
        <f t="shared" si="2"/>
        <v>0</v>
      </c>
      <c r="K14" s="370">
        <f t="shared" si="3"/>
        <v>0</v>
      </c>
      <c r="L14" s="371">
        <f t="shared" si="4"/>
        <v>0</v>
      </c>
      <c r="M14" s="371">
        <f t="shared" si="5"/>
        <v>0</v>
      </c>
      <c r="N14" s="372">
        <f t="shared" si="6"/>
        <v>0</v>
      </c>
      <c r="O14" s="373">
        <f t="shared" si="7"/>
        <v>0</v>
      </c>
      <c r="P14" s="367">
        <f t="shared" si="11"/>
        <v>0</v>
      </c>
      <c r="Q14" s="400">
        <f t="shared" si="8"/>
        <v>0</v>
      </c>
      <c r="R14" s="401">
        <f t="shared" si="9"/>
        <v>0</v>
      </c>
      <c r="S14" s="402">
        <f t="shared" si="0"/>
        <v>0</v>
      </c>
    </row>
    <row r="15" ht="24" customHeight="1" spans="1:19">
      <c r="A15" s="347" t="str">
        <f>经济指标!B18</f>
        <v>地上部分10</v>
      </c>
      <c r="B15" s="347" t="str">
        <f>经济指标!C18</f>
        <v>社区服务站</v>
      </c>
      <c r="C15" s="348">
        <f>经济指标!E18</f>
        <v>75.2</v>
      </c>
      <c r="D15" s="348">
        <f>经济指标!G18</f>
        <v>0</v>
      </c>
      <c r="E15" s="349">
        <f>预计销售收入及费用情况表!D16</f>
        <v>0</v>
      </c>
      <c r="F15" s="350">
        <v>0</v>
      </c>
      <c r="G15" s="350">
        <v>0</v>
      </c>
      <c r="H15" s="351">
        <f t="shared" si="1"/>
        <v>0</v>
      </c>
      <c r="I15" s="368">
        <f t="shared" si="10"/>
        <v>0</v>
      </c>
      <c r="J15" s="369">
        <f t="shared" si="2"/>
        <v>0</v>
      </c>
      <c r="K15" s="370">
        <f t="shared" si="3"/>
        <v>0</v>
      </c>
      <c r="L15" s="371">
        <f t="shared" si="4"/>
        <v>0</v>
      </c>
      <c r="M15" s="371">
        <f t="shared" si="5"/>
        <v>0</v>
      </c>
      <c r="N15" s="372">
        <f t="shared" si="6"/>
        <v>0</v>
      </c>
      <c r="O15" s="373">
        <f t="shared" si="7"/>
        <v>0</v>
      </c>
      <c r="P15" s="367">
        <f t="shared" si="11"/>
        <v>0</v>
      </c>
      <c r="Q15" s="400">
        <f t="shared" si="8"/>
        <v>0</v>
      </c>
      <c r="R15" s="401">
        <f t="shared" si="9"/>
        <v>0</v>
      </c>
      <c r="S15" s="402">
        <f t="shared" si="0"/>
        <v>0</v>
      </c>
    </row>
    <row r="16" ht="24" customHeight="1" spans="1:19">
      <c r="A16" s="347" t="str">
        <f>经济指标!B19</f>
        <v>地上部分11</v>
      </c>
      <c r="B16" s="347" t="str">
        <f>经济指标!C19</f>
        <v>老年日间照料</v>
      </c>
      <c r="C16" s="348">
        <f>经济指标!E19</f>
        <v>201.09</v>
      </c>
      <c r="D16" s="348">
        <f>经济指标!G19</f>
        <v>0</v>
      </c>
      <c r="E16" s="349">
        <f>预计销售收入及费用情况表!D17</f>
        <v>0</v>
      </c>
      <c r="F16" s="350">
        <v>0</v>
      </c>
      <c r="G16" s="350">
        <v>0</v>
      </c>
      <c r="H16" s="351">
        <f t="shared" si="1"/>
        <v>0</v>
      </c>
      <c r="I16" s="368">
        <f t="shared" si="10"/>
        <v>0</v>
      </c>
      <c r="J16" s="369">
        <f t="shared" si="2"/>
        <v>0</v>
      </c>
      <c r="K16" s="370">
        <f t="shared" si="3"/>
        <v>0</v>
      </c>
      <c r="L16" s="371">
        <f t="shared" si="4"/>
        <v>0</v>
      </c>
      <c r="M16" s="371">
        <f t="shared" si="5"/>
        <v>0</v>
      </c>
      <c r="N16" s="372">
        <f t="shared" si="6"/>
        <v>0</v>
      </c>
      <c r="O16" s="373">
        <f t="shared" si="7"/>
        <v>0</v>
      </c>
      <c r="P16" s="367">
        <f t="shared" si="11"/>
        <v>0</v>
      </c>
      <c r="Q16" s="400">
        <f t="shared" si="8"/>
        <v>0</v>
      </c>
      <c r="R16" s="401">
        <f t="shared" si="9"/>
        <v>0</v>
      </c>
      <c r="S16" s="402">
        <f t="shared" si="0"/>
        <v>0</v>
      </c>
    </row>
    <row r="17" ht="24" hidden="1" customHeight="1" spans="1:19">
      <c r="A17" s="347" t="str">
        <f>经济指标!B21</f>
        <v>地下部分1</v>
      </c>
      <c r="B17" s="347" t="str">
        <f>经济指标!C21</f>
        <v>储藏室</v>
      </c>
      <c r="C17" s="348">
        <f>经济指标!E21</f>
        <v>0</v>
      </c>
      <c r="D17" s="348">
        <f>经济指标!G21</f>
        <v>0</v>
      </c>
      <c r="E17" s="349">
        <f>预计销售收入及费用情况表!D19</f>
        <v>0</v>
      </c>
      <c r="F17" s="350">
        <v>0</v>
      </c>
      <c r="G17" s="350">
        <f>成本测算明细!AF244</f>
        <v>0</v>
      </c>
      <c r="H17" s="351">
        <f t="shared" si="1"/>
        <v>0</v>
      </c>
      <c r="I17" s="368">
        <f t="shared" si="10"/>
        <v>0</v>
      </c>
      <c r="J17" s="369">
        <f t="shared" si="2"/>
        <v>0</v>
      </c>
      <c r="K17" s="370">
        <f t="shared" si="3"/>
        <v>0</v>
      </c>
      <c r="L17" s="371">
        <f t="shared" si="4"/>
        <v>0</v>
      </c>
      <c r="M17" s="371">
        <f t="shared" si="5"/>
        <v>0</v>
      </c>
      <c r="N17" s="372">
        <f t="shared" si="6"/>
        <v>0</v>
      </c>
      <c r="O17" s="373">
        <f t="shared" si="7"/>
        <v>0</v>
      </c>
      <c r="P17" s="367">
        <f t="shared" si="11"/>
        <v>0</v>
      </c>
      <c r="Q17" s="400">
        <f t="shared" si="8"/>
        <v>0</v>
      </c>
      <c r="R17" s="401">
        <f t="shared" si="9"/>
        <v>0</v>
      </c>
      <c r="S17" s="402">
        <f t="shared" si="0"/>
        <v>0</v>
      </c>
    </row>
    <row r="18" ht="24" customHeight="1" spans="1:19">
      <c r="A18" s="347" t="str">
        <f>经济指标!B22</f>
        <v>地下部分2</v>
      </c>
      <c r="B18" s="347" t="str">
        <f>经济指标!C22</f>
        <v>人防车位</v>
      </c>
      <c r="C18" s="348">
        <f>经济指标!E22</f>
        <v>3945.11</v>
      </c>
      <c r="D18" s="348">
        <f>经济指标!G22</f>
        <v>3945.11</v>
      </c>
      <c r="E18" s="349">
        <f>预计销售收入及费用情况表!E20*10000/经济指标!G22</f>
        <v>2007.54858546403</v>
      </c>
      <c r="F18" s="350">
        <f>成本测算明细!AH239</f>
        <v>3422.63401364166</v>
      </c>
      <c r="G18" s="350">
        <f>成本测算明细!AH244</f>
        <v>169.810703304583</v>
      </c>
      <c r="H18" s="351">
        <f t="shared" si="1"/>
        <v>35.0555144123322</v>
      </c>
      <c r="I18" s="368">
        <f t="shared" si="10"/>
        <v>55.253630792588</v>
      </c>
      <c r="J18" s="369">
        <f t="shared" si="2"/>
        <v>-20.1981163802558</v>
      </c>
      <c r="K18" s="370">
        <f t="shared" si="3"/>
        <v>4.20666172947986</v>
      </c>
      <c r="L18" s="371">
        <f t="shared" si="4"/>
        <v>4122.98559355862</v>
      </c>
      <c r="M18" s="371">
        <f t="shared" si="5"/>
        <v>-2281.19790047235</v>
      </c>
      <c r="N18" s="372">
        <f t="shared" si="6"/>
        <v>-0.553287865966908</v>
      </c>
      <c r="O18" s="373">
        <f t="shared" si="7"/>
        <v>68.3303234135004</v>
      </c>
      <c r="P18" s="367">
        <f>(E18-I18)*0.035</f>
        <v>68.3303234135005</v>
      </c>
      <c r="Q18" s="400">
        <f t="shared" si="8"/>
        <v>-1.27897692436818e-13</v>
      </c>
      <c r="R18" s="401">
        <f t="shared" si="9"/>
        <v>107.592499555312</v>
      </c>
      <c r="S18" s="402">
        <f t="shared" si="0"/>
        <v>42.4464245920659</v>
      </c>
    </row>
    <row r="19" ht="24" customHeight="1" spans="1:19">
      <c r="A19" s="347" t="str">
        <f>经济指标!B23</f>
        <v>地下部分3</v>
      </c>
      <c r="B19" s="347" t="str">
        <f>经济指标!C23</f>
        <v>非人防车位</v>
      </c>
      <c r="C19" s="348">
        <f>经济指标!E23</f>
        <v>18290.4</v>
      </c>
      <c r="D19" s="348">
        <f>经济指标!G23</f>
        <v>18290.4</v>
      </c>
      <c r="E19" s="349">
        <f>预计销售收入及费用情况表!E21*10000/经济指标!G23</f>
        <v>1316.53763723046</v>
      </c>
      <c r="F19" s="350">
        <f>成本测算明细!AJ239</f>
        <v>3023.79677307203</v>
      </c>
      <c r="G19" s="350">
        <f>成本测算明细!AJ244</f>
        <v>190.2802312893</v>
      </c>
      <c r="H19" s="351">
        <f t="shared" si="1"/>
        <v>22.9891841475122</v>
      </c>
      <c r="I19" s="368">
        <f t="shared" si="10"/>
        <v>36.2349808412053</v>
      </c>
      <c r="J19" s="369">
        <f t="shared" si="2"/>
        <v>-13.2457966936931</v>
      </c>
      <c r="K19" s="370">
        <f t="shared" si="3"/>
        <v>2.75870209770146</v>
      </c>
      <c r="L19" s="371">
        <f t="shared" si="4"/>
        <v>3641.5790940597</v>
      </c>
      <c r="M19" s="371">
        <f t="shared" si="5"/>
        <v>-2433.74639935286</v>
      </c>
      <c r="N19" s="372">
        <f t="shared" si="6"/>
        <v>-0.668321718817775</v>
      </c>
      <c r="O19" s="373">
        <f t="shared" si="7"/>
        <v>44.8105929736238</v>
      </c>
      <c r="P19" s="367">
        <f>(E19-I19)*0.035</f>
        <v>44.8105929736239</v>
      </c>
      <c r="Q19" s="400">
        <f t="shared" si="8"/>
        <v>-7.8159700933611e-14</v>
      </c>
      <c r="R19" s="401">
        <f t="shared" si="9"/>
        <v>70.5584792188374</v>
      </c>
      <c r="S19" s="402">
        <f t="shared" si="0"/>
        <v>129.054280830422</v>
      </c>
    </row>
    <row r="20" ht="24" customHeight="1" spans="1:22">
      <c r="A20" s="185" t="str">
        <f>A4</f>
        <v>洛龙区八里堂地块（挂牌）项目税金计算</v>
      </c>
      <c r="B20" s="185"/>
      <c r="C20" s="185"/>
      <c r="D20" s="185"/>
      <c r="E20" s="185"/>
      <c r="F20" s="185"/>
      <c r="G20" s="185"/>
      <c r="H20" s="185"/>
      <c r="I20" s="185"/>
      <c r="J20" s="185"/>
      <c r="K20" s="185"/>
      <c r="L20" s="185"/>
      <c r="M20" s="185"/>
      <c r="N20" s="185"/>
      <c r="O20" s="185"/>
      <c r="P20" s="185"/>
      <c r="Q20" s="185"/>
      <c r="R20" s="185"/>
      <c r="S20" s="358">
        <f>SUM(S6:S19)</f>
        <v>3489.72776000347</v>
      </c>
      <c r="T20" s="403"/>
      <c r="U20" s="403"/>
      <c r="V20" s="403"/>
    </row>
    <row r="21" ht="26" customHeight="1" spans="1:19">
      <c r="A21" s="343" t="s">
        <v>75</v>
      </c>
      <c r="B21" s="343" t="s">
        <v>75</v>
      </c>
      <c r="C21" s="344" t="s">
        <v>1081</v>
      </c>
      <c r="D21" s="344" t="s">
        <v>79</v>
      </c>
      <c r="E21" s="344" t="s">
        <v>1166</v>
      </c>
      <c r="F21" s="344" t="s">
        <v>1167</v>
      </c>
      <c r="G21" s="345" t="s">
        <v>707</v>
      </c>
      <c r="H21" s="353" t="s">
        <v>1155</v>
      </c>
      <c r="I21" s="353" t="s">
        <v>1163</v>
      </c>
      <c r="J21" s="353" t="s">
        <v>1164</v>
      </c>
      <c r="K21" s="375" t="s">
        <v>1158</v>
      </c>
      <c r="L21" s="376" t="s">
        <v>1159</v>
      </c>
      <c r="M21" s="366" t="s">
        <v>1160</v>
      </c>
      <c r="N21" s="365" t="s">
        <v>1161</v>
      </c>
      <c r="O21" s="365" t="s">
        <v>1162</v>
      </c>
      <c r="P21" s="367" t="s">
        <v>1163</v>
      </c>
      <c r="Q21" s="365" t="s">
        <v>1164</v>
      </c>
      <c r="R21" s="404" t="s">
        <v>1165</v>
      </c>
      <c r="S21" s="359" t="s">
        <v>1168</v>
      </c>
    </row>
    <row r="22" ht="26" customHeight="1" spans="1:19">
      <c r="A22" s="347" t="str">
        <f t="shared" ref="A22:B22" si="12">A6</f>
        <v>地上部分1</v>
      </c>
      <c r="B22" s="347" t="str">
        <f t="shared" si="12"/>
        <v>洋房</v>
      </c>
      <c r="C22" s="349">
        <f>经济指标!E9</f>
        <v>31642.84</v>
      </c>
      <c r="D22" s="349">
        <f>经济指标!G9</f>
        <v>31642.84</v>
      </c>
      <c r="E22" s="349">
        <f>$D22*E6/10000</f>
        <v>42717.834</v>
      </c>
      <c r="F22" s="350">
        <f>$C22*F6/10000</f>
        <v>31164.4194484523</v>
      </c>
      <c r="G22" s="350">
        <f>$C22*G6/10000</f>
        <v>3311.68471286374</v>
      </c>
      <c r="H22" s="354">
        <f>E22/$E$36*$H$37</f>
        <v>745.932455280766</v>
      </c>
      <c r="I22" s="354">
        <f>$D22*I6/10000</f>
        <v>1175.72020183486</v>
      </c>
      <c r="J22" s="354">
        <f>H22-I22</f>
        <v>-429.787746554094</v>
      </c>
      <c r="K22" s="377">
        <f>H22*0.12</f>
        <v>89.511894633692</v>
      </c>
      <c r="L22" s="378">
        <f>$C22*L6/10000</f>
        <v>37592.6027116381</v>
      </c>
      <c r="M22" s="378">
        <f>$C22*M6/10000</f>
        <v>1598.07068285729</v>
      </c>
      <c r="N22" s="379"/>
      <c r="O22" s="379">
        <f>E22/$E$36*$O$36</f>
        <v>1453.97398293578</v>
      </c>
      <c r="P22" s="380">
        <f>$D22*P6/10000</f>
        <v>1453.97398293578</v>
      </c>
      <c r="Q22" s="379">
        <f>O22-P22</f>
        <v>-2.72848410531878e-12</v>
      </c>
      <c r="R22" s="405">
        <f t="shared" ref="R22:R35" si="13">$D22*R6/10000</f>
        <v>2289.41833285024</v>
      </c>
      <c r="S22" s="359">
        <f>K22+O22</f>
        <v>1543.48587756947</v>
      </c>
    </row>
    <row r="23" ht="26" customHeight="1" spans="1:19">
      <c r="A23" s="347" t="str">
        <f t="shared" ref="A23:B23" si="14">A7</f>
        <v>地上部分2</v>
      </c>
      <c r="B23" s="347" t="str">
        <f t="shared" si="14"/>
        <v>别墅</v>
      </c>
      <c r="C23" s="349">
        <f>经济指标!E10</f>
        <v>16692.48</v>
      </c>
      <c r="D23" s="349">
        <f>经济指标!G10</f>
        <v>16692.48</v>
      </c>
      <c r="E23" s="349">
        <f t="shared" ref="E23:E35" si="15">$D23*E7/10000</f>
        <v>19196.352</v>
      </c>
      <c r="F23" s="350">
        <f t="shared" ref="F23:G23" si="16">$C23*F7/10000</f>
        <v>17165.7356340339</v>
      </c>
      <c r="G23" s="350">
        <f t="shared" si="16"/>
        <v>1097.90747774507</v>
      </c>
      <c r="H23" s="354">
        <f t="shared" ref="H23:H35" si="17">E23/$E$36*$H$37</f>
        <v>335.203839684237</v>
      </c>
      <c r="I23" s="354">
        <f t="shared" ref="I23:I35" si="18">$D23*I7/10000</f>
        <v>528.339963302752</v>
      </c>
      <c r="J23" s="354">
        <f t="shared" ref="J23:J35" si="19">H23-I23</f>
        <v>-193.136123618515</v>
      </c>
      <c r="K23" s="377">
        <f t="shared" ref="K23:K35" si="20">H23*0.12</f>
        <v>40.2244607621084</v>
      </c>
      <c r="L23" s="378">
        <f t="shared" ref="L23:M35" si="21">$C23*L7/10000</f>
        <v>20697.3762324706</v>
      </c>
      <c r="M23" s="378">
        <f>$C23*M7/10000</f>
        <v>-3086.04412237883</v>
      </c>
      <c r="N23" s="379"/>
      <c r="O23" s="379">
        <f>E23/$E$36*$O$36</f>
        <v>653.380421284402</v>
      </c>
      <c r="P23" s="380">
        <f t="shared" ref="P23:P35" si="22">$D23*P7/10000</f>
        <v>653.380421284404</v>
      </c>
      <c r="Q23" s="379">
        <f t="shared" ref="Q23:Q35" si="23">O23-P23</f>
        <v>-1.59161572810262e-12</v>
      </c>
      <c r="R23" s="405">
        <f t="shared" si="13"/>
        <v>1028.80872173075</v>
      </c>
      <c r="S23" s="359">
        <f t="shared" ref="S23:S36" si="24">K23+O23</f>
        <v>693.604882046511</v>
      </c>
    </row>
    <row r="24" ht="26" hidden="1" customHeight="1" spans="1:19">
      <c r="A24" s="347" t="str">
        <f t="shared" ref="A24:B24" si="25">A8</f>
        <v>地上部分3</v>
      </c>
      <c r="B24" s="347" t="str">
        <f t="shared" si="25"/>
        <v>小高层</v>
      </c>
      <c r="C24" s="349">
        <f>经济指标!E11</f>
        <v>0</v>
      </c>
      <c r="D24" s="349">
        <f>经济指标!G11</f>
        <v>0</v>
      </c>
      <c r="E24" s="349">
        <f t="shared" si="15"/>
        <v>0</v>
      </c>
      <c r="F24" s="350">
        <f t="shared" ref="F24:G24" si="26">$C24*F8/10000</f>
        <v>0</v>
      </c>
      <c r="G24" s="350">
        <f t="shared" si="26"/>
        <v>0</v>
      </c>
      <c r="H24" s="354">
        <f t="shared" si="17"/>
        <v>0</v>
      </c>
      <c r="I24" s="354">
        <f t="shared" si="18"/>
        <v>0</v>
      </c>
      <c r="J24" s="354">
        <f t="shared" si="19"/>
        <v>0</v>
      </c>
      <c r="K24" s="377">
        <f t="shared" si="20"/>
        <v>0</v>
      </c>
      <c r="L24" s="378">
        <f t="shared" si="21"/>
        <v>0</v>
      </c>
      <c r="M24" s="378">
        <f>$C24*M8/10000</f>
        <v>0</v>
      </c>
      <c r="N24" s="379"/>
      <c r="O24" s="379">
        <f>E24/$E$36*$O$36</f>
        <v>0</v>
      </c>
      <c r="P24" s="380">
        <f t="shared" si="22"/>
        <v>0</v>
      </c>
      <c r="Q24" s="379">
        <f t="shared" si="23"/>
        <v>0</v>
      </c>
      <c r="R24" s="405">
        <f t="shared" si="13"/>
        <v>0</v>
      </c>
      <c r="S24" s="359">
        <f t="shared" si="24"/>
        <v>0</v>
      </c>
    </row>
    <row r="25" ht="26" hidden="1" customHeight="1" spans="1:19">
      <c r="A25" s="347" t="str">
        <f t="shared" ref="A25:B25" si="27">A9</f>
        <v>地上部分4</v>
      </c>
      <c r="B25" s="347" t="str">
        <f t="shared" si="27"/>
        <v>公寓</v>
      </c>
      <c r="C25" s="349">
        <f>经济指标!E12</f>
        <v>0</v>
      </c>
      <c r="D25" s="349">
        <f>经济指标!G12</f>
        <v>0</v>
      </c>
      <c r="E25" s="349">
        <f t="shared" si="15"/>
        <v>0</v>
      </c>
      <c r="F25" s="350">
        <f t="shared" ref="F25:G25" si="28">$C25*F9/10000</f>
        <v>0</v>
      </c>
      <c r="G25" s="350">
        <f t="shared" si="28"/>
        <v>0</v>
      </c>
      <c r="H25" s="354">
        <f t="shared" si="17"/>
        <v>0</v>
      </c>
      <c r="I25" s="354">
        <f t="shared" si="18"/>
        <v>0</v>
      </c>
      <c r="J25" s="354">
        <f t="shared" si="19"/>
        <v>0</v>
      </c>
      <c r="K25" s="377">
        <f t="shared" si="20"/>
        <v>0</v>
      </c>
      <c r="L25" s="379">
        <f t="shared" si="21"/>
        <v>0</v>
      </c>
      <c r="M25" s="379">
        <f t="shared" si="21"/>
        <v>0</v>
      </c>
      <c r="N25" s="379"/>
      <c r="O25" s="379">
        <f t="shared" ref="O25:O35" si="29">E25/$E$36*$O$36</f>
        <v>0</v>
      </c>
      <c r="P25" s="380">
        <f t="shared" si="22"/>
        <v>0</v>
      </c>
      <c r="Q25" s="379">
        <f t="shared" si="23"/>
        <v>0</v>
      </c>
      <c r="R25" s="405">
        <f t="shared" si="13"/>
        <v>0</v>
      </c>
      <c r="S25" s="359">
        <f t="shared" si="24"/>
        <v>0</v>
      </c>
    </row>
    <row r="26" ht="26" hidden="1" customHeight="1" spans="1:19">
      <c r="A26" s="347" t="str">
        <f t="shared" ref="A26:B26" si="30">A10</f>
        <v>地上部分5</v>
      </c>
      <c r="B26" s="347" t="str">
        <f t="shared" si="30"/>
        <v>商业</v>
      </c>
      <c r="C26" s="349">
        <f>经济指标!E13</f>
        <v>0</v>
      </c>
      <c r="D26" s="349">
        <f>经济指标!G13</f>
        <v>0</v>
      </c>
      <c r="E26" s="349">
        <f t="shared" si="15"/>
        <v>0</v>
      </c>
      <c r="F26" s="350">
        <f t="shared" ref="F26:G26" si="31">$C26*F10/10000</f>
        <v>0</v>
      </c>
      <c r="G26" s="350">
        <f t="shared" si="31"/>
        <v>0</v>
      </c>
      <c r="H26" s="354">
        <f t="shared" si="17"/>
        <v>0</v>
      </c>
      <c r="I26" s="354">
        <f t="shared" si="18"/>
        <v>0</v>
      </c>
      <c r="J26" s="354">
        <f t="shared" si="19"/>
        <v>0</v>
      </c>
      <c r="K26" s="377">
        <f t="shared" si="20"/>
        <v>0</v>
      </c>
      <c r="L26" s="379">
        <f t="shared" si="21"/>
        <v>0</v>
      </c>
      <c r="M26" s="379">
        <f t="shared" si="21"/>
        <v>0</v>
      </c>
      <c r="N26" s="379"/>
      <c r="O26" s="379">
        <f t="shared" si="29"/>
        <v>0</v>
      </c>
      <c r="P26" s="380">
        <f t="shared" si="22"/>
        <v>0</v>
      </c>
      <c r="Q26" s="379">
        <f t="shared" si="23"/>
        <v>0</v>
      </c>
      <c r="R26" s="405">
        <f t="shared" si="13"/>
        <v>0</v>
      </c>
      <c r="S26" s="359">
        <f t="shared" si="24"/>
        <v>0</v>
      </c>
    </row>
    <row r="27" ht="26" hidden="1" customHeight="1" spans="1:19">
      <c r="A27" s="347" t="str">
        <f t="shared" ref="A27:B27" si="32">A11</f>
        <v>地上部分6</v>
      </c>
      <c r="B27" s="347" t="str">
        <f t="shared" si="32"/>
        <v>办公</v>
      </c>
      <c r="C27" s="349">
        <f>经济指标!E14</f>
        <v>0</v>
      </c>
      <c r="D27" s="349">
        <f>经济指标!G14</f>
        <v>0</v>
      </c>
      <c r="E27" s="349">
        <f t="shared" si="15"/>
        <v>0</v>
      </c>
      <c r="F27" s="350">
        <f t="shared" ref="F27:G27" si="33">$C27*F11/10000</f>
        <v>0</v>
      </c>
      <c r="G27" s="350">
        <f t="shared" si="33"/>
        <v>0</v>
      </c>
      <c r="H27" s="354">
        <f t="shared" si="17"/>
        <v>0</v>
      </c>
      <c r="I27" s="354">
        <f t="shared" si="18"/>
        <v>0</v>
      </c>
      <c r="J27" s="354">
        <f t="shared" si="19"/>
        <v>0</v>
      </c>
      <c r="K27" s="377">
        <f t="shared" si="20"/>
        <v>0</v>
      </c>
      <c r="L27" s="379">
        <f t="shared" si="21"/>
        <v>0</v>
      </c>
      <c r="M27" s="379">
        <f t="shared" si="21"/>
        <v>0</v>
      </c>
      <c r="N27" s="379"/>
      <c r="O27" s="379">
        <f t="shared" si="29"/>
        <v>0</v>
      </c>
      <c r="P27" s="380">
        <f t="shared" si="22"/>
        <v>0</v>
      </c>
      <c r="Q27" s="379">
        <f t="shared" si="23"/>
        <v>0</v>
      </c>
      <c r="R27" s="405">
        <f t="shared" si="13"/>
        <v>0</v>
      </c>
      <c r="S27" s="359">
        <f t="shared" si="24"/>
        <v>0</v>
      </c>
    </row>
    <row r="28" ht="26" hidden="1" customHeight="1" spans="1:19">
      <c r="A28" s="347" t="str">
        <f t="shared" ref="A28:B28" si="34">A12</f>
        <v>地上部分7</v>
      </c>
      <c r="B28" s="347" t="str">
        <f t="shared" si="34"/>
        <v>装配式</v>
      </c>
      <c r="C28" s="349">
        <f>经济指标!E15</f>
        <v>0</v>
      </c>
      <c r="D28" s="349">
        <f>经济指标!G15</f>
        <v>0</v>
      </c>
      <c r="E28" s="349">
        <f t="shared" si="15"/>
        <v>0</v>
      </c>
      <c r="F28" s="350">
        <f t="shared" ref="F28:G28" si="35">$C28*F12/10000</f>
        <v>0</v>
      </c>
      <c r="G28" s="350">
        <f t="shared" si="35"/>
        <v>0</v>
      </c>
      <c r="H28" s="354">
        <f t="shared" si="17"/>
        <v>0</v>
      </c>
      <c r="I28" s="354">
        <f t="shared" si="18"/>
        <v>0</v>
      </c>
      <c r="J28" s="354">
        <f t="shared" si="19"/>
        <v>0</v>
      </c>
      <c r="K28" s="377">
        <f t="shared" si="20"/>
        <v>0</v>
      </c>
      <c r="L28" s="378">
        <f t="shared" si="21"/>
        <v>0</v>
      </c>
      <c r="M28" s="378">
        <f t="shared" si="21"/>
        <v>0</v>
      </c>
      <c r="N28" s="379"/>
      <c r="O28" s="379">
        <f t="shared" si="29"/>
        <v>0</v>
      </c>
      <c r="P28" s="380">
        <f t="shared" si="22"/>
        <v>0</v>
      </c>
      <c r="Q28" s="379">
        <f t="shared" si="23"/>
        <v>0</v>
      </c>
      <c r="R28" s="405">
        <f t="shared" si="13"/>
        <v>0</v>
      </c>
      <c r="S28" s="359">
        <f t="shared" si="24"/>
        <v>0</v>
      </c>
    </row>
    <row r="29" ht="26" customHeight="1" spans="1:19">
      <c r="A29" s="347" t="str">
        <f t="shared" ref="A29:B29" si="36">A13</f>
        <v>地上部分8</v>
      </c>
      <c r="B29" s="347" t="str">
        <f t="shared" si="36"/>
        <v>物业用房及消防控制室</v>
      </c>
      <c r="C29" s="349">
        <f>经济指标!E16</f>
        <v>332.64</v>
      </c>
      <c r="D29" s="349">
        <f>经济指标!G16</f>
        <v>0</v>
      </c>
      <c r="E29" s="349">
        <f t="shared" si="15"/>
        <v>0</v>
      </c>
      <c r="F29" s="350">
        <f t="shared" ref="F29:G29" si="37">$C29*F13/10000</f>
        <v>0</v>
      </c>
      <c r="G29" s="350">
        <f t="shared" si="37"/>
        <v>0</v>
      </c>
      <c r="H29" s="354">
        <f t="shared" si="17"/>
        <v>0</v>
      </c>
      <c r="I29" s="354">
        <f t="shared" si="18"/>
        <v>0</v>
      </c>
      <c r="J29" s="354">
        <f t="shared" si="19"/>
        <v>0</v>
      </c>
      <c r="K29" s="377">
        <f t="shared" si="20"/>
        <v>0</v>
      </c>
      <c r="L29" s="379">
        <f t="shared" si="21"/>
        <v>0</v>
      </c>
      <c r="M29" s="379">
        <f t="shared" si="21"/>
        <v>0</v>
      </c>
      <c r="N29" s="379"/>
      <c r="O29" s="379">
        <f t="shared" si="29"/>
        <v>0</v>
      </c>
      <c r="P29" s="380">
        <f t="shared" si="22"/>
        <v>0</v>
      </c>
      <c r="Q29" s="379">
        <f t="shared" si="23"/>
        <v>0</v>
      </c>
      <c r="R29" s="405">
        <f t="shared" si="13"/>
        <v>0</v>
      </c>
      <c r="S29" s="359">
        <f t="shared" si="24"/>
        <v>0</v>
      </c>
    </row>
    <row r="30" ht="26" hidden="1" customHeight="1" spans="1:19">
      <c r="A30" s="347" t="str">
        <f t="shared" ref="A30:B30" si="38">A14</f>
        <v>地上部分9</v>
      </c>
      <c r="B30" s="347" t="str">
        <f t="shared" si="38"/>
        <v>公共厕所及开闭所</v>
      </c>
      <c r="C30" s="349">
        <f>经济指标!E17</f>
        <v>198.49</v>
      </c>
      <c r="D30" s="349">
        <f>经济指标!G17</f>
        <v>0</v>
      </c>
      <c r="E30" s="349">
        <f t="shared" si="15"/>
        <v>0</v>
      </c>
      <c r="F30" s="350">
        <f t="shared" ref="F30:G30" si="39">$C30*F14/10000</f>
        <v>0</v>
      </c>
      <c r="G30" s="350">
        <f t="shared" si="39"/>
        <v>0</v>
      </c>
      <c r="H30" s="354">
        <f t="shared" si="17"/>
        <v>0</v>
      </c>
      <c r="I30" s="354">
        <f t="shared" si="18"/>
        <v>0</v>
      </c>
      <c r="J30" s="354">
        <f t="shared" si="19"/>
        <v>0</v>
      </c>
      <c r="K30" s="377">
        <f t="shared" si="20"/>
        <v>0</v>
      </c>
      <c r="L30" s="379">
        <f t="shared" si="21"/>
        <v>0</v>
      </c>
      <c r="M30" s="379">
        <f t="shared" si="21"/>
        <v>0</v>
      </c>
      <c r="N30" s="379"/>
      <c r="O30" s="379">
        <f t="shared" si="29"/>
        <v>0</v>
      </c>
      <c r="P30" s="380">
        <f t="shared" si="22"/>
        <v>0</v>
      </c>
      <c r="Q30" s="379">
        <f t="shared" si="23"/>
        <v>0</v>
      </c>
      <c r="R30" s="405">
        <f t="shared" si="13"/>
        <v>0</v>
      </c>
      <c r="S30" s="359">
        <f t="shared" si="24"/>
        <v>0</v>
      </c>
    </row>
    <row r="31" ht="26" customHeight="1" spans="1:19">
      <c r="A31" s="347" t="str">
        <f t="shared" ref="A31:B31" si="40">A15</f>
        <v>地上部分10</v>
      </c>
      <c r="B31" s="347" t="str">
        <f t="shared" si="40"/>
        <v>社区服务站</v>
      </c>
      <c r="C31" s="349">
        <f>经济指标!E18</f>
        <v>75.2</v>
      </c>
      <c r="D31" s="349">
        <f>经济指标!G18</f>
        <v>0</v>
      </c>
      <c r="E31" s="349">
        <f t="shared" si="15"/>
        <v>0</v>
      </c>
      <c r="F31" s="350">
        <f t="shared" ref="F31:G31" si="41">$C31*F15/10000</f>
        <v>0</v>
      </c>
      <c r="G31" s="350">
        <f t="shared" si="41"/>
        <v>0</v>
      </c>
      <c r="H31" s="354">
        <f t="shared" si="17"/>
        <v>0</v>
      </c>
      <c r="I31" s="354">
        <f t="shared" si="18"/>
        <v>0</v>
      </c>
      <c r="J31" s="354">
        <f t="shared" si="19"/>
        <v>0</v>
      </c>
      <c r="K31" s="377">
        <f t="shared" si="20"/>
        <v>0</v>
      </c>
      <c r="L31" s="379">
        <f t="shared" si="21"/>
        <v>0</v>
      </c>
      <c r="M31" s="379">
        <f t="shared" si="21"/>
        <v>0</v>
      </c>
      <c r="N31" s="379"/>
      <c r="O31" s="379">
        <f t="shared" si="29"/>
        <v>0</v>
      </c>
      <c r="P31" s="380">
        <f t="shared" si="22"/>
        <v>0</v>
      </c>
      <c r="Q31" s="379">
        <f t="shared" si="23"/>
        <v>0</v>
      </c>
      <c r="R31" s="405">
        <f t="shared" si="13"/>
        <v>0</v>
      </c>
      <c r="S31" s="359">
        <f t="shared" si="24"/>
        <v>0</v>
      </c>
    </row>
    <row r="32" ht="26" customHeight="1" spans="1:19">
      <c r="A32" s="347" t="str">
        <f t="shared" ref="A32:B32" si="42">A16</f>
        <v>地上部分11</v>
      </c>
      <c r="B32" s="347" t="str">
        <f t="shared" si="42"/>
        <v>老年日间照料</v>
      </c>
      <c r="C32" s="349">
        <f>经济指标!E19</f>
        <v>201.09</v>
      </c>
      <c r="D32" s="349">
        <f>经济指标!G19</f>
        <v>0</v>
      </c>
      <c r="E32" s="349">
        <f t="shared" si="15"/>
        <v>0</v>
      </c>
      <c r="F32" s="350">
        <f t="shared" ref="F32:G35" si="43">$C32*F16/10000</f>
        <v>0</v>
      </c>
      <c r="G32" s="350">
        <f t="shared" si="43"/>
        <v>0</v>
      </c>
      <c r="H32" s="354">
        <f t="shared" si="17"/>
        <v>0</v>
      </c>
      <c r="I32" s="354">
        <f t="shared" si="18"/>
        <v>0</v>
      </c>
      <c r="J32" s="354">
        <f t="shared" si="19"/>
        <v>0</v>
      </c>
      <c r="K32" s="377">
        <f t="shared" si="20"/>
        <v>0</v>
      </c>
      <c r="L32" s="379">
        <f t="shared" si="21"/>
        <v>0</v>
      </c>
      <c r="M32" s="379">
        <f t="shared" si="21"/>
        <v>0</v>
      </c>
      <c r="N32" s="379"/>
      <c r="O32" s="379">
        <f t="shared" si="29"/>
        <v>0</v>
      </c>
      <c r="P32" s="380">
        <f t="shared" si="22"/>
        <v>0</v>
      </c>
      <c r="Q32" s="379">
        <f t="shared" si="23"/>
        <v>0</v>
      </c>
      <c r="R32" s="405">
        <f t="shared" si="13"/>
        <v>0</v>
      </c>
      <c r="S32" s="359">
        <f t="shared" si="24"/>
        <v>0</v>
      </c>
    </row>
    <row r="33" ht="26" hidden="1" customHeight="1" spans="1:19">
      <c r="A33" s="347" t="str">
        <f>A17</f>
        <v>地下部分1</v>
      </c>
      <c r="B33" s="347" t="str">
        <f t="shared" ref="B33" si="44">B17</f>
        <v>储藏室</v>
      </c>
      <c r="C33" s="349">
        <f>经济指标!E21</f>
        <v>0</v>
      </c>
      <c r="D33" s="349">
        <f>经济指标!G21</f>
        <v>0</v>
      </c>
      <c r="E33" s="349">
        <f t="shared" si="15"/>
        <v>0</v>
      </c>
      <c r="F33" s="350">
        <f t="shared" si="43"/>
        <v>0</v>
      </c>
      <c r="G33" s="350">
        <f t="shared" si="43"/>
        <v>0</v>
      </c>
      <c r="H33" s="354">
        <f t="shared" si="17"/>
        <v>0</v>
      </c>
      <c r="I33" s="354">
        <f t="shared" si="18"/>
        <v>0</v>
      </c>
      <c r="J33" s="354">
        <f t="shared" si="19"/>
        <v>0</v>
      </c>
      <c r="K33" s="377">
        <f t="shared" si="20"/>
        <v>0</v>
      </c>
      <c r="L33" s="379">
        <f t="shared" si="21"/>
        <v>0</v>
      </c>
      <c r="M33" s="379">
        <f t="shared" si="21"/>
        <v>0</v>
      </c>
      <c r="N33" s="379"/>
      <c r="O33" s="379">
        <f t="shared" si="29"/>
        <v>0</v>
      </c>
      <c r="P33" s="380">
        <f t="shared" si="22"/>
        <v>0</v>
      </c>
      <c r="Q33" s="379">
        <f t="shared" si="23"/>
        <v>0</v>
      </c>
      <c r="R33" s="405">
        <f t="shared" si="13"/>
        <v>0</v>
      </c>
      <c r="S33" s="359">
        <f t="shared" si="24"/>
        <v>0</v>
      </c>
    </row>
    <row r="34" ht="26" customHeight="1" spans="1:19">
      <c r="A34" s="347" t="str">
        <f t="shared" ref="A34:B34" si="45">A18</f>
        <v>地下部分2</v>
      </c>
      <c r="B34" s="347" t="str">
        <f t="shared" si="45"/>
        <v>人防车位</v>
      </c>
      <c r="C34" s="349">
        <f>经济指标!E22</f>
        <v>3945.11</v>
      </c>
      <c r="D34" s="349">
        <f>经济指标!G22</f>
        <v>3945.11</v>
      </c>
      <c r="E34" s="349">
        <f t="shared" si="15"/>
        <v>792</v>
      </c>
      <c r="F34" s="350">
        <f t="shared" si="43"/>
        <v>1350.26676735578</v>
      </c>
      <c r="G34" s="350">
        <f t="shared" si="43"/>
        <v>66.9921903713942</v>
      </c>
      <c r="H34" s="354">
        <f t="shared" si="17"/>
        <v>13.8297860463236</v>
      </c>
      <c r="I34" s="354">
        <f t="shared" si="18"/>
        <v>21.7981651376147</v>
      </c>
      <c r="J34" s="354">
        <f t="shared" si="19"/>
        <v>-7.96837909129112</v>
      </c>
      <c r="K34" s="377">
        <f t="shared" si="20"/>
        <v>1.65957432555883</v>
      </c>
      <c r="L34" s="379">
        <f t="shared" si="21"/>
        <v>1626.5631695004</v>
      </c>
      <c r="M34" s="379">
        <f t="shared" si="21"/>
        <v>-899.957664913248</v>
      </c>
      <c r="N34" s="379"/>
      <c r="O34" s="379">
        <f t="shared" si="29"/>
        <v>26.9570642201834</v>
      </c>
      <c r="P34" s="380">
        <f t="shared" si="22"/>
        <v>26.9570642201835</v>
      </c>
      <c r="Q34" s="379">
        <f t="shared" si="23"/>
        <v>-6.03961325396085e-14</v>
      </c>
      <c r="R34" s="405">
        <f t="shared" si="13"/>
        <v>42.4464245920659</v>
      </c>
      <c r="S34" s="359">
        <f t="shared" si="24"/>
        <v>28.6166385457423</v>
      </c>
    </row>
    <row r="35" ht="26" customHeight="1" spans="1:19">
      <c r="A35" s="347" t="str">
        <f t="shared" ref="A35:B35" si="46">A19</f>
        <v>地下部分3</v>
      </c>
      <c r="B35" s="347" t="str">
        <f t="shared" si="46"/>
        <v>非人防车位</v>
      </c>
      <c r="C35" s="349">
        <f>经济指标!E23</f>
        <v>18290.4</v>
      </c>
      <c r="D35" s="349">
        <f>经济指标!G23</f>
        <v>18290.4</v>
      </c>
      <c r="E35" s="349">
        <f t="shared" si="15"/>
        <v>2408</v>
      </c>
      <c r="F35" s="350">
        <f t="shared" si="43"/>
        <v>5530.64524981966</v>
      </c>
      <c r="G35" s="350">
        <f t="shared" si="43"/>
        <v>348.030154237381</v>
      </c>
      <c r="H35" s="354">
        <f t="shared" si="17"/>
        <v>42.0481373731656</v>
      </c>
      <c r="I35" s="354">
        <f t="shared" si="18"/>
        <v>66.2752293577982</v>
      </c>
      <c r="J35" s="354">
        <f t="shared" si="19"/>
        <v>-24.2270919846326</v>
      </c>
      <c r="K35" s="377">
        <f t="shared" si="20"/>
        <v>5.04577648477988</v>
      </c>
      <c r="L35" s="379">
        <f t="shared" si="21"/>
        <v>6660.59382619895</v>
      </c>
      <c r="M35" s="379">
        <f t="shared" si="21"/>
        <v>-4451.41951427235</v>
      </c>
      <c r="N35" s="379"/>
      <c r="O35" s="379">
        <f t="shared" si="29"/>
        <v>81.9603669724769</v>
      </c>
      <c r="P35" s="380">
        <f t="shared" si="22"/>
        <v>81.9603669724771</v>
      </c>
      <c r="Q35" s="379">
        <f t="shared" si="23"/>
        <v>-1.84741111297626e-13</v>
      </c>
      <c r="R35" s="405">
        <f t="shared" si="13"/>
        <v>129.054280830422</v>
      </c>
      <c r="S35" s="359">
        <f t="shared" si="24"/>
        <v>87.0061434572568</v>
      </c>
    </row>
    <row r="36" ht="26" customHeight="1" spans="1:19">
      <c r="A36" s="355" t="s">
        <v>138</v>
      </c>
      <c r="B36" s="355"/>
      <c r="C36" s="356">
        <f t="shared" ref="C36:M36" si="47">SUM(C22:C35)</f>
        <v>71378.25</v>
      </c>
      <c r="D36" s="356">
        <f t="shared" si="47"/>
        <v>70570.83</v>
      </c>
      <c r="E36" s="356">
        <f t="shared" si="47"/>
        <v>65114.186</v>
      </c>
      <c r="F36" s="356">
        <f t="shared" si="47"/>
        <v>55211.0670996616</v>
      </c>
      <c r="G36" s="356">
        <f t="shared" si="47"/>
        <v>4824.61453521758</v>
      </c>
      <c r="H36" s="356">
        <f t="shared" si="47"/>
        <v>1137.01421838449</v>
      </c>
      <c r="I36" s="356">
        <f t="shared" si="47"/>
        <v>1792.13355963303</v>
      </c>
      <c r="J36" s="356">
        <f t="shared" si="47"/>
        <v>-655.119341248532</v>
      </c>
      <c r="K36" s="356">
        <f t="shared" si="47"/>
        <v>136.441706206139</v>
      </c>
      <c r="L36" s="356">
        <f t="shared" si="47"/>
        <v>66577.135939808</v>
      </c>
      <c r="M36" s="356">
        <f t="shared" si="47"/>
        <v>-6839.35061870713</v>
      </c>
      <c r="N36" s="381">
        <f>M36/L36</f>
        <v>-0.102728219262699</v>
      </c>
      <c r="O36" s="356">
        <f>MAX(P36,O44)</f>
        <v>2216.27183541284</v>
      </c>
      <c r="P36" s="382">
        <f>SUM(P22:P35)</f>
        <v>2216.27183541284</v>
      </c>
      <c r="Q36" s="356">
        <f>SUM(Q22:Q35)</f>
        <v>-4.56523707725864e-12</v>
      </c>
      <c r="R36" s="356">
        <f>SUM(R22:R35)</f>
        <v>3489.72776000347</v>
      </c>
      <c r="S36" s="359">
        <f t="shared" si="24"/>
        <v>2352.71354161898</v>
      </c>
    </row>
    <row r="37" s="334" customFormat="1" ht="26" customHeight="1" spans="6:22">
      <c r="F37" s="357">
        <f>E36-F36-G36-H37-O36-K36</f>
        <v>1588.77660511738</v>
      </c>
      <c r="H37" s="357">
        <f>(E36/(1+G3)*G3-F36/(1+G1)*F1*G1-G36/(1+G2)*F2*G2)</f>
        <v>1137.01421838449</v>
      </c>
      <c r="I37" s="334">
        <f>E36/1.09*0.03</f>
        <v>1792.13355963303</v>
      </c>
      <c r="K37" s="334">
        <f>H36*0.12</f>
        <v>136.441706206139</v>
      </c>
      <c r="O37" s="383"/>
      <c r="Q37" s="334">
        <f>(E36-I37)*0.035</f>
        <v>2216.27183541284</v>
      </c>
      <c r="T37" s="406"/>
      <c r="U37" s="406"/>
      <c r="V37" s="406"/>
    </row>
    <row r="38" s="335" customFormat="1" ht="24" customHeight="1" spans="2:22">
      <c r="B38" s="335" t="s">
        <v>54</v>
      </c>
      <c r="C38" s="358">
        <f>IF(C36=经济指标!E7,0,1)</f>
        <v>0</v>
      </c>
      <c r="D38" s="358">
        <f>D36-经济指标!G7</f>
        <v>0</v>
      </c>
      <c r="E38" s="358">
        <f>IF(E36=预计销售收入及费用情况表!E23,0,1)</f>
        <v>0</v>
      </c>
      <c r="F38" s="358">
        <f>IF(F36=成本测算明细!D239,0,1)</f>
        <v>1</v>
      </c>
      <c r="G38" s="358">
        <f>IF(G36=成本测算明细!D244,0,1)</f>
        <v>1</v>
      </c>
      <c r="H38" s="335">
        <f>H36-H37</f>
        <v>0</v>
      </c>
      <c r="I38" s="358">
        <f>E36/(1+G3)*0.03-I36</f>
        <v>2.27373675443232e-12</v>
      </c>
      <c r="K38" s="335">
        <f>K36-K37</f>
        <v>0</v>
      </c>
      <c r="L38" s="358">
        <f>(F36-F36*F1*G1/(1+G1))*1.3+K36-L36</f>
        <v>0</v>
      </c>
      <c r="M38" s="358">
        <f>E36/(1+G3)-L36-M36</f>
        <v>8.18545231595635e-12</v>
      </c>
      <c r="O38" s="384"/>
      <c r="R38" s="358">
        <f>R36-S20</f>
        <v>0</v>
      </c>
      <c r="T38" s="403"/>
      <c r="U38" s="403"/>
      <c r="V38" s="403"/>
    </row>
    <row r="39" ht="24" customHeight="1" spans="6:23">
      <c r="F39" s="359"/>
      <c r="G39" s="359"/>
      <c r="H39" s="359"/>
      <c r="I39" s="359"/>
      <c r="J39" s="385" t="s">
        <v>1162</v>
      </c>
      <c r="K39" s="386" t="s">
        <v>147</v>
      </c>
      <c r="L39" s="387" t="s">
        <v>1169</v>
      </c>
      <c r="M39" s="387" t="s">
        <v>1155</v>
      </c>
      <c r="N39" s="388" t="s">
        <v>1161</v>
      </c>
      <c r="O39" s="389" t="s">
        <v>1170</v>
      </c>
      <c r="P39" s="389" t="s">
        <v>1171</v>
      </c>
      <c r="Q39" s="338"/>
      <c r="S39" s="338"/>
      <c r="T39" s="336"/>
      <c r="W39" s="338"/>
    </row>
    <row r="40" ht="24" customHeight="1" spans="7:23">
      <c r="G40" s="338"/>
      <c r="J40" s="390"/>
      <c r="K40" s="391" t="s">
        <v>1172</v>
      </c>
      <c r="L40" s="392"/>
      <c r="M40" s="392"/>
      <c r="N40" s="393"/>
      <c r="O40" s="392">
        <f>IF(N40&lt;0,0,IF(N40&lt;20%,0,IF(N40&lt;50%,M40*0.3,IF(N40&lt;100%,M40*0.4-L40*0.05,IF(N40&lt;200%,M40*0.5-L40*0.15,IF(N40&gt;200%,M40*0.6-L40*0.35))))))</f>
        <v>0</v>
      </c>
      <c r="P40" s="392"/>
      <c r="T40" s="336"/>
      <c r="W40" s="338"/>
    </row>
    <row r="41" ht="24" customHeight="1" spans="10:23">
      <c r="J41" s="390"/>
      <c r="K41" s="391" t="s">
        <v>1173</v>
      </c>
      <c r="L41" s="392">
        <f>L22+L23</f>
        <v>58289.9789441087</v>
      </c>
      <c r="M41" s="392">
        <f>M22+M23</f>
        <v>-1487.97343952154</v>
      </c>
      <c r="N41" s="393">
        <f>IFERROR(M41/L41,0)</f>
        <v>-0.0255270883001739</v>
      </c>
      <c r="O41" s="392">
        <f>IF(N41&lt;0,0,IF(N41&lt;50%,M41*0.3,IF(N41&lt;100%,M41*0.4-L41*0.05,IF(N41&lt;200%,M41*0.5-L41*0.15,IF(N41&gt;200%,M41*0.6-L41*0.35)))))</f>
        <v>0</v>
      </c>
      <c r="P41" s="392">
        <f>M41*0.3</f>
        <v>-446.392031856461</v>
      </c>
      <c r="T41" s="336"/>
      <c r="W41" s="338"/>
    </row>
    <row r="42" ht="24" customHeight="1" spans="10:23">
      <c r="J42" s="390"/>
      <c r="K42" s="394" t="s">
        <v>1174</v>
      </c>
      <c r="L42" s="392">
        <f>L26+L34+L27+L3+L25+L35+L33</f>
        <v>8287.15699569936</v>
      </c>
      <c r="M42" s="392">
        <f>M26+M34+M27+M3+M25+M35+M33</f>
        <v>-5351.3771791856</v>
      </c>
      <c r="N42" s="393">
        <f>IFERROR(M42/L42,0)</f>
        <v>-0.645743429497318</v>
      </c>
      <c r="O42" s="392">
        <f>IF(N42&lt;0,0,IF(N42&lt;50%,M42*0.3,IF(N42&lt;100%,M42*0.4-L42*0.05,IF(N42&lt;200%,M42*0.5-L42*0.15,IF(N42&gt;200%,M42*0.6-L42*0.35)))))</f>
        <v>0</v>
      </c>
      <c r="P42" s="392">
        <v>0</v>
      </c>
      <c r="T42" s="336"/>
      <c r="W42" s="338"/>
    </row>
    <row r="43" ht="24" customHeight="1" spans="10:23">
      <c r="J43" s="390"/>
      <c r="K43" s="391"/>
      <c r="L43" s="392"/>
      <c r="M43" s="392"/>
      <c r="N43" s="393"/>
      <c r="O43" s="395"/>
      <c r="P43" s="392"/>
      <c r="T43" s="336"/>
      <c r="W43" s="338"/>
    </row>
    <row r="44" ht="24" customHeight="1" spans="10:23">
      <c r="J44" s="396"/>
      <c r="K44" s="394" t="s">
        <v>138</v>
      </c>
      <c r="L44" s="392">
        <f t="shared" ref="L44:P44" si="48">SUM(L40:L43)</f>
        <v>66577.135939808</v>
      </c>
      <c r="M44" s="392">
        <f t="shared" si="48"/>
        <v>-6839.35061870713</v>
      </c>
      <c r="N44" s="392"/>
      <c r="O44" s="392">
        <f>SUM(O40:O43)</f>
        <v>0</v>
      </c>
      <c r="P44" s="392">
        <f t="shared" si="48"/>
        <v>-446.392031856461</v>
      </c>
      <c r="T44" s="336"/>
      <c r="W44" s="338"/>
    </row>
  </sheetData>
  <mergeCells count="4">
    <mergeCell ref="A4:P4"/>
    <mergeCell ref="A20:R20"/>
    <mergeCell ref="C1:C3"/>
    <mergeCell ref="J39:J44"/>
  </mergeCells>
  <hyperlinks>
    <hyperlink ref="C1:C3" location="目录!A1" display="返回目录"/>
  </hyperlinks>
  <pageMargins left="0.707638888888889" right="0.707638888888889" top="0.747916666666667" bottom="0.747916666666667" header="0.313888888888889" footer="0.313888888888889"/>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103"/>
  <sheetViews>
    <sheetView zoomScale="115" zoomScaleNormal="115" topLeftCell="A4" workbookViewId="0">
      <selection activeCell="B21" sqref="B21"/>
    </sheetView>
  </sheetViews>
  <sheetFormatPr defaultColWidth="9" defaultRowHeight="14.25"/>
  <cols>
    <col min="1" max="1" width="30.75" customWidth="1"/>
    <col min="2" max="2" width="31.0666666666667" customWidth="1"/>
    <col min="3" max="4" width="16.25" customWidth="1"/>
    <col min="5" max="5" width="11.125" hidden="1" customWidth="1"/>
    <col min="6" max="6" width="12" hidden="1" customWidth="1"/>
    <col min="7" max="7" width="16.25" hidden="1" customWidth="1"/>
    <col min="8" max="8" width="11.125" hidden="1" customWidth="1"/>
    <col min="9" max="9" width="16.25" hidden="1" customWidth="1"/>
    <col min="10" max="10" width="13.375" hidden="1" customWidth="1"/>
    <col min="11" max="11" width="11.25" hidden="1" customWidth="1"/>
    <col min="12" max="13" width="12.375" hidden="1" customWidth="1"/>
    <col min="14" max="14" width="18.25" hidden="1" customWidth="1"/>
    <col min="15" max="16" width="16.25" customWidth="1"/>
    <col min="17" max="17" width="13.625" customWidth="1"/>
    <col min="18" max="19" width="19" style="138" customWidth="1"/>
    <col min="20" max="20" width="55.8916666666667" style="138" customWidth="1"/>
    <col min="21" max="21" width="16.75" customWidth="1"/>
    <col min="22" max="22" width="30.8916666666667" style="139" customWidth="1"/>
    <col min="23" max="23" width="17.875" style="139" customWidth="1"/>
    <col min="24" max="24" width="14.5" style="177" customWidth="1"/>
    <col min="25" max="25" width="17.85" customWidth="1"/>
    <col min="26" max="26" width="15.7166666666667" style="139" customWidth="1"/>
    <col min="27" max="27" width="30.7083333333333" customWidth="1"/>
    <col min="28" max="33" width="17.4916666666667" customWidth="1"/>
    <col min="34" max="34" width="26.425" style="173" customWidth="1"/>
    <col min="35" max="35" width="15.775" customWidth="1"/>
  </cols>
  <sheetData>
    <row r="1" ht="21" hidden="1" customHeight="1" spans="1:3">
      <c r="A1" s="178" t="s">
        <v>49</v>
      </c>
      <c r="B1" s="179" t="str">
        <f>目录!C8</f>
        <v>财务中心</v>
      </c>
      <c r="C1" s="180" t="s">
        <v>50</v>
      </c>
    </row>
    <row r="2" ht="21" hidden="1" customHeight="1" spans="1:3">
      <c r="A2" s="178" t="s">
        <v>3</v>
      </c>
      <c r="B2" s="179" t="str">
        <f>目录!D9</f>
        <v>王晓莉</v>
      </c>
      <c r="C2" s="180"/>
    </row>
    <row r="3" ht="21" hidden="1" customHeight="1" spans="1:3">
      <c r="A3" s="178" t="s">
        <v>4</v>
      </c>
      <c r="B3" s="181" t="str">
        <f>目录!E8</f>
        <v>2022.10.31</v>
      </c>
      <c r="C3" s="180"/>
    </row>
    <row r="4" s="171" customFormat="1" ht="21" customHeight="1" spans="1:34">
      <c r="A4" s="182"/>
      <c r="B4" s="183"/>
      <c r="C4" s="184"/>
      <c r="R4" s="228"/>
      <c r="S4" s="228"/>
      <c r="T4" s="228"/>
      <c r="V4" s="229"/>
      <c r="W4" s="229"/>
      <c r="X4" s="230"/>
      <c r="Z4" s="229"/>
      <c r="AH4" s="298"/>
    </row>
    <row r="5" s="171" customFormat="1" ht="38.25" customHeight="1" spans="1:34">
      <c r="A5" s="185" t="str">
        <f>项目概况!B6&amp;"项目利润情况表"</f>
        <v>洛龙区八里堂地块（挂牌）项目利润情况表</v>
      </c>
      <c r="B5" s="185"/>
      <c r="C5" s="185"/>
      <c r="D5" s="185"/>
      <c r="E5" s="185"/>
      <c r="F5" s="185"/>
      <c r="G5" s="185"/>
      <c r="H5" s="185"/>
      <c r="I5" s="185"/>
      <c r="J5" s="185"/>
      <c r="K5" s="185"/>
      <c r="L5" s="185"/>
      <c r="M5" s="185"/>
      <c r="N5" s="185"/>
      <c r="O5" s="185"/>
      <c r="P5" s="185"/>
      <c r="R5" s="228"/>
      <c r="S5" s="228"/>
      <c r="T5" s="228"/>
      <c r="V5" s="229"/>
      <c r="W5" s="229"/>
      <c r="X5" s="230"/>
      <c r="Z5" s="229"/>
      <c r="AH5" s="298"/>
    </row>
    <row r="6" s="172" customFormat="1" ht="28" customHeight="1" spans="1:34">
      <c r="A6" s="186" t="s">
        <v>75</v>
      </c>
      <c r="B6" s="186" t="s">
        <v>145</v>
      </c>
      <c r="C6" s="187" t="str">
        <f>成本测算明细!H6</f>
        <v>地上部分1</v>
      </c>
      <c r="D6" s="188" t="str">
        <f>成本测算明细!J6</f>
        <v>地上部分2</v>
      </c>
      <c r="E6" s="188" t="str">
        <f>成本测算明细!L6</f>
        <v>地上部分3</v>
      </c>
      <c r="F6" s="188" t="str">
        <f>成本测算明细!N6</f>
        <v>地上部分4</v>
      </c>
      <c r="G6" s="188" t="str">
        <f>成本测算明细!P6</f>
        <v>地上部分5</v>
      </c>
      <c r="H6" s="188" t="str">
        <f>成本测算明细!R6</f>
        <v>地上部分6</v>
      </c>
      <c r="I6" s="188" t="str">
        <f>成本测算明细!T6</f>
        <v>地上部分7</v>
      </c>
      <c r="J6" s="188" t="str">
        <f>成本测算明细!V6</f>
        <v>地上部分8</v>
      </c>
      <c r="K6" s="188" t="str">
        <f>成本测算明细!X6</f>
        <v>地上部分9</v>
      </c>
      <c r="L6" s="188" t="str">
        <f>成本测算明细!Z6</f>
        <v>地上部分10</v>
      </c>
      <c r="M6" s="188" t="str">
        <f>成本测算明细!AB6</f>
        <v>地上部分11</v>
      </c>
      <c r="N6" s="224" t="str">
        <f>成本测算明细!AF6</f>
        <v>地下部分1</v>
      </c>
      <c r="O6" s="224" t="str">
        <f>成本测算明细!AH6</f>
        <v>地下部分2</v>
      </c>
      <c r="P6" s="224" t="str">
        <f>成本测算明细!AJ6</f>
        <v>地下部分3</v>
      </c>
      <c r="R6" s="231"/>
      <c r="S6" s="231"/>
      <c r="T6" s="231"/>
      <c r="V6" s="175"/>
      <c r="W6" s="175"/>
      <c r="X6" s="232"/>
      <c r="Z6" s="175"/>
      <c r="AH6" s="299"/>
    </row>
    <row r="7" s="173" customFormat="1" ht="28" customHeight="1" spans="1:26">
      <c r="A7" s="189"/>
      <c r="B7" s="189"/>
      <c r="C7" s="190" t="str">
        <f>税金计算表!B22</f>
        <v>洋房</v>
      </c>
      <c r="D7" s="190" t="str">
        <f>税金计算表!B23</f>
        <v>别墅</v>
      </c>
      <c r="E7" s="190" t="str">
        <f>税金计算表!B24</f>
        <v>小高层</v>
      </c>
      <c r="F7" s="190" t="str">
        <f>税金计算表!B25</f>
        <v>公寓</v>
      </c>
      <c r="G7" s="190" t="str">
        <f>税金计算表!B26</f>
        <v>商业</v>
      </c>
      <c r="H7" s="190" t="str">
        <f>税金计算表!B27</f>
        <v>办公</v>
      </c>
      <c r="I7" s="190" t="str">
        <f>税金计算表!B28</f>
        <v>装配式</v>
      </c>
      <c r="J7" s="190" t="str">
        <f>税金计算表!B29</f>
        <v>物业用房及消防控制室</v>
      </c>
      <c r="K7" s="190" t="str">
        <f>税金计算表!B30</f>
        <v>公共厕所及开闭所</v>
      </c>
      <c r="L7" s="190" t="str">
        <f>税金计算表!B31</f>
        <v>社区服务站</v>
      </c>
      <c r="M7" s="190" t="str">
        <f>税金计算表!B32</f>
        <v>老年日间照料</v>
      </c>
      <c r="N7" s="225" t="str">
        <f>税金计算表!B33</f>
        <v>储藏室</v>
      </c>
      <c r="O7" s="225" t="str">
        <f>税金计算表!B34</f>
        <v>人防车位</v>
      </c>
      <c r="P7" s="225" t="str">
        <f>税金计算表!B35</f>
        <v>非人防车位</v>
      </c>
      <c r="Q7" s="233" t="s">
        <v>54</v>
      </c>
      <c r="R7" s="234" t="s">
        <v>1175</v>
      </c>
      <c r="S7" s="234" t="s">
        <v>1176</v>
      </c>
      <c r="T7" s="234" t="s">
        <v>1177</v>
      </c>
      <c r="V7" s="235"/>
      <c r="W7" s="236"/>
      <c r="X7" s="237"/>
      <c r="Z7" s="235"/>
    </row>
    <row r="8" ht="28" customHeight="1" spans="1:26">
      <c r="A8" s="191" t="s">
        <v>77</v>
      </c>
      <c r="B8" s="192">
        <f t="shared" ref="B8:B13" si="0">SUM(C8:P8)</f>
        <v>71378.25</v>
      </c>
      <c r="C8" s="192">
        <f>税金计算表!C22</f>
        <v>31642.84</v>
      </c>
      <c r="D8" s="192">
        <f>税金计算表!C23</f>
        <v>16692.48</v>
      </c>
      <c r="E8" s="192">
        <f>税金计算表!C24</f>
        <v>0</v>
      </c>
      <c r="F8" s="192">
        <f>税金计算表!C25</f>
        <v>0</v>
      </c>
      <c r="G8" s="192">
        <f>税金计算表!C26</f>
        <v>0</v>
      </c>
      <c r="H8" s="192">
        <f>税金计算表!C27</f>
        <v>0</v>
      </c>
      <c r="I8" s="192">
        <f>税金计算表!C28</f>
        <v>0</v>
      </c>
      <c r="J8" s="192">
        <f>税金计算表!C29</f>
        <v>332.64</v>
      </c>
      <c r="K8" s="192">
        <f>税金计算表!C30</f>
        <v>198.49</v>
      </c>
      <c r="L8" s="192">
        <f>税金计算表!C31</f>
        <v>75.2</v>
      </c>
      <c r="M8" s="192">
        <f>税金计算表!C32</f>
        <v>201.09</v>
      </c>
      <c r="N8" s="192">
        <f>税金计算表!C33</f>
        <v>0</v>
      </c>
      <c r="O8" s="192">
        <f>税金计算表!C34</f>
        <v>3945.11</v>
      </c>
      <c r="P8" s="192">
        <f>税金计算表!C35</f>
        <v>18290.4</v>
      </c>
      <c r="Q8" s="238">
        <f>IF(B8=税金计算表!C36,0,1)</f>
        <v>0</v>
      </c>
      <c r="R8" s="138">
        <v>71194.73</v>
      </c>
      <c r="S8" s="138">
        <f>B8-R8</f>
        <v>183.520000000004</v>
      </c>
      <c r="T8" s="239" t="s">
        <v>1178</v>
      </c>
      <c r="U8" s="138"/>
      <c r="V8" s="240"/>
      <c r="W8" s="240"/>
      <c r="X8" s="241"/>
      <c r="Y8" s="192"/>
      <c r="Z8" s="281"/>
    </row>
    <row r="9" ht="28" customHeight="1" spans="1:26">
      <c r="A9" s="191" t="s">
        <v>79</v>
      </c>
      <c r="B9" s="192">
        <f t="shared" si="0"/>
        <v>70570.83</v>
      </c>
      <c r="C9" s="192">
        <f>税金计算表!D6</f>
        <v>31642.84</v>
      </c>
      <c r="D9" s="192">
        <f>税金计算表!D7</f>
        <v>16692.48</v>
      </c>
      <c r="E9" s="192">
        <f>税金计算表!D8</f>
        <v>0</v>
      </c>
      <c r="F9" s="192">
        <f>税金计算表!D9</f>
        <v>0</v>
      </c>
      <c r="G9" s="192">
        <f>税金计算表!D10</f>
        <v>0</v>
      </c>
      <c r="H9" s="192">
        <f>税金计算表!D11</f>
        <v>0</v>
      </c>
      <c r="I9" s="192">
        <f>税金计算表!D12</f>
        <v>0</v>
      </c>
      <c r="J9" s="192">
        <f>税金计算表!D13</f>
        <v>0</v>
      </c>
      <c r="K9" s="192">
        <f>税金计算表!D14</f>
        <v>0</v>
      </c>
      <c r="L9" s="192">
        <f>税金计算表!D15</f>
        <v>0</v>
      </c>
      <c r="M9" s="192">
        <f>税金计算表!D16</f>
        <v>0</v>
      </c>
      <c r="N9" s="192">
        <f>税金计算表!D17</f>
        <v>0</v>
      </c>
      <c r="O9" s="192">
        <f>税金计算表!D18</f>
        <v>3945.11</v>
      </c>
      <c r="P9" s="192">
        <f>税金计算表!D19</f>
        <v>18290.4</v>
      </c>
      <c r="Q9" s="238">
        <f>B9-税金计算表!D36</f>
        <v>0</v>
      </c>
      <c r="R9" s="138">
        <v>70686.83</v>
      </c>
      <c r="S9" s="138">
        <f t="shared" ref="S9:S22" si="1">B9-R9</f>
        <v>-116</v>
      </c>
      <c r="T9" s="239" t="s">
        <v>1179</v>
      </c>
      <c r="U9" s="138"/>
      <c r="V9" s="240"/>
      <c r="W9" s="240"/>
      <c r="X9" s="241"/>
      <c r="Y9" s="192"/>
      <c r="Z9" s="281"/>
    </row>
    <row r="10" s="172" customFormat="1" ht="28" customHeight="1" spans="1:34">
      <c r="A10" s="193" t="s">
        <v>1153</v>
      </c>
      <c r="B10" s="192">
        <f>B11/B9*10000</f>
        <v>9226.78477778992</v>
      </c>
      <c r="C10" s="194">
        <f>C11/C9*10000</f>
        <v>13500</v>
      </c>
      <c r="D10" s="194">
        <f t="shared" ref="D10:P10" si="2">D11/D9*10000</f>
        <v>11500</v>
      </c>
      <c r="E10" s="194" t="e">
        <f t="shared" si="2"/>
        <v>#DIV/0!</v>
      </c>
      <c r="F10" s="194" t="e">
        <f t="shared" si="2"/>
        <v>#DIV/0!</v>
      </c>
      <c r="G10" s="194" t="e">
        <f t="shared" si="2"/>
        <v>#DIV/0!</v>
      </c>
      <c r="H10" s="194" t="e">
        <f t="shared" si="2"/>
        <v>#DIV/0!</v>
      </c>
      <c r="I10" s="194" t="e">
        <f t="shared" si="2"/>
        <v>#DIV/0!</v>
      </c>
      <c r="J10" s="194" t="e">
        <f t="shared" si="2"/>
        <v>#DIV/0!</v>
      </c>
      <c r="K10" s="194" t="e">
        <f t="shared" si="2"/>
        <v>#DIV/0!</v>
      </c>
      <c r="L10" s="194" t="e">
        <f t="shared" si="2"/>
        <v>#DIV/0!</v>
      </c>
      <c r="M10" s="194" t="e">
        <f t="shared" si="2"/>
        <v>#DIV/0!</v>
      </c>
      <c r="N10" s="194" t="e">
        <f t="shared" si="2"/>
        <v>#DIV/0!</v>
      </c>
      <c r="O10" s="194">
        <f t="shared" si="2"/>
        <v>2007.54858546403</v>
      </c>
      <c r="P10" s="194">
        <f t="shared" si="2"/>
        <v>1316.53763723046</v>
      </c>
      <c r="Q10" s="238"/>
      <c r="R10" s="231">
        <v>9327.92579607828</v>
      </c>
      <c r="S10" s="138">
        <f t="shared" si="1"/>
        <v>-101.141018288359</v>
      </c>
      <c r="T10" s="239" t="s">
        <v>1180</v>
      </c>
      <c r="U10" s="138"/>
      <c r="V10" s="240"/>
      <c r="W10" s="242"/>
      <c r="X10" s="243"/>
      <c r="Y10" s="192"/>
      <c r="Z10" s="281"/>
      <c r="AH10" s="299"/>
    </row>
    <row r="11" s="172" customFormat="1" ht="28" customHeight="1" spans="1:34">
      <c r="A11" s="193" t="s">
        <v>33</v>
      </c>
      <c r="B11" s="192">
        <f t="shared" si="0"/>
        <v>65114.186</v>
      </c>
      <c r="C11" s="192">
        <f>税金计算表!E22</f>
        <v>42717.834</v>
      </c>
      <c r="D11" s="192">
        <f>税金计算表!E23</f>
        <v>19196.352</v>
      </c>
      <c r="E11" s="192">
        <f>税金计算表!E24</f>
        <v>0</v>
      </c>
      <c r="F11" s="192">
        <f>税金计算表!E25</f>
        <v>0</v>
      </c>
      <c r="G11" s="192">
        <f>税金计算表!E26</f>
        <v>0</v>
      </c>
      <c r="H11" s="192">
        <f>税金计算表!E27</f>
        <v>0</v>
      </c>
      <c r="I11" s="192">
        <f>税金计算表!E28</f>
        <v>0</v>
      </c>
      <c r="J11" s="192">
        <f>税金计算表!E29</f>
        <v>0</v>
      </c>
      <c r="K11" s="192">
        <f>税金计算表!E30</f>
        <v>0</v>
      </c>
      <c r="L11" s="192">
        <f>税金计算表!E31</f>
        <v>0</v>
      </c>
      <c r="M11" s="192">
        <f>税金计算表!E32</f>
        <v>0</v>
      </c>
      <c r="N11" s="192">
        <f>税金计算表!E33</f>
        <v>0</v>
      </c>
      <c r="O11" s="192">
        <f>税金计算表!E34</f>
        <v>792</v>
      </c>
      <c r="P11" s="192">
        <f>税金计算表!E35</f>
        <v>2408</v>
      </c>
      <c r="Q11" s="238">
        <f>IF(B11=税金计算表!E36,0,1)</f>
        <v>0</v>
      </c>
      <c r="R11" s="231">
        <v>65936.1505</v>
      </c>
      <c r="S11" s="244">
        <f t="shared" si="1"/>
        <v>-821.964500000002</v>
      </c>
      <c r="T11" s="239" t="s">
        <v>1181</v>
      </c>
      <c r="U11" s="138"/>
      <c r="V11" s="240"/>
      <c r="W11" s="242"/>
      <c r="X11" s="243"/>
      <c r="Y11" s="192"/>
      <c r="Z11" s="281"/>
      <c r="AH11" s="299"/>
    </row>
    <row r="12" s="172" customFormat="1" ht="28" customHeight="1" spans="1:34">
      <c r="A12" s="193" t="s">
        <v>1182</v>
      </c>
      <c r="B12" s="192">
        <f t="shared" si="0"/>
        <v>59737.7853211009</v>
      </c>
      <c r="C12" s="194">
        <f>C11/(1+税金计算表!$G$3)</f>
        <v>39190.6733944954</v>
      </c>
      <c r="D12" s="194">
        <f>D11/(1+税金计算表!$G$3)</f>
        <v>17611.3321100917</v>
      </c>
      <c r="E12" s="194">
        <f>E11/(1+税金计算表!$G$3)</f>
        <v>0</v>
      </c>
      <c r="F12" s="194">
        <f>F11/(1+税金计算表!$G$3)</f>
        <v>0</v>
      </c>
      <c r="G12" s="194">
        <f>G11/(1+税金计算表!$G$3)</f>
        <v>0</v>
      </c>
      <c r="H12" s="194">
        <f>H11/(1+税金计算表!$G$3)</f>
        <v>0</v>
      </c>
      <c r="I12" s="194">
        <f>I11/(1+税金计算表!$G$3)</f>
        <v>0</v>
      </c>
      <c r="J12" s="194">
        <f>J11/(1+税金计算表!$G$3)</f>
        <v>0</v>
      </c>
      <c r="K12" s="194">
        <f>K11/(1+税金计算表!$G$3)</f>
        <v>0</v>
      </c>
      <c r="L12" s="194">
        <f>L11/(1+税金计算表!$G$3)</f>
        <v>0</v>
      </c>
      <c r="M12" s="194">
        <f>M11/(1+税金计算表!$G$3)</f>
        <v>0</v>
      </c>
      <c r="N12" s="194">
        <f>N11/(1+税金计算表!$G$3)</f>
        <v>0</v>
      </c>
      <c r="O12" s="194">
        <f>O11/(1+税金计算表!$G$3)</f>
        <v>726.605504587156</v>
      </c>
      <c r="P12" s="194">
        <f>P11/(1+税金计算表!$G$3)</f>
        <v>2209.17431192661</v>
      </c>
      <c r="Q12" s="238">
        <f>B11/1.09-B12</f>
        <v>5.82076609134674e-11</v>
      </c>
      <c r="R12" s="231">
        <v>60491.8811926605</v>
      </c>
      <c r="S12" s="138">
        <f t="shared" si="1"/>
        <v>-754.095871559599</v>
      </c>
      <c r="T12" s="239"/>
      <c r="U12" s="138"/>
      <c r="V12" s="245"/>
      <c r="W12" s="242"/>
      <c r="X12" s="243"/>
      <c r="Y12" s="192"/>
      <c r="Z12" s="281"/>
      <c r="AH12" s="299"/>
    </row>
    <row r="13" ht="28" customHeight="1" spans="1:26">
      <c r="A13" s="191" t="s">
        <v>1110</v>
      </c>
      <c r="B13" s="192">
        <f t="shared" si="0"/>
        <v>1</v>
      </c>
      <c r="C13" s="195">
        <f>C12/$B$12</f>
        <v>0.656044966913969</v>
      </c>
      <c r="D13" s="195">
        <f t="shared" ref="D13:P13" si="3">D12/$B$12</f>
        <v>0.294810596265459</v>
      </c>
      <c r="E13" s="195">
        <f t="shared" si="3"/>
        <v>0</v>
      </c>
      <c r="F13" s="195">
        <f t="shared" si="3"/>
        <v>0</v>
      </c>
      <c r="G13" s="195">
        <f t="shared" si="3"/>
        <v>0</v>
      </c>
      <c r="H13" s="195">
        <f t="shared" si="3"/>
        <v>0</v>
      </c>
      <c r="I13" s="195">
        <f t="shared" si="3"/>
        <v>0</v>
      </c>
      <c r="J13" s="195">
        <f t="shared" si="3"/>
        <v>0</v>
      </c>
      <c r="K13" s="195">
        <f t="shared" si="3"/>
        <v>0</v>
      </c>
      <c r="L13" s="195">
        <f t="shared" si="3"/>
        <v>0</v>
      </c>
      <c r="M13" s="195">
        <f t="shared" si="3"/>
        <v>0</v>
      </c>
      <c r="N13" s="195">
        <f t="shared" si="3"/>
        <v>0</v>
      </c>
      <c r="O13" s="195">
        <f t="shared" si="3"/>
        <v>0.0121632481130917</v>
      </c>
      <c r="P13" s="195">
        <f t="shared" si="3"/>
        <v>0.0369811887074808</v>
      </c>
      <c r="Q13" s="238"/>
      <c r="R13" s="138">
        <v>1</v>
      </c>
      <c r="S13" s="138">
        <f t="shared" si="1"/>
        <v>0</v>
      </c>
      <c r="T13" s="239"/>
      <c r="U13" s="138">
        <v>7379.17794952788</v>
      </c>
      <c r="V13" s="240">
        <f>D14-U13</f>
        <v>373.692025682429</v>
      </c>
      <c r="W13" s="240"/>
      <c r="X13" s="241"/>
      <c r="Y13" s="192"/>
      <c r="Z13" s="281"/>
    </row>
    <row r="14" ht="28" customHeight="1" spans="1:26">
      <c r="A14" s="191" t="s">
        <v>34</v>
      </c>
      <c r="B14" s="192">
        <f t="shared" ref="B14:B19" si="4">SUM(C14:P14)</f>
        <v>22449.4773197381</v>
      </c>
      <c r="C14" s="196">
        <f>成本测算明细!I10</f>
        <v>14696.6073445278</v>
      </c>
      <c r="D14" s="196">
        <f>成本测算明细!K10</f>
        <v>7752.86997521031</v>
      </c>
      <c r="E14" s="194">
        <f>成本测算明细!M10</f>
        <v>0</v>
      </c>
      <c r="F14" s="194">
        <f>成本测算明细!O10</f>
        <v>0</v>
      </c>
      <c r="G14" s="194">
        <f>成本测算明细!Q10</f>
        <v>0</v>
      </c>
      <c r="H14" s="194">
        <f>成本测算明细!S10</f>
        <v>0</v>
      </c>
      <c r="I14" s="194">
        <f>成本测算明细!U10</f>
        <v>0</v>
      </c>
      <c r="J14" s="194">
        <f>成本测算明细!W10</f>
        <v>0</v>
      </c>
      <c r="K14" s="194">
        <f>成本测算明细!Y10</f>
        <v>0</v>
      </c>
      <c r="L14" s="194">
        <f>成本测算明细!AA10</f>
        <v>0</v>
      </c>
      <c r="M14" s="194">
        <f>成本测算明细!AC10</f>
        <v>0</v>
      </c>
      <c r="N14" s="194">
        <f>成本测算明细!AG10</f>
        <v>0</v>
      </c>
      <c r="O14" s="194">
        <f>成本测算明细!AI10</f>
        <v>0</v>
      </c>
      <c r="P14" s="194">
        <f>成本测算明细!AK10</f>
        <v>0</v>
      </c>
      <c r="Q14" s="238"/>
      <c r="R14" s="138">
        <v>22299.7135837381</v>
      </c>
      <c r="S14" s="138">
        <f t="shared" si="1"/>
        <v>149.763735999961</v>
      </c>
      <c r="T14" s="239"/>
      <c r="U14" s="138"/>
      <c r="V14" s="240"/>
      <c r="W14" s="240"/>
      <c r="X14" s="241"/>
      <c r="Y14" s="192"/>
      <c r="Z14" s="281"/>
    </row>
    <row r="15" s="150" customFormat="1" ht="28" customHeight="1" spans="1:34">
      <c r="A15" s="197" t="s">
        <v>35</v>
      </c>
      <c r="B15" s="192">
        <f t="shared" si="4"/>
        <v>33411.2325133287</v>
      </c>
      <c r="C15" s="194">
        <f>成本测算明细!I19+成本测算明细!I124+成本测算明细!I194+成本测算明细!I220+成本测算明细!I238+成本测算明细!I250+成本测算明细!I251</f>
        <v>16764.2630728567</v>
      </c>
      <c r="D15" s="194">
        <f>成本测算明细!K19+成本测算明细!K124+成本测算明细!K194+成本测算明细!K220+成本测算明细!K238+成本测算明细!K250+成本测算明细!K251</f>
        <v>9734.92770929648</v>
      </c>
      <c r="E15" s="194">
        <f>成本测算明细!M19+成本测算明细!M124+成本测算明细!M194+成本测算明细!M220+成本测算明细!M238</f>
        <v>0</v>
      </c>
      <c r="F15" s="194">
        <f>成本测算明细!O19+成本测算明细!O124+成本测算明细!O194+成本测算明细!O220+成本测算明细!O238</f>
        <v>0</v>
      </c>
      <c r="G15" s="194">
        <f>成本测算明细!Q19+成本测算明细!Q124+成本测算明细!Q194+成本测算明细!Q220+成本测算明细!Q238</f>
        <v>0</v>
      </c>
      <c r="H15" s="194">
        <f>成本测算明细!S19+成本测算明细!S124+成本测算明细!S194+成本测算明细!S220+成本测算明细!S238</f>
        <v>0</v>
      </c>
      <c r="I15" s="194">
        <f>成本测算明细!U19+成本测算明细!U124+成本测算明细!U194+成本测算明细!U220+成本测算明细!U238</f>
        <v>0</v>
      </c>
      <c r="J15" s="194"/>
      <c r="K15" s="194"/>
      <c r="L15" s="194"/>
      <c r="M15" s="194"/>
      <c r="N15" s="194"/>
      <c r="O15" s="194">
        <f>成本测算明细!AI19+成本测算明细!AI124+成本测算明细!AI194+成本测算明细!AI220+成本测算明细!AI238</f>
        <v>1355.78992135578</v>
      </c>
      <c r="P15" s="194">
        <f>成本测算明细!AK19+成本测算明细!AK124+成本测算明细!AK194+成本测算明细!AK220+成本测算明细!AK238</f>
        <v>5556.25180981966</v>
      </c>
      <c r="Q15" s="246">
        <f>B14+B15-税金计算表!F36</f>
        <v>649.642733405184</v>
      </c>
      <c r="R15" s="247">
        <v>33262.4640410762</v>
      </c>
      <c r="S15" s="244">
        <f t="shared" si="1"/>
        <v>148.76847225245</v>
      </c>
      <c r="T15" s="248" t="s">
        <v>1183</v>
      </c>
      <c r="U15" s="138"/>
      <c r="V15" s="240"/>
      <c r="W15" s="241"/>
      <c r="X15" s="241"/>
      <c r="Y15" s="192"/>
      <c r="Z15" s="281"/>
      <c r="AH15" s="300"/>
    </row>
    <row r="16" ht="28" customHeight="1" spans="1:26">
      <c r="A16" s="191" t="s">
        <v>1184</v>
      </c>
      <c r="B16" s="192">
        <f t="shared" si="4"/>
        <v>8028.19245728035</v>
      </c>
      <c r="C16" s="194">
        <f>C12-C14-C15+C14*税金计算表!$F$1/(1+税金计算表!$G$1)*税金计算表!$G$1+C15*税金计算表!$F$1*税金计算表!$G$1/(1+税金计算表!$G$1)</f>
        <v>10067.7208705128</v>
      </c>
      <c r="D16" s="194">
        <f>D12-D14-D15+D14*税金计算表!$F$1/(1+税金计算表!$G$1)*税金计算表!$G$1+D15*税金计算表!$F$1*税金计算表!$G$1/(1+税金计算表!$G$1)</f>
        <v>1423.08636360789</v>
      </c>
      <c r="E16" s="194">
        <f>E12-E14-E15+E14*税金计算表!$F$1/(1+税金计算表!$G$1)*税金计算表!$G$1+E15*税金计算表!$F$1*税金计算表!$G$1/(1+税金计算表!$G$1)</f>
        <v>0</v>
      </c>
      <c r="F16" s="194">
        <f>F12-F14-F15+F14*税金计算表!$F$1/(1+税金计算表!$G$1)*税金计算表!$G$1+F15*税金计算表!$F$1*税金计算表!$G$1/(1+税金计算表!$G$1)</f>
        <v>0</v>
      </c>
      <c r="G16" s="194">
        <f>G12-G14-G15+G14*税金计算表!$F$1/(1+税金计算表!$G$1)*税金计算表!$G$1+G15*税金计算表!$F$1*税金计算表!$G$1/(1+税金计算表!$G$1)</f>
        <v>0</v>
      </c>
      <c r="H16" s="194">
        <f>H12-H14-H15+H14*税金计算表!$F$1/(1+税金计算表!$G$1)*税金计算表!$G$1+H15*税金计算表!$F$1*税金计算表!$G$1/(1+税金计算表!$G$1)</f>
        <v>0</v>
      </c>
      <c r="I16" s="194">
        <f>I12-I14-I15+I14*税金计算表!$F$1/(1+税金计算表!$G$1)*税金计算表!$G$1+I15*税金计算表!$F$1*税金计算表!$G$1/(1+税金计算表!$G$1)</f>
        <v>0</v>
      </c>
      <c r="J16" s="194">
        <f>J12-J14-J15+J14*税金计算表!$F$1/(1+税金计算表!$G$1)*税金计算表!$G$1+J15*税金计算表!$F$1*税金计算表!$G$1/(1+税金计算表!$G$1)</f>
        <v>0</v>
      </c>
      <c r="K16" s="194">
        <f>K12-K14-K15+K14*税金计算表!$F$1/(1+税金计算表!$G$1)*税金计算表!$G$1+K15*税金计算表!$F$1*税金计算表!$G$1/(1+税金计算表!$G$1)</f>
        <v>0</v>
      </c>
      <c r="L16" s="194">
        <f>L12-L14-L15+L14*税金计算表!$F$1/(1+税金计算表!$G$1)*税金计算表!$G$1+L15*税金计算表!$F$1*税金计算表!$G$1/(1+税金计算表!$G$1)</f>
        <v>0</v>
      </c>
      <c r="M16" s="194">
        <f>M12-M14-M15+M14*税金计算表!$F$1/(1+税金计算表!$G$1)*税金计算表!$G$1+M15*税金计算表!$F$1*税金计算表!$G$1/(1+税金计算表!$G$1)</f>
        <v>0</v>
      </c>
      <c r="N16" s="194">
        <f>N12-N14-N15+N14*税金计算表!$F$1/(1+税金计算表!$G$1)*税金计算表!$G$1+N15*税金计算表!$F$1*税金计算表!$G$1/(1+税金计算表!$G$1)</f>
        <v>0</v>
      </c>
      <c r="O16" s="194">
        <f>O12-O14-O15+O14*税金计算表!$F$1/(1+税金计算表!$G$1)*税金计算表!$G$1+O15*税金计算表!$F$1*税金计算表!$G$1/(1+税金计算表!$G$1)</f>
        <v>-528.433055640353</v>
      </c>
      <c r="P16" s="194">
        <f>P12-P14-P15+P14*税金计算表!$F$1/(1+税金计算表!$G$1)*税金计算表!$G$1+P15*税金计算表!$F$1*税金计算表!$G$1/(1+税金计算表!$G$1)</f>
        <v>-2934.18172120003</v>
      </c>
      <c r="Q16" s="238"/>
      <c r="R16" s="138">
        <v>9058.63603354341</v>
      </c>
      <c r="S16" s="138">
        <f t="shared" si="1"/>
        <v>-1030.44357626306</v>
      </c>
      <c r="T16" s="239"/>
      <c r="U16" s="138"/>
      <c r="V16" s="240"/>
      <c r="W16" s="240"/>
      <c r="X16" s="241"/>
      <c r="Y16" s="192"/>
      <c r="Z16" s="281"/>
    </row>
    <row r="17" ht="40" customHeight="1" spans="1:26">
      <c r="A17" s="191" t="s">
        <v>707</v>
      </c>
      <c r="B17" s="192">
        <f t="shared" si="4"/>
        <v>4824.61453521758</v>
      </c>
      <c r="C17" s="192">
        <f>税金计算表!G22</f>
        <v>3311.68471286374</v>
      </c>
      <c r="D17" s="192">
        <f>税金计算表!G23</f>
        <v>1097.90747774507</v>
      </c>
      <c r="E17" s="192">
        <f>税金计算表!G24</f>
        <v>0</v>
      </c>
      <c r="F17" s="192">
        <f>税金计算表!G25</f>
        <v>0</v>
      </c>
      <c r="G17" s="192">
        <f>成本测算明细!Q244</f>
        <v>0</v>
      </c>
      <c r="H17" s="192">
        <f>税金计算表!G27</f>
        <v>0</v>
      </c>
      <c r="I17" s="192">
        <f>税金计算表!G28</f>
        <v>0</v>
      </c>
      <c r="J17" s="192">
        <f>税金计算表!G29</f>
        <v>0</v>
      </c>
      <c r="K17" s="192">
        <f>税金计算表!G30</f>
        <v>0</v>
      </c>
      <c r="L17" s="192">
        <f>税金计算表!G31</f>
        <v>0</v>
      </c>
      <c r="M17" s="192">
        <f>税金计算表!G32</f>
        <v>0</v>
      </c>
      <c r="N17" s="192">
        <f>税金计算表!G33</f>
        <v>0</v>
      </c>
      <c r="O17" s="192">
        <f>税金计算表!G34</f>
        <v>66.9921903713942</v>
      </c>
      <c r="P17" s="192">
        <f>税金计算表!G35</f>
        <v>348.030154237381</v>
      </c>
      <c r="Q17" s="238">
        <f>IF(B17=税金计算表!G36,0,1)</f>
        <v>0</v>
      </c>
      <c r="R17" s="138">
        <v>5442.34743872673</v>
      </c>
      <c r="S17" s="249">
        <f t="shared" si="1"/>
        <v>-617.732903509149</v>
      </c>
      <c r="T17" s="239" t="s">
        <v>1185</v>
      </c>
      <c r="U17" s="138"/>
      <c r="V17" s="240"/>
      <c r="Y17" s="192"/>
      <c r="Z17" s="281"/>
    </row>
    <row r="18" ht="28" customHeight="1" spans="1:26">
      <c r="A18" s="198" t="s">
        <v>1186</v>
      </c>
      <c r="B18" s="192">
        <f t="shared" si="4"/>
        <v>2352.71354161898</v>
      </c>
      <c r="C18" s="192">
        <f>税金计算表!K22+税金计算表!O22</f>
        <v>1543.48587756947</v>
      </c>
      <c r="D18" s="192">
        <f>税金计算表!K23+税金计算表!O23</f>
        <v>693.604882046511</v>
      </c>
      <c r="E18" s="192">
        <f>税金计算表!K24+税金计算表!O24</f>
        <v>0</v>
      </c>
      <c r="F18" s="192">
        <f>税金计算表!K25+税金计算表!O25</f>
        <v>0</v>
      </c>
      <c r="G18" s="192">
        <f>税金计算表!K26+税金计算表!O26</f>
        <v>0</v>
      </c>
      <c r="H18" s="192">
        <f>税金计算表!K27+税金计算表!O27</f>
        <v>0</v>
      </c>
      <c r="I18" s="192">
        <f>税金计算表!K28+税金计算表!O28</f>
        <v>0</v>
      </c>
      <c r="J18" s="192">
        <f>税金计算表!K29+税金计算表!O29</f>
        <v>0</v>
      </c>
      <c r="K18" s="192">
        <f>税金计算表!K30+税金计算表!O30</f>
        <v>0</v>
      </c>
      <c r="L18" s="192">
        <f>税金计算表!K31+税金计算表!O31</f>
        <v>0</v>
      </c>
      <c r="M18" s="192">
        <f>税金计算表!K32+税金计算表!O32</f>
        <v>0</v>
      </c>
      <c r="N18" s="192">
        <f>税金计算表!K33+税金计算表!O33</f>
        <v>0</v>
      </c>
      <c r="O18" s="192">
        <f>税金计算表!K34+税金计算表!O34</f>
        <v>28.6166385457423</v>
      </c>
      <c r="P18" s="192">
        <f>税金计算表!K35+税金计算表!O35</f>
        <v>87.0061434572568</v>
      </c>
      <c r="Q18" s="238">
        <f>B18-税金计算表!O36-税金计算表!K36</f>
        <v>-2.55795384873636e-13</v>
      </c>
      <c r="R18" s="138">
        <v>2383.60576911326</v>
      </c>
      <c r="S18" s="138">
        <f t="shared" si="1"/>
        <v>-30.8922274942811</v>
      </c>
      <c r="T18" s="239" t="s">
        <v>1187</v>
      </c>
      <c r="U18" s="138"/>
      <c r="V18" s="240"/>
      <c r="Y18" s="192"/>
      <c r="Z18" s="281"/>
    </row>
    <row r="19" ht="28" customHeight="1" spans="1:26">
      <c r="A19" s="191" t="s">
        <v>1188</v>
      </c>
      <c r="B19" s="192">
        <f t="shared" si="4"/>
        <v>987.410074836744</v>
      </c>
      <c r="C19" s="192">
        <f>C16-C17+C17*税金计算表!$F$2*税金计算表!$G$2/(1+税金计算表!$G$2)-C18</f>
        <v>5306.2772059154</v>
      </c>
      <c r="D19" s="192">
        <f>D16-D17+D17*税金计算表!$F$2*税金计算表!$G$2/(1+税金计算表!$G$2)-D18</f>
        <v>-337.35314303996</v>
      </c>
      <c r="E19" s="192">
        <f>E16-E17+E17*税金计算表!$F$2*税金计算表!$G$2/(1+税金计算表!$G$2)-E18</f>
        <v>0</v>
      </c>
      <c r="F19" s="192">
        <f>F16-F17+F17*税金计算表!$F$2*税金计算表!$G$2/(1+税金计算表!$G$2)-F18</f>
        <v>0</v>
      </c>
      <c r="G19" s="192">
        <f>G16-G17+G17*税金计算表!$F$2*税金计算表!$G$2/(1+税金计算表!$G$2)-G18</f>
        <v>0</v>
      </c>
      <c r="H19" s="192">
        <f>H16-H17+H17*税金计算表!$F$2*税金计算表!$G$2/(1+税金计算表!$G$2)-H18</f>
        <v>0</v>
      </c>
      <c r="I19" s="192">
        <f>I16-I17+I17*税金计算表!$F$2*税金计算表!$G$2/(1+税金计算表!$G$2)-I18</f>
        <v>0</v>
      </c>
      <c r="J19" s="192">
        <f>J16-J17+J17*税金计算表!$F$2*税金计算表!$G$2/(1+税金计算表!$G$2)-J18</f>
        <v>0</v>
      </c>
      <c r="K19" s="192">
        <f>K16-K17+K17*税金计算表!$F$2*税金计算表!$G$2/(1+税金计算表!$G$2)-K18</f>
        <v>0</v>
      </c>
      <c r="L19" s="192">
        <f>L16-L17+L17*税金计算表!$F$2*税金计算表!$G$2/(1+税金计算表!$G$2)-L18</f>
        <v>0</v>
      </c>
      <c r="M19" s="192">
        <f>M16-M17+M17*税金计算表!$F$2*税金计算表!$G$2/(1+税金计算表!$G$2)-M18</f>
        <v>0</v>
      </c>
      <c r="N19" s="192">
        <f>N16-N17+N17*税金计算表!$F$2*税金计算表!$G$2/(1+税金计算表!$G$2)-N18</f>
        <v>0</v>
      </c>
      <c r="O19" s="192">
        <f>O16-O17+O17*税金计算表!$F$2*税金计算表!$G$2/(1+税金计算表!$G$2)-O18</f>
        <v>-622.14587916962</v>
      </c>
      <c r="P19" s="192">
        <f>P16-P17+P17*税金计算表!$F$2*税金计算表!$G$2/(1+税金计算表!$G$2)-P18</f>
        <v>-3359.36810886908</v>
      </c>
      <c r="Q19" s="250">
        <f>B19-税金计算表!F37</f>
        <v>-601.366530280639</v>
      </c>
      <c r="R19" s="138">
        <v>1386.71152679947</v>
      </c>
      <c r="S19" s="138">
        <f t="shared" si="1"/>
        <v>-399.301451962726</v>
      </c>
      <c r="T19" s="239" t="s">
        <v>1189</v>
      </c>
      <c r="U19" s="138"/>
      <c r="V19" s="240"/>
      <c r="Y19" s="192"/>
      <c r="Z19" s="281"/>
    </row>
    <row r="20" ht="28" customHeight="1" spans="1:26">
      <c r="A20" s="191" t="s">
        <v>1190</v>
      </c>
      <c r="B20" s="192">
        <f>IF(B19*0.25&lt;0,0,B19*0.25)</f>
        <v>246.852518709186</v>
      </c>
      <c r="C20" s="192">
        <f t="shared" ref="C20:P20" si="5">C19*0.25</f>
        <v>1326.56930147885</v>
      </c>
      <c r="D20" s="192">
        <f t="shared" si="5"/>
        <v>-84.3382857599899</v>
      </c>
      <c r="E20" s="192">
        <f t="shared" si="5"/>
        <v>0</v>
      </c>
      <c r="F20" s="192">
        <f t="shared" si="5"/>
        <v>0</v>
      </c>
      <c r="G20" s="192">
        <f t="shared" si="5"/>
        <v>0</v>
      </c>
      <c r="H20" s="192">
        <f t="shared" si="5"/>
        <v>0</v>
      </c>
      <c r="I20" s="192">
        <f t="shared" si="5"/>
        <v>0</v>
      </c>
      <c r="J20" s="192">
        <f t="shared" si="5"/>
        <v>0</v>
      </c>
      <c r="K20" s="192">
        <f t="shared" si="5"/>
        <v>0</v>
      </c>
      <c r="L20" s="192">
        <f t="shared" si="5"/>
        <v>0</v>
      </c>
      <c r="M20" s="192">
        <f t="shared" si="5"/>
        <v>0</v>
      </c>
      <c r="N20" s="192">
        <f t="shared" si="5"/>
        <v>0</v>
      </c>
      <c r="O20" s="192">
        <f t="shared" si="5"/>
        <v>-155.536469792405</v>
      </c>
      <c r="P20" s="192">
        <f t="shared" si="5"/>
        <v>-839.84202721727</v>
      </c>
      <c r="Q20" s="238"/>
      <c r="R20" s="138">
        <v>346.677881699868</v>
      </c>
      <c r="S20" s="138">
        <f t="shared" si="1"/>
        <v>-99.8253629906821</v>
      </c>
      <c r="T20" s="239" t="s">
        <v>1191</v>
      </c>
      <c r="U20" s="138"/>
      <c r="V20" s="240"/>
      <c r="W20" s="222"/>
      <c r="Y20" s="192"/>
      <c r="Z20" s="281"/>
    </row>
    <row r="21" ht="28" customHeight="1" spans="1:26">
      <c r="A21" s="191" t="s">
        <v>1192</v>
      </c>
      <c r="B21" s="199">
        <f>B19-B20</f>
        <v>740.557556127558</v>
      </c>
      <c r="C21" s="192">
        <f>C19-C20</f>
        <v>3979.70790443655</v>
      </c>
      <c r="D21" s="192">
        <f t="shared" ref="D21:P21" si="6">D19-D20</f>
        <v>-253.01485727997</v>
      </c>
      <c r="E21" s="192">
        <f t="shared" si="6"/>
        <v>0</v>
      </c>
      <c r="F21" s="192">
        <f t="shared" si="6"/>
        <v>0</v>
      </c>
      <c r="G21" s="192">
        <f t="shared" si="6"/>
        <v>0</v>
      </c>
      <c r="H21" s="192">
        <f t="shared" si="6"/>
        <v>0</v>
      </c>
      <c r="I21" s="192">
        <f t="shared" si="6"/>
        <v>0</v>
      </c>
      <c r="J21" s="192">
        <f t="shared" si="6"/>
        <v>0</v>
      </c>
      <c r="K21" s="192">
        <f t="shared" si="6"/>
        <v>0</v>
      </c>
      <c r="L21" s="192">
        <f t="shared" si="6"/>
        <v>0</v>
      </c>
      <c r="M21" s="192">
        <f t="shared" si="6"/>
        <v>0</v>
      </c>
      <c r="N21" s="192">
        <f t="shared" si="6"/>
        <v>0</v>
      </c>
      <c r="O21" s="192">
        <f t="shared" si="6"/>
        <v>-466.609409377215</v>
      </c>
      <c r="P21" s="192">
        <f t="shared" si="6"/>
        <v>-2519.52608165181</v>
      </c>
      <c r="Q21" s="238">
        <f>B11-B14-B15-B17-B30-B21</f>
        <v>-48.2762031245452</v>
      </c>
      <c r="R21" s="138">
        <v>1040.0336450996</v>
      </c>
      <c r="S21" s="138">
        <f t="shared" si="1"/>
        <v>-299.476088972042</v>
      </c>
      <c r="T21" s="239" t="s">
        <v>1193</v>
      </c>
      <c r="U21" s="138"/>
      <c r="V21" s="240"/>
      <c r="Y21" s="199"/>
      <c r="Z21" s="281"/>
    </row>
    <row r="22" ht="28" customHeight="1" spans="1:26">
      <c r="A22" s="191" t="s">
        <v>1194</v>
      </c>
      <c r="B22" s="200">
        <f>B21/B12</f>
        <v>0.012396802997415</v>
      </c>
      <c r="C22" s="195">
        <f t="shared" ref="C22:P22" si="7">C21/C12</f>
        <v>0.101547321332721</v>
      </c>
      <c r="D22" s="195">
        <f t="shared" si="7"/>
        <v>-0.0143665939463481</v>
      </c>
      <c r="E22" s="195" t="e">
        <f t="shared" si="7"/>
        <v>#DIV/0!</v>
      </c>
      <c r="F22" s="195" t="e">
        <f t="shared" si="7"/>
        <v>#DIV/0!</v>
      </c>
      <c r="G22" s="195">
        <v>0</v>
      </c>
      <c r="H22" s="195" t="e">
        <f t="shared" si="7"/>
        <v>#DIV/0!</v>
      </c>
      <c r="I22" s="195" t="e">
        <f t="shared" si="7"/>
        <v>#DIV/0!</v>
      </c>
      <c r="J22" s="195" t="e">
        <f t="shared" si="7"/>
        <v>#DIV/0!</v>
      </c>
      <c r="K22" s="195" t="e">
        <f t="shared" si="7"/>
        <v>#DIV/0!</v>
      </c>
      <c r="L22" s="195" t="e">
        <f t="shared" si="7"/>
        <v>#DIV/0!</v>
      </c>
      <c r="M22" s="195" t="e">
        <f t="shared" si="7"/>
        <v>#DIV/0!</v>
      </c>
      <c r="N22" s="195" t="e">
        <f t="shared" si="7"/>
        <v>#DIV/0!</v>
      </c>
      <c r="O22" s="195">
        <f t="shared" si="7"/>
        <v>-0.642177091188339</v>
      </c>
      <c r="P22" s="195">
        <f t="shared" si="7"/>
        <v>-1.14048315157827</v>
      </c>
      <c r="Q22" s="238"/>
      <c r="R22" s="251">
        <v>0.0171929459721578</v>
      </c>
      <c r="S22" s="251">
        <f t="shared" si="1"/>
        <v>-0.00479614297474279</v>
      </c>
      <c r="T22" s="239"/>
      <c r="U22" s="138"/>
      <c r="V22" s="240"/>
      <c r="W22" s="177"/>
      <c r="Y22" s="200"/>
      <c r="Z22" s="281"/>
    </row>
    <row r="23" ht="28" customHeight="1" spans="1:25">
      <c r="A23" s="201" t="s">
        <v>1195</v>
      </c>
      <c r="B23" s="195">
        <f>B21/项目资金筹措!C9</f>
        <v>0.031729826078893</v>
      </c>
      <c r="C23" s="195"/>
      <c r="D23" s="195"/>
      <c r="E23" s="195"/>
      <c r="F23" s="195"/>
      <c r="G23" s="195"/>
      <c r="H23" s="195"/>
      <c r="I23" s="195"/>
      <c r="J23" s="195"/>
      <c r="K23" s="195"/>
      <c r="L23" s="195"/>
      <c r="M23" s="195"/>
      <c r="N23" s="195"/>
      <c r="O23" s="195"/>
      <c r="P23" s="195"/>
      <c r="Q23" s="238"/>
      <c r="S23" s="138">
        <v>22299.7135837381</v>
      </c>
      <c r="V23" s="240"/>
      <c r="W23" s="27"/>
      <c r="Y23" s="150"/>
    </row>
    <row r="24" ht="28" customHeight="1" spans="1:25">
      <c r="A24" s="201" t="s">
        <v>1196</v>
      </c>
      <c r="B24" s="195">
        <f>(B21+项目资金筹措!C20)/项目资金筹措!C9</f>
        <v>0.122029702970966</v>
      </c>
      <c r="C24" s="195"/>
      <c r="D24" s="195"/>
      <c r="E24" s="195"/>
      <c r="F24" s="195"/>
      <c r="G24" s="195"/>
      <c r="H24" s="195"/>
      <c r="I24" s="195"/>
      <c r="J24" s="195"/>
      <c r="K24" s="195"/>
      <c r="L24" s="195"/>
      <c r="M24" s="195"/>
      <c r="N24" s="195"/>
      <c r="O24" s="195"/>
      <c r="P24" s="195"/>
      <c r="Q24" s="238"/>
      <c r="U24" s="138"/>
      <c r="V24" s="240"/>
      <c r="W24" s="27"/>
      <c r="Y24" s="150"/>
    </row>
    <row r="25" ht="28" customHeight="1" spans="1:25">
      <c r="A25" s="191" t="s">
        <v>1197</v>
      </c>
      <c r="B25" s="195">
        <f>B21/(B21+项目资金筹措!C9)</f>
        <v>0.030754006792149</v>
      </c>
      <c r="C25" s="195"/>
      <c r="D25" s="195"/>
      <c r="E25" s="195"/>
      <c r="F25" s="195"/>
      <c r="G25" s="195"/>
      <c r="H25" s="195"/>
      <c r="I25" s="195"/>
      <c r="J25" s="195"/>
      <c r="K25" s="195"/>
      <c r="L25" s="195"/>
      <c r="M25" s="195"/>
      <c r="N25" s="195"/>
      <c r="O25" s="195"/>
      <c r="P25" s="195"/>
      <c r="Q25" s="238"/>
      <c r="U25" s="138"/>
      <c r="V25" s="240"/>
      <c r="W25" s="27"/>
      <c r="Y25" s="150"/>
    </row>
    <row r="26" ht="28" hidden="1" customHeight="1" spans="1:25">
      <c r="A26" s="191" t="s">
        <v>1198</v>
      </c>
      <c r="B26" s="202"/>
      <c r="C26" s="195"/>
      <c r="D26" s="195"/>
      <c r="E26" s="195"/>
      <c r="F26" s="195"/>
      <c r="G26" s="195"/>
      <c r="H26" s="195"/>
      <c r="I26" s="195"/>
      <c r="J26" s="195"/>
      <c r="K26" s="195"/>
      <c r="L26" s="195"/>
      <c r="M26" s="195"/>
      <c r="N26" s="195"/>
      <c r="O26" s="195"/>
      <c r="P26" s="195"/>
      <c r="Q26" s="238"/>
      <c r="U26" s="138"/>
      <c r="V26" s="240"/>
      <c r="W26" s="27"/>
      <c r="Y26" s="150"/>
    </row>
    <row r="27" ht="28" hidden="1" customHeight="1" spans="1:25">
      <c r="A27" s="191" t="s">
        <v>1199</v>
      </c>
      <c r="B27" s="195" t="e">
        <f>B25/B26</f>
        <v>#DIV/0!</v>
      </c>
      <c r="C27" s="195"/>
      <c r="D27" s="195"/>
      <c r="E27" s="195"/>
      <c r="F27" s="195"/>
      <c r="G27" s="195"/>
      <c r="H27" s="195"/>
      <c r="I27" s="195"/>
      <c r="J27" s="195"/>
      <c r="K27" s="195"/>
      <c r="L27" s="195"/>
      <c r="M27" s="195"/>
      <c r="N27" s="195"/>
      <c r="O27" s="195"/>
      <c r="P27" s="195"/>
      <c r="Q27" s="238"/>
      <c r="U27" s="138"/>
      <c r="V27" s="240"/>
      <c r="W27" s="27"/>
      <c r="Y27" s="150"/>
    </row>
    <row r="28" ht="28" hidden="1" customHeight="1" spans="1:25">
      <c r="A28" s="201" t="s">
        <v>1200</v>
      </c>
      <c r="B28" s="195" t="e">
        <f>B21/项目资金筹措!C16</f>
        <v>#DIV/0!</v>
      </c>
      <c r="C28" s="195"/>
      <c r="D28" s="195"/>
      <c r="E28" s="195"/>
      <c r="F28" s="195"/>
      <c r="G28" s="195"/>
      <c r="H28" s="195"/>
      <c r="I28" s="195"/>
      <c r="J28" s="195"/>
      <c r="K28" s="195"/>
      <c r="L28" s="195"/>
      <c r="M28" s="195"/>
      <c r="N28" s="195"/>
      <c r="O28" s="195"/>
      <c r="P28" s="195"/>
      <c r="Q28" s="238"/>
      <c r="U28" s="138"/>
      <c r="V28" s="240"/>
      <c r="W28" s="27"/>
      <c r="Y28" s="150"/>
    </row>
    <row r="29" ht="28" hidden="1" customHeight="1" spans="1:25">
      <c r="A29" s="191" t="s">
        <v>1201</v>
      </c>
      <c r="B29" s="195">
        <f>B21/(B21+项目资金筹措!C16)</f>
        <v>1</v>
      </c>
      <c r="C29" s="195"/>
      <c r="D29" s="195"/>
      <c r="E29" s="195"/>
      <c r="F29" s="195"/>
      <c r="G29" s="195"/>
      <c r="H29" s="195"/>
      <c r="I29" s="195"/>
      <c r="J29" s="195"/>
      <c r="K29" s="195"/>
      <c r="L29" s="195"/>
      <c r="M29" s="195"/>
      <c r="N29" s="195"/>
      <c r="O29" s="195"/>
      <c r="P29" s="195"/>
      <c r="Q29" s="238"/>
      <c r="U29" s="138"/>
      <c r="V29" s="240"/>
      <c r="W29" s="27"/>
      <c r="Y29" s="150"/>
    </row>
    <row r="30" ht="28" customHeight="1" spans="1:25">
      <c r="A30" s="191" t="s">
        <v>1202</v>
      </c>
      <c r="B30" s="192">
        <f>税金计算表!R36+B20</f>
        <v>3736.58027871266</v>
      </c>
      <c r="C30" s="203"/>
      <c r="D30" s="203"/>
      <c r="E30" s="203"/>
      <c r="F30" s="203"/>
      <c r="G30" s="203"/>
      <c r="H30" s="203"/>
      <c r="I30" s="203"/>
      <c r="J30" s="203"/>
      <c r="K30" s="203"/>
      <c r="L30" s="203"/>
      <c r="M30" s="203"/>
      <c r="N30" s="203"/>
      <c r="O30" s="203"/>
      <c r="P30" s="203"/>
      <c r="Q30" s="238"/>
      <c r="U30" s="138"/>
      <c r="V30" s="240"/>
      <c r="Y30" s="150"/>
    </row>
    <row r="31" ht="28" customHeight="1" spans="1:23">
      <c r="A31" s="191" t="s">
        <v>1203</v>
      </c>
      <c r="B31" s="195">
        <f>B30/B12</f>
        <v>0.0625496954503401</v>
      </c>
      <c r="C31" s="203"/>
      <c r="D31" s="203"/>
      <c r="E31" s="203"/>
      <c r="F31" s="203"/>
      <c r="G31" s="203"/>
      <c r="H31" s="203"/>
      <c r="I31" s="203"/>
      <c r="J31" s="203"/>
      <c r="K31" s="203"/>
      <c r="L31" s="203"/>
      <c r="M31" s="203"/>
      <c r="N31" s="203"/>
      <c r="O31" s="203"/>
      <c r="P31" s="203"/>
      <c r="Q31" s="238">
        <f>B11-B14-B15-B17-B30</f>
        <v>692.281353003013</v>
      </c>
      <c r="U31" s="138"/>
      <c r="V31" s="240"/>
      <c r="W31" s="27"/>
    </row>
    <row r="32" s="174" customFormat="1" ht="28" customHeight="1" spans="1:34">
      <c r="A32" s="204" t="s">
        <v>1153</v>
      </c>
      <c r="B32" s="205">
        <f>B10</f>
        <v>9226.78477778992</v>
      </c>
      <c r="C32" s="205">
        <f>C10</f>
        <v>13500</v>
      </c>
      <c r="D32" s="205">
        <f t="shared" ref="D32:P32" si="8">D10</f>
        <v>11500</v>
      </c>
      <c r="E32" s="205" t="e">
        <f t="shared" si="8"/>
        <v>#DIV/0!</v>
      </c>
      <c r="F32" s="205" t="e">
        <f t="shared" si="8"/>
        <v>#DIV/0!</v>
      </c>
      <c r="G32" s="205" t="e">
        <f t="shared" si="8"/>
        <v>#DIV/0!</v>
      </c>
      <c r="H32" s="205" t="e">
        <f t="shared" si="8"/>
        <v>#DIV/0!</v>
      </c>
      <c r="I32" s="205" t="e">
        <f t="shared" si="8"/>
        <v>#DIV/0!</v>
      </c>
      <c r="J32" s="205" t="e">
        <f t="shared" si="8"/>
        <v>#DIV/0!</v>
      </c>
      <c r="K32" s="205" t="e">
        <f t="shared" si="8"/>
        <v>#DIV/0!</v>
      </c>
      <c r="L32" s="205" t="e">
        <f t="shared" si="8"/>
        <v>#DIV/0!</v>
      </c>
      <c r="M32" s="205" t="e">
        <f t="shared" si="8"/>
        <v>#DIV/0!</v>
      </c>
      <c r="N32" s="205" t="e">
        <f t="shared" si="8"/>
        <v>#DIV/0!</v>
      </c>
      <c r="O32" s="205">
        <f t="shared" si="8"/>
        <v>2007.54858546403</v>
      </c>
      <c r="P32" s="205">
        <f t="shared" si="8"/>
        <v>1316.53763723046</v>
      </c>
      <c r="R32" s="252"/>
      <c r="S32" s="252"/>
      <c r="T32" s="252"/>
      <c r="U32" s="252"/>
      <c r="V32" s="253"/>
      <c r="W32" s="254"/>
      <c r="X32" s="177"/>
      <c r="Z32" s="254"/>
      <c r="AH32" s="301"/>
    </row>
    <row r="33" s="174" customFormat="1" ht="28" customHeight="1" spans="1:34">
      <c r="A33" s="204" t="s">
        <v>1204</v>
      </c>
      <c r="B33" s="205">
        <v>0</v>
      </c>
      <c r="C33" s="205">
        <f>经济指标!I9</f>
        <v>184</v>
      </c>
      <c r="D33" s="205">
        <f>经济指标!I10</f>
        <v>66</v>
      </c>
      <c r="E33" s="205"/>
      <c r="F33" s="205"/>
      <c r="G33" s="205"/>
      <c r="H33" s="205"/>
      <c r="I33" s="205"/>
      <c r="J33" s="205"/>
      <c r="K33" s="205"/>
      <c r="L33" s="205"/>
      <c r="M33" s="205"/>
      <c r="N33" s="205"/>
      <c r="O33" s="205">
        <f>经济指标!I22</f>
        <v>99</v>
      </c>
      <c r="P33" s="205">
        <f>经济指标!I23</f>
        <v>301</v>
      </c>
      <c r="R33" s="252"/>
      <c r="S33" s="252"/>
      <c r="T33" s="252"/>
      <c r="U33" s="252"/>
      <c r="V33" s="253"/>
      <c r="W33" s="254"/>
      <c r="X33" s="177"/>
      <c r="Z33" s="254"/>
      <c r="AH33" s="301"/>
    </row>
    <row r="34" s="174" customFormat="1" ht="28" customHeight="1" spans="1:34">
      <c r="A34" s="204" t="s">
        <v>1205</v>
      </c>
      <c r="B34" s="205">
        <f>成本测算明细!C11</f>
        <v>2991.46654060586</v>
      </c>
      <c r="C34" s="205">
        <f>成本测算明细!H11</f>
        <v>4417.59042046272</v>
      </c>
      <c r="D34" s="205">
        <f>成本测算明细!J11</f>
        <v>4417.59042046272</v>
      </c>
      <c r="E34" s="205"/>
      <c r="F34" s="205"/>
      <c r="G34" s="205"/>
      <c r="H34" s="205"/>
      <c r="I34" s="205"/>
      <c r="J34" s="205"/>
      <c r="K34" s="205"/>
      <c r="L34" s="205"/>
      <c r="M34" s="205"/>
      <c r="N34" s="205"/>
      <c r="O34" s="205">
        <f>成本测算明细!AH11</f>
        <v>0</v>
      </c>
      <c r="P34" s="205">
        <f>成本测算明细!AJ11</f>
        <v>0</v>
      </c>
      <c r="R34" s="252"/>
      <c r="S34" s="252"/>
      <c r="T34" s="252"/>
      <c r="U34" s="252"/>
      <c r="V34" s="253"/>
      <c r="W34" s="254"/>
      <c r="X34" s="177"/>
      <c r="Z34" s="254"/>
      <c r="AH34" s="301"/>
    </row>
    <row r="35" s="174" customFormat="1" ht="28" customHeight="1" spans="1:34">
      <c r="A35" s="204" t="s">
        <v>1206</v>
      </c>
      <c r="B35" s="206">
        <f>B14*10000/B9</f>
        <v>3181.1270066879</v>
      </c>
      <c r="C35" s="206">
        <f t="shared" ref="C35:P35" si="9">C14*10000/C9</f>
        <v>4644.52853932446</v>
      </c>
      <c r="D35" s="206">
        <f t="shared" si="9"/>
        <v>4644.52853932448</v>
      </c>
      <c r="E35" s="206" t="e">
        <f t="shared" si="9"/>
        <v>#DIV/0!</v>
      </c>
      <c r="F35" s="206" t="e">
        <f t="shared" si="9"/>
        <v>#DIV/0!</v>
      </c>
      <c r="G35" s="206" t="e">
        <f t="shared" si="9"/>
        <v>#DIV/0!</v>
      </c>
      <c r="H35" s="206" t="e">
        <f t="shared" si="9"/>
        <v>#DIV/0!</v>
      </c>
      <c r="I35" s="206" t="e">
        <f t="shared" si="9"/>
        <v>#DIV/0!</v>
      </c>
      <c r="J35" s="206" t="e">
        <f t="shared" si="9"/>
        <v>#DIV/0!</v>
      </c>
      <c r="K35" s="206" t="e">
        <f t="shared" si="9"/>
        <v>#DIV/0!</v>
      </c>
      <c r="L35" s="206" t="e">
        <f t="shared" si="9"/>
        <v>#DIV/0!</v>
      </c>
      <c r="M35" s="206" t="e">
        <f t="shared" si="9"/>
        <v>#DIV/0!</v>
      </c>
      <c r="N35" s="206" t="e">
        <f t="shared" si="9"/>
        <v>#DIV/0!</v>
      </c>
      <c r="O35" s="206">
        <f t="shared" si="9"/>
        <v>0</v>
      </c>
      <c r="P35" s="206">
        <f t="shared" si="9"/>
        <v>0</v>
      </c>
      <c r="R35" s="252"/>
      <c r="S35" s="252"/>
      <c r="T35" s="252"/>
      <c r="U35" s="252"/>
      <c r="V35" s="253"/>
      <c r="W35" s="254"/>
      <c r="X35" s="177"/>
      <c r="Z35" s="254"/>
      <c r="AH35" s="301"/>
    </row>
    <row r="36" s="174" customFormat="1" ht="28" customHeight="1" spans="1:34">
      <c r="A36" s="204" t="s">
        <v>1207</v>
      </c>
      <c r="B36" s="206">
        <f>B15*10000/B9</f>
        <v>4734.42533031405</v>
      </c>
      <c r="C36" s="206">
        <f t="shared" ref="C36:P36" si="10">C15*10000/C9</f>
        <v>5297.96411221519</v>
      </c>
      <c r="D36" s="206">
        <f t="shared" si="10"/>
        <v>5831.92414146759</v>
      </c>
      <c r="E36" s="206" t="e">
        <f t="shared" si="10"/>
        <v>#DIV/0!</v>
      </c>
      <c r="F36" s="206" t="e">
        <f t="shared" si="10"/>
        <v>#DIV/0!</v>
      </c>
      <c r="G36" s="206" t="e">
        <f t="shared" si="10"/>
        <v>#DIV/0!</v>
      </c>
      <c r="H36" s="206" t="e">
        <f t="shared" si="10"/>
        <v>#DIV/0!</v>
      </c>
      <c r="I36" s="206" t="e">
        <f t="shared" si="10"/>
        <v>#DIV/0!</v>
      </c>
      <c r="J36" s="206" t="e">
        <f t="shared" si="10"/>
        <v>#DIV/0!</v>
      </c>
      <c r="K36" s="206" t="e">
        <f t="shared" si="10"/>
        <v>#DIV/0!</v>
      </c>
      <c r="L36" s="206" t="e">
        <f t="shared" si="10"/>
        <v>#DIV/0!</v>
      </c>
      <c r="M36" s="206" t="e">
        <f t="shared" si="10"/>
        <v>#DIV/0!</v>
      </c>
      <c r="N36" s="206" t="e">
        <f t="shared" si="10"/>
        <v>#DIV/0!</v>
      </c>
      <c r="O36" s="206">
        <f t="shared" si="10"/>
        <v>3436.63401364166</v>
      </c>
      <c r="P36" s="206">
        <f t="shared" si="10"/>
        <v>3037.79677307203</v>
      </c>
      <c r="Q36" s="255"/>
      <c r="R36" s="252"/>
      <c r="S36" s="252"/>
      <c r="T36" s="252"/>
      <c r="U36" s="252"/>
      <c r="V36" s="253"/>
      <c r="W36" s="254"/>
      <c r="X36" s="177"/>
      <c r="Z36" s="254"/>
      <c r="AH36" s="301"/>
    </row>
    <row r="37" s="174" customFormat="1" ht="28" customHeight="1" spans="1:34">
      <c r="A37" s="204" t="s">
        <v>1208</v>
      </c>
      <c r="B37" s="206">
        <f>B16*10000/B9</f>
        <v>1137.60777041737</v>
      </c>
      <c r="C37" s="206">
        <f t="shared" ref="C37:P37" si="11">C16*10000/C9</f>
        <v>3181.67423357475</v>
      </c>
      <c r="D37" s="206">
        <f t="shared" si="11"/>
        <v>852.531417505301</v>
      </c>
      <c r="E37" s="206" t="e">
        <f t="shared" si="11"/>
        <v>#DIV/0!</v>
      </c>
      <c r="F37" s="206" t="e">
        <f t="shared" si="11"/>
        <v>#DIV/0!</v>
      </c>
      <c r="G37" s="206" t="e">
        <f t="shared" si="11"/>
        <v>#DIV/0!</v>
      </c>
      <c r="H37" s="206" t="e">
        <f t="shared" si="11"/>
        <v>#DIV/0!</v>
      </c>
      <c r="I37" s="206" t="e">
        <f t="shared" si="11"/>
        <v>#DIV/0!</v>
      </c>
      <c r="J37" s="206" t="e">
        <f t="shared" si="11"/>
        <v>#DIV/0!</v>
      </c>
      <c r="K37" s="206" t="e">
        <f t="shared" si="11"/>
        <v>#DIV/0!</v>
      </c>
      <c r="L37" s="206" t="e">
        <f t="shared" si="11"/>
        <v>#DIV/0!</v>
      </c>
      <c r="M37" s="206" t="e">
        <f t="shared" si="11"/>
        <v>#DIV/0!</v>
      </c>
      <c r="N37" s="206" t="e">
        <f t="shared" si="11"/>
        <v>#DIV/0!</v>
      </c>
      <c r="O37" s="206">
        <f t="shared" si="11"/>
        <v>-1339.46342596367</v>
      </c>
      <c r="P37" s="206">
        <f t="shared" si="11"/>
        <v>-1604.21954752221</v>
      </c>
      <c r="Q37" s="255"/>
      <c r="R37" s="252">
        <v>8721</v>
      </c>
      <c r="S37" s="252"/>
      <c r="T37" s="252"/>
      <c r="V37" s="254"/>
      <c r="W37" s="253"/>
      <c r="X37" s="177"/>
      <c r="Z37" s="254"/>
      <c r="AH37" s="301"/>
    </row>
    <row r="38" s="174" customFormat="1" ht="28" customHeight="1" spans="1:34">
      <c r="A38" s="204" t="s">
        <v>707</v>
      </c>
      <c r="B38" s="206">
        <f>B17*10000/B9</f>
        <v>683.655631543172</v>
      </c>
      <c r="C38" s="206">
        <f t="shared" ref="C38:P38" si="12">C17*10000/C9</f>
        <v>1046.58264329742</v>
      </c>
      <c r="D38" s="206">
        <f t="shared" si="12"/>
        <v>657.725800926564</v>
      </c>
      <c r="E38" s="206" t="e">
        <f t="shared" si="12"/>
        <v>#DIV/0!</v>
      </c>
      <c r="F38" s="206" t="e">
        <f t="shared" si="12"/>
        <v>#DIV/0!</v>
      </c>
      <c r="G38" s="206" t="e">
        <f t="shared" si="12"/>
        <v>#DIV/0!</v>
      </c>
      <c r="H38" s="206" t="e">
        <f t="shared" si="12"/>
        <v>#DIV/0!</v>
      </c>
      <c r="I38" s="206" t="e">
        <f t="shared" si="12"/>
        <v>#DIV/0!</v>
      </c>
      <c r="J38" s="206" t="e">
        <f t="shared" si="12"/>
        <v>#DIV/0!</v>
      </c>
      <c r="K38" s="206" t="e">
        <f t="shared" si="12"/>
        <v>#DIV/0!</v>
      </c>
      <c r="L38" s="206" t="e">
        <f t="shared" si="12"/>
        <v>#DIV/0!</v>
      </c>
      <c r="M38" s="206" t="e">
        <f t="shared" si="12"/>
        <v>#DIV/0!</v>
      </c>
      <c r="N38" s="206" t="e">
        <f t="shared" si="12"/>
        <v>#DIV/0!</v>
      </c>
      <c r="O38" s="206">
        <f t="shared" si="12"/>
        <v>169.810703304583</v>
      </c>
      <c r="P38" s="206">
        <f t="shared" si="12"/>
        <v>190.2802312893</v>
      </c>
      <c r="R38" s="252"/>
      <c r="S38" s="252"/>
      <c r="T38" s="252"/>
      <c r="V38" s="254"/>
      <c r="W38" s="254"/>
      <c r="X38" s="177"/>
      <c r="Z38" s="254"/>
      <c r="AH38" s="301"/>
    </row>
    <row r="39" s="174" customFormat="1" ht="28" customHeight="1" spans="1:34">
      <c r="A39" s="207" t="s">
        <v>1186</v>
      </c>
      <c r="B39" s="206">
        <f>B18*10000/B9</f>
        <v>333.383289047185</v>
      </c>
      <c r="C39" s="206">
        <f t="shared" ref="C39:P39" si="13">C18*10000/C9</f>
        <v>487.783611575152</v>
      </c>
      <c r="D39" s="206">
        <f t="shared" si="13"/>
        <v>415.519372823278</v>
      </c>
      <c r="E39" s="206" t="e">
        <f t="shared" si="13"/>
        <v>#DIV/0!</v>
      </c>
      <c r="F39" s="206" t="e">
        <f t="shared" si="13"/>
        <v>#DIV/0!</v>
      </c>
      <c r="G39" s="206" t="e">
        <f t="shared" si="13"/>
        <v>#DIV/0!</v>
      </c>
      <c r="H39" s="206" t="e">
        <f t="shared" si="13"/>
        <v>#DIV/0!</v>
      </c>
      <c r="I39" s="206" t="e">
        <f t="shared" si="13"/>
        <v>#DIV/0!</v>
      </c>
      <c r="J39" s="206" t="e">
        <f t="shared" si="13"/>
        <v>#DIV/0!</v>
      </c>
      <c r="K39" s="206" t="e">
        <f t="shared" si="13"/>
        <v>#DIV/0!</v>
      </c>
      <c r="L39" s="206" t="e">
        <f t="shared" si="13"/>
        <v>#DIV/0!</v>
      </c>
      <c r="M39" s="206" t="e">
        <f t="shared" si="13"/>
        <v>#DIV/0!</v>
      </c>
      <c r="N39" s="206" t="e">
        <f t="shared" si="13"/>
        <v>#DIV/0!</v>
      </c>
      <c r="O39" s="206">
        <f t="shared" si="13"/>
        <v>72.5369851429802</v>
      </c>
      <c r="P39" s="206">
        <f t="shared" si="13"/>
        <v>47.5692950713253</v>
      </c>
      <c r="R39" s="252"/>
      <c r="S39" s="252"/>
      <c r="T39" s="252"/>
      <c r="V39" s="256" t="s">
        <v>75</v>
      </c>
      <c r="W39" s="257" t="s">
        <v>1209</v>
      </c>
      <c r="X39" s="256" t="s">
        <v>1210</v>
      </c>
      <c r="Y39" s="282" t="s">
        <v>1211</v>
      </c>
      <c r="Z39" s="283" t="s">
        <v>1212</v>
      </c>
      <c r="AA39" s="258" t="s">
        <v>1213</v>
      </c>
      <c r="AB39" s="174" t="s">
        <v>1214</v>
      </c>
      <c r="AH39" s="301"/>
    </row>
    <row r="40" s="174" customFormat="1" ht="28" customHeight="1" spans="1:34">
      <c r="A40" s="204" t="s">
        <v>1188</v>
      </c>
      <c r="B40" s="206">
        <f>B19*10000/B9</f>
        <v>139.917594115974</v>
      </c>
      <c r="C40" s="206">
        <f t="shared" ref="C40:P40" si="14">C19*10000/C9</f>
        <v>1676.92824219173</v>
      </c>
      <c r="D40" s="206">
        <f t="shared" si="14"/>
        <v>-202.098875086242</v>
      </c>
      <c r="E40" s="206" t="e">
        <f t="shared" si="14"/>
        <v>#DIV/0!</v>
      </c>
      <c r="F40" s="206" t="e">
        <f t="shared" si="14"/>
        <v>#DIV/0!</v>
      </c>
      <c r="G40" s="206" t="e">
        <f t="shared" si="14"/>
        <v>#DIV/0!</v>
      </c>
      <c r="H40" s="206" t="e">
        <f t="shared" si="14"/>
        <v>#DIV/0!</v>
      </c>
      <c r="I40" s="206" t="e">
        <f t="shared" si="14"/>
        <v>#DIV/0!</v>
      </c>
      <c r="J40" s="206" t="e">
        <f t="shared" si="14"/>
        <v>#DIV/0!</v>
      </c>
      <c r="K40" s="206" t="e">
        <f t="shared" si="14"/>
        <v>#DIV/0!</v>
      </c>
      <c r="L40" s="206" t="e">
        <f t="shared" si="14"/>
        <v>#DIV/0!</v>
      </c>
      <c r="M40" s="206" t="e">
        <f t="shared" si="14"/>
        <v>#DIV/0!</v>
      </c>
      <c r="N40" s="206" t="e">
        <f t="shared" si="14"/>
        <v>#DIV/0!</v>
      </c>
      <c r="O40" s="206">
        <f t="shared" si="14"/>
        <v>-1577.00515111016</v>
      </c>
      <c r="P40" s="206">
        <f t="shared" si="14"/>
        <v>-1836.68378431805</v>
      </c>
      <c r="R40" s="252"/>
      <c r="S40" s="252"/>
      <c r="T40" s="252"/>
      <c r="V40" s="256" t="s">
        <v>90</v>
      </c>
      <c r="W40" s="257">
        <f>C48</f>
        <v>184</v>
      </c>
      <c r="X40" s="258">
        <f>Z40/$Z$42</f>
        <v>0.67</v>
      </c>
      <c r="Y40" s="282">
        <f>O48+P48-Y41</f>
        <v>268</v>
      </c>
      <c r="Z40" s="284">
        <f>经济指标!G20*AA40</f>
        <v>14897.7917</v>
      </c>
      <c r="AA40" s="258">
        <f>Y40/$Y$42</f>
        <v>0.67</v>
      </c>
      <c r="AB40" s="252">
        <f>Z40/Y40</f>
        <v>55.588775</v>
      </c>
      <c r="AC40" s="252"/>
      <c r="AD40" s="252"/>
      <c r="AH40" s="301"/>
    </row>
    <row r="41" s="174" customFormat="1" ht="28" customHeight="1" spans="1:34">
      <c r="A41" s="204" t="s">
        <v>1190</v>
      </c>
      <c r="B41" s="206">
        <f>B20*10000/B9</f>
        <v>34.9793985289936</v>
      </c>
      <c r="C41" s="206">
        <f t="shared" ref="C41:P41" si="15">C20*10000/C9</f>
        <v>419.232060547932</v>
      </c>
      <c r="D41" s="206">
        <f t="shared" si="15"/>
        <v>-50.5247187715606</v>
      </c>
      <c r="E41" s="206" t="e">
        <f t="shared" si="15"/>
        <v>#DIV/0!</v>
      </c>
      <c r="F41" s="206" t="e">
        <f t="shared" si="15"/>
        <v>#DIV/0!</v>
      </c>
      <c r="G41" s="206" t="e">
        <f t="shared" si="15"/>
        <v>#DIV/0!</v>
      </c>
      <c r="H41" s="206" t="e">
        <f t="shared" si="15"/>
        <v>#DIV/0!</v>
      </c>
      <c r="I41" s="206" t="e">
        <f t="shared" si="15"/>
        <v>#DIV/0!</v>
      </c>
      <c r="J41" s="206" t="e">
        <f t="shared" si="15"/>
        <v>#DIV/0!</v>
      </c>
      <c r="K41" s="206" t="e">
        <f t="shared" si="15"/>
        <v>#DIV/0!</v>
      </c>
      <c r="L41" s="206" t="e">
        <f t="shared" si="15"/>
        <v>#DIV/0!</v>
      </c>
      <c r="M41" s="206" t="e">
        <f t="shared" si="15"/>
        <v>#DIV/0!</v>
      </c>
      <c r="N41" s="206" t="e">
        <f t="shared" si="15"/>
        <v>#DIV/0!</v>
      </c>
      <c r="O41" s="206">
        <f t="shared" si="15"/>
        <v>-394.25128777754</v>
      </c>
      <c r="P41" s="206">
        <f t="shared" si="15"/>
        <v>-459.170946079512</v>
      </c>
      <c r="R41" s="252"/>
      <c r="S41" s="252"/>
      <c r="T41" s="252"/>
      <c r="V41" s="256" t="s">
        <v>97</v>
      </c>
      <c r="W41" s="257">
        <f>D48</f>
        <v>66</v>
      </c>
      <c r="X41" s="258">
        <f>Z41/$Z$42</f>
        <v>0.33</v>
      </c>
      <c r="Y41" s="282">
        <v>132</v>
      </c>
      <c r="Z41" s="284">
        <f>经济指标!G20*AA41</f>
        <v>7337.7183</v>
      </c>
      <c r="AA41" s="258">
        <f>Y41/$Y$42</f>
        <v>0.33</v>
      </c>
      <c r="AB41" s="252">
        <f>Z41/Y41</f>
        <v>55.588775</v>
      </c>
      <c r="AC41" s="252"/>
      <c r="AD41" s="252"/>
      <c r="AH41" s="301"/>
    </row>
    <row r="42" s="174" customFormat="1" ht="28" customHeight="1" spans="1:34">
      <c r="A42" s="204" t="s">
        <v>36</v>
      </c>
      <c r="B42" s="206">
        <f>B21*10000/B9</f>
        <v>104.938195586981</v>
      </c>
      <c r="C42" s="206">
        <f t="shared" ref="C42:P42" si="16">C21*10000/C9</f>
        <v>1257.69618164379</v>
      </c>
      <c r="D42" s="206">
        <f t="shared" si="16"/>
        <v>-151.574156314682</v>
      </c>
      <c r="E42" s="206" t="e">
        <f t="shared" si="16"/>
        <v>#DIV/0!</v>
      </c>
      <c r="F42" s="206" t="e">
        <f t="shared" si="16"/>
        <v>#DIV/0!</v>
      </c>
      <c r="G42" s="206" t="e">
        <f t="shared" si="16"/>
        <v>#DIV/0!</v>
      </c>
      <c r="H42" s="206" t="e">
        <f t="shared" si="16"/>
        <v>#DIV/0!</v>
      </c>
      <c r="I42" s="206" t="e">
        <f t="shared" si="16"/>
        <v>#DIV/0!</v>
      </c>
      <c r="J42" s="206" t="e">
        <f t="shared" si="16"/>
        <v>#DIV/0!</v>
      </c>
      <c r="K42" s="206" t="e">
        <f t="shared" si="16"/>
        <v>#DIV/0!</v>
      </c>
      <c r="L42" s="206" t="e">
        <f t="shared" si="16"/>
        <v>#DIV/0!</v>
      </c>
      <c r="M42" s="206" t="e">
        <f t="shared" si="16"/>
        <v>#DIV/0!</v>
      </c>
      <c r="N42" s="206" t="e">
        <f t="shared" si="16"/>
        <v>#DIV/0!</v>
      </c>
      <c r="O42" s="206">
        <f t="shared" si="16"/>
        <v>-1182.75386333262</v>
      </c>
      <c r="P42" s="206">
        <f t="shared" si="16"/>
        <v>-1377.51283823853</v>
      </c>
      <c r="R42" s="252"/>
      <c r="S42" s="252"/>
      <c r="T42" s="252"/>
      <c r="V42" s="256" t="s">
        <v>138</v>
      </c>
      <c r="W42" s="257">
        <f>SUM(W40:W41)</f>
        <v>250</v>
      </c>
      <c r="X42" s="258">
        <f>SUM(X40:X41)</f>
        <v>1</v>
      </c>
      <c r="Y42" s="282">
        <f>SUM(Y40:Y41)</f>
        <v>400</v>
      </c>
      <c r="Z42" s="284">
        <f>SUM(Z40:Z41)</f>
        <v>22235.51</v>
      </c>
      <c r="AA42" s="258">
        <f>SUM(AA40:AA41)</f>
        <v>1</v>
      </c>
      <c r="AB42" s="252">
        <f>Z42/Y42</f>
        <v>55.588775</v>
      </c>
      <c r="AC42" s="252"/>
      <c r="AD42" s="252"/>
      <c r="AH42" s="301"/>
    </row>
    <row r="43" s="172" customFormat="1" ht="28" customHeight="1" spans="1:34">
      <c r="A43" s="208"/>
      <c r="B43" s="209"/>
      <c r="C43" s="209"/>
      <c r="D43" s="209"/>
      <c r="E43" s="209"/>
      <c r="F43" s="209"/>
      <c r="G43" s="209"/>
      <c r="H43" s="209"/>
      <c r="I43" s="209"/>
      <c r="J43" s="209"/>
      <c r="K43" s="209"/>
      <c r="L43" s="209"/>
      <c r="M43" s="209"/>
      <c r="N43" s="209"/>
      <c r="O43" s="209"/>
      <c r="P43" s="209"/>
      <c r="R43" s="231"/>
      <c r="S43" s="231"/>
      <c r="T43" s="231"/>
      <c r="V43" s="175"/>
      <c r="W43" s="175"/>
      <c r="X43" s="232"/>
      <c r="Z43" s="175"/>
      <c r="AH43" s="299"/>
    </row>
    <row r="44" s="175" customFormat="1" ht="25" customHeight="1" spans="1:34">
      <c r="A44" s="210"/>
      <c r="B44" s="211" t="s">
        <v>1215</v>
      </c>
      <c r="C44" s="212">
        <f>项目概况!B11</f>
        <v>380.2</v>
      </c>
      <c r="O44" s="226"/>
      <c r="P44" s="227"/>
      <c r="R44" s="242"/>
      <c r="S44" s="242"/>
      <c r="T44" s="242"/>
      <c r="V44" s="242"/>
      <c r="W44" s="242"/>
      <c r="X44" s="232"/>
      <c r="AH44" s="302"/>
    </row>
    <row r="45" s="175" customFormat="1" ht="25" customHeight="1" spans="1:35">
      <c r="A45" s="210"/>
      <c r="B45" s="211" t="s">
        <v>1216</v>
      </c>
      <c r="C45" s="212">
        <f>成本测算明细!H11</f>
        <v>4417.59042046272</v>
      </c>
      <c r="O45" s="226"/>
      <c r="P45" s="227"/>
      <c r="R45" s="242"/>
      <c r="S45" s="242"/>
      <c r="T45" s="242"/>
      <c r="V45" s="259" t="s">
        <v>1217</v>
      </c>
      <c r="W45" s="259"/>
      <c r="X45" s="259"/>
      <c r="Y45" s="259"/>
      <c r="AA45" s="285" t="s">
        <v>1217</v>
      </c>
      <c r="AB45" s="285"/>
      <c r="AC45" s="285"/>
      <c r="AD45" s="285"/>
      <c r="AE45" s="285"/>
      <c r="AF45" s="285"/>
      <c r="AG45" s="285"/>
      <c r="AH45" s="285"/>
      <c r="AI45" s="285"/>
    </row>
    <row r="46" s="176" customFormat="1" ht="25" customHeight="1" spans="2:35">
      <c r="B46" s="213"/>
      <c r="C46" s="214" t="s">
        <v>90</v>
      </c>
      <c r="D46" s="214" t="s">
        <v>1218</v>
      </c>
      <c r="E46" s="214"/>
      <c r="F46" s="214"/>
      <c r="G46" s="214"/>
      <c r="H46" s="214"/>
      <c r="I46" s="214"/>
      <c r="J46" s="214"/>
      <c r="K46" s="214"/>
      <c r="L46" s="214"/>
      <c r="M46" s="214"/>
      <c r="N46" s="214"/>
      <c r="O46" s="214" t="s">
        <v>104</v>
      </c>
      <c r="P46" s="214" t="s">
        <v>107</v>
      </c>
      <c r="Q46" s="260" t="s">
        <v>1219</v>
      </c>
      <c r="R46" s="260" t="s">
        <v>1220</v>
      </c>
      <c r="S46" s="261" t="s">
        <v>1221</v>
      </c>
      <c r="T46" s="261" t="s">
        <v>1222</v>
      </c>
      <c r="V46" s="262"/>
      <c r="W46" s="263" t="s">
        <v>90</v>
      </c>
      <c r="X46" s="264" t="s">
        <v>97</v>
      </c>
      <c r="Y46" s="286" t="s">
        <v>5</v>
      </c>
      <c r="AA46" s="287"/>
      <c r="AB46" s="288" t="s">
        <v>1223</v>
      </c>
      <c r="AC46" s="289"/>
      <c r="AD46" s="290"/>
      <c r="AE46" s="288" t="s">
        <v>1224</v>
      </c>
      <c r="AF46" s="289"/>
      <c r="AG46" s="290"/>
      <c r="AH46" s="290"/>
      <c r="AI46" s="303"/>
    </row>
    <row r="47" s="139" customFormat="1" ht="25" customHeight="1" spans="2:35">
      <c r="B47" s="215" t="s">
        <v>77</v>
      </c>
      <c r="C47" s="216">
        <f t="shared" ref="C47:P47" si="17">C8</f>
        <v>31642.84</v>
      </c>
      <c r="D47" s="216">
        <f t="shared" si="17"/>
        <v>16692.48</v>
      </c>
      <c r="E47" s="216">
        <f t="shared" si="17"/>
        <v>0</v>
      </c>
      <c r="F47" s="216">
        <f t="shared" si="17"/>
        <v>0</v>
      </c>
      <c r="G47" s="216">
        <f t="shared" si="17"/>
        <v>0</v>
      </c>
      <c r="H47" s="216">
        <f t="shared" si="17"/>
        <v>0</v>
      </c>
      <c r="I47" s="216">
        <f t="shared" si="17"/>
        <v>0</v>
      </c>
      <c r="J47" s="216">
        <f t="shared" si="17"/>
        <v>332.64</v>
      </c>
      <c r="K47" s="216">
        <f t="shared" si="17"/>
        <v>198.49</v>
      </c>
      <c r="L47" s="216">
        <f t="shared" si="17"/>
        <v>75.2</v>
      </c>
      <c r="M47" s="216">
        <f t="shared" si="17"/>
        <v>201.09</v>
      </c>
      <c r="N47" s="216">
        <f t="shared" si="17"/>
        <v>0</v>
      </c>
      <c r="O47" s="216">
        <f t="shared" si="17"/>
        <v>3945.11</v>
      </c>
      <c r="P47" s="216">
        <f t="shared" si="17"/>
        <v>18290.4</v>
      </c>
      <c r="Q47" s="216">
        <f t="shared" ref="Q47:R47" si="18">C47</f>
        <v>31642.84</v>
      </c>
      <c r="R47" s="216">
        <f t="shared" si="18"/>
        <v>16692.48</v>
      </c>
      <c r="S47" s="265">
        <f>C47</f>
        <v>31642.84</v>
      </c>
      <c r="T47" s="265">
        <f>D47</f>
        <v>16692.48</v>
      </c>
      <c r="U47" s="240"/>
      <c r="V47" s="216" t="s">
        <v>77</v>
      </c>
      <c r="W47" s="216">
        <f>C47</f>
        <v>31642.84</v>
      </c>
      <c r="X47" s="266">
        <f>D47</f>
        <v>16692.48</v>
      </c>
      <c r="Y47" s="274"/>
      <c r="AA47" s="262"/>
      <c r="AB47" s="263" t="s">
        <v>90</v>
      </c>
      <c r="AC47" s="263" t="s">
        <v>1225</v>
      </c>
      <c r="AD47" s="263" t="s">
        <v>1226</v>
      </c>
      <c r="AE47" s="264" t="s">
        <v>97</v>
      </c>
      <c r="AF47" s="263" t="s">
        <v>1227</v>
      </c>
      <c r="AG47" s="263" t="s">
        <v>1226</v>
      </c>
      <c r="AH47" s="263" t="s">
        <v>138</v>
      </c>
      <c r="AI47" s="304" t="s">
        <v>5</v>
      </c>
    </row>
    <row r="48" s="139" customFormat="1" ht="25" customHeight="1" spans="2:35">
      <c r="B48" s="215" t="s">
        <v>1209</v>
      </c>
      <c r="C48" s="217">
        <f>经济指标!I9</f>
        <v>184</v>
      </c>
      <c r="D48" s="217">
        <f>经济指标!I10</f>
        <v>66</v>
      </c>
      <c r="E48" s="217"/>
      <c r="F48" s="217"/>
      <c r="G48" s="217"/>
      <c r="H48" s="217"/>
      <c r="I48" s="217"/>
      <c r="J48" s="217"/>
      <c r="K48" s="217"/>
      <c r="L48" s="217"/>
      <c r="M48" s="217"/>
      <c r="N48" s="217"/>
      <c r="O48" s="217">
        <f>经济指标!I22</f>
        <v>99</v>
      </c>
      <c r="P48" s="217">
        <f>经济指标!I23</f>
        <v>301</v>
      </c>
      <c r="Q48" s="217">
        <f>C48</f>
        <v>184</v>
      </c>
      <c r="R48" s="217">
        <f>D48</f>
        <v>66</v>
      </c>
      <c r="S48" s="267"/>
      <c r="T48" s="267"/>
      <c r="V48" s="216" t="s">
        <v>1209</v>
      </c>
      <c r="W48" s="216">
        <f>C48</f>
        <v>184</v>
      </c>
      <c r="X48" s="266">
        <f>D48</f>
        <v>66</v>
      </c>
      <c r="Y48" s="291"/>
      <c r="Z48" s="175"/>
      <c r="AA48" s="216" t="s">
        <v>79</v>
      </c>
      <c r="AB48" s="216">
        <f>W47</f>
        <v>31642.84</v>
      </c>
      <c r="AC48" s="216">
        <f>W47</f>
        <v>31642.84</v>
      </c>
      <c r="AD48" s="216">
        <f>Z40</f>
        <v>14897.7917</v>
      </c>
      <c r="AE48" s="266">
        <f>X47</f>
        <v>16692.48</v>
      </c>
      <c r="AF48" s="266">
        <f>X47</f>
        <v>16692.48</v>
      </c>
      <c r="AG48" s="266">
        <f>Z41</f>
        <v>7337.7183</v>
      </c>
      <c r="AH48" s="266">
        <f>B9</f>
        <v>70570.83</v>
      </c>
      <c r="AI48" s="305"/>
    </row>
    <row r="49" s="139" customFormat="1" ht="25" customHeight="1" spans="2:35">
      <c r="B49" s="218" t="s">
        <v>1228</v>
      </c>
      <c r="C49" s="219">
        <f t="shared" ref="C49:P49" si="19">C10</f>
        <v>13500</v>
      </c>
      <c r="D49" s="219">
        <f t="shared" si="19"/>
        <v>11500</v>
      </c>
      <c r="E49" s="219" t="e">
        <f t="shared" si="19"/>
        <v>#DIV/0!</v>
      </c>
      <c r="F49" s="219" t="e">
        <f t="shared" si="19"/>
        <v>#DIV/0!</v>
      </c>
      <c r="G49" s="219" t="e">
        <f t="shared" si="19"/>
        <v>#DIV/0!</v>
      </c>
      <c r="H49" s="219" t="e">
        <f t="shared" si="19"/>
        <v>#DIV/0!</v>
      </c>
      <c r="I49" s="219" t="e">
        <f t="shared" si="19"/>
        <v>#DIV/0!</v>
      </c>
      <c r="J49" s="219" t="e">
        <f t="shared" si="19"/>
        <v>#DIV/0!</v>
      </c>
      <c r="K49" s="219" t="e">
        <f t="shared" si="19"/>
        <v>#DIV/0!</v>
      </c>
      <c r="L49" s="219" t="e">
        <f t="shared" si="19"/>
        <v>#DIV/0!</v>
      </c>
      <c r="M49" s="219" t="e">
        <f t="shared" si="19"/>
        <v>#DIV/0!</v>
      </c>
      <c r="N49" s="219" t="e">
        <f t="shared" si="19"/>
        <v>#DIV/0!</v>
      </c>
      <c r="O49" s="219">
        <f t="shared" si="19"/>
        <v>2007.54858546403</v>
      </c>
      <c r="P49" s="219">
        <f t="shared" si="19"/>
        <v>1316.53763723046</v>
      </c>
      <c r="Q49" s="219" t="e">
        <f>(预计销售收入及费用情况表!E7+预计销售收入及费用情况表!E22*#REF!)/C47*10000</f>
        <v>#REF!</v>
      </c>
      <c r="R49" s="219">
        <f>(预计销售收入及费用情况表!E8+预计销售收入及费用情况表!E22*Y51)/R47*10000</f>
        <v>11500</v>
      </c>
      <c r="S49" s="265" t="e">
        <f>Q49/1.09</f>
        <v>#REF!</v>
      </c>
      <c r="T49" s="265">
        <f>R49/1.09</f>
        <v>10550.4587155963</v>
      </c>
      <c r="U49" s="240"/>
      <c r="V49" s="219" t="s">
        <v>1229</v>
      </c>
      <c r="W49" s="219">
        <f>C11/W47*10000</f>
        <v>13500</v>
      </c>
      <c r="X49" s="219">
        <f>D11/X47*10000</f>
        <v>11500</v>
      </c>
      <c r="Y49" s="292"/>
      <c r="Z49" s="175"/>
      <c r="AA49" s="216" t="s">
        <v>1209</v>
      </c>
      <c r="AB49" s="216">
        <f>W48</f>
        <v>184</v>
      </c>
      <c r="AC49" s="216">
        <f>W48</f>
        <v>184</v>
      </c>
      <c r="AD49" s="216">
        <f>Y40</f>
        <v>268</v>
      </c>
      <c r="AE49" s="266">
        <f>X48</f>
        <v>66</v>
      </c>
      <c r="AF49" s="266">
        <f>X48</f>
        <v>66</v>
      </c>
      <c r="AG49" s="306">
        <f>Y41</f>
        <v>132</v>
      </c>
      <c r="AH49" s="306"/>
      <c r="AI49" s="307"/>
    </row>
    <row r="50" s="139" customFormat="1" ht="31" customHeight="1" spans="2:35">
      <c r="B50" s="201" t="s">
        <v>1230</v>
      </c>
      <c r="C50" s="220">
        <f>C35</f>
        <v>4644.52853932446</v>
      </c>
      <c r="D50" s="220">
        <f t="shared" ref="D50:P50" si="20">D35</f>
        <v>4644.52853932448</v>
      </c>
      <c r="E50" s="220" t="e">
        <f t="shared" si="20"/>
        <v>#DIV/0!</v>
      </c>
      <c r="F50" s="220" t="e">
        <f t="shared" si="20"/>
        <v>#DIV/0!</v>
      </c>
      <c r="G50" s="220" t="e">
        <f t="shared" si="20"/>
        <v>#DIV/0!</v>
      </c>
      <c r="H50" s="220" t="e">
        <f t="shared" si="20"/>
        <v>#DIV/0!</v>
      </c>
      <c r="I50" s="220" t="e">
        <f t="shared" si="20"/>
        <v>#DIV/0!</v>
      </c>
      <c r="J50" s="220" t="e">
        <f t="shared" si="20"/>
        <v>#DIV/0!</v>
      </c>
      <c r="K50" s="220" t="e">
        <f t="shared" si="20"/>
        <v>#DIV/0!</v>
      </c>
      <c r="L50" s="220" t="e">
        <f t="shared" si="20"/>
        <v>#DIV/0!</v>
      </c>
      <c r="M50" s="220" t="e">
        <f t="shared" si="20"/>
        <v>#DIV/0!</v>
      </c>
      <c r="N50" s="220" t="e">
        <f t="shared" si="20"/>
        <v>#DIV/0!</v>
      </c>
      <c r="O50" s="220">
        <f t="shared" si="20"/>
        <v>0</v>
      </c>
      <c r="P50" s="220">
        <f t="shared" si="20"/>
        <v>0</v>
      </c>
      <c r="Q50" s="268">
        <f>C50</f>
        <v>4644.52853932446</v>
      </c>
      <c r="R50" s="216">
        <f>D50</f>
        <v>4644.52853932448</v>
      </c>
      <c r="S50" s="265">
        <f>Q50-Q50*0.9/1.09*0.09</f>
        <v>4299.38467539301</v>
      </c>
      <c r="T50" s="265">
        <f>R50-R50*0.9/1.09*0.09</f>
        <v>4299.38467539303</v>
      </c>
      <c r="U50" s="240"/>
      <c r="V50" s="216" t="s">
        <v>1231</v>
      </c>
      <c r="W50" s="220">
        <f>(C11+(O11+P11)*AA40)/W47*10000</f>
        <v>14177.5624438262</v>
      </c>
      <c r="X50" s="220">
        <f>(D11+(O11+P11)*AA41)/X47*10000</f>
        <v>12132.6201978376</v>
      </c>
      <c r="Y50" s="291"/>
      <c r="Z50" s="293" t="s">
        <v>1232</v>
      </c>
      <c r="AA50" s="216" t="s">
        <v>1231</v>
      </c>
      <c r="AB50" s="220">
        <f t="shared" ref="AB50:AB56" si="21">W50</f>
        <v>14177.5624438262</v>
      </c>
      <c r="AC50" s="220">
        <f>预计销售收入及费用情况表!D7</f>
        <v>13500</v>
      </c>
      <c r="AD50" s="220">
        <f>预计销售收入及费用情况表!D20*10000</f>
        <v>80000</v>
      </c>
      <c r="AE50" s="220">
        <f>X50</f>
        <v>12132.6201978376</v>
      </c>
      <c r="AF50" s="220">
        <f>预计销售收入及费用情况表!D8</f>
        <v>11500</v>
      </c>
      <c r="AG50" s="220">
        <f>预计销售收入及费用情况表!D20*10000</f>
        <v>80000</v>
      </c>
      <c r="AH50" s="220">
        <f>B10</f>
        <v>9226.78477778992</v>
      </c>
      <c r="AI50" s="307"/>
    </row>
    <row r="51" s="139" customFormat="1" ht="45" customHeight="1" spans="2:35">
      <c r="B51" s="201" t="s">
        <v>1233</v>
      </c>
      <c r="C51" s="220">
        <f>C36</f>
        <v>5297.96411221519</v>
      </c>
      <c r="D51" s="220">
        <f t="shared" ref="D51:P51" si="22">D36</f>
        <v>5831.92414146759</v>
      </c>
      <c r="E51" s="220" t="e">
        <f t="shared" si="22"/>
        <v>#DIV/0!</v>
      </c>
      <c r="F51" s="220" t="e">
        <f t="shared" si="22"/>
        <v>#DIV/0!</v>
      </c>
      <c r="G51" s="220" t="e">
        <f t="shared" si="22"/>
        <v>#DIV/0!</v>
      </c>
      <c r="H51" s="220" t="e">
        <f t="shared" si="22"/>
        <v>#DIV/0!</v>
      </c>
      <c r="I51" s="220" t="e">
        <f t="shared" si="22"/>
        <v>#DIV/0!</v>
      </c>
      <c r="J51" s="220" t="e">
        <f t="shared" si="22"/>
        <v>#DIV/0!</v>
      </c>
      <c r="K51" s="220" t="e">
        <f t="shared" si="22"/>
        <v>#DIV/0!</v>
      </c>
      <c r="L51" s="220" t="e">
        <f t="shared" si="22"/>
        <v>#DIV/0!</v>
      </c>
      <c r="M51" s="220" t="e">
        <f t="shared" si="22"/>
        <v>#DIV/0!</v>
      </c>
      <c r="N51" s="220" t="e">
        <f t="shared" si="22"/>
        <v>#DIV/0!</v>
      </c>
      <c r="O51" s="220">
        <f t="shared" si="22"/>
        <v>3436.63401364166</v>
      </c>
      <c r="P51" s="220">
        <f t="shared" si="22"/>
        <v>3037.79677307203</v>
      </c>
      <c r="Q51" s="268" t="e">
        <f>((成本测算明细!I239-成本测算明细!I10)+(成本测算明细!AI239+成本测算明细!AK239)*#REF!)/Q47*10000</f>
        <v>#REF!</v>
      </c>
      <c r="R51" s="216">
        <f>((成本测算明细!K239-成本测算明细!K10)+(成本测算明细!AI239+成本测算明细!AK239)*Y51)/R47*10000</f>
        <v>5644.37738360241</v>
      </c>
      <c r="S51" s="265" t="e">
        <f>Q51-Q51*0.9/1.09*0.09</f>
        <v>#REF!</v>
      </c>
      <c r="T51" s="265">
        <f>R51-R51*0.9/1.09*0.09</f>
        <v>5224.93282573838</v>
      </c>
      <c r="V51" s="269" t="s">
        <v>1234</v>
      </c>
      <c r="W51" s="220">
        <f>C14/W47*10000</f>
        <v>4644.52853932446</v>
      </c>
      <c r="X51" s="220">
        <f>D14/X47*10000</f>
        <v>4644.52853932448</v>
      </c>
      <c r="Y51" s="294"/>
      <c r="Z51" s="293" t="s">
        <v>1232</v>
      </c>
      <c r="AA51" s="269" t="s">
        <v>1234</v>
      </c>
      <c r="AB51" s="220">
        <f t="shared" si="21"/>
        <v>4644.52853932446</v>
      </c>
      <c r="AC51" s="220">
        <f>C35</f>
        <v>4644.52853932446</v>
      </c>
      <c r="AD51" s="220"/>
      <c r="AE51" s="220">
        <f t="shared" ref="AE51:AE58" si="23">X51</f>
        <v>4644.52853932448</v>
      </c>
      <c r="AF51" s="220">
        <f>D35</f>
        <v>4644.52853932448</v>
      </c>
      <c r="AG51" s="220"/>
      <c r="AH51" s="220">
        <f>B35</f>
        <v>3181.1270066879</v>
      </c>
      <c r="AI51" s="308" t="s">
        <v>1235</v>
      </c>
    </row>
    <row r="52" s="139" customFormat="1" ht="25" customHeight="1" spans="2:35">
      <c r="B52" s="221" t="s">
        <v>1236</v>
      </c>
      <c r="C52" s="220">
        <f>成本测算明细!H19</f>
        <v>290.62345842466</v>
      </c>
      <c r="D52" s="220">
        <f>成本测算明细!J19</f>
        <v>355.814367744305</v>
      </c>
      <c r="E52" s="220"/>
      <c r="F52" s="220"/>
      <c r="G52" s="220"/>
      <c r="H52" s="220"/>
      <c r="I52" s="220"/>
      <c r="J52" s="220"/>
      <c r="K52" s="220"/>
      <c r="L52" s="220"/>
      <c r="M52" s="220"/>
      <c r="N52" s="220"/>
      <c r="O52" s="220">
        <f>成本测算明细!AH19</f>
        <v>279.62345842466</v>
      </c>
      <c r="P52" s="220">
        <f>成本测算明细!AJ19</f>
        <v>279.62345842466</v>
      </c>
      <c r="Q52" s="268"/>
      <c r="R52" s="216"/>
      <c r="S52" s="265"/>
      <c r="T52" s="265"/>
      <c r="V52" s="269" t="s">
        <v>1237</v>
      </c>
      <c r="W52" s="216">
        <f>(C15+(O15+P15)*X40)/W47*10000</f>
        <v>6761.50782696631</v>
      </c>
      <c r="X52" s="266">
        <f>(D15+(O15+P15)*X41)/X47*10000</f>
        <v>7198.39201879192</v>
      </c>
      <c r="Y52" s="294"/>
      <c r="Z52" s="293" t="s">
        <v>1232</v>
      </c>
      <c r="AA52" s="269" t="s">
        <v>1237</v>
      </c>
      <c r="AB52" s="216">
        <f t="shared" si="21"/>
        <v>6761.50782696631</v>
      </c>
      <c r="AC52" s="216">
        <f>C36</f>
        <v>5297.96411221519</v>
      </c>
      <c r="AD52" s="216">
        <f>(O15+P15)*X40/AD49*10000</f>
        <v>172801.043279386</v>
      </c>
      <c r="AE52" s="220">
        <f t="shared" si="23"/>
        <v>7198.39201879192</v>
      </c>
      <c r="AF52" s="220">
        <f>D36</f>
        <v>5831.92414146759</v>
      </c>
      <c r="AG52" s="266">
        <f>(O15+P15)*X41/AG49*10000</f>
        <v>172801.043279386</v>
      </c>
      <c r="AH52" s="266">
        <f>B36</f>
        <v>4734.42533031405</v>
      </c>
      <c r="AI52" s="309"/>
    </row>
    <row r="53" s="139" customFormat="1" ht="25" customHeight="1" spans="2:35">
      <c r="B53" s="221" t="s">
        <v>1238</v>
      </c>
      <c r="C53" s="220">
        <f>成本测算明细!H124</f>
        <v>4012.83790712462</v>
      </c>
      <c r="D53" s="220">
        <f>成本测算明细!J124</f>
        <v>4389.51793027894</v>
      </c>
      <c r="E53" s="220"/>
      <c r="F53" s="220"/>
      <c r="G53" s="220"/>
      <c r="H53" s="220"/>
      <c r="I53" s="220"/>
      <c r="J53" s="220"/>
      <c r="K53" s="220"/>
      <c r="L53" s="220"/>
      <c r="M53" s="220"/>
      <c r="N53" s="220"/>
      <c r="O53" s="220">
        <f>成本测算明细!AH124</f>
        <v>2877.74019708632</v>
      </c>
      <c r="P53" s="220">
        <f>成本测算明细!AJ124</f>
        <v>2699.27976627684</v>
      </c>
      <c r="Q53" s="268"/>
      <c r="R53" s="216"/>
      <c r="S53" s="265"/>
      <c r="T53" s="265"/>
      <c r="V53" s="270" t="s">
        <v>1236</v>
      </c>
      <c r="W53" s="216">
        <f>(成本测算明细!I19+成本测算明细!AE19*X40)/W47*10000</f>
        <v>422.273210407864</v>
      </c>
      <c r="X53" s="266">
        <f>(成本测算明细!K19+成本测算明细!AE19*X41)/X47*10000</f>
        <v>478.73188317592</v>
      </c>
      <c r="Y53" s="294"/>
      <c r="Z53" s="293" t="s">
        <v>1232</v>
      </c>
      <c r="AA53" s="270" t="s">
        <v>1239</v>
      </c>
      <c r="AB53" s="216">
        <f t="shared" si="21"/>
        <v>422.273210407864</v>
      </c>
      <c r="AC53" s="216">
        <f>成本测算明细!H19</f>
        <v>290.62345842466</v>
      </c>
      <c r="AD53" s="216">
        <f>成本测算明细!AE19*X40/AD49*10000</f>
        <v>15543.9255150903</v>
      </c>
      <c r="AE53" s="220">
        <f t="shared" si="23"/>
        <v>478.73188317592</v>
      </c>
      <c r="AF53" s="220">
        <f>成本测算明细!J19</f>
        <v>355.814367744305</v>
      </c>
      <c r="AG53" s="266">
        <f>成本测算明细!AE19*X41/AG49*10000</f>
        <v>15543.9255150903</v>
      </c>
      <c r="AH53" s="266">
        <f>成本测算明细!D19/AH48*10000</f>
        <v>305.925494305508</v>
      </c>
      <c r="AI53" s="309" t="s">
        <v>1240</v>
      </c>
    </row>
    <row r="54" s="139" customFormat="1" ht="25" customHeight="1" spans="2:35">
      <c r="B54" s="221" t="s">
        <v>1241</v>
      </c>
      <c r="C54" s="220">
        <f>成本测算明细!H194+成本测算明细!H220+成本测算明细!H238</f>
        <v>900.816159453038</v>
      </c>
      <c r="D54" s="220">
        <f>成本测算明细!J194+成本测算明细!J220+成本测算明细!J238</f>
        <v>893.653436165776</v>
      </c>
      <c r="E54" s="220"/>
      <c r="F54" s="220"/>
      <c r="G54" s="220"/>
      <c r="H54" s="220"/>
      <c r="I54" s="220"/>
      <c r="J54" s="220"/>
      <c r="K54" s="220"/>
      <c r="L54" s="220"/>
      <c r="M54" s="220"/>
      <c r="N54" s="220"/>
      <c r="O54" s="220">
        <f>成本测算明细!AH194+成本测算明细!AH220+成本测算明细!AH238</f>
        <v>265.270358130672</v>
      </c>
      <c r="P54" s="220">
        <f>成本测算明细!AJ194+成本测算明细!AJ220+成本测算明细!AJ238</f>
        <v>44.8935483705226</v>
      </c>
      <c r="Q54" s="268"/>
      <c r="R54" s="216"/>
      <c r="S54" s="265"/>
      <c r="T54" s="265"/>
      <c r="V54" s="270" t="s">
        <v>1238</v>
      </c>
      <c r="W54" s="216">
        <f>(成本测算明细!I124+成本测算明细!AE124*X40)/W47*10000</f>
        <v>5368.71669746218</v>
      </c>
      <c r="X54" s="266">
        <f>(成本测算明细!K124+成本测算明细!AE124*X41)/X47*10000</f>
        <v>5660.85387221161</v>
      </c>
      <c r="Y54" s="294"/>
      <c r="Z54" s="293" t="s">
        <v>1232</v>
      </c>
      <c r="AA54" s="270" t="s">
        <v>1238</v>
      </c>
      <c r="AB54" s="216">
        <f t="shared" si="21"/>
        <v>5368.71669746218</v>
      </c>
      <c r="AC54" s="216">
        <f>成本测算明细!H124</f>
        <v>4012.83790712462</v>
      </c>
      <c r="AD54" s="216">
        <f>成本测算明细!AE124*X40/AD49*10000</f>
        <v>160089.013515093</v>
      </c>
      <c r="AE54" s="220">
        <f t="shared" si="23"/>
        <v>5660.85387221161</v>
      </c>
      <c r="AF54" s="220">
        <f>成本测算明细!J124</f>
        <v>4389.51793027894</v>
      </c>
      <c r="AG54" s="266">
        <f>成本测算明细!AE124*X41/AG49*10000</f>
        <v>160089.013515093</v>
      </c>
      <c r="AH54" s="266">
        <f>成本测算明细!D124/AH48*10000</f>
        <v>3780.75300876458</v>
      </c>
      <c r="AI54" s="309"/>
    </row>
    <row r="55" s="139" customFormat="1" ht="25" customHeight="1" spans="2:35">
      <c r="B55" s="201" t="s">
        <v>1242</v>
      </c>
      <c r="C55" s="220">
        <f t="shared" ref="C55:P55" si="24">C38</f>
        <v>1046.58264329742</v>
      </c>
      <c r="D55" s="220">
        <f t="shared" si="24"/>
        <v>657.725800926564</v>
      </c>
      <c r="E55" s="220" t="e">
        <f t="shared" si="24"/>
        <v>#DIV/0!</v>
      </c>
      <c r="F55" s="220" t="e">
        <f t="shared" si="24"/>
        <v>#DIV/0!</v>
      </c>
      <c r="G55" s="220" t="e">
        <f t="shared" si="24"/>
        <v>#DIV/0!</v>
      </c>
      <c r="H55" s="220" t="e">
        <f t="shared" si="24"/>
        <v>#DIV/0!</v>
      </c>
      <c r="I55" s="220" t="e">
        <f t="shared" si="24"/>
        <v>#DIV/0!</v>
      </c>
      <c r="J55" s="220" t="e">
        <f t="shared" si="24"/>
        <v>#DIV/0!</v>
      </c>
      <c r="K55" s="220" t="e">
        <f t="shared" si="24"/>
        <v>#DIV/0!</v>
      </c>
      <c r="L55" s="220" t="e">
        <f t="shared" si="24"/>
        <v>#DIV/0!</v>
      </c>
      <c r="M55" s="220" t="e">
        <f t="shared" si="24"/>
        <v>#DIV/0!</v>
      </c>
      <c r="N55" s="220" t="e">
        <f t="shared" si="24"/>
        <v>#DIV/0!</v>
      </c>
      <c r="O55" s="220">
        <f t="shared" si="24"/>
        <v>169.810703304583</v>
      </c>
      <c r="P55" s="220">
        <f t="shared" si="24"/>
        <v>190.2802312893</v>
      </c>
      <c r="Q55" s="216" t="e">
        <f>(成本测算明细!I244+(成本测算明细!AI244+成本测算明细!AK244)*#REF!)/Q47*10000</f>
        <v>#REF!</v>
      </c>
      <c r="R55" s="216">
        <f>(成本测算明细!K244+(成本测算明细!AI244+成本测算明细!AK244)*Y51)/R47*10000</f>
        <v>657.725800926564</v>
      </c>
      <c r="S55" s="265" t="e">
        <f>Q55-Q55*0.5/1.06*0.06</f>
        <v>#REF!</v>
      </c>
      <c r="T55" s="265">
        <f>R55-R55*0.5/1.06*0.06</f>
        <v>639.110919768265</v>
      </c>
      <c r="V55" s="270" t="s">
        <v>1241</v>
      </c>
      <c r="W55" s="216">
        <f>(成本测算明细!I194+成本测算明细!I220+成本测算明细!I238+(成本测算明细!AE194+成本测算明细!AE220+成本测算明细!AE238)*X40)/W47*10000</f>
        <v>941.314229752237</v>
      </c>
      <c r="X55" s="266">
        <f>(成本测算明细!K194+成本测算明细!K220+成本测算明细!K238+(成本测算明细!AE194+成本测算明细!AE220+成本测算明细!AE238)*X41)/X47*10000</f>
        <v>931.465297608461</v>
      </c>
      <c r="Y55" s="294"/>
      <c r="Z55" s="293" t="s">
        <v>1232</v>
      </c>
      <c r="AA55" s="270" t="s">
        <v>1241</v>
      </c>
      <c r="AB55" s="216">
        <f t="shared" si="21"/>
        <v>941.314229752237</v>
      </c>
      <c r="AC55" s="216">
        <f>成本测算明细!H194+成本测算明细!H220+成本测算明细!H238</f>
        <v>900.816159453038</v>
      </c>
      <c r="AD55" s="216">
        <f>(成本测算明细!AE194+成本测算明细!AE220+成本测算明细!AE238)*X40/AD49*10000</f>
        <v>4781.61924920275</v>
      </c>
      <c r="AE55" s="220">
        <f t="shared" si="23"/>
        <v>931.465297608461</v>
      </c>
      <c r="AF55" s="220">
        <f>成本测算明细!J194+成本测算明细!J220+成本测算明细!J238</f>
        <v>893.653436165776</v>
      </c>
      <c r="AG55" s="266">
        <f>(成本测算明细!AE194+成本测算明细!AE220+成本测算明细!AE238)*X41/AG49*10000</f>
        <v>4781.61924920275</v>
      </c>
      <c r="AH55" s="266">
        <f>(成本测算明细!D194+成本测算明细!D220+成本测算明细!D238)/AH48*10000</f>
        <v>647.746827243951</v>
      </c>
      <c r="AI55" s="309"/>
    </row>
    <row r="56" s="139" customFormat="1" ht="34" customHeight="1" spans="2:35">
      <c r="B56" s="201" t="s">
        <v>1243</v>
      </c>
      <c r="C56" s="220">
        <f t="shared" ref="C56:P56" si="25">C39</f>
        <v>487.783611575152</v>
      </c>
      <c r="D56" s="220">
        <f t="shared" si="25"/>
        <v>415.519372823278</v>
      </c>
      <c r="E56" s="220" t="e">
        <f t="shared" si="25"/>
        <v>#DIV/0!</v>
      </c>
      <c r="F56" s="220" t="e">
        <f t="shared" si="25"/>
        <v>#DIV/0!</v>
      </c>
      <c r="G56" s="220" t="e">
        <f t="shared" si="25"/>
        <v>#DIV/0!</v>
      </c>
      <c r="H56" s="220" t="e">
        <f t="shared" si="25"/>
        <v>#DIV/0!</v>
      </c>
      <c r="I56" s="220" t="e">
        <f t="shared" si="25"/>
        <v>#DIV/0!</v>
      </c>
      <c r="J56" s="220" t="e">
        <f t="shared" si="25"/>
        <v>#DIV/0!</v>
      </c>
      <c r="K56" s="220" t="e">
        <f t="shared" si="25"/>
        <v>#DIV/0!</v>
      </c>
      <c r="L56" s="220" t="e">
        <f t="shared" si="25"/>
        <v>#DIV/0!</v>
      </c>
      <c r="M56" s="220" t="e">
        <f t="shared" si="25"/>
        <v>#DIV/0!</v>
      </c>
      <c r="N56" s="220" t="e">
        <f t="shared" si="25"/>
        <v>#DIV/0!</v>
      </c>
      <c r="O56" s="220">
        <f t="shared" si="25"/>
        <v>72.5369851429802</v>
      </c>
      <c r="P56" s="220">
        <f t="shared" si="25"/>
        <v>47.5692950713253</v>
      </c>
      <c r="Q56" s="216" t="e">
        <f>(税金计算表!S22+(税金计算表!S34+税金计算表!S35)*#REF!)/Q47*10000</f>
        <v>#REF!</v>
      </c>
      <c r="R56" s="216">
        <f>(税金计算表!S23+(税金计算表!S34+税金计算表!S35)*Y51)/R47*10000</f>
        <v>415.519372823278</v>
      </c>
      <c r="S56" s="265" t="e">
        <f>Q56</f>
        <v>#REF!</v>
      </c>
      <c r="T56" s="265">
        <f>R56</f>
        <v>415.519372823278</v>
      </c>
      <c r="U56" s="271"/>
      <c r="V56" s="272" t="s">
        <v>1242</v>
      </c>
      <c r="W56" s="216">
        <f>(C17+(O17+P17)*X40)/W47*10000</f>
        <v>1134.45875393979</v>
      </c>
      <c r="X56" s="266">
        <f>(D17+(O17+P17)*X41)/X47*10000</f>
        <v>739.773150224509</v>
      </c>
      <c r="Y56" s="294"/>
      <c r="Z56" s="293" t="s">
        <v>1232</v>
      </c>
      <c r="AA56" s="272" t="s">
        <v>1242</v>
      </c>
      <c r="AB56" s="216">
        <f t="shared" si="21"/>
        <v>1134.45875393979</v>
      </c>
      <c r="AC56" s="216">
        <f>成本测算明细!H244</f>
        <v>1046.58264329742</v>
      </c>
      <c r="AD56" s="216">
        <f>(O17+P17)*X40/AD49*10000</f>
        <v>10375.5586152194</v>
      </c>
      <c r="AE56" s="220">
        <f t="shared" si="23"/>
        <v>739.773150224509</v>
      </c>
      <c r="AF56" s="220">
        <f>D38</f>
        <v>657.725800926564</v>
      </c>
      <c r="AG56" s="266">
        <f>(O17+P17)*X41/AG49*10000</f>
        <v>10375.5586152194</v>
      </c>
      <c r="AH56" s="266">
        <f>AH57+AH58+AH59</f>
        <v>686.914220606116</v>
      </c>
      <c r="AI56" s="308" t="s">
        <v>1244</v>
      </c>
    </row>
    <row r="57" s="139" customFormat="1" ht="25" customHeight="1" spans="2:35">
      <c r="B57" s="201" t="s">
        <v>1245</v>
      </c>
      <c r="C57" s="220">
        <f t="shared" ref="C57:P57" si="26">C41</f>
        <v>419.232060547932</v>
      </c>
      <c r="D57" s="220">
        <f t="shared" si="26"/>
        <v>-50.5247187715606</v>
      </c>
      <c r="E57" s="220" t="e">
        <f t="shared" si="26"/>
        <v>#DIV/0!</v>
      </c>
      <c r="F57" s="220" t="e">
        <f t="shared" si="26"/>
        <v>#DIV/0!</v>
      </c>
      <c r="G57" s="220" t="e">
        <f t="shared" si="26"/>
        <v>#DIV/0!</v>
      </c>
      <c r="H57" s="220" t="e">
        <f t="shared" si="26"/>
        <v>#DIV/0!</v>
      </c>
      <c r="I57" s="220" t="e">
        <f t="shared" si="26"/>
        <v>#DIV/0!</v>
      </c>
      <c r="J57" s="220" t="e">
        <f t="shared" si="26"/>
        <v>#DIV/0!</v>
      </c>
      <c r="K57" s="220" t="e">
        <f t="shared" si="26"/>
        <v>#DIV/0!</v>
      </c>
      <c r="L57" s="220" t="e">
        <f t="shared" si="26"/>
        <v>#DIV/0!</v>
      </c>
      <c r="M57" s="220" t="e">
        <f t="shared" si="26"/>
        <v>#DIV/0!</v>
      </c>
      <c r="N57" s="220" t="e">
        <f t="shared" si="26"/>
        <v>#DIV/0!</v>
      </c>
      <c r="O57" s="220">
        <f t="shared" si="26"/>
        <v>-394.25128777754</v>
      </c>
      <c r="P57" s="220">
        <f t="shared" si="26"/>
        <v>-459.170946079512</v>
      </c>
      <c r="Q57" s="216" t="e">
        <f>(C20+(O20+P20)*#REF!)/Q47*10000</f>
        <v>#REF!</v>
      </c>
      <c r="R57" s="216">
        <f>(D20+(O20+P20)*Y51)/R47*10000</f>
        <v>-50.5247187715606</v>
      </c>
      <c r="S57" s="265" t="e">
        <f>Q57</f>
        <v>#REF!</v>
      </c>
      <c r="T57" s="265">
        <f>R57</f>
        <v>-50.5247187715606</v>
      </c>
      <c r="U57" s="271"/>
      <c r="V57" s="272" t="s">
        <v>1243</v>
      </c>
      <c r="W57" s="216">
        <f>(C18+(O18+P18)*X40)/W47*10000</f>
        <v>512.265378680131</v>
      </c>
      <c r="X57" s="266">
        <f>(D18+(O18+P18)*X41)/X47*10000</f>
        <v>438.377281331175</v>
      </c>
      <c r="Y57" s="294"/>
      <c r="Z57" s="293" t="s">
        <v>1232</v>
      </c>
      <c r="AA57" s="272" t="s">
        <v>1246</v>
      </c>
      <c r="AB57" s="216">
        <f>(成本测算明细!I243+成本测算明细!AE243*X40)/AB48*10000</f>
        <v>283.551248876523</v>
      </c>
      <c r="AC57" s="216">
        <f>成本测算明细!H243</f>
        <v>270</v>
      </c>
      <c r="AD57" s="216">
        <f>成本测算明细!AE243*AA40/AD49*10000</f>
        <v>1600</v>
      </c>
      <c r="AE57" s="220">
        <f>(成本测算明细!K243+成本测算明细!AE243*X41)/AE48*10000</f>
        <v>242.652403956752</v>
      </c>
      <c r="AF57" s="220">
        <f>成本测算明细!J243</f>
        <v>230</v>
      </c>
      <c r="AG57" s="266">
        <f>成本测算明细!AE243*X41/AG49*10000</f>
        <v>1600</v>
      </c>
      <c r="AH57" s="266">
        <f>成本测算明细!D243/AH48*10000</f>
        <v>184.535695555798</v>
      </c>
      <c r="AI57" s="308"/>
    </row>
    <row r="58" s="139" customFormat="1" ht="25" customHeight="1" spans="1:35">
      <c r="A58" s="222"/>
      <c r="B58" s="218" t="s">
        <v>1247</v>
      </c>
      <c r="C58" s="219">
        <f>C50+C51+C55+C56+C57</f>
        <v>11896.0909669602</v>
      </c>
      <c r="D58" s="219">
        <f t="shared" ref="D58:P58" si="27">D50+D51+D55+D56+D57</f>
        <v>11499.1731357703</v>
      </c>
      <c r="E58" s="219" t="e">
        <f t="shared" si="27"/>
        <v>#DIV/0!</v>
      </c>
      <c r="F58" s="219" t="e">
        <f t="shared" si="27"/>
        <v>#DIV/0!</v>
      </c>
      <c r="G58" s="219" t="e">
        <f t="shared" si="27"/>
        <v>#DIV/0!</v>
      </c>
      <c r="H58" s="219" t="e">
        <f t="shared" si="27"/>
        <v>#DIV/0!</v>
      </c>
      <c r="I58" s="219" t="e">
        <f t="shared" si="27"/>
        <v>#DIV/0!</v>
      </c>
      <c r="J58" s="219" t="e">
        <f t="shared" si="27"/>
        <v>#DIV/0!</v>
      </c>
      <c r="K58" s="219" t="e">
        <f t="shared" si="27"/>
        <v>#DIV/0!</v>
      </c>
      <c r="L58" s="219" t="e">
        <f t="shared" si="27"/>
        <v>#DIV/0!</v>
      </c>
      <c r="M58" s="219" t="e">
        <f t="shared" si="27"/>
        <v>#DIV/0!</v>
      </c>
      <c r="N58" s="219" t="e">
        <f t="shared" si="27"/>
        <v>#DIV/0!</v>
      </c>
      <c r="O58" s="219">
        <f t="shared" si="27"/>
        <v>3284.73041431168</v>
      </c>
      <c r="P58" s="219">
        <f t="shared" si="27"/>
        <v>2816.47535335314</v>
      </c>
      <c r="Q58" s="219" t="e">
        <f>SUM(Q50:Q57)</f>
        <v>#REF!</v>
      </c>
      <c r="R58" s="219">
        <f>SUM(R50:R57)</f>
        <v>11311.6263779052</v>
      </c>
      <c r="S58" s="265" t="e">
        <f>SUM(S50:S57)</f>
        <v>#REF!</v>
      </c>
      <c r="T58" s="265">
        <f>SUM(T50:T57)</f>
        <v>10528.4230749514</v>
      </c>
      <c r="U58" s="240"/>
      <c r="V58" s="269" t="s">
        <v>1245</v>
      </c>
      <c r="W58" s="216">
        <f>(C20+(O20+P20)*X40)/W47*10000</f>
        <v>208.472345871094</v>
      </c>
      <c r="X58" s="266">
        <f>(D20+(O20+P20)*X41)/X47*10000</f>
        <v>-247.304888053293</v>
      </c>
      <c r="Y58" s="294"/>
      <c r="Z58" s="293" t="s">
        <v>1232</v>
      </c>
      <c r="AA58" s="272" t="s">
        <v>1248</v>
      </c>
      <c r="AB58" s="216">
        <f>(成本测算明细!I242+成本测算明细!AE242*X40)/AB48*10000</f>
        <v>424.107260915898</v>
      </c>
      <c r="AC58" s="216">
        <f>成本测算明细!H242</f>
        <v>405</v>
      </c>
      <c r="AD58" s="216">
        <f>成本测算明细!AE242*X40/AD49*10000</f>
        <v>2256</v>
      </c>
      <c r="AE58" s="220">
        <f>(成本测算明细!K242+成本测算明细!AE242*X41)/AE48*10000</f>
        <v>57.3786519438693</v>
      </c>
      <c r="AF58" s="220">
        <f>成本测算明细!J242</f>
        <v>39.5387623648493</v>
      </c>
      <c r="AG58" s="266">
        <f>成本测算明细!AE242*X41/AG49*10000</f>
        <v>2256</v>
      </c>
      <c r="AH58" s="266">
        <f>成本测算明细!D242/AH48*10000</f>
        <v>203.735030465137</v>
      </c>
      <c r="AI58" s="308"/>
    </row>
    <row r="59" s="139" customFormat="1" ht="25" customHeight="1" spans="2:35">
      <c r="B59" s="215" t="s">
        <v>1249</v>
      </c>
      <c r="C59" s="216">
        <f>C49-C58</f>
        <v>1603.90903303985</v>
      </c>
      <c r="D59" s="216">
        <f t="shared" ref="D59:T59" si="28">D49-D58</f>
        <v>0.826864229653438</v>
      </c>
      <c r="E59" s="216" t="e">
        <f t="shared" si="28"/>
        <v>#DIV/0!</v>
      </c>
      <c r="F59" s="216" t="e">
        <f t="shared" si="28"/>
        <v>#DIV/0!</v>
      </c>
      <c r="G59" s="216" t="e">
        <f t="shared" si="28"/>
        <v>#DIV/0!</v>
      </c>
      <c r="H59" s="216" t="e">
        <f t="shared" si="28"/>
        <v>#DIV/0!</v>
      </c>
      <c r="I59" s="216" t="e">
        <f t="shared" si="28"/>
        <v>#DIV/0!</v>
      </c>
      <c r="J59" s="216" t="e">
        <f t="shared" si="28"/>
        <v>#DIV/0!</v>
      </c>
      <c r="K59" s="216" t="e">
        <f t="shared" si="28"/>
        <v>#DIV/0!</v>
      </c>
      <c r="L59" s="216" t="e">
        <f t="shared" si="28"/>
        <v>#DIV/0!</v>
      </c>
      <c r="M59" s="216" t="e">
        <f t="shared" si="28"/>
        <v>#DIV/0!</v>
      </c>
      <c r="N59" s="216" t="e">
        <f t="shared" si="28"/>
        <v>#DIV/0!</v>
      </c>
      <c r="O59" s="216">
        <f t="shared" si="28"/>
        <v>-1277.18182884765</v>
      </c>
      <c r="P59" s="216">
        <f t="shared" si="28"/>
        <v>-1499.93771612268</v>
      </c>
      <c r="Q59" s="216" t="e">
        <f t="shared" si="28"/>
        <v>#REF!</v>
      </c>
      <c r="R59" s="216">
        <f t="shared" si="28"/>
        <v>188.37362209483</v>
      </c>
      <c r="S59" s="265" t="e">
        <f t="shared" si="28"/>
        <v>#REF!</v>
      </c>
      <c r="T59" s="265">
        <f t="shared" si="28"/>
        <v>22.0356406449118</v>
      </c>
      <c r="V59" s="218" t="s">
        <v>1247</v>
      </c>
      <c r="W59" s="219">
        <f>W51+W52+W56+W57+W58</f>
        <v>13261.2328447818</v>
      </c>
      <c r="X59" s="219">
        <f>X51+X52+X56+X57+X58</f>
        <v>12773.7661016188</v>
      </c>
      <c r="Y59" s="295"/>
      <c r="Z59" s="293" t="s">
        <v>1232</v>
      </c>
      <c r="AA59" s="272" t="s">
        <v>1250</v>
      </c>
      <c r="AB59" s="216">
        <f>(AF79+AF81*X40)/AB48*10000</f>
        <v>373.551278872945</v>
      </c>
      <c r="AC59" s="216">
        <f>AF79/AC48*10000</f>
        <v>323.37946818501</v>
      </c>
      <c r="AD59" s="216">
        <f>AF81*X40/AD49*10000</f>
        <v>5923.80066458435</v>
      </c>
      <c r="AE59" s="220">
        <f>(AF80+AF81*X41)/AE48*10000</f>
        <v>548.46015249151</v>
      </c>
      <c r="AF59" s="220">
        <f>AF80/AF48*10000</f>
        <v>501.616203136762</v>
      </c>
      <c r="AG59" s="266">
        <f>AF81*X41/AG49*10000</f>
        <v>5923.80066458435</v>
      </c>
      <c r="AH59" s="266">
        <f>成本测算明细!D241/AH48*10000</f>
        <v>298.643494585181</v>
      </c>
      <c r="AI59" s="308"/>
    </row>
    <row r="60" s="139" customFormat="1" ht="25" customHeight="1" spans="2:35">
      <c r="B60" s="215" t="s">
        <v>1251</v>
      </c>
      <c r="C60" s="216">
        <f>C42</f>
        <v>1257.69618164379</v>
      </c>
      <c r="D60" s="216">
        <f t="shared" ref="D60:P60" si="29">D42</f>
        <v>-151.574156314682</v>
      </c>
      <c r="E60" s="216" t="e">
        <f t="shared" si="29"/>
        <v>#DIV/0!</v>
      </c>
      <c r="F60" s="216" t="e">
        <f t="shared" si="29"/>
        <v>#DIV/0!</v>
      </c>
      <c r="G60" s="216" t="e">
        <f t="shared" si="29"/>
        <v>#DIV/0!</v>
      </c>
      <c r="H60" s="216" t="e">
        <f t="shared" si="29"/>
        <v>#DIV/0!</v>
      </c>
      <c r="I60" s="216" t="e">
        <f t="shared" si="29"/>
        <v>#DIV/0!</v>
      </c>
      <c r="J60" s="216" t="e">
        <f t="shared" si="29"/>
        <v>#DIV/0!</v>
      </c>
      <c r="K60" s="216" t="e">
        <f t="shared" si="29"/>
        <v>#DIV/0!</v>
      </c>
      <c r="L60" s="216" t="e">
        <f t="shared" si="29"/>
        <v>#DIV/0!</v>
      </c>
      <c r="M60" s="216" t="e">
        <f t="shared" si="29"/>
        <v>#DIV/0!</v>
      </c>
      <c r="N60" s="216" t="e">
        <f t="shared" si="29"/>
        <v>#DIV/0!</v>
      </c>
      <c r="O60" s="216">
        <f t="shared" si="29"/>
        <v>-1182.75386333262</v>
      </c>
      <c r="P60" s="216">
        <f t="shared" si="29"/>
        <v>-1377.51283823853</v>
      </c>
      <c r="Q60" s="216"/>
      <c r="R60" s="216"/>
      <c r="S60" s="273"/>
      <c r="T60" s="273"/>
      <c r="V60" s="215" t="s">
        <v>1252</v>
      </c>
      <c r="W60" s="216">
        <f>W50-W59</f>
        <v>916.329599044411</v>
      </c>
      <c r="X60" s="216">
        <f>X50-X59</f>
        <v>-641.145903781195</v>
      </c>
      <c r="Y60" s="294"/>
      <c r="Z60" s="293" t="s">
        <v>1232</v>
      </c>
      <c r="AA60" s="296" t="s">
        <v>1253</v>
      </c>
      <c r="AB60" s="282">
        <f>AB57+AB58+AB59</f>
        <v>1081.20978866537</v>
      </c>
      <c r="AC60" s="282">
        <f t="shared" ref="AB60:AG60" si="30">AC57+AC58+AC59</f>
        <v>998.37946818501</v>
      </c>
      <c r="AD60" s="282">
        <f t="shared" si="30"/>
        <v>9779.80066458435</v>
      </c>
      <c r="AE60" s="282">
        <f t="shared" si="30"/>
        <v>848.491208392131</v>
      </c>
      <c r="AF60" s="282">
        <f t="shared" si="30"/>
        <v>771.154965501612</v>
      </c>
      <c r="AG60" s="282">
        <f t="shared" si="30"/>
        <v>9779.80066458435</v>
      </c>
      <c r="AH60" s="282">
        <f>AH56</f>
        <v>686.914220606116</v>
      </c>
      <c r="AI60" s="310"/>
    </row>
    <row r="61" ht="25" customHeight="1" spans="2:35">
      <c r="B61" s="223" t="s">
        <v>5</v>
      </c>
      <c r="C61" s="140"/>
      <c r="D61" s="140"/>
      <c r="E61" s="140"/>
      <c r="F61" s="140"/>
      <c r="G61" s="140"/>
      <c r="H61" s="140"/>
      <c r="I61" s="140"/>
      <c r="J61" s="140"/>
      <c r="K61" s="140"/>
      <c r="L61" s="140"/>
      <c r="M61" s="140"/>
      <c r="N61" s="140"/>
      <c r="O61" s="223" t="s">
        <v>1254</v>
      </c>
      <c r="P61" s="223"/>
      <c r="Q61" s="274" t="s">
        <v>1155</v>
      </c>
      <c r="R61" s="274" t="s">
        <v>1155</v>
      </c>
      <c r="V61" s="215" t="s">
        <v>1255</v>
      </c>
      <c r="W61" s="275">
        <f>W60-(W50/1.09*0.09-(W51+W52)*0.9/1.09*0.09-W56*0.5/1.06*0.06)</f>
        <v>625.417037613337</v>
      </c>
      <c r="X61" s="275">
        <f>X60-(X50/1.09*0.09-(X51+X52)*0.9/1.09*0.09-X56*0.5/1.06*0.06)</f>
        <v>-741.914664159844</v>
      </c>
      <c r="Y61" s="294"/>
      <c r="Z61" s="293" t="s">
        <v>1232</v>
      </c>
      <c r="AA61" s="272" t="s">
        <v>1243</v>
      </c>
      <c r="AB61" s="216">
        <f>W57</f>
        <v>512.265378680131</v>
      </c>
      <c r="AC61" s="216">
        <f>C39</f>
        <v>487.783611575152</v>
      </c>
      <c r="AD61" s="216">
        <f>(O18+P18)*X40/AD49*10000</f>
        <v>2890.56955007498</v>
      </c>
      <c r="AE61" s="220">
        <f>X57</f>
        <v>438.377281331175</v>
      </c>
      <c r="AF61" s="220">
        <f>D39</f>
        <v>415.519372823278</v>
      </c>
      <c r="AG61" s="266">
        <f>(O18+P18)*X41/AG49*10000</f>
        <v>2890.56955007498</v>
      </c>
      <c r="AH61" s="266">
        <f>B39</f>
        <v>333.383289047185</v>
      </c>
      <c r="AI61" s="309"/>
    </row>
    <row r="62" ht="25" customHeight="1" spans="2:35">
      <c r="B62" t="s">
        <v>1256</v>
      </c>
      <c r="C62" s="138">
        <f>C49/1.09*0.09-(C50+C51)*0.9/1.09*0.09-C55*0.5/1.06*0.06</f>
        <v>346.212851396036</v>
      </c>
      <c r="D62" s="138">
        <f t="shared" ref="D62:P62" si="31">D49/1.09*0.09-(D50+D51)*0.9/1.09*0.09-D55*0.5/1.06*0.06</f>
        <v>152.401020544309</v>
      </c>
      <c r="E62" s="138" t="e">
        <f t="shared" si="31"/>
        <v>#DIV/0!</v>
      </c>
      <c r="F62" s="138" t="e">
        <f t="shared" si="31"/>
        <v>#DIV/0!</v>
      </c>
      <c r="G62" s="138" t="e">
        <f t="shared" si="31"/>
        <v>#DIV/0!</v>
      </c>
      <c r="H62" s="138" t="e">
        <f t="shared" si="31"/>
        <v>#DIV/0!</v>
      </c>
      <c r="I62" s="138" t="e">
        <f t="shared" si="31"/>
        <v>#DIV/0!</v>
      </c>
      <c r="J62" s="138" t="e">
        <f t="shared" si="31"/>
        <v>#DIV/0!</v>
      </c>
      <c r="K62" s="138" t="e">
        <f t="shared" si="31"/>
        <v>#DIV/0!</v>
      </c>
      <c r="L62" s="138" t="e">
        <f t="shared" si="31"/>
        <v>#DIV/0!</v>
      </c>
      <c r="M62" s="138" t="e">
        <f t="shared" si="31"/>
        <v>#DIV/0!</v>
      </c>
      <c r="N62" s="138" t="e">
        <f t="shared" si="31"/>
        <v>#DIV/0!</v>
      </c>
      <c r="O62" s="138">
        <f t="shared" si="31"/>
        <v>-94.4279655150285</v>
      </c>
      <c r="P62" s="138">
        <f t="shared" si="31"/>
        <v>-122.424877884143</v>
      </c>
      <c r="R62"/>
      <c r="V62" s="218" t="s">
        <v>1257</v>
      </c>
      <c r="W62" s="276">
        <f>W61*W47/10000</f>
        <v>1978.99712544728</v>
      </c>
      <c r="X62" s="276">
        <f>X61*X47/10000</f>
        <v>-1238.43956931949</v>
      </c>
      <c r="Y62" s="295">
        <f>SUM(W62:X62)</f>
        <v>740.557556127791</v>
      </c>
      <c r="Z62" s="139" t="s">
        <v>67</v>
      </c>
      <c r="AA62" s="269" t="s">
        <v>1245</v>
      </c>
      <c r="AB62" s="216">
        <f>W58</f>
        <v>208.472345871094</v>
      </c>
      <c r="AC62" s="216">
        <f>C41</f>
        <v>419.232060547932</v>
      </c>
      <c r="AD62" s="216">
        <f>(O20+P20)*X40/AD49*10000</f>
        <v>-24884.4624252419</v>
      </c>
      <c r="AE62" s="220">
        <f>X58</f>
        <v>-247.304888053293</v>
      </c>
      <c r="AF62" s="220">
        <f>D41</f>
        <v>-50.5247187715606</v>
      </c>
      <c r="AG62" s="266">
        <f>(O20+P20)*X41/AG49*10000</f>
        <v>-24884.4624252419</v>
      </c>
      <c r="AH62" s="266">
        <f>B41</f>
        <v>34.9793985289936</v>
      </c>
      <c r="AI62" s="309"/>
    </row>
    <row r="63" ht="25" customHeight="1" spans="2:35">
      <c r="B63" t="s">
        <v>1258</v>
      </c>
      <c r="C63" s="138">
        <f>C59-C60-C62</f>
        <v>1.60866875376087e-11</v>
      </c>
      <c r="D63" s="138">
        <f t="shared" ref="D63:P63" si="32">D59-D60-D62</f>
        <v>2.64321897702757e-11</v>
      </c>
      <c r="E63" s="138" t="e">
        <f t="shared" si="32"/>
        <v>#DIV/0!</v>
      </c>
      <c r="F63" s="138" t="e">
        <f t="shared" si="32"/>
        <v>#DIV/0!</v>
      </c>
      <c r="G63" s="138" t="e">
        <f t="shared" si="32"/>
        <v>#DIV/0!</v>
      </c>
      <c r="H63" s="138" t="e">
        <f t="shared" si="32"/>
        <v>#DIV/0!</v>
      </c>
      <c r="I63" s="138" t="e">
        <f t="shared" si="32"/>
        <v>#DIV/0!</v>
      </c>
      <c r="J63" s="138" t="e">
        <f t="shared" si="32"/>
        <v>#DIV/0!</v>
      </c>
      <c r="K63" s="138" t="e">
        <f t="shared" si="32"/>
        <v>#DIV/0!</v>
      </c>
      <c r="L63" s="138" t="e">
        <f t="shared" si="32"/>
        <v>#DIV/0!</v>
      </c>
      <c r="M63" s="138" t="e">
        <f t="shared" si="32"/>
        <v>#DIV/0!</v>
      </c>
      <c r="N63" s="138" t="e">
        <f t="shared" si="32"/>
        <v>#DIV/0!</v>
      </c>
      <c r="O63" s="138">
        <f t="shared" si="32"/>
        <v>4.54747350886464e-13</v>
      </c>
      <c r="P63" s="138">
        <f t="shared" si="32"/>
        <v>-1.90425453183707e-12</v>
      </c>
      <c r="R63"/>
      <c r="V63" s="218" t="s">
        <v>37</v>
      </c>
      <c r="W63" s="277">
        <f>W61/(W50/1.09)</f>
        <v>0.0480833411032088</v>
      </c>
      <c r="X63" s="277">
        <f>X61/(X50/1.09)</f>
        <v>-0.0666539437275356</v>
      </c>
      <c r="Y63" s="295"/>
      <c r="AA63" s="218" t="s">
        <v>1247</v>
      </c>
      <c r="AB63" s="219">
        <f t="shared" ref="AB63:AG63" si="33">AB51+AB52+AB56+AB61+AB62</f>
        <v>13261.2328447818</v>
      </c>
      <c r="AC63" s="219">
        <f t="shared" si="33"/>
        <v>11896.0909669602</v>
      </c>
      <c r="AD63" s="219">
        <f t="shared" si="33"/>
        <v>161182.709019439</v>
      </c>
      <c r="AE63" s="219">
        <f t="shared" si="33"/>
        <v>12773.7661016188</v>
      </c>
      <c r="AF63" s="219">
        <f t="shared" si="33"/>
        <v>11499.1731357703</v>
      </c>
      <c r="AG63" s="219">
        <f t="shared" si="33"/>
        <v>161182.709019439</v>
      </c>
      <c r="AH63" s="219">
        <f>AH51+AH52+AH56+AH62+AH61</f>
        <v>8970.82924518424</v>
      </c>
      <c r="AI63" s="311"/>
    </row>
    <row r="64" ht="25" customHeight="1" spans="3:35">
      <c r="C64" s="138"/>
      <c r="D64" s="138"/>
      <c r="E64" s="138"/>
      <c r="F64" s="138"/>
      <c r="G64" s="138"/>
      <c r="H64" s="138"/>
      <c r="I64" s="138"/>
      <c r="J64" s="138"/>
      <c r="K64" s="138"/>
      <c r="L64" s="138"/>
      <c r="M64" s="138"/>
      <c r="N64" s="138"/>
      <c r="O64" s="138"/>
      <c r="P64" s="138"/>
      <c r="R64"/>
      <c r="U64" s="278" t="s">
        <v>1258</v>
      </c>
      <c r="V64" s="279"/>
      <c r="W64" s="280"/>
      <c r="X64" s="280"/>
      <c r="Y64" s="297"/>
      <c r="AA64" s="215" t="s">
        <v>1252</v>
      </c>
      <c r="AB64" s="216">
        <f>AB50-AB63</f>
        <v>916.329599044411</v>
      </c>
      <c r="AC64" s="216">
        <f t="shared" ref="AB64:AH64" si="34">AC50-AC63</f>
        <v>1603.90903303985</v>
      </c>
      <c r="AD64" s="216">
        <f t="shared" si="34"/>
        <v>-81182.7090194385</v>
      </c>
      <c r="AE64" s="216">
        <f t="shared" si="34"/>
        <v>-641.145903781195</v>
      </c>
      <c r="AF64" s="216">
        <f t="shared" si="34"/>
        <v>0.826864229653438</v>
      </c>
      <c r="AG64" s="216">
        <f t="shared" si="34"/>
        <v>-81182.7090194386</v>
      </c>
      <c r="AH64" s="216">
        <f t="shared" si="34"/>
        <v>255.955532605678</v>
      </c>
      <c r="AI64" s="309"/>
    </row>
    <row r="65" ht="25" customHeight="1" spans="3:35">
      <c r="C65" s="138"/>
      <c r="D65" s="138"/>
      <c r="E65" s="138"/>
      <c r="F65" s="138"/>
      <c r="G65" s="138"/>
      <c r="H65" s="138"/>
      <c r="I65" s="138"/>
      <c r="J65" s="138"/>
      <c r="K65" s="138"/>
      <c r="L65" s="138"/>
      <c r="M65" s="138"/>
      <c r="N65" s="138"/>
      <c r="O65" s="138"/>
      <c r="P65" s="138"/>
      <c r="R65"/>
      <c r="V65" s="317"/>
      <c r="W65" s="293"/>
      <c r="X65" s="293"/>
      <c r="Y65" s="318"/>
      <c r="Z65" s="319"/>
      <c r="AA65" s="215" t="s">
        <v>1255</v>
      </c>
      <c r="AB65" s="275">
        <f>AB64-(AB50/1.09*0.09-(AB51+AB52)*0.9/1.09*0.09-AB56*0.5/1.06*0.06)</f>
        <v>625.417037613337</v>
      </c>
      <c r="AC65" s="275">
        <f>AC64-(AC50/1.09*0.09-(AC51+AC52)*0.9/1.09*0.09-AC56*0.5/1.06*0.06)</f>
        <v>1257.69618164381</v>
      </c>
      <c r="AD65" s="275">
        <f t="shared" ref="AB65:AH65" si="35">AD64-(AD50/1.09*0.09-(AD51+AD52)*0.9/1.09*0.09-AD56*0.5/1.06*0.06)</f>
        <v>-74653.3872757257</v>
      </c>
      <c r="AE65" s="275">
        <f t="shared" si="35"/>
        <v>-741.914664159844</v>
      </c>
      <c r="AF65" s="275">
        <f t="shared" si="35"/>
        <v>-151.574156314655</v>
      </c>
      <c r="AG65" s="275">
        <f t="shared" si="35"/>
        <v>-74653.3872757258</v>
      </c>
      <c r="AH65" s="275">
        <f t="shared" si="35"/>
        <v>101.771830742815</v>
      </c>
      <c r="AI65" s="309"/>
    </row>
    <row r="66" ht="25" customHeight="1" spans="3:35">
      <c r="C66" s="138"/>
      <c r="O66" s="316"/>
      <c r="P66" s="316"/>
      <c r="R66"/>
      <c r="V66" s="139" t="s">
        <v>1259</v>
      </c>
      <c r="W66" s="240">
        <f>C21+(O21+P21)*X40</f>
        <v>1978.99712544711</v>
      </c>
      <c r="X66" s="240">
        <f>D21+(O21+P21)*X41</f>
        <v>-1238.43956931955</v>
      </c>
      <c r="Y66" s="138">
        <f>SUM(W66:X66)</f>
        <v>740.557556127557</v>
      </c>
      <c r="AA66" s="218" t="s">
        <v>1257</v>
      </c>
      <c r="AB66" s="320">
        <f>AB65*AB48/10000</f>
        <v>1978.99712544728</v>
      </c>
      <c r="AC66" s="276">
        <f>AC65*AC48/10000</f>
        <v>3979.7079044366</v>
      </c>
      <c r="AD66" s="276">
        <f>AD65*AD49/10000</f>
        <v>-2000.71077898945</v>
      </c>
      <c r="AE66" s="320">
        <f>AE65*AE48/10000</f>
        <v>-1238.43956931949</v>
      </c>
      <c r="AF66" s="276">
        <f>AF65*AF48/10000</f>
        <v>-253.014857279926</v>
      </c>
      <c r="AG66" s="276">
        <f>AG65*AG49/10000</f>
        <v>-985.42471203958</v>
      </c>
      <c r="AH66" s="276">
        <f>AH65*AH48/10000</f>
        <v>718.212256614</v>
      </c>
      <c r="AI66" s="311">
        <f>AB66+AE66</f>
        <v>740.557556127791</v>
      </c>
    </row>
    <row r="67" ht="25" customHeight="1" spans="3:35">
      <c r="C67" s="138"/>
      <c r="O67" s="316"/>
      <c r="P67" s="316"/>
      <c r="R67"/>
      <c r="V67" s="139" t="s">
        <v>1260</v>
      </c>
      <c r="W67" s="240">
        <f>W66/W47*10000</f>
        <v>625.417037613282</v>
      </c>
      <c r="X67" s="240">
        <f>X66/X47*10000</f>
        <v>-741.914664159878</v>
      </c>
      <c r="AA67" s="218" t="s">
        <v>37</v>
      </c>
      <c r="AB67" s="321">
        <f>AB65/(AB50/1.09)</f>
        <v>0.0480833411032088</v>
      </c>
      <c r="AC67" s="277">
        <f t="shared" ref="AB67:AH67" si="36">AC65/(AC50/1.09)</f>
        <v>0.101547321332722</v>
      </c>
      <c r="AD67" s="277">
        <f t="shared" si="36"/>
        <v>-1.01715240163176</v>
      </c>
      <c r="AE67" s="321">
        <f t="shared" si="36"/>
        <v>-0.0666539437275356</v>
      </c>
      <c r="AF67" s="277">
        <f t="shared" si="36"/>
        <v>-0.0143665939463456</v>
      </c>
      <c r="AG67" s="277">
        <f t="shared" si="36"/>
        <v>-1.01715240163176</v>
      </c>
      <c r="AH67" s="277">
        <f t="shared" si="36"/>
        <v>0.0120227466209784</v>
      </c>
      <c r="AI67" s="311"/>
    </row>
    <row r="68" ht="25" customHeight="1" spans="15:35">
      <c r="O68" s="316"/>
      <c r="P68" s="316"/>
      <c r="R68"/>
      <c r="AA68" s="322" t="s">
        <v>1261</v>
      </c>
      <c r="AB68" s="323">
        <f>AB51+AB52+AB60+AB61+AB62</f>
        <v>13207.9838795074</v>
      </c>
      <c r="AC68" s="323">
        <f t="shared" ref="AB68:AH68" si="37">AC51+AC52+AC60+AC61+AC62</f>
        <v>11847.8877918477</v>
      </c>
      <c r="AD68" s="323">
        <f t="shared" si="37"/>
        <v>160586.951068804</v>
      </c>
      <c r="AE68" s="323">
        <f t="shared" si="37"/>
        <v>12882.4841597864</v>
      </c>
      <c r="AF68" s="323">
        <f t="shared" si="37"/>
        <v>11612.6023003454</v>
      </c>
      <c r="AG68" s="323">
        <f t="shared" si="37"/>
        <v>160586.951068804</v>
      </c>
      <c r="AH68" s="323">
        <f t="shared" si="37"/>
        <v>8970.82924518424</v>
      </c>
      <c r="AI68" s="331"/>
    </row>
    <row r="69" ht="25" customHeight="1" spans="15:35">
      <c r="O69" s="316"/>
      <c r="P69" s="316"/>
      <c r="R69"/>
      <c r="V69" s="139" t="s">
        <v>1262</v>
      </c>
      <c r="W69" s="240">
        <f>W50/1.09*0.09</f>
        <v>1170.6244219673</v>
      </c>
      <c r="X69" s="240">
        <f>X50/1.09*0.09</f>
        <v>1001.77597963797</v>
      </c>
      <c r="AA69" s="322" t="s">
        <v>1252</v>
      </c>
      <c r="AB69" s="323">
        <f t="shared" ref="AB69:AG69" si="38">AB50-AB68</f>
        <v>969.578564318836</v>
      </c>
      <c r="AC69" s="323">
        <f t="shared" si="38"/>
        <v>1652.11220815226</v>
      </c>
      <c r="AD69" s="323">
        <f t="shared" si="38"/>
        <v>-80586.9510688035</v>
      </c>
      <c r="AE69" s="323">
        <f t="shared" si="38"/>
        <v>-749.863961948815</v>
      </c>
      <c r="AF69" s="323">
        <f t="shared" si="38"/>
        <v>-112.602300345394</v>
      </c>
      <c r="AG69" s="323">
        <f t="shared" si="38"/>
        <v>-80586.9510688036</v>
      </c>
      <c r="AH69" s="323">
        <f>AH64</f>
        <v>255.955532605678</v>
      </c>
      <c r="AI69" s="331"/>
    </row>
    <row r="70" ht="25" customHeight="1" spans="15:35">
      <c r="O70" s="316"/>
      <c r="P70" s="316"/>
      <c r="R70"/>
      <c r="V70" s="139" t="s">
        <v>1263</v>
      </c>
      <c r="W70" s="240">
        <f>(W51+W52)*0.9/1.09*0.09</f>
        <v>847.604537311516</v>
      </c>
      <c r="X70" s="240">
        <f>(X51+X52)*0.9/1.09*0.09</f>
        <v>880.070243309567</v>
      </c>
      <c r="AA70" s="322" t="s">
        <v>1255</v>
      </c>
      <c r="AB70" s="323">
        <f t="shared" ref="AB70:AG70" si="39">AB69-(AB50/1.09*0.09-(AB51+AB52)*0.9/1.09*0.09-AB60*0.5/1.06*0.06)</f>
        <v>677.15895670075</v>
      </c>
      <c r="AC70" s="323">
        <f t="shared" si="39"/>
        <v>1304.53511595115</v>
      </c>
      <c r="AD70" s="323">
        <f t="shared" si="39"/>
        <v>-74074.4903991653</v>
      </c>
      <c r="AE70" s="323">
        <f t="shared" si="39"/>
        <v>-847.555796152909</v>
      </c>
      <c r="AF70" s="323">
        <f t="shared" si="39"/>
        <v>-261.793061514937</v>
      </c>
      <c r="AG70" s="323">
        <f t="shared" si="39"/>
        <v>-74074.4903991653</v>
      </c>
      <c r="AH70" s="323">
        <f>AH65</f>
        <v>101.771830742815</v>
      </c>
      <c r="AI70" s="331"/>
    </row>
    <row r="71" ht="25" customHeight="1" spans="3:35">
      <c r="C71" s="138"/>
      <c r="D71" s="138"/>
      <c r="E71" s="138"/>
      <c r="F71" s="138"/>
      <c r="G71" s="138"/>
      <c r="H71" s="138"/>
      <c r="I71" s="138"/>
      <c r="J71" s="138"/>
      <c r="K71" s="138"/>
      <c r="L71" s="138"/>
      <c r="M71" s="138"/>
      <c r="N71" s="138"/>
      <c r="O71" s="138"/>
      <c r="P71" s="138"/>
      <c r="Q71" s="138"/>
      <c r="V71" s="139" t="s">
        <v>1264</v>
      </c>
      <c r="W71" s="240">
        <f>W56*0.5/1.06*0.06</f>
        <v>32.1073232247111</v>
      </c>
      <c r="X71" s="240">
        <f>X56*0.5/1.06*0.06</f>
        <v>20.9369759497503</v>
      </c>
      <c r="AA71" s="322" t="s">
        <v>1257</v>
      </c>
      <c r="AB71" s="324">
        <f>AB70*AB48/10000</f>
        <v>2142.72325214488</v>
      </c>
      <c r="AC71" s="324">
        <f>AC70*AC48/10000</f>
        <v>4127.91959484238</v>
      </c>
      <c r="AD71" s="324">
        <f>AD70*AD49/10000</f>
        <v>-1985.19634269763</v>
      </c>
      <c r="AE71" s="323">
        <f>AE70*AE48/10000</f>
        <v>-1414.78081761665</v>
      </c>
      <c r="AF71" s="323">
        <f>AF70*AF48/10000</f>
        <v>-436.997544347686</v>
      </c>
      <c r="AG71" s="324">
        <f>AG70*AG49/10000</f>
        <v>-977.783273268982</v>
      </c>
      <c r="AH71" s="323">
        <f>AH66</f>
        <v>718.212256614</v>
      </c>
      <c r="AI71" s="332">
        <f>AB71+AE71</f>
        <v>727.942434528225</v>
      </c>
    </row>
    <row r="72" ht="25" customHeight="1" spans="2:35">
      <c r="B72" s="312"/>
      <c r="C72" s="313"/>
      <c r="D72" s="313"/>
      <c r="E72" s="313"/>
      <c r="F72" s="313"/>
      <c r="G72" s="313"/>
      <c r="H72" s="313"/>
      <c r="I72" s="313"/>
      <c r="J72" s="313"/>
      <c r="K72" s="313"/>
      <c r="L72" s="313"/>
      <c r="M72" s="313"/>
      <c r="N72" s="313"/>
      <c r="O72" s="313"/>
      <c r="P72" s="313"/>
      <c r="V72" s="222" t="s">
        <v>1265</v>
      </c>
      <c r="W72" s="240">
        <f>W69-W70-W71</f>
        <v>290.912561431073</v>
      </c>
      <c r="X72" s="240">
        <f>X69-X70-X71</f>
        <v>100.768760378652</v>
      </c>
      <c r="AA72" s="322" t="s">
        <v>37</v>
      </c>
      <c r="AB72" s="325">
        <f>AB70/(AB50/1.09)</f>
        <v>0.0520613656775135</v>
      </c>
      <c r="AC72" s="325">
        <f t="shared" ref="AC72:AH72" si="40">AC70/(AC50/1.09)</f>
        <v>0.105329131584204</v>
      </c>
      <c r="AD72" s="325">
        <f t="shared" si="40"/>
        <v>-1.00926493168863</v>
      </c>
      <c r="AE72" s="325">
        <f t="shared" si="40"/>
        <v>-0.0761447900570831</v>
      </c>
      <c r="AF72" s="325">
        <f t="shared" si="40"/>
        <v>-0.0248134293088071</v>
      </c>
      <c r="AG72" s="325">
        <f t="shared" si="40"/>
        <v>-1.00926493168863</v>
      </c>
      <c r="AH72" s="325">
        <f t="shared" si="40"/>
        <v>0.0120227466209784</v>
      </c>
      <c r="AI72" s="333"/>
    </row>
    <row r="73" ht="25" customHeight="1" spans="2:34">
      <c r="B73" s="314"/>
      <c r="C73" s="150"/>
      <c r="D73" s="150"/>
      <c r="V73" s="139" t="s">
        <v>1255</v>
      </c>
      <c r="W73" s="240">
        <f>W60-W72</f>
        <v>625.417037613338</v>
      </c>
      <c r="X73" s="240">
        <f>X60-X72</f>
        <v>-741.914664159847</v>
      </c>
      <c r="AB73" s="138"/>
      <c r="AC73" s="138"/>
      <c r="AD73" s="138"/>
      <c r="AE73" s="138"/>
      <c r="AF73" s="138"/>
      <c r="AG73" s="138"/>
      <c r="AH73" s="138"/>
    </row>
    <row r="74" ht="32" customHeight="1" spans="3:28">
      <c r="C74" s="315"/>
      <c r="D74" s="315"/>
      <c r="AA74" t="s">
        <v>1266</v>
      </c>
      <c r="AB74" s="138">
        <f>项目资金筹措!C19</f>
        <v>2107.55192869767</v>
      </c>
    </row>
    <row r="75" ht="32" customHeight="1" spans="3:28">
      <c r="C75" s="313"/>
      <c r="D75" s="313"/>
      <c r="AA75" t="s">
        <v>1267</v>
      </c>
      <c r="AB75" s="138">
        <f>273.4</f>
        <v>273.4</v>
      </c>
    </row>
    <row r="76" ht="32" customHeight="1" spans="3:28">
      <c r="C76" s="313"/>
      <c r="D76" s="313"/>
      <c r="AA76" t="s">
        <v>1268</v>
      </c>
      <c r="AB76" s="138">
        <f>AB74-AB75</f>
        <v>1834.15192869767</v>
      </c>
    </row>
    <row r="77" ht="32" customHeight="1" spans="27:32">
      <c r="AA77" s="140"/>
      <c r="AB77" s="140"/>
      <c r="AC77" s="140" t="s">
        <v>1269</v>
      </c>
      <c r="AD77" s="140" t="s">
        <v>1270</v>
      </c>
      <c r="AE77" s="140" t="s">
        <v>1271</v>
      </c>
      <c r="AF77" s="140" t="s">
        <v>1272</v>
      </c>
    </row>
    <row r="78" ht="32" customHeight="1" spans="27:33">
      <c r="AA78" s="140" t="s">
        <v>1273</v>
      </c>
      <c r="AB78" s="326">
        <f>成本测算明细!D239</f>
        <v>55860.7098330667</v>
      </c>
      <c r="AC78" s="327">
        <f>SUM(AC79:AC81)</f>
        <v>0.994540484352659</v>
      </c>
      <c r="AD78" s="216">
        <f>$AB$76*AC78</f>
        <v>1824.13834754335</v>
      </c>
      <c r="AE78" s="274">
        <f>AB75</f>
        <v>273.4</v>
      </c>
      <c r="AF78" s="216">
        <f>AD78+AE78</f>
        <v>2097.53834754335</v>
      </c>
      <c r="AG78">
        <f>AF78/(AB48+AE48)*AE48</f>
        <v>724.379540998184</v>
      </c>
    </row>
    <row r="79" ht="32" customHeight="1" spans="3:32">
      <c r="C79" s="313"/>
      <c r="D79" s="313"/>
      <c r="AA79" s="140" t="s">
        <v>1274</v>
      </c>
      <c r="AB79" s="326">
        <f>成本测算明细!I239</f>
        <v>31164.4194484522</v>
      </c>
      <c r="AC79" s="327">
        <f>AB79/$AB$78</f>
        <v>0.55789515639138</v>
      </c>
      <c r="AD79" s="216">
        <f>$AB$76*AC79</f>
        <v>1023.26447710634</v>
      </c>
      <c r="AE79" s="274"/>
      <c r="AF79" s="216">
        <f>AD79+AE79</f>
        <v>1023.26447710634</v>
      </c>
    </row>
    <row r="80" ht="32" customHeight="1" spans="27:33">
      <c r="AA80" s="140" t="s">
        <v>1275</v>
      </c>
      <c r="AB80" s="326">
        <f>成本测算明细!K239</f>
        <v>17174.7356340339</v>
      </c>
      <c r="AC80" s="327">
        <f>AB80/$AB$78</f>
        <v>0.307456451687753</v>
      </c>
      <c r="AD80" s="216">
        <f>$AB$76*AC80</f>
        <v>563.921843853634</v>
      </c>
      <c r="AE80" s="274">
        <f>AB75</f>
        <v>273.4</v>
      </c>
      <c r="AF80" s="216">
        <f>AD80+AE80</f>
        <v>837.321843853634</v>
      </c>
      <c r="AG80">
        <f>AF80+AG81</f>
        <v>901.153818361808</v>
      </c>
    </row>
    <row r="81" ht="32" customHeight="1" spans="27:33">
      <c r="AA81" s="140" t="s">
        <v>1276</v>
      </c>
      <c r="AB81" s="326">
        <f>成本测算明细!AE239</f>
        <v>7216.58233117544</v>
      </c>
      <c r="AC81" s="327">
        <f>AB81/$AB$78</f>
        <v>0.129188876273527</v>
      </c>
      <c r="AD81" s="216">
        <f>$AB$76*AC81</f>
        <v>236.952026583374</v>
      </c>
      <c r="AE81" s="274"/>
      <c r="AF81" s="216">
        <f>AD81+AE81</f>
        <v>236.952026583374</v>
      </c>
      <c r="AG81">
        <f>AF81/490*132</f>
        <v>63.8319745081742</v>
      </c>
    </row>
    <row r="82" ht="32" customHeight="1" spans="28:28">
      <c r="AB82" s="138"/>
    </row>
    <row r="83" ht="23" customHeight="1"/>
    <row r="84" ht="23" customHeight="1" spans="27:34">
      <c r="AA84" s="259" t="s">
        <v>1217</v>
      </c>
      <c r="AB84" s="259"/>
      <c r="AC84" s="259"/>
      <c r="AD84" s="259"/>
      <c r="AE84" s="259"/>
      <c r="AF84" s="259"/>
      <c r="AG84" s="259"/>
      <c r="AH84" s="259"/>
    </row>
    <row r="85" ht="23" customHeight="1" spans="27:34">
      <c r="AA85" s="287"/>
      <c r="AB85" s="288" t="s">
        <v>1223</v>
      </c>
      <c r="AC85" s="289"/>
      <c r="AD85" s="290"/>
      <c r="AE85" s="288" t="s">
        <v>1224</v>
      </c>
      <c r="AF85" s="289"/>
      <c r="AG85" s="290"/>
      <c r="AH85" s="287" t="s">
        <v>1277</v>
      </c>
    </row>
    <row r="86" ht="23" customHeight="1" spans="27:34">
      <c r="AA86" s="262"/>
      <c r="AB86" s="263" t="s">
        <v>90</v>
      </c>
      <c r="AC86" s="263" t="s">
        <v>1225</v>
      </c>
      <c r="AD86" s="263" t="s">
        <v>1278</v>
      </c>
      <c r="AE86" s="264" t="s">
        <v>97</v>
      </c>
      <c r="AF86" s="263" t="s">
        <v>1279</v>
      </c>
      <c r="AG86" s="263" t="s">
        <v>1278</v>
      </c>
      <c r="AH86" s="286"/>
    </row>
    <row r="87" ht="23" customHeight="1" spans="27:34">
      <c r="AA87" s="216" t="s">
        <v>79</v>
      </c>
      <c r="AB87" s="216">
        <f t="shared" ref="AB87:AG87" si="41">AB48</f>
        <v>31642.84</v>
      </c>
      <c r="AC87" s="216">
        <f t="shared" si="41"/>
        <v>31642.84</v>
      </c>
      <c r="AD87" s="216">
        <f t="shared" si="41"/>
        <v>14897.7917</v>
      </c>
      <c r="AE87" s="216">
        <f t="shared" si="41"/>
        <v>16692.48</v>
      </c>
      <c r="AF87" s="216">
        <f t="shared" si="41"/>
        <v>16692.48</v>
      </c>
      <c r="AG87" s="216">
        <f t="shared" si="41"/>
        <v>7337.7183</v>
      </c>
      <c r="AH87" s="216">
        <f>AE87+AB87+AG87+AD87</f>
        <v>70570.83</v>
      </c>
    </row>
    <row r="88" ht="23" customHeight="1" spans="27:34">
      <c r="AA88" s="216" t="s">
        <v>1209</v>
      </c>
      <c r="AB88" s="216">
        <f t="shared" ref="AB88:AG88" si="42">AB49</f>
        <v>184</v>
      </c>
      <c r="AC88" s="216">
        <f t="shared" si="42"/>
        <v>184</v>
      </c>
      <c r="AD88" s="216">
        <f t="shared" si="42"/>
        <v>268</v>
      </c>
      <c r="AE88" s="216">
        <f t="shared" si="42"/>
        <v>66</v>
      </c>
      <c r="AF88" s="216">
        <f t="shared" si="42"/>
        <v>66</v>
      </c>
      <c r="AG88" s="216">
        <f t="shared" si="42"/>
        <v>132</v>
      </c>
      <c r="AH88" s="291"/>
    </row>
    <row r="89" ht="23" customHeight="1" spans="27:34">
      <c r="AA89" s="328" t="s">
        <v>1280</v>
      </c>
      <c r="AB89" s="220">
        <f>AC89+AD89</f>
        <v>44861.834</v>
      </c>
      <c r="AC89" s="220">
        <f>AC50*AC48/10000</f>
        <v>42717.834</v>
      </c>
      <c r="AD89" s="220">
        <f>AD50*AD49/10000</f>
        <v>2144</v>
      </c>
      <c r="AE89" s="220">
        <f t="shared" ref="AE89:AE98" si="43">AF89+AG89</f>
        <v>20252.352</v>
      </c>
      <c r="AF89" s="220">
        <f>AF87*AF50/10000</f>
        <v>19196.352</v>
      </c>
      <c r="AG89" s="220">
        <f>AG88*AG50/10000</f>
        <v>1056</v>
      </c>
      <c r="AH89" s="220">
        <f>AB89+AE89</f>
        <v>65114.186</v>
      </c>
    </row>
    <row r="90" ht="23" customHeight="1" spans="27:34">
      <c r="AA90" s="328" t="s">
        <v>1281</v>
      </c>
      <c r="AB90" s="220">
        <f t="shared" ref="AB90:AG90" si="44">AB91+AB92</f>
        <v>35999.5296103398</v>
      </c>
      <c r="AC90" s="220">
        <f t="shared" si="44"/>
        <v>31164.4194484522</v>
      </c>
      <c r="AD90" s="220">
        <f t="shared" si="44"/>
        <v>4835.11016188754</v>
      </c>
      <c r="AE90" s="220">
        <f t="shared" si="44"/>
        <v>19556.2078033218</v>
      </c>
      <c r="AF90" s="220">
        <f t="shared" si="44"/>
        <v>17174.7356340339</v>
      </c>
      <c r="AG90" s="220">
        <f t="shared" si="44"/>
        <v>2381.47216928789</v>
      </c>
      <c r="AH90" s="220">
        <f>AB90+AE90</f>
        <v>55555.7374136615</v>
      </c>
    </row>
    <row r="91" ht="23" customHeight="1" spans="27:34">
      <c r="AA91" s="329" t="s">
        <v>1282</v>
      </c>
      <c r="AB91" s="220">
        <f t="shared" ref="AB89:AB98" si="45">AC91+AD91</f>
        <v>14696.6073445278</v>
      </c>
      <c r="AC91" s="220">
        <f>AC51*AC48/10000</f>
        <v>14696.6073445278</v>
      </c>
      <c r="AD91" s="220"/>
      <c r="AE91" s="220">
        <f t="shared" si="43"/>
        <v>7752.86997521031</v>
      </c>
      <c r="AF91" s="220">
        <f>AF87*AF51/10000</f>
        <v>7752.86997521031</v>
      </c>
      <c r="AG91" s="220"/>
      <c r="AH91" s="220">
        <f t="shared" ref="AH89:AH91" si="46">AB91+AE91</f>
        <v>22449.4773197381</v>
      </c>
    </row>
    <row r="92" ht="23" customHeight="1" spans="27:34">
      <c r="AA92" s="329" t="s">
        <v>1283</v>
      </c>
      <c r="AB92" s="220">
        <f>AB93+AB94+AB95</f>
        <v>21302.922265812</v>
      </c>
      <c r="AC92" s="220">
        <f>AC93+AC94+AC95</f>
        <v>16467.8121039244</v>
      </c>
      <c r="AD92" s="220">
        <f t="shared" ref="AB92:AH92" si="47">AD93+AD94+AD95</f>
        <v>4835.11016188754</v>
      </c>
      <c r="AE92" s="220">
        <f t="shared" si="47"/>
        <v>11803.3378281114</v>
      </c>
      <c r="AF92" s="220">
        <f t="shared" si="47"/>
        <v>9421.86565882355</v>
      </c>
      <c r="AG92" s="220">
        <f t="shared" si="47"/>
        <v>2381.47216928789</v>
      </c>
      <c r="AH92" s="220">
        <f t="shared" si="47"/>
        <v>33106.2600939234</v>
      </c>
    </row>
    <row r="93" ht="23" customHeight="1" spans="27:34">
      <c r="AA93" s="330" t="s">
        <v>1236</v>
      </c>
      <c r="AB93" s="220">
        <f t="shared" si="45"/>
        <v>1336.19236332224</v>
      </c>
      <c r="AC93" s="216">
        <f>成本测算明细!I19</f>
        <v>919.615159517817</v>
      </c>
      <c r="AD93" s="216">
        <f>(成本测算明细!AE19*AA40)</f>
        <v>416.57720380442</v>
      </c>
      <c r="AE93" s="220">
        <f t="shared" si="43"/>
        <v>799.122238527639</v>
      </c>
      <c r="AF93" s="220">
        <f>成本测算明细!K19</f>
        <v>593.942421728447</v>
      </c>
      <c r="AG93" s="266">
        <f>成本测算明细!AE19*AA41</f>
        <v>205.179816799192</v>
      </c>
      <c r="AH93" s="220">
        <f t="shared" ref="AH93:AH100" si="48">AB93+AE93</f>
        <v>2135.31460184988</v>
      </c>
    </row>
    <row r="94" ht="23" customHeight="1" spans="27:34">
      <c r="AA94" s="330" t="s">
        <v>1238</v>
      </c>
      <c r="AB94" s="220">
        <f t="shared" si="45"/>
        <v>16988.1443463124</v>
      </c>
      <c r="AC94" s="216">
        <f>成本测算明细!I124</f>
        <v>12697.7587841079</v>
      </c>
      <c r="AD94" s="216">
        <f>成本测算明细!AE124*AA40</f>
        <v>4290.38556220449</v>
      </c>
      <c r="AE94" s="220">
        <f t="shared" si="43"/>
        <v>9449.36900448148</v>
      </c>
      <c r="AF94" s="220">
        <f>成本测算明细!K124</f>
        <v>7336.19402608225</v>
      </c>
      <c r="AG94" s="266">
        <f>成本测算明细!AE124*AA41</f>
        <v>2113.17497839923</v>
      </c>
      <c r="AH94" s="220">
        <f t="shared" si="48"/>
        <v>26437.5133507939</v>
      </c>
    </row>
    <row r="95" ht="23" customHeight="1" spans="27:34">
      <c r="AA95" s="330" t="s">
        <v>1241</v>
      </c>
      <c r="AB95" s="220">
        <f t="shared" si="45"/>
        <v>2978.58555617733</v>
      </c>
      <c r="AC95" s="216">
        <f>成本测算明细!I194+成本测算明细!I220+成本测算明细!I238</f>
        <v>2850.43816029869</v>
      </c>
      <c r="AD95" s="216">
        <f>(成本测算明细!AE194+成本测算明细!AE220+成本测算明细!AE238)*AA40</f>
        <v>128.147395878634</v>
      </c>
      <c r="AE95" s="220">
        <f t="shared" si="43"/>
        <v>1554.84658510233</v>
      </c>
      <c r="AF95" s="220">
        <f>成本测算明细!K194+成本测算明细!K220+成本测算明细!K238</f>
        <v>1491.72921101285</v>
      </c>
      <c r="AG95" s="266">
        <f>(成本测算明细!AE194+成本测算明细!AE220+成本测算明细!AE238)*AA41</f>
        <v>63.1173740894763</v>
      </c>
      <c r="AH95" s="220">
        <f t="shared" si="48"/>
        <v>4533.43214127966</v>
      </c>
    </row>
    <row r="96" ht="23" customHeight="1" spans="27:34">
      <c r="AA96" s="328" t="s">
        <v>1242</v>
      </c>
      <c r="AB96" s="220">
        <f t="shared" si="45"/>
        <v>3421.2548349172</v>
      </c>
      <c r="AC96" s="216">
        <f>AC60*AC48/10000</f>
        <v>3159.15617710634</v>
      </c>
      <c r="AD96" s="216">
        <f>AD60*AD49/10000</f>
        <v>262.09865781086</v>
      </c>
      <c r="AE96" s="220">
        <f t="shared" si="43"/>
        <v>1416.34225262615</v>
      </c>
      <c r="AF96" s="220">
        <f>AF60*AF48/10000</f>
        <v>1287.24888385363</v>
      </c>
      <c r="AG96" s="266">
        <f>AG60*AG49/10000</f>
        <v>129.093368772513</v>
      </c>
      <c r="AH96" s="220">
        <f t="shared" si="48"/>
        <v>4837.59708754334</v>
      </c>
    </row>
    <row r="97" ht="23" customHeight="1" spans="27:34">
      <c r="AA97" s="328" t="s">
        <v>1243</v>
      </c>
      <c r="AB97" s="220">
        <f t="shared" si="45"/>
        <v>1620.95314151148</v>
      </c>
      <c r="AC97" s="216">
        <f>AC61*AC48/10000</f>
        <v>1543.48587756947</v>
      </c>
      <c r="AD97" s="216">
        <f>AD61*AD49/10000</f>
        <v>77.4672639420094</v>
      </c>
      <c r="AE97" s="220">
        <f t="shared" si="43"/>
        <v>731.760400107501</v>
      </c>
      <c r="AF97" s="220">
        <f>AF61*AF48/10000</f>
        <v>693.604882046511</v>
      </c>
      <c r="AG97" s="266">
        <f>AG61*AG49/10000</f>
        <v>38.1555180609897</v>
      </c>
      <c r="AH97" s="220">
        <f t="shared" si="48"/>
        <v>2352.71354161898</v>
      </c>
    </row>
    <row r="98" ht="23" customHeight="1" spans="27:34">
      <c r="AA98" s="328" t="s">
        <v>1245</v>
      </c>
      <c r="AB98" s="220">
        <f t="shared" si="45"/>
        <v>659.665708482369</v>
      </c>
      <c r="AC98" s="216">
        <f>AC62*AC48/10000</f>
        <v>1326.56930147885</v>
      </c>
      <c r="AD98" s="216">
        <f>AD62*AD49/10000</f>
        <v>-666.903592996482</v>
      </c>
      <c r="AE98" s="220">
        <f t="shared" si="43"/>
        <v>-412.813189773183</v>
      </c>
      <c r="AF98" s="220">
        <f>AF62*AF48/10000</f>
        <v>-84.3382857599899</v>
      </c>
      <c r="AG98" s="266">
        <f>AG62*AG49/10000</f>
        <v>-328.474904013193</v>
      </c>
      <c r="AH98" s="220">
        <f t="shared" si="48"/>
        <v>246.852518709186</v>
      </c>
    </row>
    <row r="99" ht="23" customHeight="1" spans="27:34">
      <c r="AA99" s="215" t="s">
        <v>1284</v>
      </c>
      <c r="AB99" s="220">
        <f>AB89-AB90-AB96-AB97-AB98</f>
        <v>3160.43070474918</v>
      </c>
      <c r="AC99" s="220">
        <f t="shared" ref="AC99:AH99" si="49">AC89-AC90-AC96-AC97-AC98</f>
        <v>5524.20319539311</v>
      </c>
      <c r="AD99" s="220">
        <f t="shared" si="49"/>
        <v>-2363.77249064393</v>
      </c>
      <c r="AE99" s="220">
        <f t="shared" si="49"/>
        <v>-1039.14526628222</v>
      </c>
      <c r="AF99" s="220">
        <f t="shared" si="49"/>
        <v>125.100885825981</v>
      </c>
      <c r="AG99" s="220">
        <f t="shared" si="49"/>
        <v>-1164.2461521082</v>
      </c>
      <c r="AH99" s="220">
        <f t="shared" si="49"/>
        <v>2121.28543846695</v>
      </c>
    </row>
    <row r="100" ht="23" customHeight="1" spans="27:34">
      <c r="AA100" s="215" t="s">
        <v>1285</v>
      </c>
      <c r="AB100" s="220">
        <f>AB99-(AB89/1.09*0.09-AB90*0.9/1.09*0.09-AB96*0.5/1.06*0.06)</f>
        <v>2228.26494557103</v>
      </c>
      <c r="AC100" s="220">
        <f t="shared" ref="AC100:AH100" si="50">AC99-(AC89/1.09*0.09-AC90*0.9/1.09*0.09-AC96*0.5/1.06*0.06)</f>
        <v>4402.34072112921</v>
      </c>
      <c r="AD100" s="220">
        <f t="shared" si="50"/>
        <v>-2174.07577555818</v>
      </c>
      <c r="AE100" s="220">
        <f t="shared" si="50"/>
        <v>-1218.0131796853</v>
      </c>
      <c r="AF100" s="220">
        <f t="shared" si="50"/>
        <v>-147.19973799247</v>
      </c>
      <c r="AG100" s="220">
        <f t="shared" si="50"/>
        <v>-1070.81344169283</v>
      </c>
      <c r="AH100" s="220">
        <f t="shared" si="50"/>
        <v>1010.25176588572</v>
      </c>
    </row>
    <row r="101" ht="23" customHeight="1" spans="27:34">
      <c r="AA101" s="218" t="s">
        <v>37</v>
      </c>
      <c r="AB101" s="321">
        <f>AB100/(AB89/1.09)</f>
        <v>0.0541397569852455</v>
      </c>
      <c r="AC101" s="321">
        <f>AC100/(AC89/1.09)</f>
        <v>0.112331336509965</v>
      </c>
      <c r="AD101" s="321">
        <f t="shared" ref="AB101:AH101" si="51">AD100/(AD89/1.09)</f>
        <v>-1.10529038962613</v>
      </c>
      <c r="AE101" s="321">
        <f t="shared" si="51"/>
        <v>-0.0655545768638123</v>
      </c>
      <c r="AF101" s="321">
        <f t="shared" si="51"/>
        <v>-0.00835823985785385</v>
      </c>
      <c r="AG101" s="321">
        <f t="shared" si="51"/>
        <v>-1.10529038962613</v>
      </c>
      <c r="AH101" s="321">
        <f t="shared" si="51"/>
        <v>0.0169114365464914</v>
      </c>
    </row>
    <row r="102" ht="23" customHeight="1"/>
    <row r="103" spans="28:34">
      <c r="AB103" s="138"/>
      <c r="AC103" s="138"/>
      <c r="AD103" s="138"/>
      <c r="AE103" s="138"/>
      <c r="AF103" s="138"/>
      <c r="AG103" s="138"/>
      <c r="AH103" s="138"/>
    </row>
  </sheetData>
  <mergeCells count="12">
    <mergeCell ref="A5:P5"/>
    <mergeCell ref="V45:Y45"/>
    <mergeCell ref="AA45:AI45"/>
    <mergeCell ref="AB46:AD46"/>
    <mergeCell ref="AE46:AG46"/>
    <mergeCell ref="O61:P61"/>
    <mergeCell ref="AA84:AH84"/>
    <mergeCell ref="AB85:AD85"/>
    <mergeCell ref="AE85:AG85"/>
    <mergeCell ref="A6:A7"/>
    <mergeCell ref="B6:B7"/>
    <mergeCell ref="C1:C3"/>
  </mergeCells>
  <hyperlinks>
    <hyperlink ref="C1:C3" location="目录!A1" display="返回目录"/>
  </hyperlinks>
  <pageMargins left="0.699305555555556" right="0.699305555555556" top="0.75" bottom="0.75" header="0.3" footer="0.3"/>
  <pageSetup paperSize="9" orientation="portrait"/>
  <headerFooter/>
  <ignoredErrors>
    <ignoredError sqref="AH92" formula="1"/>
  </ignoredError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63"/>
  <sheetViews>
    <sheetView topLeftCell="A40" workbookViewId="0">
      <selection activeCell="H68" sqref="H68"/>
    </sheetView>
  </sheetViews>
  <sheetFormatPr defaultColWidth="9" defaultRowHeight="18.75" customHeight="1"/>
  <cols>
    <col min="1" max="1" width="9.25" style="150" customWidth="1"/>
    <col min="2" max="3" width="10.875" style="150" customWidth="1"/>
    <col min="4" max="16384" width="9" style="150"/>
  </cols>
  <sheetData>
    <row r="1" customHeight="1" spans="1:40">
      <c r="A1" s="151" t="s">
        <v>1286</v>
      </c>
      <c r="B1" s="151" t="s">
        <v>1287</v>
      </c>
      <c r="C1" s="151" t="s">
        <v>138</v>
      </c>
      <c r="D1" s="151" t="s">
        <v>1288</v>
      </c>
      <c r="E1" s="151" t="s">
        <v>1289</v>
      </c>
      <c r="F1" s="151" t="s">
        <v>1290</v>
      </c>
      <c r="G1" s="151" t="s">
        <v>1291</v>
      </c>
      <c r="H1" s="151" t="s">
        <v>1292</v>
      </c>
      <c r="I1" s="151" t="s">
        <v>1293</v>
      </c>
      <c r="J1" s="151" t="s">
        <v>1294</v>
      </c>
      <c r="K1" s="151" t="s">
        <v>1295</v>
      </c>
      <c r="L1" s="151" t="s">
        <v>1296</v>
      </c>
      <c r="M1" s="151" t="s">
        <v>1297</v>
      </c>
      <c r="N1" s="151" t="s">
        <v>1298</v>
      </c>
      <c r="O1" s="151" t="s">
        <v>1299</v>
      </c>
      <c r="P1" s="151" t="s">
        <v>1300</v>
      </c>
      <c r="Q1" s="151" t="s">
        <v>1301</v>
      </c>
      <c r="R1" s="151" t="s">
        <v>1302</v>
      </c>
      <c r="S1" s="151" t="s">
        <v>1303</v>
      </c>
      <c r="T1" s="151" t="s">
        <v>1304</v>
      </c>
      <c r="U1" s="151" t="s">
        <v>1305</v>
      </c>
      <c r="V1" s="151" t="s">
        <v>1306</v>
      </c>
      <c r="W1" s="151" t="s">
        <v>1307</v>
      </c>
      <c r="X1" s="151" t="s">
        <v>1308</v>
      </c>
      <c r="Y1" s="151" t="s">
        <v>1309</v>
      </c>
      <c r="Z1" s="151" t="s">
        <v>1310</v>
      </c>
      <c r="AA1" s="151" t="s">
        <v>1311</v>
      </c>
      <c r="AB1" s="151" t="s">
        <v>1312</v>
      </c>
      <c r="AC1" s="151" t="s">
        <v>1313</v>
      </c>
      <c r="AD1" s="151" t="s">
        <v>1314</v>
      </c>
      <c r="AE1" s="151" t="s">
        <v>1315</v>
      </c>
      <c r="AF1" s="151" t="s">
        <v>1316</v>
      </c>
      <c r="AG1" s="151" t="s">
        <v>1317</v>
      </c>
      <c r="AH1" s="151" t="s">
        <v>1318</v>
      </c>
      <c r="AI1" s="151" t="s">
        <v>1319</v>
      </c>
      <c r="AJ1" s="151" t="s">
        <v>1320</v>
      </c>
      <c r="AK1" s="151" t="s">
        <v>1321</v>
      </c>
      <c r="AL1" s="151" t="s">
        <v>1322</v>
      </c>
      <c r="AM1" s="151" t="s">
        <v>1323</v>
      </c>
      <c r="AN1" s="151" t="s">
        <v>54</v>
      </c>
    </row>
    <row r="2" customHeight="1" spans="1:40">
      <c r="A2" s="152">
        <v>1</v>
      </c>
      <c r="B2" s="153" t="s">
        <v>1324</v>
      </c>
      <c r="C2" s="153"/>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4">
        <f>SUM(D2:AM2)</f>
        <v>0</v>
      </c>
    </row>
    <row r="3" customHeight="1" spans="1:40">
      <c r="A3" s="155"/>
      <c r="B3" s="153" t="s">
        <v>1325</v>
      </c>
      <c r="C3" s="153"/>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4">
        <f t="shared" ref="AN3:AN52" si="0">SUM(D3:AM3)</f>
        <v>0</v>
      </c>
    </row>
    <row r="4" customHeight="1" spans="1:40">
      <c r="A4" s="155"/>
      <c r="B4" s="153" t="s">
        <v>1326</v>
      </c>
      <c r="C4" s="153"/>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4"/>
    </row>
    <row r="5" customHeight="1" spans="1:40">
      <c r="A5" s="155"/>
      <c r="B5" s="153" t="s">
        <v>1327</v>
      </c>
      <c r="C5" s="153"/>
      <c r="D5" s="154">
        <f>D3*D4/10000</f>
        <v>0</v>
      </c>
      <c r="E5" s="154">
        <f t="shared" ref="E5:AM5" si="1">E3*E4/10000</f>
        <v>0</v>
      </c>
      <c r="F5" s="154">
        <f t="shared" si="1"/>
        <v>0</v>
      </c>
      <c r="G5" s="154">
        <f t="shared" si="1"/>
        <v>0</v>
      </c>
      <c r="H5" s="154">
        <f t="shared" si="1"/>
        <v>0</v>
      </c>
      <c r="I5" s="154">
        <f t="shared" si="1"/>
        <v>0</v>
      </c>
      <c r="J5" s="154">
        <f t="shared" si="1"/>
        <v>0</v>
      </c>
      <c r="K5" s="154">
        <f t="shared" si="1"/>
        <v>0</v>
      </c>
      <c r="L5" s="154">
        <f t="shared" si="1"/>
        <v>0</v>
      </c>
      <c r="M5" s="154">
        <f t="shared" si="1"/>
        <v>0</v>
      </c>
      <c r="N5" s="154">
        <f t="shared" si="1"/>
        <v>0</v>
      </c>
      <c r="O5" s="154">
        <f t="shared" si="1"/>
        <v>0</v>
      </c>
      <c r="P5" s="154">
        <f t="shared" si="1"/>
        <v>0</v>
      </c>
      <c r="Q5" s="154">
        <f t="shared" si="1"/>
        <v>0</v>
      </c>
      <c r="R5" s="154">
        <f t="shared" si="1"/>
        <v>0</v>
      </c>
      <c r="S5" s="154">
        <f t="shared" si="1"/>
        <v>0</v>
      </c>
      <c r="T5" s="154">
        <f t="shared" si="1"/>
        <v>0</v>
      </c>
      <c r="U5" s="154">
        <f t="shared" si="1"/>
        <v>0</v>
      </c>
      <c r="V5" s="154">
        <f t="shared" si="1"/>
        <v>0</v>
      </c>
      <c r="W5" s="154">
        <f t="shared" si="1"/>
        <v>0</v>
      </c>
      <c r="X5" s="154">
        <f t="shared" si="1"/>
        <v>0</v>
      </c>
      <c r="Y5" s="154">
        <f t="shared" si="1"/>
        <v>0</v>
      </c>
      <c r="Z5" s="154">
        <f t="shared" si="1"/>
        <v>0</v>
      </c>
      <c r="AA5" s="154">
        <f t="shared" si="1"/>
        <v>0</v>
      </c>
      <c r="AB5" s="154">
        <f t="shared" si="1"/>
        <v>0</v>
      </c>
      <c r="AC5" s="154">
        <f t="shared" si="1"/>
        <v>0</v>
      </c>
      <c r="AD5" s="154">
        <f t="shared" si="1"/>
        <v>0</v>
      </c>
      <c r="AE5" s="154">
        <f t="shared" si="1"/>
        <v>0</v>
      </c>
      <c r="AF5" s="154">
        <f t="shared" si="1"/>
        <v>0</v>
      </c>
      <c r="AG5" s="154">
        <f t="shared" si="1"/>
        <v>0</v>
      </c>
      <c r="AH5" s="154">
        <f t="shared" si="1"/>
        <v>0</v>
      </c>
      <c r="AI5" s="154">
        <f t="shared" si="1"/>
        <v>0</v>
      </c>
      <c r="AJ5" s="154">
        <f t="shared" si="1"/>
        <v>0</v>
      </c>
      <c r="AK5" s="154">
        <f t="shared" si="1"/>
        <v>0</v>
      </c>
      <c r="AL5" s="154">
        <f t="shared" si="1"/>
        <v>0</v>
      </c>
      <c r="AM5" s="154">
        <f t="shared" si="1"/>
        <v>0</v>
      </c>
      <c r="AN5" s="154">
        <f t="shared" si="0"/>
        <v>0</v>
      </c>
    </row>
    <row r="6" customHeight="1" spans="1:40">
      <c r="A6" s="155"/>
      <c r="B6" s="153" t="s">
        <v>1328</v>
      </c>
      <c r="C6" s="153"/>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4">
        <f t="shared" si="0"/>
        <v>0</v>
      </c>
    </row>
    <row r="7" customHeight="1" spans="1:40">
      <c r="A7" s="155"/>
      <c r="B7" s="153" t="s">
        <v>1329</v>
      </c>
      <c r="C7" s="153"/>
      <c r="D7" s="151"/>
      <c r="E7" s="151"/>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4">
        <f t="shared" si="0"/>
        <v>0</v>
      </c>
    </row>
    <row r="8" customHeight="1" spans="1:40">
      <c r="A8" s="155"/>
      <c r="B8" s="153" t="s">
        <v>1330</v>
      </c>
      <c r="C8" s="153"/>
      <c r="D8" s="151"/>
      <c r="E8" s="151"/>
      <c r="F8" s="151"/>
      <c r="G8" s="151"/>
      <c r="H8" s="151"/>
      <c r="I8" s="151"/>
      <c r="J8" s="151"/>
      <c r="K8" s="151"/>
      <c r="L8" s="151"/>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4">
        <f t="shared" si="0"/>
        <v>0</v>
      </c>
    </row>
    <row r="9" customHeight="1" spans="1:40">
      <c r="A9" s="155"/>
      <c r="B9" s="153" t="s">
        <v>1331</v>
      </c>
      <c r="C9" s="153"/>
      <c r="D9" s="151"/>
      <c r="E9" s="151"/>
      <c r="F9" s="151"/>
      <c r="G9" s="151"/>
      <c r="H9" s="151"/>
      <c r="I9" s="151"/>
      <c r="J9" s="151"/>
      <c r="K9" s="151"/>
      <c r="L9" s="151"/>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4">
        <f t="shared" si="0"/>
        <v>0</v>
      </c>
    </row>
    <row r="10" customHeight="1" spans="1:40">
      <c r="A10" s="156"/>
      <c r="B10" s="153" t="s">
        <v>1332</v>
      </c>
      <c r="C10" s="153"/>
      <c r="D10" s="154">
        <f>D8+D9</f>
        <v>0</v>
      </c>
      <c r="E10" s="154">
        <f t="shared" ref="E10:AM10" si="2">E8+E9</f>
        <v>0</v>
      </c>
      <c r="F10" s="154">
        <f t="shared" si="2"/>
        <v>0</v>
      </c>
      <c r="G10" s="154">
        <f t="shared" si="2"/>
        <v>0</v>
      </c>
      <c r="H10" s="154">
        <f t="shared" si="2"/>
        <v>0</v>
      </c>
      <c r="I10" s="154">
        <f t="shared" si="2"/>
        <v>0</v>
      </c>
      <c r="J10" s="154">
        <f t="shared" si="2"/>
        <v>0</v>
      </c>
      <c r="K10" s="154">
        <f t="shared" si="2"/>
        <v>0</v>
      </c>
      <c r="L10" s="154">
        <f t="shared" si="2"/>
        <v>0</v>
      </c>
      <c r="M10" s="154">
        <f t="shared" si="2"/>
        <v>0</v>
      </c>
      <c r="N10" s="154">
        <f t="shared" si="2"/>
        <v>0</v>
      </c>
      <c r="O10" s="154">
        <f t="shared" si="2"/>
        <v>0</v>
      </c>
      <c r="P10" s="154">
        <f t="shared" si="2"/>
        <v>0</v>
      </c>
      <c r="Q10" s="154">
        <f t="shared" si="2"/>
        <v>0</v>
      </c>
      <c r="R10" s="154">
        <f t="shared" si="2"/>
        <v>0</v>
      </c>
      <c r="S10" s="154">
        <f t="shared" si="2"/>
        <v>0</v>
      </c>
      <c r="T10" s="154">
        <f t="shared" si="2"/>
        <v>0</v>
      </c>
      <c r="U10" s="154">
        <f t="shared" si="2"/>
        <v>0</v>
      </c>
      <c r="V10" s="154">
        <f t="shared" si="2"/>
        <v>0</v>
      </c>
      <c r="W10" s="154">
        <f t="shared" si="2"/>
        <v>0</v>
      </c>
      <c r="X10" s="154">
        <f t="shared" si="2"/>
        <v>0</v>
      </c>
      <c r="Y10" s="154">
        <f t="shared" si="2"/>
        <v>0</v>
      </c>
      <c r="Z10" s="154">
        <f t="shared" si="2"/>
        <v>0</v>
      </c>
      <c r="AA10" s="154">
        <f t="shared" si="2"/>
        <v>0</v>
      </c>
      <c r="AB10" s="154">
        <f t="shared" si="2"/>
        <v>0</v>
      </c>
      <c r="AC10" s="154">
        <f t="shared" si="2"/>
        <v>0</v>
      </c>
      <c r="AD10" s="154">
        <f t="shared" si="2"/>
        <v>0</v>
      </c>
      <c r="AE10" s="154">
        <f t="shared" si="2"/>
        <v>0</v>
      </c>
      <c r="AF10" s="154">
        <f t="shared" si="2"/>
        <v>0</v>
      </c>
      <c r="AG10" s="154">
        <f t="shared" si="2"/>
        <v>0</v>
      </c>
      <c r="AH10" s="154">
        <f t="shared" si="2"/>
        <v>0</v>
      </c>
      <c r="AI10" s="154">
        <f t="shared" si="2"/>
        <v>0</v>
      </c>
      <c r="AJ10" s="154">
        <f t="shared" si="2"/>
        <v>0</v>
      </c>
      <c r="AK10" s="154">
        <f t="shared" si="2"/>
        <v>0</v>
      </c>
      <c r="AL10" s="154">
        <f t="shared" si="2"/>
        <v>0</v>
      </c>
      <c r="AM10" s="154">
        <f t="shared" si="2"/>
        <v>0</v>
      </c>
      <c r="AN10" s="154">
        <f t="shared" si="0"/>
        <v>0</v>
      </c>
    </row>
    <row r="11" customHeight="1" spans="1:40">
      <c r="A11" s="157">
        <v>2</v>
      </c>
      <c r="B11" s="158" t="s">
        <v>1324</v>
      </c>
      <c r="C11" s="158"/>
      <c r="D11" s="151"/>
      <c r="E11" s="151"/>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4">
        <f t="shared" si="0"/>
        <v>0</v>
      </c>
    </row>
    <row r="12" customHeight="1" spans="1:40">
      <c r="A12" s="159"/>
      <c r="B12" s="158" t="s">
        <v>1325</v>
      </c>
      <c r="C12" s="158"/>
      <c r="D12" s="151"/>
      <c r="E12" s="151"/>
      <c r="F12" s="151"/>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54">
        <f t="shared" si="0"/>
        <v>0</v>
      </c>
    </row>
    <row r="13" customHeight="1" spans="1:40">
      <c r="A13" s="159"/>
      <c r="B13" s="158" t="s">
        <v>1326</v>
      </c>
      <c r="C13" s="158"/>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51"/>
      <c r="AJ13" s="151"/>
      <c r="AK13" s="151"/>
      <c r="AL13" s="151"/>
      <c r="AM13" s="151"/>
      <c r="AN13" s="154">
        <f t="shared" si="0"/>
        <v>0</v>
      </c>
    </row>
    <row r="14" customHeight="1" spans="1:40">
      <c r="A14" s="159"/>
      <c r="B14" s="158" t="s">
        <v>1327</v>
      </c>
      <c r="C14" s="158"/>
      <c r="D14" s="154">
        <f>D12*D13/10000</f>
        <v>0</v>
      </c>
      <c r="E14" s="154">
        <f t="shared" ref="E14" si="3">E12*E13/10000</f>
        <v>0</v>
      </c>
      <c r="F14" s="154">
        <f t="shared" ref="F14" si="4">F12*F13/10000</f>
        <v>0</v>
      </c>
      <c r="G14" s="154">
        <f t="shared" ref="G14" si="5">G12*G13/10000</f>
        <v>0</v>
      </c>
      <c r="H14" s="154">
        <f t="shared" ref="H14" si="6">H12*H13/10000</f>
        <v>0</v>
      </c>
      <c r="I14" s="154">
        <f t="shared" ref="I14" si="7">I12*I13/10000</f>
        <v>0</v>
      </c>
      <c r="J14" s="154">
        <f t="shared" ref="J14" si="8">J12*J13/10000</f>
        <v>0</v>
      </c>
      <c r="K14" s="154">
        <f t="shared" ref="K14" si="9">K12*K13/10000</f>
        <v>0</v>
      </c>
      <c r="L14" s="154">
        <f t="shared" ref="L14" si="10">L12*L13/10000</f>
        <v>0</v>
      </c>
      <c r="M14" s="154">
        <f t="shared" ref="M14" si="11">M12*M13/10000</f>
        <v>0</v>
      </c>
      <c r="N14" s="154">
        <f t="shared" ref="N14" si="12">N12*N13/10000</f>
        <v>0</v>
      </c>
      <c r="O14" s="154">
        <f t="shared" ref="O14" si="13">O12*O13/10000</f>
        <v>0</v>
      </c>
      <c r="P14" s="154">
        <f t="shared" ref="P14" si="14">P12*P13/10000</f>
        <v>0</v>
      </c>
      <c r="Q14" s="154">
        <f t="shared" ref="Q14" si="15">Q12*Q13/10000</f>
        <v>0</v>
      </c>
      <c r="R14" s="154">
        <f t="shared" ref="R14" si="16">R12*R13/10000</f>
        <v>0</v>
      </c>
      <c r="S14" s="154">
        <f t="shared" ref="S14" si="17">S12*S13/10000</f>
        <v>0</v>
      </c>
      <c r="T14" s="154">
        <f t="shared" ref="T14" si="18">T12*T13/10000</f>
        <v>0</v>
      </c>
      <c r="U14" s="154">
        <f t="shared" ref="U14" si="19">U12*U13/10000</f>
        <v>0</v>
      </c>
      <c r="V14" s="154">
        <f t="shared" ref="V14" si="20">V12*V13/10000</f>
        <v>0</v>
      </c>
      <c r="W14" s="154">
        <f t="shared" ref="W14" si="21">W12*W13/10000</f>
        <v>0</v>
      </c>
      <c r="X14" s="154">
        <f t="shared" ref="X14" si="22">X12*X13/10000</f>
        <v>0</v>
      </c>
      <c r="Y14" s="154">
        <f t="shared" ref="Y14" si="23">Y12*Y13/10000</f>
        <v>0</v>
      </c>
      <c r="Z14" s="154">
        <f t="shared" ref="Z14" si="24">Z12*Z13/10000</f>
        <v>0</v>
      </c>
      <c r="AA14" s="154">
        <f t="shared" ref="AA14" si="25">AA12*AA13/10000</f>
        <v>0</v>
      </c>
      <c r="AB14" s="154">
        <f t="shared" ref="AB14" si="26">AB12*AB13/10000</f>
        <v>0</v>
      </c>
      <c r="AC14" s="154">
        <f t="shared" ref="AC14" si="27">AC12*AC13/10000</f>
        <v>0</v>
      </c>
      <c r="AD14" s="154">
        <f t="shared" ref="AD14" si="28">AD12*AD13/10000</f>
        <v>0</v>
      </c>
      <c r="AE14" s="154">
        <f t="shared" ref="AE14" si="29">AE12*AE13/10000</f>
        <v>0</v>
      </c>
      <c r="AF14" s="154">
        <f t="shared" ref="AF14" si="30">AF12*AF13/10000</f>
        <v>0</v>
      </c>
      <c r="AG14" s="154">
        <f t="shared" ref="AG14" si="31">AG12*AG13/10000</f>
        <v>0</v>
      </c>
      <c r="AH14" s="154">
        <f t="shared" ref="AH14" si="32">AH12*AH13/10000</f>
        <v>0</v>
      </c>
      <c r="AI14" s="154">
        <f t="shared" ref="AI14" si="33">AI12*AI13/10000</f>
        <v>0</v>
      </c>
      <c r="AJ14" s="154">
        <f t="shared" ref="AJ14" si="34">AJ12*AJ13/10000</f>
        <v>0</v>
      </c>
      <c r="AK14" s="154">
        <f t="shared" ref="AK14" si="35">AK12*AK13/10000</f>
        <v>0</v>
      </c>
      <c r="AL14" s="154">
        <f t="shared" ref="AL14" si="36">AL12*AL13/10000</f>
        <v>0</v>
      </c>
      <c r="AM14" s="154">
        <f t="shared" ref="AM14" si="37">AM12*AM13/10000</f>
        <v>0</v>
      </c>
      <c r="AN14" s="154">
        <f t="shared" si="0"/>
        <v>0</v>
      </c>
    </row>
    <row r="15" customHeight="1" spans="1:40">
      <c r="A15" s="159"/>
      <c r="B15" s="158" t="s">
        <v>1328</v>
      </c>
      <c r="C15" s="158"/>
      <c r="D15" s="151"/>
      <c r="E15" s="151"/>
      <c r="F15" s="151"/>
      <c r="G15" s="151"/>
      <c r="H15" s="151"/>
      <c r="I15" s="151"/>
      <c r="J15" s="151"/>
      <c r="K15" s="151"/>
      <c r="L15" s="151"/>
      <c r="M15" s="151"/>
      <c r="N15" s="151"/>
      <c r="O15" s="151"/>
      <c r="P15" s="151"/>
      <c r="Q15" s="151"/>
      <c r="R15" s="151"/>
      <c r="S15" s="151"/>
      <c r="T15" s="151"/>
      <c r="U15" s="151"/>
      <c r="V15" s="151"/>
      <c r="W15" s="151"/>
      <c r="X15" s="151"/>
      <c r="Y15" s="151"/>
      <c r="Z15" s="151"/>
      <c r="AA15" s="151"/>
      <c r="AB15" s="151"/>
      <c r="AC15" s="151"/>
      <c r="AD15" s="151"/>
      <c r="AE15" s="151"/>
      <c r="AF15" s="151"/>
      <c r="AG15" s="151"/>
      <c r="AH15" s="151"/>
      <c r="AI15" s="151"/>
      <c r="AJ15" s="151"/>
      <c r="AK15" s="151"/>
      <c r="AL15" s="151"/>
      <c r="AM15" s="151"/>
      <c r="AN15" s="154">
        <f t="shared" si="0"/>
        <v>0</v>
      </c>
    </row>
    <row r="16" customHeight="1" spans="1:40">
      <c r="A16" s="159"/>
      <c r="B16" s="158" t="s">
        <v>1329</v>
      </c>
      <c r="C16" s="158"/>
      <c r="D16" s="151"/>
      <c r="E16" s="151"/>
      <c r="F16" s="151"/>
      <c r="G16" s="151"/>
      <c r="H16" s="151"/>
      <c r="I16" s="151"/>
      <c r="J16" s="151"/>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151"/>
      <c r="AL16" s="151"/>
      <c r="AM16" s="151"/>
      <c r="AN16" s="154">
        <f t="shared" si="0"/>
        <v>0</v>
      </c>
    </row>
    <row r="17" customHeight="1" spans="1:40">
      <c r="A17" s="159"/>
      <c r="B17" s="158" t="s">
        <v>1330</v>
      </c>
      <c r="C17" s="158"/>
      <c r="D17" s="151"/>
      <c r="E17" s="151"/>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1"/>
      <c r="AM17" s="151"/>
      <c r="AN17" s="154">
        <f t="shared" si="0"/>
        <v>0</v>
      </c>
    </row>
    <row r="18" customHeight="1" spans="1:40">
      <c r="A18" s="159"/>
      <c r="B18" s="158" t="s">
        <v>1331</v>
      </c>
      <c r="C18" s="158"/>
      <c r="D18" s="151"/>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4">
        <f t="shared" si="0"/>
        <v>0</v>
      </c>
    </row>
    <row r="19" customHeight="1" spans="1:40">
      <c r="A19" s="160"/>
      <c r="B19" s="158" t="s">
        <v>1332</v>
      </c>
      <c r="C19" s="158"/>
      <c r="D19" s="154">
        <f>D17+D18</f>
        <v>0</v>
      </c>
      <c r="E19" s="154">
        <f t="shared" ref="E19" si="38">E17+E18</f>
        <v>0</v>
      </c>
      <c r="F19" s="154">
        <f t="shared" ref="F19" si="39">F17+F18</f>
        <v>0</v>
      </c>
      <c r="G19" s="154">
        <f t="shared" ref="G19" si="40">G17+G18</f>
        <v>0</v>
      </c>
      <c r="H19" s="154">
        <f t="shared" ref="H19" si="41">H17+H18</f>
        <v>0</v>
      </c>
      <c r="I19" s="154">
        <f t="shared" ref="I19" si="42">I17+I18</f>
        <v>0</v>
      </c>
      <c r="J19" s="154">
        <f t="shared" ref="J19" si="43">J17+J18</f>
        <v>0</v>
      </c>
      <c r="K19" s="154">
        <f t="shared" ref="K19" si="44">K17+K18</f>
        <v>0</v>
      </c>
      <c r="L19" s="154">
        <f t="shared" ref="L19" si="45">L17+L18</f>
        <v>0</v>
      </c>
      <c r="M19" s="154">
        <f t="shared" ref="M19" si="46">M17+M18</f>
        <v>0</v>
      </c>
      <c r="N19" s="154">
        <f t="shared" ref="N19" si="47">N17+N18</f>
        <v>0</v>
      </c>
      <c r="O19" s="154">
        <f t="shared" ref="O19" si="48">O17+O18</f>
        <v>0</v>
      </c>
      <c r="P19" s="154">
        <f t="shared" ref="P19" si="49">P17+P18</f>
        <v>0</v>
      </c>
      <c r="Q19" s="154">
        <f t="shared" ref="Q19" si="50">Q17+Q18</f>
        <v>0</v>
      </c>
      <c r="R19" s="154">
        <f t="shared" ref="R19" si="51">R17+R18</f>
        <v>0</v>
      </c>
      <c r="S19" s="154">
        <f t="shared" ref="S19" si="52">S17+S18</f>
        <v>0</v>
      </c>
      <c r="T19" s="154">
        <f t="shared" ref="T19" si="53">T17+T18</f>
        <v>0</v>
      </c>
      <c r="U19" s="154">
        <f t="shared" ref="U19" si="54">U17+U18</f>
        <v>0</v>
      </c>
      <c r="V19" s="154">
        <f t="shared" ref="V19" si="55">V17+V18</f>
        <v>0</v>
      </c>
      <c r="W19" s="154">
        <f t="shared" ref="W19" si="56">W17+W18</f>
        <v>0</v>
      </c>
      <c r="X19" s="154">
        <f t="shared" ref="X19" si="57">X17+X18</f>
        <v>0</v>
      </c>
      <c r="Y19" s="154">
        <f t="shared" ref="Y19" si="58">Y17+Y18</f>
        <v>0</v>
      </c>
      <c r="Z19" s="154">
        <f t="shared" ref="Z19" si="59">Z17+Z18</f>
        <v>0</v>
      </c>
      <c r="AA19" s="154">
        <f t="shared" ref="AA19" si="60">AA17+AA18</f>
        <v>0</v>
      </c>
      <c r="AB19" s="154">
        <f t="shared" ref="AB19" si="61">AB17+AB18</f>
        <v>0</v>
      </c>
      <c r="AC19" s="154">
        <f t="shared" ref="AC19" si="62">AC17+AC18</f>
        <v>0</v>
      </c>
      <c r="AD19" s="154">
        <f t="shared" ref="AD19" si="63">AD17+AD18</f>
        <v>0</v>
      </c>
      <c r="AE19" s="154">
        <f t="shared" ref="AE19" si="64">AE17+AE18</f>
        <v>0</v>
      </c>
      <c r="AF19" s="154">
        <f t="shared" ref="AF19" si="65">AF17+AF18</f>
        <v>0</v>
      </c>
      <c r="AG19" s="154">
        <f t="shared" ref="AG19" si="66">AG17+AG18</f>
        <v>0</v>
      </c>
      <c r="AH19" s="154">
        <f t="shared" ref="AH19" si="67">AH17+AH18</f>
        <v>0</v>
      </c>
      <c r="AI19" s="154">
        <f t="shared" ref="AI19" si="68">AI17+AI18</f>
        <v>0</v>
      </c>
      <c r="AJ19" s="154">
        <f t="shared" ref="AJ19" si="69">AJ17+AJ18</f>
        <v>0</v>
      </c>
      <c r="AK19" s="154">
        <f t="shared" ref="AK19" si="70">AK17+AK18</f>
        <v>0</v>
      </c>
      <c r="AL19" s="154">
        <f t="shared" ref="AL19" si="71">AL17+AL18</f>
        <v>0</v>
      </c>
      <c r="AM19" s="154">
        <f t="shared" ref="AM19" si="72">AM17+AM18</f>
        <v>0</v>
      </c>
      <c r="AN19" s="154">
        <f t="shared" si="0"/>
        <v>0</v>
      </c>
    </row>
    <row r="20" customHeight="1" spans="1:40">
      <c r="A20" s="161">
        <v>3</v>
      </c>
      <c r="B20" s="162" t="s">
        <v>1324</v>
      </c>
      <c r="C20" s="162"/>
      <c r="D20" s="151"/>
      <c r="E20" s="151"/>
      <c r="F20" s="151"/>
      <c r="G20" s="151"/>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4">
        <f t="shared" si="0"/>
        <v>0</v>
      </c>
    </row>
    <row r="21" customHeight="1" spans="1:40">
      <c r="A21" s="163"/>
      <c r="B21" s="162" t="s">
        <v>1325</v>
      </c>
      <c r="C21" s="162"/>
      <c r="D21" s="151"/>
      <c r="E21" s="151"/>
      <c r="F21" s="151"/>
      <c r="G21" s="151"/>
      <c r="H21" s="151"/>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4">
        <f t="shared" si="0"/>
        <v>0</v>
      </c>
    </row>
    <row r="22" customHeight="1" spans="1:40">
      <c r="A22" s="163"/>
      <c r="B22" s="162" t="s">
        <v>1326</v>
      </c>
      <c r="C22" s="162"/>
      <c r="D22" s="151"/>
      <c r="E22" s="151"/>
      <c r="F22" s="151"/>
      <c r="G22" s="151"/>
      <c r="H22" s="151"/>
      <c r="I22" s="151"/>
      <c r="J22" s="151"/>
      <c r="K22" s="151"/>
      <c r="L22" s="151"/>
      <c r="M22" s="151"/>
      <c r="N22" s="151"/>
      <c r="O22" s="151"/>
      <c r="P22" s="151"/>
      <c r="Q22" s="151"/>
      <c r="R22" s="151"/>
      <c r="S22" s="151"/>
      <c r="T22" s="151"/>
      <c r="U22" s="151"/>
      <c r="V22" s="151"/>
      <c r="W22" s="151"/>
      <c r="X22" s="151"/>
      <c r="Y22" s="151"/>
      <c r="Z22" s="151"/>
      <c r="AA22" s="151"/>
      <c r="AB22" s="151"/>
      <c r="AC22" s="151"/>
      <c r="AD22" s="151"/>
      <c r="AE22" s="151"/>
      <c r="AF22" s="151"/>
      <c r="AG22" s="151"/>
      <c r="AH22" s="151"/>
      <c r="AI22" s="151"/>
      <c r="AJ22" s="151"/>
      <c r="AK22" s="151"/>
      <c r="AL22" s="151"/>
      <c r="AM22" s="151"/>
      <c r="AN22" s="154">
        <f t="shared" si="0"/>
        <v>0</v>
      </c>
    </row>
    <row r="23" customHeight="1" spans="1:40">
      <c r="A23" s="163"/>
      <c r="B23" s="162" t="s">
        <v>1327</v>
      </c>
      <c r="C23" s="162"/>
      <c r="D23" s="154">
        <f>D21*D22/10000</f>
        <v>0</v>
      </c>
      <c r="E23" s="154">
        <f t="shared" ref="E23" si="73">E21*E22/10000</f>
        <v>0</v>
      </c>
      <c r="F23" s="154">
        <f t="shared" ref="F23" si="74">F21*F22/10000</f>
        <v>0</v>
      </c>
      <c r="G23" s="154">
        <f t="shared" ref="G23" si="75">G21*G22/10000</f>
        <v>0</v>
      </c>
      <c r="H23" s="154">
        <f t="shared" ref="H23" si="76">H21*H22/10000</f>
        <v>0</v>
      </c>
      <c r="I23" s="154">
        <f t="shared" ref="I23" si="77">I21*I22/10000</f>
        <v>0</v>
      </c>
      <c r="J23" s="154">
        <f t="shared" ref="J23" si="78">J21*J22/10000</f>
        <v>0</v>
      </c>
      <c r="K23" s="154">
        <f t="shared" ref="K23" si="79">K21*K22/10000</f>
        <v>0</v>
      </c>
      <c r="L23" s="154">
        <f t="shared" ref="L23" si="80">L21*L22/10000</f>
        <v>0</v>
      </c>
      <c r="M23" s="154">
        <f t="shared" ref="M23" si="81">M21*M22/10000</f>
        <v>0</v>
      </c>
      <c r="N23" s="154">
        <f t="shared" ref="N23" si="82">N21*N22/10000</f>
        <v>0</v>
      </c>
      <c r="O23" s="154">
        <f t="shared" ref="O23" si="83">O21*O22/10000</f>
        <v>0</v>
      </c>
      <c r="P23" s="154">
        <f t="shared" ref="P23" si="84">P21*P22/10000</f>
        <v>0</v>
      </c>
      <c r="Q23" s="154">
        <f t="shared" ref="Q23" si="85">Q21*Q22/10000</f>
        <v>0</v>
      </c>
      <c r="R23" s="154">
        <f t="shared" ref="R23" si="86">R21*R22/10000</f>
        <v>0</v>
      </c>
      <c r="S23" s="154">
        <f t="shared" ref="S23" si="87">S21*S22/10000</f>
        <v>0</v>
      </c>
      <c r="T23" s="154">
        <f t="shared" ref="T23" si="88">T21*T22/10000</f>
        <v>0</v>
      </c>
      <c r="U23" s="154">
        <f t="shared" ref="U23" si="89">U21*U22/10000</f>
        <v>0</v>
      </c>
      <c r="V23" s="154">
        <f t="shared" ref="V23" si="90">V21*V22/10000</f>
        <v>0</v>
      </c>
      <c r="W23" s="154">
        <f t="shared" ref="W23" si="91">W21*W22/10000</f>
        <v>0</v>
      </c>
      <c r="X23" s="154">
        <f t="shared" ref="X23" si="92">X21*X22/10000</f>
        <v>0</v>
      </c>
      <c r="Y23" s="154">
        <f t="shared" ref="Y23" si="93">Y21*Y22/10000</f>
        <v>0</v>
      </c>
      <c r="Z23" s="154">
        <f t="shared" ref="Z23" si="94">Z21*Z22/10000</f>
        <v>0</v>
      </c>
      <c r="AA23" s="154">
        <f t="shared" ref="AA23" si="95">AA21*AA22/10000</f>
        <v>0</v>
      </c>
      <c r="AB23" s="154">
        <f t="shared" ref="AB23" si="96">AB21*AB22/10000</f>
        <v>0</v>
      </c>
      <c r="AC23" s="154">
        <f t="shared" ref="AC23" si="97">AC21*AC22/10000</f>
        <v>0</v>
      </c>
      <c r="AD23" s="154">
        <f t="shared" ref="AD23" si="98">AD21*AD22/10000</f>
        <v>0</v>
      </c>
      <c r="AE23" s="154">
        <f t="shared" ref="AE23" si="99">AE21*AE22/10000</f>
        <v>0</v>
      </c>
      <c r="AF23" s="154">
        <f t="shared" ref="AF23" si="100">AF21*AF22/10000</f>
        <v>0</v>
      </c>
      <c r="AG23" s="154">
        <f t="shared" ref="AG23" si="101">AG21*AG22/10000</f>
        <v>0</v>
      </c>
      <c r="AH23" s="154">
        <f t="shared" ref="AH23" si="102">AH21*AH22/10000</f>
        <v>0</v>
      </c>
      <c r="AI23" s="154">
        <f t="shared" ref="AI23" si="103">AI21*AI22/10000</f>
        <v>0</v>
      </c>
      <c r="AJ23" s="154">
        <f t="shared" ref="AJ23" si="104">AJ21*AJ22/10000</f>
        <v>0</v>
      </c>
      <c r="AK23" s="154">
        <f t="shared" ref="AK23" si="105">AK21*AK22/10000</f>
        <v>0</v>
      </c>
      <c r="AL23" s="154">
        <f t="shared" ref="AL23" si="106">AL21*AL22/10000</f>
        <v>0</v>
      </c>
      <c r="AM23" s="154">
        <f t="shared" ref="AM23" si="107">AM21*AM22/10000</f>
        <v>0</v>
      </c>
      <c r="AN23" s="154">
        <f t="shared" si="0"/>
        <v>0</v>
      </c>
    </row>
    <row r="24" customHeight="1" spans="1:40">
      <c r="A24" s="163"/>
      <c r="B24" s="162" t="s">
        <v>1328</v>
      </c>
      <c r="C24" s="162"/>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4">
        <f t="shared" si="0"/>
        <v>0</v>
      </c>
    </row>
    <row r="25" customHeight="1" spans="1:40">
      <c r="A25" s="163"/>
      <c r="B25" s="162" t="s">
        <v>1329</v>
      </c>
      <c r="C25" s="162"/>
      <c r="D25" s="151"/>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1"/>
      <c r="AM25" s="151"/>
      <c r="AN25" s="154">
        <f t="shared" si="0"/>
        <v>0</v>
      </c>
    </row>
    <row r="26" customHeight="1" spans="1:40">
      <c r="A26" s="163"/>
      <c r="B26" s="162" t="s">
        <v>1330</v>
      </c>
      <c r="C26" s="162"/>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4">
        <f t="shared" si="0"/>
        <v>0</v>
      </c>
    </row>
    <row r="27" customHeight="1" spans="1:40">
      <c r="A27" s="163"/>
      <c r="B27" s="162" t="s">
        <v>1331</v>
      </c>
      <c r="C27" s="162"/>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1"/>
      <c r="AM27" s="151"/>
      <c r="AN27" s="154">
        <f t="shared" si="0"/>
        <v>0</v>
      </c>
    </row>
    <row r="28" customHeight="1" spans="1:40">
      <c r="A28" s="164"/>
      <c r="B28" s="162" t="s">
        <v>1332</v>
      </c>
      <c r="C28" s="162"/>
      <c r="D28" s="154">
        <f>D26+D27</f>
        <v>0</v>
      </c>
      <c r="E28" s="154">
        <f t="shared" ref="E28" si="108">E26+E27</f>
        <v>0</v>
      </c>
      <c r="F28" s="154">
        <f t="shared" ref="F28" si="109">F26+F27</f>
        <v>0</v>
      </c>
      <c r="G28" s="154">
        <f t="shared" ref="G28" si="110">G26+G27</f>
        <v>0</v>
      </c>
      <c r="H28" s="154">
        <f t="shared" ref="H28" si="111">H26+H27</f>
        <v>0</v>
      </c>
      <c r="I28" s="154">
        <f t="shared" ref="I28" si="112">I26+I27</f>
        <v>0</v>
      </c>
      <c r="J28" s="154">
        <f t="shared" ref="J28" si="113">J26+J27</f>
        <v>0</v>
      </c>
      <c r="K28" s="154">
        <f t="shared" ref="K28" si="114">K26+K27</f>
        <v>0</v>
      </c>
      <c r="L28" s="154">
        <f t="shared" ref="L28" si="115">L26+L27</f>
        <v>0</v>
      </c>
      <c r="M28" s="154">
        <f t="shared" ref="M28" si="116">M26+M27</f>
        <v>0</v>
      </c>
      <c r="N28" s="154">
        <f t="shared" ref="N28" si="117">N26+N27</f>
        <v>0</v>
      </c>
      <c r="O28" s="154">
        <f t="shared" ref="O28" si="118">O26+O27</f>
        <v>0</v>
      </c>
      <c r="P28" s="154">
        <f t="shared" ref="P28" si="119">P26+P27</f>
        <v>0</v>
      </c>
      <c r="Q28" s="154">
        <f t="shared" ref="Q28" si="120">Q26+Q27</f>
        <v>0</v>
      </c>
      <c r="R28" s="154">
        <f t="shared" ref="R28" si="121">R26+R27</f>
        <v>0</v>
      </c>
      <c r="S28" s="154">
        <f t="shared" ref="S28" si="122">S26+S27</f>
        <v>0</v>
      </c>
      <c r="T28" s="154">
        <f t="shared" ref="T28" si="123">T26+T27</f>
        <v>0</v>
      </c>
      <c r="U28" s="154">
        <f t="shared" ref="U28" si="124">U26+U27</f>
        <v>0</v>
      </c>
      <c r="V28" s="154">
        <f t="shared" ref="V28" si="125">V26+V27</f>
        <v>0</v>
      </c>
      <c r="W28" s="154">
        <f t="shared" ref="W28" si="126">W26+W27</f>
        <v>0</v>
      </c>
      <c r="X28" s="154">
        <f t="shared" ref="X28" si="127">X26+X27</f>
        <v>0</v>
      </c>
      <c r="Y28" s="154">
        <f t="shared" ref="Y28" si="128">Y26+Y27</f>
        <v>0</v>
      </c>
      <c r="Z28" s="154">
        <f t="shared" ref="Z28" si="129">Z26+Z27</f>
        <v>0</v>
      </c>
      <c r="AA28" s="154">
        <f t="shared" ref="AA28" si="130">AA26+AA27</f>
        <v>0</v>
      </c>
      <c r="AB28" s="154">
        <f t="shared" ref="AB28" si="131">AB26+AB27</f>
        <v>0</v>
      </c>
      <c r="AC28" s="154">
        <f t="shared" ref="AC28" si="132">AC26+AC27</f>
        <v>0</v>
      </c>
      <c r="AD28" s="154">
        <f t="shared" ref="AD28" si="133">AD26+AD27</f>
        <v>0</v>
      </c>
      <c r="AE28" s="154">
        <f t="shared" ref="AE28" si="134">AE26+AE27</f>
        <v>0</v>
      </c>
      <c r="AF28" s="154">
        <f t="shared" ref="AF28" si="135">AF26+AF27</f>
        <v>0</v>
      </c>
      <c r="AG28" s="154">
        <f t="shared" ref="AG28" si="136">AG26+AG27</f>
        <v>0</v>
      </c>
      <c r="AH28" s="154">
        <f t="shared" ref="AH28" si="137">AH26+AH27</f>
        <v>0</v>
      </c>
      <c r="AI28" s="154">
        <f t="shared" ref="AI28" si="138">AI26+AI27</f>
        <v>0</v>
      </c>
      <c r="AJ28" s="154">
        <f t="shared" ref="AJ28" si="139">AJ26+AJ27</f>
        <v>0</v>
      </c>
      <c r="AK28" s="154">
        <f t="shared" ref="AK28" si="140">AK26+AK27</f>
        <v>0</v>
      </c>
      <c r="AL28" s="154">
        <f t="shared" ref="AL28" si="141">AL26+AL27</f>
        <v>0</v>
      </c>
      <c r="AM28" s="154">
        <f t="shared" ref="AM28" si="142">AM26+AM27</f>
        <v>0</v>
      </c>
      <c r="AN28" s="154">
        <f t="shared" si="0"/>
        <v>0</v>
      </c>
    </row>
    <row r="29" customHeight="1" spans="1:40">
      <c r="A29" s="157">
        <v>4</v>
      </c>
      <c r="B29" s="158" t="s">
        <v>1324</v>
      </c>
      <c r="C29" s="158"/>
      <c r="D29" s="151"/>
      <c r="E29" s="151"/>
      <c r="F29" s="151"/>
      <c r="G29" s="151"/>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c r="AE29" s="151"/>
      <c r="AF29" s="151"/>
      <c r="AG29" s="151"/>
      <c r="AH29" s="151"/>
      <c r="AI29" s="151"/>
      <c r="AJ29" s="151"/>
      <c r="AK29" s="151"/>
      <c r="AL29" s="151"/>
      <c r="AM29" s="151"/>
      <c r="AN29" s="154">
        <f t="shared" si="0"/>
        <v>0</v>
      </c>
    </row>
    <row r="30" customHeight="1" spans="1:40">
      <c r="A30" s="159"/>
      <c r="B30" s="158" t="s">
        <v>1325</v>
      </c>
      <c r="C30" s="158"/>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4">
        <f t="shared" si="0"/>
        <v>0</v>
      </c>
    </row>
    <row r="31" customHeight="1" spans="1:40">
      <c r="A31" s="159"/>
      <c r="B31" s="158" t="s">
        <v>1326</v>
      </c>
      <c r="C31" s="158"/>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4">
        <f t="shared" si="0"/>
        <v>0</v>
      </c>
    </row>
    <row r="32" customHeight="1" spans="1:40">
      <c r="A32" s="159"/>
      <c r="B32" s="158" t="s">
        <v>1327</v>
      </c>
      <c r="C32" s="158"/>
      <c r="D32" s="154">
        <f>D30*D31/10000</f>
        <v>0</v>
      </c>
      <c r="E32" s="154">
        <f t="shared" ref="E32" si="143">E30*E31/10000</f>
        <v>0</v>
      </c>
      <c r="F32" s="154">
        <f t="shared" ref="F32" si="144">F30*F31/10000</f>
        <v>0</v>
      </c>
      <c r="G32" s="154">
        <f t="shared" ref="G32" si="145">G30*G31/10000</f>
        <v>0</v>
      </c>
      <c r="H32" s="154">
        <f t="shared" ref="H32" si="146">H30*H31/10000</f>
        <v>0</v>
      </c>
      <c r="I32" s="154">
        <f t="shared" ref="I32" si="147">I30*I31/10000</f>
        <v>0</v>
      </c>
      <c r="J32" s="154">
        <f t="shared" ref="J32" si="148">J30*J31/10000</f>
        <v>0</v>
      </c>
      <c r="K32" s="154">
        <f t="shared" ref="K32" si="149">K30*K31/10000</f>
        <v>0</v>
      </c>
      <c r="L32" s="154">
        <f t="shared" ref="L32" si="150">L30*L31/10000</f>
        <v>0</v>
      </c>
      <c r="M32" s="154">
        <f t="shared" ref="M32" si="151">M30*M31/10000</f>
        <v>0</v>
      </c>
      <c r="N32" s="154">
        <f t="shared" ref="N32" si="152">N30*N31/10000</f>
        <v>0</v>
      </c>
      <c r="O32" s="154">
        <f t="shared" ref="O32" si="153">O30*O31/10000</f>
        <v>0</v>
      </c>
      <c r="P32" s="154">
        <f t="shared" ref="P32" si="154">P30*P31/10000</f>
        <v>0</v>
      </c>
      <c r="Q32" s="154">
        <f t="shared" ref="Q32" si="155">Q30*Q31/10000</f>
        <v>0</v>
      </c>
      <c r="R32" s="154">
        <f t="shared" ref="R32" si="156">R30*R31/10000</f>
        <v>0</v>
      </c>
      <c r="S32" s="154">
        <f t="shared" ref="S32" si="157">S30*S31/10000</f>
        <v>0</v>
      </c>
      <c r="T32" s="154">
        <f t="shared" ref="T32" si="158">T30*T31/10000</f>
        <v>0</v>
      </c>
      <c r="U32" s="154">
        <f t="shared" ref="U32" si="159">U30*U31/10000</f>
        <v>0</v>
      </c>
      <c r="V32" s="154">
        <f t="shared" ref="V32" si="160">V30*V31/10000</f>
        <v>0</v>
      </c>
      <c r="W32" s="154">
        <f t="shared" ref="W32" si="161">W30*W31/10000</f>
        <v>0</v>
      </c>
      <c r="X32" s="154">
        <f t="shared" ref="X32" si="162">X30*X31/10000</f>
        <v>0</v>
      </c>
      <c r="Y32" s="154">
        <f t="shared" ref="Y32" si="163">Y30*Y31/10000</f>
        <v>0</v>
      </c>
      <c r="Z32" s="154">
        <f t="shared" ref="Z32" si="164">Z30*Z31/10000</f>
        <v>0</v>
      </c>
      <c r="AA32" s="154">
        <f t="shared" ref="AA32" si="165">AA30*AA31/10000</f>
        <v>0</v>
      </c>
      <c r="AB32" s="154">
        <f t="shared" ref="AB32" si="166">AB30*AB31/10000</f>
        <v>0</v>
      </c>
      <c r="AC32" s="154">
        <f t="shared" ref="AC32" si="167">AC30*AC31/10000</f>
        <v>0</v>
      </c>
      <c r="AD32" s="154">
        <f t="shared" ref="AD32" si="168">AD30*AD31/10000</f>
        <v>0</v>
      </c>
      <c r="AE32" s="154">
        <f t="shared" ref="AE32" si="169">AE30*AE31/10000</f>
        <v>0</v>
      </c>
      <c r="AF32" s="154">
        <f t="shared" ref="AF32" si="170">AF30*AF31/10000</f>
        <v>0</v>
      </c>
      <c r="AG32" s="154">
        <f t="shared" ref="AG32" si="171">AG30*AG31/10000</f>
        <v>0</v>
      </c>
      <c r="AH32" s="154">
        <f t="shared" ref="AH32" si="172">AH30*AH31/10000</f>
        <v>0</v>
      </c>
      <c r="AI32" s="154">
        <f t="shared" ref="AI32" si="173">AI30*AI31/10000</f>
        <v>0</v>
      </c>
      <c r="AJ32" s="154">
        <f t="shared" ref="AJ32" si="174">AJ30*AJ31/10000</f>
        <v>0</v>
      </c>
      <c r="AK32" s="154">
        <f t="shared" ref="AK32" si="175">AK30*AK31/10000</f>
        <v>0</v>
      </c>
      <c r="AL32" s="154">
        <f t="shared" ref="AL32" si="176">AL30*AL31/10000</f>
        <v>0</v>
      </c>
      <c r="AM32" s="154">
        <f t="shared" ref="AM32" si="177">AM30*AM31/10000</f>
        <v>0</v>
      </c>
      <c r="AN32" s="154">
        <f t="shared" si="0"/>
        <v>0</v>
      </c>
    </row>
    <row r="33" customHeight="1" spans="1:40">
      <c r="A33" s="159"/>
      <c r="B33" s="158" t="s">
        <v>1328</v>
      </c>
      <c r="C33" s="158"/>
      <c r="D33" s="151"/>
      <c r="E33" s="151"/>
      <c r="F33" s="151"/>
      <c r="G33" s="151"/>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151"/>
      <c r="AK33" s="151"/>
      <c r="AL33" s="151"/>
      <c r="AM33" s="151"/>
      <c r="AN33" s="154">
        <f t="shared" si="0"/>
        <v>0</v>
      </c>
    </row>
    <row r="34" customHeight="1" spans="1:40">
      <c r="A34" s="159"/>
      <c r="B34" s="158" t="s">
        <v>1329</v>
      </c>
      <c r="C34" s="158"/>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1"/>
      <c r="AM34" s="151"/>
      <c r="AN34" s="154">
        <f t="shared" si="0"/>
        <v>0</v>
      </c>
    </row>
    <row r="35" customHeight="1" spans="1:40">
      <c r="A35" s="159"/>
      <c r="B35" s="158" t="s">
        <v>1330</v>
      </c>
      <c r="C35" s="158"/>
      <c r="D35" s="151"/>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4">
        <f t="shared" si="0"/>
        <v>0</v>
      </c>
    </row>
    <row r="36" customHeight="1" spans="1:40">
      <c r="A36" s="159"/>
      <c r="B36" s="158" t="s">
        <v>1331</v>
      </c>
      <c r="C36" s="158"/>
      <c r="D36" s="151"/>
      <c r="E36" s="151"/>
      <c r="F36" s="151"/>
      <c r="G36" s="151"/>
      <c r="H36" s="151"/>
      <c r="I36" s="151"/>
      <c r="J36" s="151"/>
      <c r="K36" s="151"/>
      <c r="L36" s="151"/>
      <c r="M36" s="151"/>
      <c r="N36" s="151"/>
      <c r="O36" s="151"/>
      <c r="P36" s="151"/>
      <c r="Q36" s="151"/>
      <c r="R36" s="151"/>
      <c r="S36" s="151"/>
      <c r="T36" s="151"/>
      <c r="U36" s="151"/>
      <c r="V36" s="151"/>
      <c r="W36" s="151"/>
      <c r="X36" s="151"/>
      <c r="Y36" s="151"/>
      <c r="Z36" s="151"/>
      <c r="AA36" s="151"/>
      <c r="AB36" s="151"/>
      <c r="AC36" s="151"/>
      <c r="AD36" s="151"/>
      <c r="AE36" s="151"/>
      <c r="AF36" s="151"/>
      <c r="AG36" s="151"/>
      <c r="AH36" s="151"/>
      <c r="AI36" s="151"/>
      <c r="AJ36" s="151"/>
      <c r="AK36" s="151"/>
      <c r="AL36" s="151"/>
      <c r="AM36" s="151"/>
      <c r="AN36" s="154">
        <f t="shared" si="0"/>
        <v>0</v>
      </c>
    </row>
    <row r="37" customHeight="1" spans="1:40">
      <c r="A37" s="160"/>
      <c r="B37" s="158" t="s">
        <v>1332</v>
      </c>
      <c r="C37" s="158"/>
      <c r="D37" s="154">
        <f>D35+D36</f>
        <v>0</v>
      </c>
      <c r="E37" s="154">
        <f t="shared" ref="E37" si="178">E35+E36</f>
        <v>0</v>
      </c>
      <c r="F37" s="154">
        <f t="shared" ref="F37" si="179">F35+F36</f>
        <v>0</v>
      </c>
      <c r="G37" s="154">
        <f t="shared" ref="G37" si="180">G35+G36</f>
        <v>0</v>
      </c>
      <c r="H37" s="154">
        <f t="shared" ref="H37" si="181">H35+H36</f>
        <v>0</v>
      </c>
      <c r="I37" s="154">
        <f t="shared" ref="I37" si="182">I35+I36</f>
        <v>0</v>
      </c>
      <c r="J37" s="154">
        <f t="shared" ref="J37" si="183">J35+J36</f>
        <v>0</v>
      </c>
      <c r="K37" s="154">
        <f t="shared" ref="K37" si="184">K35+K36</f>
        <v>0</v>
      </c>
      <c r="L37" s="154">
        <f t="shared" ref="L37" si="185">L35+L36</f>
        <v>0</v>
      </c>
      <c r="M37" s="154">
        <f t="shared" ref="M37" si="186">M35+M36</f>
        <v>0</v>
      </c>
      <c r="N37" s="154">
        <f t="shared" ref="N37" si="187">N35+N36</f>
        <v>0</v>
      </c>
      <c r="O37" s="154">
        <f t="shared" ref="O37" si="188">O35+O36</f>
        <v>0</v>
      </c>
      <c r="P37" s="154">
        <f t="shared" ref="P37" si="189">P35+P36</f>
        <v>0</v>
      </c>
      <c r="Q37" s="154">
        <f t="shared" ref="Q37" si="190">Q35+Q36</f>
        <v>0</v>
      </c>
      <c r="R37" s="154">
        <f t="shared" ref="R37" si="191">R35+R36</f>
        <v>0</v>
      </c>
      <c r="S37" s="154">
        <f t="shared" ref="S37" si="192">S35+S36</f>
        <v>0</v>
      </c>
      <c r="T37" s="154">
        <f t="shared" ref="T37" si="193">T35+T36</f>
        <v>0</v>
      </c>
      <c r="U37" s="154">
        <f t="shared" ref="U37" si="194">U35+U36</f>
        <v>0</v>
      </c>
      <c r="V37" s="154">
        <f t="shared" ref="V37" si="195">V35+V36</f>
        <v>0</v>
      </c>
      <c r="W37" s="154">
        <f t="shared" ref="W37" si="196">W35+W36</f>
        <v>0</v>
      </c>
      <c r="X37" s="154">
        <f t="shared" ref="X37" si="197">X35+X36</f>
        <v>0</v>
      </c>
      <c r="Y37" s="154">
        <f t="shared" ref="Y37" si="198">Y35+Y36</f>
        <v>0</v>
      </c>
      <c r="Z37" s="154">
        <f t="shared" ref="Z37" si="199">Z35+Z36</f>
        <v>0</v>
      </c>
      <c r="AA37" s="154">
        <f t="shared" ref="AA37" si="200">AA35+AA36</f>
        <v>0</v>
      </c>
      <c r="AB37" s="154">
        <f t="shared" ref="AB37" si="201">AB35+AB36</f>
        <v>0</v>
      </c>
      <c r="AC37" s="154">
        <f t="shared" ref="AC37" si="202">AC35+AC36</f>
        <v>0</v>
      </c>
      <c r="AD37" s="154">
        <f t="shared" ref="AD37" si="203">AD35+AD36</f>
        <v>0</v>
      </c>
      <c r="AE37" s="154">
        <f t="shared" ref="AE37" si="204">AE35+AE36</f>
        <v>0</v>
      </c>
      <c r="AF37" s="154">
        <f t="shared" ref="AF37" si="205">AF35+AF36</f>
        <v>0</v>
      </c>
      <c r="AG37" s="154">
        <f t="shared" ref="AG37" si="206">AG35+AG36</f>
        <v>0</v>
      </c>
      <c r="AH37" s="154">
        <f t="shared" ref="AH37" si="207">AH35+AH36</f>
        <v>0</v>
      </c>
      <c r="AI37" s="154">
        <f t="shared" ref="AI37" si="208">AI35+AI36</f>
        <v>0</v>
      </c>
      <c r="AJ37" s="154">
        <f t="shared" ref="AJ37" si="209">AJ35+AJ36</f>
        <v>0</v>
      </c>
      <c r="AK37" s="154">
        <f t="shared" ref="AK37" si="210">AK35+AK36</f>
        <v>0</v>
      </c>
      <c r="AL37" s="154">
        <f t="shared" ref="AL37" si="211">AL35+AL36</f>
        <v>0</v>
      </c>
      <c r="AM37" s="154">
        <f t="shared" ref="AM37" si="212">AM35+AM36</f>
        <v>0</v>
      </c>
      <c r="AN37" s="154">
        <f t="shared" si="0"/>
        <v>0</v>
      </c>
    </row>
    <row r="38" customHeight="1" spans="1:40">
      <c r="A38" s="165"/>
      <c r="B38" s="166" t="s">
        <v>1324</v>
      </c>
      <c r="C38" s="166"/>
      <c r="D38" s="151"/>
      <c r="E38" s="151"/>
      <c r="F38" s="151"/>
      <c r="G38" s="151"/>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c r="AE38" s="151"/>
      <c r="AF38" s="151"/>
      <c r="AG38" s="151"/>
      <c r="AH38" s="151"/>
      <c r="AI38" s="151"/>
      <c r="AJ38" s="151"/>
      <c r="AK38" s="151"/>
      <c r="AL38" s="151"/>
      <c r="AM38" s="151"/>
      <c r="AN38" s="154">
        <f t="shared" si="0"/>
        <v>0</v>
      </c>
    </row>
    <row r="39" customHeight="1" spans="1:40">
      <c r="A39" s="167"/>
      <c r="B39" s="166" t="s">
        <v>1325</v>
      </c>
      <c r="C39" s="166"/>
      <c r="D39" s="151"/>
      <c r="E39" s="151"/>
      <c r="F39" s="151"/>
      <c r="G39" s="151"/>
      <c r="H39" s="151"/>
      <c r="I39" s="151"/>
      <c r="J39" s="151"/>
      <c r="K39" s="151"/>
      <c r="L39" s="151"/>
      <c r="M39" s="151"/>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1"/>
      <c r="AM39" s="151"/>
      <c r="AN39" s="154">
        <f t="shared" si="0"/>
        <v>0</v>
      </c>
    </row>
    <row r="40" customHeight="1" spans="1:40">
      <c r="A40" s="167"/>
      <c r="B40" s="166" t="s">
        <v>1326</v>
      </c>
      <c r="C40" s="166"/>
      <c r="D40" s="151"/>
      <c r="E40" s="151"/>
      <c r="F40" s="151"/>
      <c r="G40" s="151"/>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51"/>
      <c r="AH40" s="151"/>
      <c r="AI40" s="151"/>
      <c r="AJ40" s="151"/>
      <c r="AK40" s="151"/>
      <c r="AL40" s="151"/>
      <c r="AM40" s="151"/>
      <c r="AN40" s="154">
        <f t="shared" si="0"/>
        <v>0</v>
      </c>
    </row>
    <row r="41" customHeight="1" spans="1:40">
      <c r="A41" s="167"/>
      <c r="B41" s="166" t="s">
        <v>1327</v>
      </c>
      <c r="C41" s="166"/>
      <c r="D41" s="154">
        <f>D39*D40/10000</f>
        <v>0</v>
      </c>
      <c r="E41" s="154">
        <f t="shared" ref="E41" si="213">E39*E40/10000</f>
        <v>0</v>
      </c>
      <c r="F41" s="154">
        <f t="shared" ref="F41" si="214">F39*F40/10000</f>
        <v>0</v>
      </c>
      <c r="G41" s="154">
        <f t="shared" ref="G41" si="215">G39*G40/10000</f>
        <v>0</v>
      </c>
      <c r="H41" s="154">
        <f t="shared" ref="H41" si="216">H39*H40/10000</f>
        <v>0</v>
      </c>
      <c r="I41" s="154">
        <f t="shared" ref="I41" si="217">I39*I40/10000</f>
        <v>0</v>
      </c>
      <c r="J41" s="154">
        <f t="shared" ref="J41" si="218">J39*J40/10000</f>
        <v>0</v>
      </c>
      <c r="K41" s="154">
        <f t="shared" ref="K41" si="219">K39*K40/10000</f>
        <v>0</v>
      </c>
      <c r="L41" s="154">
        <f t="shared" ref="L41" si="220">L39*L40/10000</f>
        <v>0</v>
      </c>
      <c r="M41" s="154">
        <f t="shared" ref="M41" si="221">M39*M40/10000</f>
        <v>0</v>
      </c>
      <c r="N41" s="154">
        <f t="shared" ref="N41" si="222">N39*N40/10000</f>
        <v>0</v>
      </c>
      <c r="O41" s="154">
        <f t="shared" ref="O41" si="223">O39*O40/10000</f>
        <v>0</v>
      </c>
      <c r="P41" s="154">
        <f t="shared" ref="P41" si="224">P39*P40/10000</f>
        <v>0</v>
      </c>
      <c r="Q41" s="154">
        <f t="shared" ref="Q41" si="225">Q39*Q40/10000</f>
        <v>0</v>
      </c>
      <c r="R41" s="154">
        <f t="shared" ref="R41" si="226">R39*R40/10000</f>
        <v>0</v>
      </c>
      <c r="S41" s="154">
        <f t="shared" ref="S41" si="227">S39*S40/10000</f>
        <v>0</v>
      </c>
      <c r="T41" s="154">
        <f t="shared" ref="T41" si="228">T39*T40/10000</f>
        <v>0</v>
      </c>
      <c r="U41" s="154">
        <f t="shared" ref="U41" si="229">U39*U40/10000</f>
        <v>0</v>
      </c>
      <c r="V41" s="154">
        <f t="shared" ref="V41" si="230">V39*V40/10000</f>
        <v>0</v>
      </c>
      <c r="W41" s="154">
        <f t="shared" ref="W41" si="231">W39*W40/10000</f>
        <v>0</v>
      </c>
      <c r="X41" s="154">
        <f t="shared" ref="X41" si="232">X39*X40/10000</f>
        <v>0</v>
      </c>
      <c r="Y41" s="154">
        <f t="shared" ref="Y41" si="233">Y39*Y40/10000</f>
        <v>0</v>
      </c>
      <c r="Z41" s="154">
        <f t="shared" ref="Z41" si="234">Z39*Z40/10000</f>
        <v>0</v>
      </c>
      <c r="AA41" s="154">
        <f t="shared" ref="AA41" si="235">AA39*AA40/10000</f>
        <v>0</v>
      </c>
      <c r="AB41" s="154">
        <f t="shared" ref="AB41" si="236">AB39*AB40/10000</f>
        <v>0</v>
      </c>
      <c r="AC41" s="154">
        <f t="shared" ref="AC41" si="237">AC39*AC40/10000</f>
        <v>0</v>
      </c>
      <c r="AD41" s="154">
        <f t="shared" ref="AD41" si="238">AD39*AD40/10000</f>
        <v>0</v>
      </c>
      <c r="AE41" s="154">
        <f t="shared" ref="AE41" si="239">AE39*AE40/10000</f>
        <v>0</v>
      </c>
      <c r="AF41" s="154">
        <f t="shared" ref="AF41" si="240">AF39*AF40/10000</f>
        <v>0</v>
      </c>
      <c r="AG41" s="154">
        <f t="shared" ref="AG41" si="241">AG39*AG40/10000</f>
        <v>0</v>
      </c>
      <c r="AH41" s="154">
        <f t="shared" ref="AH41" si="242">AH39*AH40/10000</f>
        <v>0</v>
      </c>
      <c r="AI41" s="154">
        <f t="shared" ref="AI41" si="243">AI39*AI40/10000</f>
        <v>0</v>
      </c>
      <c r="AJ41" s="154">
        <f t="shared" ref="AJ41" si="244">AJ39*AJ40/10000</f>
        <v>0</v>
      </c>
      <c r="AK41" s="154">
        <f t="shared" ref="AK41" si="245">AK39*AK40/10000</f>
        <v>0</v>
      </c>
      <c r="AL41" s="154">
        <f t="shared" ref="AL41" si="246">AL39*AL40/10000</f>
        <v>0</v>
      </c>
      <c r="AM41" s="154">
        <f t="shared" ref="AM41" si="247">AM39*AM40/10000</f>
        <v>0</v>
      </c>
      <c r="AN41" s="154">
        <f t="shared" si="0"/>
        <v>0</v>
      </c>
    </row>
    <row r="42" customHeight="1" spans="1:40">
      <c r="A42" s="167"/>
      <c r="B42" s="166" t="s">
        <v>1328</v>
      </c>
      <c r="C42" s="166"/>
      <c r="D42" s="151"/>
      <c r="E42" s="151"/>
      <c r="F42" s="151"/>
      <c r="G42" s="151"/>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c r="AE42" s="151"/>
      <c r="AF42" s="151"/>
      <c r="AG42" s="151"/>
      <c r="AH42" s="151"/>
      <c r="AI42" s="151"/>
      <c r="AJ42" s="151"/>
      <c r="AK42" s="151"/>
      <c r="AL42" s="151"/>
      <c r="AM42" s="151"/>
      <c r="AN42" s="154">
        <f t="shared" si="0"/>
        <v>0</v>
      </c>
    </row>
    <row r="43" customHeight="1" spans="1:40">
      <c r="A43" s="167"/>
      <c r="B43" s="166" t="s">
        <v>1329</v>
      </c>
      <c r="C43" s="166"/>
      <c r="D43" s="151"/>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c r="AG43" s="151"/>
      <c r="AH43" s="151"/>
      <c r="AI43" s="151"/>
      <c r="AJ43" s="151"/>
      <c r="AK43" s="151"/>
      <c r="AL43" s="151"/>
      <c r="AM43" s="151"/>
      <c r="AN43" s="154">
        <f t="shared" si="0"/>
        <v>0</v>
      </c>
    </row>
    <row r="44" customHeight="1" spans="1:40">
      <c r="A44" s="167"/>
      <c r="B44" s="166" t="s">
        <v>1330</v>
      </c>
      <c r="C44" s="166"/>
      <c r="D44" s="151"/>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c r="AG44" s="151"/>
      <c r="AH44" s="151"/>
      <c r="AI44" s="151"/>
      <c r="AJ44" s="151"/>
      <c r="AK44" s="151"/>
      <c r="AL44" s="151"/>
      <c r="AM44" s="151"/>
      <c r="AN44" s="154">
        <f t="shared" si="0"/>
        <v>0</v>
      </c>
    </row>
    <row r="45" customHeight="1" spans="1:40">
      <c r="A45" s="167"/>
      <c r="B45" s="166" t="s">
        <v>1331</v>
      </c>
      <c r="C45" s="166"/>
      <c r="D45" s="151"/>
      <c r="E45" s="151"/>
      <c r="F45" s="151"/>
      <c r="G45" s="151"/>
      <c r="H45" s="151"/>
      <c r="I45" s="151"/>
      <c r="J45" s="151"/>
      <c r="K45" s="151"/>
      <c r="L45" s="151"/>
      <c r="M45" s="151"/>
      <c r="N45" s="151"/>
      <c r="O45" s="151"/>
      <c r="P45" s="151"/>
      <c r="Q45" s="151"/>
      <c r="R45" s="151"/>
      <c r="S45" s="151"/>
      <c r="T45" s="151"/>
      <c r="U45" s="151"/>
      <c r="V45" s="151"/>
      <c r="W45" s="151"/>
      <c r="X45" s="151"/>
      <c r="Y45" s="151"/>
      <c r="Z45" s="151"/>
      <c r="AA45" s="151"/>
      <c r="AB45" s="151"/>
      <c r="AC45" s="151"/>
      <c r="AD45" s="151"/>
      <c r="AE45" s="151"/>
      <c r="AF45" s="151"/>
      <c r="AG45" s="151"/>
      <c r="AH45" s="151"/>
      <c r="AI45" s="151"/>
      <c r="AJ45" s="151"/>
      <c r="AK45" s="151"/>
      <c r="AL45" s="151"/>
      <c r="AM45" s="151"/>
      <c r="AN45" s="154">
        <f t="shared" si="0"/>
        <v>0</v>
      </c>
    </row>
    <row r="46" customHeight="1" spans="1:40">
      <c r="A46" s="168"/>
      <c r="B46" s="166" t="s">
        <v>1332</v>
      </c>
      <c r="C46" s="166"/>
      <c r="D46" s="154">
        <f>D44+D45</f>
        <v>0</v>
      </c>
      <c r="E46" s="154">
        <f t="shared" ref="E46" si="248">E44+E45</f>
        <v>0</v>
      </c>
      <c r="F46" s="154">
        <f t="shared" ref="F46" si="249">F44+F45</f>
        <v>0</v>
      </c>
      <c r="G46" s="154">
        <f t="shared" ref="G46" si="250">G44+G45</f>
        <v>0</v>
      </c>
      <c r="H46" s="154">
        <f t="shared" ref="H46" si="251">H44+H45</f>
        <v>0</v>
      </c>
      <c r="I46" s="154">
        <f t="shared" ref="I46" si="252">I44+I45</f>
        <v>0</v>
      </c>
      <c r="J46" s="154">
        <f t="shared" ref="J46" si="253">J44+J45</f>
        <v>0</v>
      </c>
      <c r="K46" s="154">
        <f t="shared" ref="K46" si="254">K44+K45</f>
        <v>0</v>
      </c>
      <c r="L46" s="154">
        <f t="shared" ref="L46" si="255">L44+L45</f>
        <v>0</v>
      </c>
      <c r="M46" s="154">
        <f t="shared" ref="M46" si="256">M44+M45</f>
        <v>0</v>
      </c>
      <c r="N46" s="154">
        <f t="shared" ref="N46" si="257">N44+N45</f>
        <v>0</v>
      </c>
      <c r="O46" s="154">
        <f t="shared" ref="O46" si="258">O44+O45</f>
        <v>0</v>
      </c>
      <c r="P46" s="154">
        <f t="shared" ref="P46" si="259">P44+P45</f>
        <v>0</v>
      </c>
      <c r="Q46" s="154">
        <f t="shared" ref="Q46" si="260">Q44+Q45</f>
        <v>0</v>
      </c>
      <c r="R46" s="154">
        <f t="shared" ref="R46" si="261">R44+R45</f>
        <v>0</v>
      </c>
      <c r="S46" s="154">
        <f t="shared" ref="S46" si="262">S44+S45</f>
        <v>0</v>
      </c>
      <c r="T46" s="154">
        <f t="shared" ref="T46" si="263">T44+T45</f>
        <v>0</v>
      </c>
      <c r="U46" s="154">
        <f t="shared" ref="U46" si="264">U44+U45</f>
        <v>0</v>
      </c>
      <c r="V46" s="154">
        <f t="shared" ref="V46" si="265">V44+V45</f>
        <v>0</v>
      </c>
      <c r="W46" s="154">
        <f t="shared" ref="W46" si="266">W44+W45</f>
        <v>0</v>
      </c>
      <c r="X46" s="154">
        <f t="shared" ref="X46" si="267">X44+X45</f>
        <v>0</v>
      </c>
      <c r="Y46" s="154">
        <f t="shared" ref="Y46" si="268">Y44+Y45</f>
        <v>0</v>
      </c>
      <c r="Z46" s="154">
        <f t="shared" ref="Z46" si="269">Z44+Z45</f>
        <v>0</v>
      </c>
      <c r="AA46" s="154">
        <f t="shared" ref="AA46" si="270">AA44+AA45</f>
        <v>0</v>
      </c>
      <c r="AB46" s="154">
        <f t="shared" ref="AB46" si="271">AB44+AB45</f>
        <v>0</v>
      </c>
      <c r="AC46" s="154">
        <f t="shared" ref="AC46" si="272">AC44+AC45</f>
        <v>0</v>
      </c>
      <c r="AD46" s="154">
        <f t="shared" ref="AD46" si="273">AD44+AD45</f>
        <v>0</v>
      </c>
      <c r="AE46" s="154">
        <f t="shared" ref="AE46" si="274">AE44+AE45</f>
        <v>0</v>
      </c>
      <c r="AF46" s="154">
        <f t="shared" ref="AF46" si="275">AF44+AF45</f>
        <v>0</v>
      </c>
      <c r="AG46" s="154">
        <f t="shared" ref="AG46" si="276">AG44+AG45</f>
        <v>0</v>
      </c>
      <c r="AH46" s="154">
        <f t="shared" ref="AH46" si="277">AH44+AH45</f>
        <v>0</v>
      </c>
      <c r="AI46" s="154">
        <f t="shared" ref="AI46" si="278">AI44+AI45</f>
        <v>0</v>
      </c>
      <c r="AJ46" s="154">
        <f t="shared" ref="AJ46" si="279">AJ44+AJ45</f>
        <v>0</v>
      </c>
      <c r="AK46" s="154">
        <f t="shared" ref="AK46" si="280">AK44+AK45</f>
        <v>0</v>
      </c>
      <c r="AL46" s="154">
        <f t="shared" ref="AL46" si="281">AL44+AL45</f>
        <v>0</v>
      </c>
      <c r="AM46" s="154">
        <f t="shared" ref="AM46" si="282">AM44+AM45</f>
        <v>0</v>
      </c>
      <c r="AN46" s="154">
        <f t="shared" si="0"/>
        <v>0</v>
      </c>
    </row>
    <row r="47" customHeight="1" spans="1:40">
      <c r="A47" s="169" t="s">
        <v>138</v>
      </c>
      <c r="B47" s="151" t="s">
        <v>1327</v>
      </c>
      <c r="C47" s="151"/>
      <c r="D47" s="154">
        <f t="shared" ref="D47:AM47" si="283">D5+D14+D23+D32+D41</f>
        <v>0</v>
      </c>
      <c r="E47" s="154">
        <f t="shared" si="283"/>
        <v>0</v>
      </c>
      <c r="F47" s="154">
        <f t="shared" si="283"/>
        <v>0</v>
      </c>
      <c r="G47" s="154">
        <f t="shared" si="283"/>
        <v>0</v>
      </c>
      <c r="H47" s="154">
        <f t="shared" si="283"/>
        <v>0</v>
      </c>
      <c r="I47" s="154">
        <f t="shared" si="283"/>
        <v>0</v>
      </c>
      <c r="J47" s="154">
        <f t="shared" si="283"/>
        <v>0</v>
      </c>
      <c r="K47" s="154">
        <f t="shared" si="283"/>
        <v>0</v>
      </c>
      <c r="L47" s="154">
        <f t="shared" si="283"/>
        <v>0</v>
      </c>
      <c r="M47" s="154">
        <f t="shared" si="283"/>
        <v>0</v>
      </c>
      <c r="N47" s="154">
        <f t="shared" si="283"/>
        <v>0</v>
      </c>
      <c r="O47" s="154">
        <f t="shared" si="283"/>
        <v>0</v>
      </c>
      <c r="P47" s="154">
        <f t="shared" si="283"/>
        <v>0</v>
      </c>
      <c r="Q47" s="154">
        <f t="shared" si="283"/>
        <v>0</v>
      </c>
      <c r="R47" s="154">
        <f t="shared" si="283"/>
        <v>0</v>
      </c>
      <c r="S47" s="154">
        <f t="shared" si="283"/>
        <v>0</v>
      </c>
      <c r="T47" s="154">
        <f t="shared" si="283"/>
        <v>0</v>
      </c>
      <c r="U47" s="154">
        <f t="shared" si="283"/>
        <v>0</v>
      </c>
      <c r="V47" s="154">
        <f t="shared" si="283"/>
        <v>0</v>
      </c>
      <c r="W47" s="154">
        <f t="shared" si="283"/>
        <v>0</v>
      </c>
      <c r="X47" s="154">
        <f t="shared" si="283"/>
        <v>0</v>
      </c>
      <c r="Y47" s="154">
        <f t="shared" si="283"/>
        <v>0</v>
      </c>
      <c r="Z47" s="154">
        <f t="shared" si="283"/>
        <v>0</v>
      </c>
      <c r="AA47" s="154">
        <f t="shared" si="283"/>
        <v>0</v>
      </c>
      <c r="AB47" s="154">
        <f t="shared" si="283"/>
        <v>0</v>
      </c>
      <c r="AC47" s="154">
        <f t="shared" si="283"/>
        <v>0</v>
      </c>
      <c r="AD47" s="154">
        <f t="shared" si="283"/>
        <v>0</v>
      </c>
      <c r="AE47" s="154">
        <f t="shared" si="283"/>
        <v>0</v>
      </c>
      <c r="AF47" s="154">
        <f t="shared" si="283"/>
        <v>0</v>
      </c>
      <c r="AG47" s="154">
        <f t="shared" si="283"/>
        <v>0</v>
      </c>
      <c r="AH47" s="154">
        <f t="shared" si="283"/>
        <v>0</v>
      </c>
      <c r="AI47" s="154">
        <f t="shared" si="283"/>
        <v>0</v>
      </c>
      <c r="AJ47" s="154">
        <f t="shared" si="283"/>
        <v>0</v>
      </c>
      <c r="AK47" s="154">
        <f t="shared" si="283"/>
        <v>0</v>
      </c>
      <c r="AL47" s="154">
        <f t="shared" si="283"/>
        <v>0</v>
      </c>
      <c r="AM47" s="154">
        <f t="shared" si="283"/>
        <v>0</v>
      </c>
      <c r="AN47" s="154">
        <f t="shared" si="0"/>
        <v>0</v>
      </c>
    </row>
    <row r="48" customHeight="1" spans="1:40">
      <c r="A48" s="169"/>
      <c r="B48" s="151" t="s">
        <v>1328</v>
      </c>
      <c r="C48" s="151"/>
      <c r="D48" s="154">
        <f t="shared" ref="D48:AM48" si="284">D6+D15+D24+D33+D42</f>
        <v>0</v>
      </c>
      <c r="E48" s="154">
        <f t="shared" si="284"/>
        <v>0</v>
      </c>
      <c r="F48" s="154">
        <f t="shared" si="284"/>
        <v>0</v>
      </c>
      <c r="G48" s="154">
        <f t="shared" si="284"/>
        <v>0</v>
      </c>
      <c r="H48" s="154">
        <f t="shared" si="284"/>
        <v>0</v>
      </c>
      <c r="I48" s="154">
        <f t="shared" si="284"/>
        <v>0</v>
      </c>
      <c r="J48" s="154">
        <f t="shared" si="284"/>
        <v>0</v>
      </c>
      <c r="K48" s="154">
        <f t="shared" si="284"/>
        <v>0</v>
      </c>
      <c r="L48" s="154">
        <f t="shared" si="284"/>
        <v>0</v>
      </c>
      <c r="M48" s="154">
        <f t="shared" si="284"/>
        <v>0</v>
      </c>
      <c r="N48" s="154">
        <f t="shared" si="284"/>
        <v>0</v>
      </c>
      <c r="O48" s="154">
        <f t="shared" si="284"/>
        <v>0</v>
      </c>
      <c r="P48" s="154">
        <f t="shared" si="284"/>
        <v>0</v>
      </c>
      <c r="Q48" s="154">
        <f t="shared" si="284"/>
        <v>0</v>
      </c>
      <c r="R48" s="154">
        <f t="shared" si="284"/>
        <v>0</v>
      </c>
      <c r="S48" s="154">
        <f t="shared" si="284"/>
        <v>0</v>
      </c>
      <c r="T48" s="154">
        <f t="shared" si="284"/>
        <v>0</v>
      </c>
      <c r="U48" s="154">
        <f t="shared" si="284"/>
        <v>0</v>
      </c>
      <c r="V48" s="154">
        <f t="shared" si="284"/>
        <v>0</v>
      </c>
      <c r="W48" s="154">
        <f t="shared" si="284"/>
        <v>0</v>
      </c>
      <c r="X48" s="154">
        <f t="shared" si="284"/>
        <v>0</v>
      </c>
      <c r="Y48" s="154">
        <f t="shared" si="284"/>
        <v>0</v>
      </c>
      <c r="Z48" s="154">
        <f t="shared" si="284"/>
        <v>0</v>
      </c>
      <c r="AA48" s="154">
        <f t="shared" si="284"/>
        <v>0</v>
      </c>
      <c r="AB48" s="154">
        <f t="shared" si="284"/>
        <v>0</v>
      </c>
      <c r="AC48" s="154">
        <f t="shared" si="284"/>
        <v>0</v>
      </c>
      <c r="AD48" s="154">
        <f t="shared" si="284"/>
        <v>0</v>
      </c>
      <c r="AE48" s="154">
        <f t="shared" si="284"/>
        <v>0</v>
      </c>
      <c r="AF48" s="154">
        <f t="shared" si="284"/>
        <v>0</v>
      </c>
      <c r="AG48" s="154">
        <f t="shared" si="284"/>
        <v>0</v>
      </c>
      <c r="AH48" s="154">
        <f t="shared" si="284"/>
        <v>0</v>
      </c>
      <c r="AI48" s="154">
        <f t="shared" si="284"/>
        <v>0</v>
      </c>
      <c r="AJ48" s="154">
        <f t="shared" si="284"/>
        <v>0</v>
      </c>
      <c r="AK48" s="154">
        <f t="shared" si="284"/>
        <v>0</v>
      </c>
      <c r="AL48" s="154">
        <f t="shared" si="284"/>
        <v>0</v>
      </c>
      <c r="AM48" s="154">
        <f t="shared" si="284"/>
        <v>0</v>
      </c>
      <c r="AN48" s="154">
        <f t="shared" si="0"/>
        <v>0</v>
      </c>
    </row>
    <row r="49" customHeight="1" spans="1:40">
      <c r="A49" s="169"/>
      <c r="B49" s="151" t="s">
        <v>1333</v>
      </c>
      <c r="C49" s="151"/>
      <c r="D49" s="154">
        <f t="shared" ref="D49:AM49" si="285">D47-D48</f>
        <v>0</v>
      </c>
      <c r="E49" s="154">
        <f t="shared" si="285"/>
        <v>0</v>
      </c>
      <c r="F49" s="154">
        <f t="shared" si="285"/>
        <v>0</v>
      </c>
      <c r="G49" s="154">
        <f t="shared" si="285"/>
        <v>0</v>
      </c>
      <c r="H49" s="154">
        <f t="shared" si="285"/>
        <v>0</v>
      </c>
      <c r="I49" s="154">
        <f t="shared" si="285"/>
        <v>0</v>
      </c>
      <c r="J49" s="154">
        <f t="shared" si="285"/>
        <v>0</v>
      </c>
      <c r="K49" s="154">
        <f t="shared" si="285"/>
        <v>0</v>
      </c>
      <c r="L49" s="154">
        <f t="shared" si="285"/>
        <v>0</v>
      </c>
      <c r="M49" s="154">
        <f t="shared" si="285"/>
        <v>0</v>
      </c>
      <c r="N49" s="154">
        <f t="shared" si="285"/>
        <v>0</v>
      </c>
      <c r="O49" s="154">
        <f t="shared" si="285"/>
        <v>0</v>
      </c>
      <c r="P49" s="154">
        <f t="shared" si="285"/>
        <v>0</v>
      </c>
      <c r="Q49" s="154">
        <f t="shared" si="285"/>
        <v>0</v>
      </c>
      <c r="R49" s="154">
        <f t="shared" si="285"/>
        <v>0</v>
      </c>
      <c r="S49" s="154">
        <f t="shared" si="285"/>
        <v>0</v>
      </c>
      <c r="T49" s="154">
        <f t="shared" si="285"/>
        <v>0</v>
      </c>
      <c r="U49" s="154">
        <f t="shared" si="285"/>
        <v>0</v>
      </c>
      <c r="V49" s="154">
        <f t="shared" si="285"/>
        <v>0</v>
      </c>
      <c r="W49" s="154">
        <f t="shared" si="285"/>
        <v>0</v>
      </c>
      <c r="X49" s="154">
        <f t="shared" si="285"/>
        <v>0</v>
      </c>
      <c r="Y49" s="154">
        <f t="shared" si="285"/>
        <v>0</v>
      </c>
      <c r="Z49" s="154">
        <f t="shared" si="285"/>
        <v>0</v>
      </c>
      <c r="AA49" s="154">
        <f t="shared" si="285"/>
        <v>0</v>
      </c>
      <c r="AB49" s="154">
        <f t="shared" si="285"/>
        <v>0</v>
      </c>
      <c r="AC49" s="154">
        <f t="shared" si="285"/>
        <v>0</v>
      </c>
      <c r="AD49" s="154">
        <f t="shared" si="285"/>
        <v>0</v>
      </c>
      <c r="AE49" s="154">
        <f t="shared" si="285"/>
        <v>0</v>
      </c>
      <c r="AF49" s="154">
        <f t="shared" si="285"/>
        <v>0</v>
      </c>
      <c r="AG49" s="154">
        <f t="shared" si="285"/>
        <v>0</v>
      </c>
      <c r="AH49" s="154">
        <f t="shared" si="285"/>
        <v>0</v>
      </c>
      <c r="AI49" s="154">
        <f t="shared" si="285"/>
        <v>0</v>
      </c>
      <c r="AJ49" s="154">
        <f t="shared" si="285"/>
        <v>0</v>
      </c>
      <c r="AK49" s="154">
        <f t="shared" si="285"/>
        <v>0</v>
      </c>
      <c r="AL49" s="154">
        <f t="shared" si="285"/>
        <v>0</v>
      </c>
      <c r="AM49" s="154">
        <f t="shared" si="285"/>
        <v>0</v>
      </c>
      <c r="AN49" s="154">
        <f t="shared" si="0"/>
        <v>0</v>
      </c>
    </row>
    <row r="50" customHeight="1" spans="1:40">
      <c r="A50" s="169"/>
      <c r="B50" s="151" t="s">
        <v>1330</v>
      </c>
      <c r="C50" s="151"/>
      <c r="D50" s="154">
        <f t="shared" ref="D50:AM50" si="286">D8+D17+D26+D35+D44</f>
        <v>0</v>
      </c>
      <c r="E50" s="154">
        <f t="shared" si="286"/>
        <v>0</v>
      </c>
      <c r="F50" s="154">
        <f t="shared" si="286"/>
        <v>0</v>
      </c>
      <c r="G50" s="154">
        <f t="shared" si="286"/>
        <v>0</v>
      </c>
      <c r="H50" s="154">
        <f t="shared" si="286"/>
        <v>0</v>
      </c>
      <c r="I50" s="154">
        <f t="shared" si="286"/>
        <v>0</v>
      </c>
      <c r="J50" s="154">
        <f t="shared" si="286"/>
        <v>0</v>
      </c>
      <c r="K50" s="154">
        <f t="shared" si="286"/>
        <v>0</v>
      </c>
      <c r="L50" s="154">
        <f t="shared" si="286"/>
        <v>0</v>
      </c>
      <c r="M50" s="154">
        <f t="shared" si="286"/>
        <v>0</v>
      </c>
      <c r="N50" s="154">
        <f t="shared" si="286"/>
        <v>0</v>
      </c>
      <c r="O50" s="154">
        <f t="shared" si="286"/>
        <v>0</v>
      </c>
      <c r="P50" s="154">
        <f t="shared" si="286"/>
        <v>0</v>
      </c>
      <c r="Q50" s="154">
        <f t="shared" si="286"/>
        <v>0</v>
      </c>
      <c r="R50" s="154">
        <f t="shared" si="286"/>
        <v>0</v>
      </c>
      <c r="S50" s="154">
        <f t="shared" si="286"/>
        <v>0</v>
      </c>
      <c r="T50" s="154">
        <f t="shared" si="286"/>
        <v>0</v>
      </c>
      <c r="U50" s="154">
        <f t="shared" si="286"/>
        <v>0</v>
      </c>
      <c r="V50" s="154">
        <f t="shared" si="286"/>
        <v>0</v>
      </c>
      <c r="W50" s="154">
        <f t="shared" si="286"/>
        <v>0</v>
      </c>
      <c r="X50" s="154">
        <f t="shared" si="286"/>
        <v>0</v>
      </c>
      <c r="Y50" s="154">
        <f t="shared" si="286"/>
        <v>0</v>
      </c>
      <c r="Z50" s="154">
        <f t="shared" si="286"/>
        <v>0</v>
      </c>
      <c r="AA50" s="154">
        <f t="shared" si="286"/>
        <v>0</v>
      </c>
      <c r="AB50" s="154">
        <f t="shared" si="286"/>
        <v>0</v>
      </c>
      <c r="AC50" s="154">
        <f t="shared" si="286"/>
        <v>0</v>
      </c>
      <c r="AD50" s="154">
        <f t="shared" si="286"/>
        <v>0</v>
      </c>
      <c r="AE50" s="154">
        <f t="shared" si="286"/>
        <v>0</v>
      </c>
      <c r="AF50" s="154">
        <f t="shared" si="286"/>
        <v>0</v>
      </c>
      <c r="AG50" s="154">
        <f t="shared" si="286"/>
        <v>0</v>
      </c>
      <c r="AH50" s="154">
        <f t="shared" si="286"/>
        <v>0</v>
      </c>
      <c r="AI50" s="154">
        <f t="shared" si="286"/>
        <v>0</v>
      </c>
      <c r="AJ50" s="154">
        <f t="shared" si="286"/>
        <v>0</v>
      </c>
      <c r="AK50" s="154">
        <f t="shared" si="286"/>
        <v>0</v>
      </c>
      <c r="AL50" s="154">
        <f t="shared" si="286"/>
        <v>0</v>
      </c>
      <c r="AM50" s="154">
        <f t="shared" si="286"/>
        <v>0</v>
      </c>
      <c r="AN50" s="154">
        <f t="shared" si="0"/>
        <v>0</v>
      </c>
    </row>
    <row r="51" customHeight="1" spans="1:40">
      <c r="A51" s="169"/>
      <c r="B51" s="151" t="s">
        <v>1331</v>
      </c>
      <c r="C51" s="151"/>
      <c r="D51" s="154">
        <f t="shared" ref="D51:AM51" si="287">D9+D18+D27+D36+D45</f>
        <v>0</v>
      </c>
      <c r="E51" s="154">
        <f t="shared" si="287"/>
        <v>0</v>
      </c>
      <c r="F51" s="154">
        <f t="shared" si="287"/>
        <v>0</v>
      </c>
      <c r="G51" s="154">
        <f t="shared" si="287"/>
        <v>0</v>
      </c>
      <c r="H51" s="154">
        <f t="shared" si="287"/>
        <v>0</v>
      </c>
      <c r="I51" s="154">
        <f t="shared" si="287"/>
        <v>0</v>
      </c>
      <c r="J51" s="154">
        <f t="shared" si="287"/>
        <v>0</v>
      </c>
      <c r="K51" s="154">
        <f t="shared" si="287"/>
        <v>0</v>
      </c>
      <c r="L51" s="154">
        <f t="shared" si="287"/>
        <v>0</v>
      </c>
      <c r="M51" s="154">
        <f t="shared" si="287"/>
        <v>0</v>
      </c>
      <c r="N51" s="154">
        <f t="shared" si="287"/>
        <v>0</v>
      </c>
      <c r="O51" s="154">
        <f t="shared" si="287"/>
        <v>0</v>
      </c>
      <c r="P51" s="154">
        <f t="shared" si="287"/>
        <v>0</v>
      </c>
      <c r="Q51" s="154">
        <f t="shared" si="287"/>
        <v>0</v>
      </c>
      <c r="R51" s="154">
        <f t="shared" si="287"/>
        <v>0</v>
      </c>
      <c r="S51" s="154">
        <f t="shared" si="287"/>
        <v>0</v>
      </c>
      <c r="T51" s="154">
        <f t="shared" si="287"/>
        <v>0</v>
      </c>
      <c r="U51" s="154">
        <f t="shared" si="287"/>
        <v>0</v>
      </c>
      <c r="V51" s="154">
        <f t="shared" si="287"/>
        <v>0</v>
      </c>
      <c r="W51" s="154">
        <f t="shared" si="287"/>
        <v>0</v>
      </c>
      <c r="X51" s="154">
        <f t="shared" si="287"/>
        <v>0</v>
      </c>
      <c r="Y51" s="154">
        <f t="shared" si="287"/>
        <v>0</v>
      </c>
      <c r="Z51" s="154">
        <f t="shared" si="287"/>
        <v>0</v>
      </c>
      <c r="AA51" s="154">
        <f t="shared" si="287"/>
        <v>0</v>
      </c>
      <c r="AB51" s="154">
        <f t="shared" si="287"/>
        <v>0</v>
      </c>
      <c r="AC51" s="154">
        <f t="shared" si="287"/>
        <v>0</v>
      </c>
      <c r="AD51" s="154">
        <f t="shared" si="287"/>
        <v>0</v>
      </c>
      <c r="AE51" s="154">
        <f t="shared" si="287"/>
        <v>0</v>
      </c>
      <c r="AF51" s="154">
        <f t="shared" si="287"/>
        <v>0</v>
      </c>
      <c r="AG51" s="154">
        <f t="shared" si="287"/>
        <v>0</v>
      </c>
      <c r="AH51" s="154">
        <f t="shared" si="287"/>
        <v>0</v>
      </c>
      <c r="AI51" s="154">
        <f t="shared" si="287"/>
        <v>0</v>
      </c>
      <c r="AJ51" s="154">
        <f t="shared" si="287"/>
        <v>0</v>
      </c>
      <c r="AK51" s="154">
        <f t="shared" si="287"/>
        <v>0</v>
      </c>
      <c r="AL51" s="154">
        <f t="shared" si="287"/>
        <v>0</v>
      </c>
      <c r="AM51" s="154">
        <f t="shared" si="287"/>
        <v>0</v>
      </c>
      <c r="AN51" s="154">
        <f t="shared" si="0"/>
        <v>0</v>
      </c>
    </row>
    <row r="52" customHeight="1" spans="1:40">
      <c r="A52" s="170"/>
      <c r="B52" s="151" t="s">
        <v>1332</v>
      </c>
      <c r="C52" s="151"/>
      <c r="D52" s="154">
        <f t="shared" ref="D52:AM52" si="288">D10+D19+D28+D37+D46</f>
        <v>0</v>
      </c>
      <c r="E52" s="154">
        <f t="shared" si="288"/>
        <v>0</v>
      </c>
      <c r="F52" s="154">
        <f t="shared" si="288"/>
        <v>0</v>
      </c>
      <c r="G52" s="154">
        <f t="shared" si="288"/>
        <v>0</v>
      </c>
      <c r="H52" s="154">
        <f t="shared" si="288"/>
        <v>0</v>
      </c>
      <c r="I52" s="154">
        <f t="shared" si="288"/>
        <v>0</v>
      </c>
      <c r="J52" s="154">
        <f t="shared" si="288"/>
        <v>0</v>
      </c>
      <c r="K52" s="154">
        <f t="shared" si="288"/>
        <v>0</v>
      </c>
      <c r="L52" s="154">
        <f t="shared" si="288"/>
        <v>0</v>
      </c>
      <c r="M52" s="154">
        <f t="shared" si="288"/>
        <v>0</v>
      </c>
      <c r="N52" s="154">
        <f t="shared" si="288"/>
        <v>0</v>
      </c>
      <c r="O52" s="154">
        <f t="shared" si="288"/>
        <v>0</v>
      </c>
      <c r="P52" s="154">
        <f t="shared" si="288"/>
        <v>0</v>
      </c>
      <c r="Q52" s="154">
        <f t="shared" si="288"/>
        <v>0</v>
      </c>
      <c r="R52" s="154">
        <f t="shared" si="288"/>
        <v>0</v>
      </c>
      <c r="S52" s="154">
        <f t="shared" si="288"/>
        <v>0</v>
      </c>
      <c r="T52" s="154">
        <f t="shared" si="288"/>
        <v>0</v>
      </c>
      <c r="U52" s="154">
        <f t="shared" si="288"/>
        <v>0</v>
      </c>
      <c r="V52" s="154">
        <f t="shared" si="288"/>
        <v>0</v>
      </c>
      <c r="W52" s="154">
        <f t="shared" si="288"/>
        <v>0</v>
      </c>
      <c r="X52" s="154">
        <f t="shared" si="288"/>
        <v>0</v>
      </c>
      <c r="Y52" s="154">
        <f t="shared" si="288"/>
        <v>0</v>
      </c>
      <c r="Z52" s="154">
        <f t="shared" si="288"/>
        <v>0</v>
      </c>
      <c r="AA52" s="154">
        <f t="shared" si="288"/>
        <v>0</v>
      </c>
      <c r="AB52" s="154">
        <f t="shared" si="288"/>
        <v>0</v>
      </c>
      <c r="AC52" s="154">
        <f t="shared" si="288"/>
        <v>0</v>
      </c>
      <c r="AD52" s="154">
        <f t="shared" si="288"/>
        <v>0</v>
      </c>
      <c r="AE52" s="154">
        <f t="shared" si="288"/>
        <v>0</v>
      </c>
      <c r="AF52" s="154">
        <f t="shared" si="288"/>
        <v>0</v>
      </c>
      <c r="AG52" s="154">
        <f t="shared" si="288"/>
        <v>0</v>
      </c>
      <c r="AH52" s="154">
        <f t="shared" si="288"/>
        <v>0</v>
      </c>
      <c r="AI52" s="154">
        <f t="shared" si="288"/>
        <v>0</v>
      </c>
      <c r="AJ52" s="154">
        <f t="shared" si="288"/>
        <v>0</v>
      </c>
      <c r="AK52" s="154">
        <f t="shared" si="288"/>
        <v>0</v>
      </c>
      <c r="AL52" s="154">
        <f t="shared" si="288"/>
        <v>0</v>
      </c>
      <c r="AM52" s="154">
        <f t="shared" si="288"/>
        <v>0</v>
      </c>
      <c r="AN52" s="154">
        <f t="shared" si="0"/>
        <v>0</v>
      </c>
    </row>
    <row r="53" customHeight="1" spans="1:40">
      <c r="A53" s="14" t="s">
        <v>705</v>
      </c>
      <c r="B53" s="151"/>
      <c r="C53" s="151"/>
      <c r="D53" s="151"/>
      <c r="E53" s="151"/>
      <c r="F53" s="151"/>
      <c r="G53" s="151"/>
      <c r="H53" s="151"/>
      <c r="I53" s="151"/>
      <c r="J53" s="151"/>
      <c r="K53" s="151"/>
      <c r="L53" s="151"/>
      <c r="M53" s="151"/>
      <c r="N53" s="151"/>
      <c r="O53" s="151"/>
      <c r="P53" s="151"/>
      <c r="Q53" s="151"/>
      <c r="R53" s="151"/>
      <c r="S53" s="151"/>
      <c r="T53" s="151"/>
      <c r="U53" s="151"/>
      <c r="V53" s="151"/>
      <c r="W53" s="151"/>
      <c r="X53" s="151"/>
      <c r="Y53" s="151"/>
      <c r="Z53" s="151"/>
      <c r="AA53" s="151"/>
      <c r="AB53" s="151"/>
      <c r="AC53" s="151"/>
      <c r="AD53" s="151"/>
      <c r="AE53" s="151"/>
      <c r="AF53" s="151"/>
      <c r="AG53" s="151"/>
      <c r="AH53" s="151"/>
      <c r="AI53" s="151"/>
      <c r="AJ53" s="151"/>
      <c r="AK53" s="151"/>
      <c r="AL53" s="151"/>
      <c r="AM53" s="151"/>
      <c r="AN53" s="151"/>
    </row>
    <row r="54" customHeight="1" spans="1:40">
      <c r="A54" s="14"/>
      <c r="B54" s="151"/>
      <c r="C54" s="151"/>
      <c r="D54" s="151"/>
      <c r="E54" s="151"/>
      <c r="F54" s="151"/>
      <c r="G54" s="151"/>
      <c r="H54" s="151"/>
      <c r="I54" s="151"/>
      <c r="J54" s="151"/>
      <c r="K54" s="151"/>
      <c r="L54" s="151"/>
      <c r="M54" s="151"/>
      <c r="N54" s="151"/>
      <c r="O54" s="151"/>
      <c r="P54" s="151"/>
      <c r="Q54" s="151"/>
      <c r="R54" s="151"/>
      <c r="S54" s="151"/>
      <c r="T54" s="151"/>
      <c r="U54" s="151"/>
      <c r="V54" s="151"/>
      <c r="W54" s="151"/>
      <c r="X54" s="151"/>
      <c r="Y54" s="151"/>
      <c r="Z54" s="151"/>
      <c r="AA54" s="151"/>
      <c r="AB54" s="151"/>
      <c r="AC54" s="151"/>
      <c r="AD54" s="151"/>
      <c r="AE54" s="151"/>
      <c r="AF54" s="151"/>
      <c r="AG54" s="151"/>
      <c r="AH54" s="151"/>
      <c r="AI54" s="151"/>
      <c r="AJ54" s="151"/>
      <c r="AK54" s="151"/>
      <c r="AL54" s="151"/>
      <c r="AM54" s="151"/>
      <c r="AN54" s="151"/>
    </row>
    <row r="55" customHeight="1" spans="1:40">
      <c r="A55" s="14"/>
      <c r="B55" s="151"/>
      <c r="C55" s="151"/>
      <c r="D55" s="151"/>
      <c r="E55" s="151"/>
      <c r="F55" s="151"/>
      <c r="G55" s="151"/>
      <c r="H55" s="151"/>
      <c r="I55" s="151"/>
      <c r="J55" s="151"/>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row>
    <row r="56" customHeight="1" spans="1:40">
      <c r="A56" s="14"/>
      <c r="B56" s="151"/>
      <c r="C56" s="151"/>
      <c r="D56" s="151"/>
      <c r="E56" s="151"/>
      <c r="F56" s="151"/>
      <c r="G56" s="151"/>
      <c r="H56" s="151"/>
      <c r="I56" s="151"/>
      <c r="J56" s="151"/>
      <c r="K56" s="151"/>
      <c r="L56" s="151"/>
      <c r="M56" s="151"/>
      <c r="N56" s="151"/>
      <c r="O56" s="151"/>
      <c r="P56" s="151"/>
      <c r="Q56" s="151"/>
      <c r="R56" s="151"/>
      <c r="S56" s="151"/>
      <c r="T56" s="151"/>
      <c r="U56" s="151"/>
      <c r="V56" s="151"/>
      <c r="W56" s="151"/>
      <c r="X56" s="151"/>
      <c r="Y56" s="151"/>
      <c r="Z56" s="151"/>
      <c r="AA56" s="151"/>
      <c r="AB56" s="151"/>
      <c r="AC56" s="151"/>
      <c r="AD56" s="151"/>
      <c r="AE56" s="151"/>
      <c r="AF56" s="151"/>
      <c r="AG56" s="151"/>
      <c r="AH56" s="151"/>
      <c r="AI56" s="151"/>
      <c r="AJ56" s="151"/>
      <c r="AK56" s="151"/>
      <c r="AL56" s="151"/>
      <c r="AM56" s="151"/>
      <c r="AN56" s="151"/>
    </row>
    <row r="57" customHeight="1" spans="1:40">
      <c r="A57" s="14"/>
      <c r="B57" s="151"/>
      <c r="C57" s="151"/>
      <c r="D57" s="151"/>
      <c r="E57" s="151"/>
      <c r="F57" s="151"/>
      <c r="G57" s="151"/>
      <c r="H57" s="151"/>
      <c r="I57" s="151"/>
      <c r="J57" s="151"/>
      <c r="K57" s="151"/>
      <c r="L57" s="151"/>
      <c r="M57" s="151"/>
      <c r="N57" s="151"/>
      <c r="O57" s="151"/>
      <c r="P57" s="151"/>
      <c r="Q57" s="151"/>
      <c r="R57" s="151"/>
      <c r="S57" s="151"/>
      <c r="T57" s="151"/>
      <c r="U57" s="151"/>
      <c r="V57" s="151"/>
      <c r="W57" s="151"/>
      <c r="X57" s="151"/>
      <c r="Y57" s="151"/>
      <c r="Z57" s="151"/>
      <c r="AA57" s="151"/>
      <c r="AB57" s="151"/>
      <c r="AC57" s="151"/>
      <c r="AD57" s="151"/>
      <c r="AE57" s="151"/>
      <c r="AF57" s="151"/>
      <c r="AG57" s="151"/>
      <c r="AH57" s="151"/>
      <c r="AI57" s="151"/>
      <c r="AJ57" s="151"/>
      <c r="AK57" s="151"/>
      <c r="AL57" s="151"/>
      <c r="AM57" s="151"/>
      <c r="AN57" s="151"/>
    </row>
    <row r="58" customHeight="1" spans="1:40">
      <c r="A58" s="14"/>
      <c r="B58" s="151" t="s">
        <v>138</v>
      </c>
      <c r="C58" s="151"/>
      <c r="D58" s="151"/>
      <c r="E58" s="151"/>
      <c r="F58" s="151"/>
      <c r="G58" s="151"/>
      <c r="H58" s="151"/>
      <c r="I58" s="151"/>
      <c r="J58" s="151"/>
      <c r="K58" s="151"/>
      <c r="L58" s="151"/>
      <c r="M58" s="151"/>
      <c r="N58" s="151"/>
      <c r="O58" s="151"/>
      <c r="P58" s="151"/>
      <c r="Q58" s="151"/>
      <c r="R58" s="151"/>
      <c r="S58" s="151"/>
      <c r="T58" s="151"/>
      <c r="U58" s="151"/>
      <c r="V58" s="151"/>
      <c r="W58" s="151"/>
      <c r="X58" s="151"/>
      <c r="Y58" s="151"/>
      <c r="Z58" s="151"/>
      <c r="AA58" s="151"/>
      <c r="AB58" s="151"/>
      <c r="AC58" s="151"/>
      <c r="AD58" s="151"/>
      <c r="AE58" s="151"/>
      <c r="AF58" s="151"/>
      <c r="AG58" s="151"/>
      <c r="AH58" s="151"/>
      <c r="AI58" s="151"/>
      <c r="AJ58" s="151"/>
      <c r="AK58" s="151"/>
      <c r="AL58" s="151"/>
      <c r="AM58" s="151"/>
      <c r="AN58" s="151"/>
    </row>
    <row r="59" customHeight="1" spans="1:2">
      <c r="A59" s="14" t="s">
        <v>1334</v>
      </c>
      <c r="B59" s="151"/>
    </row>
    <row r="60" customHeight="1" spans="1:2">
      <c r="A60" s="14"/>
      <c r="B60" s="151"/>
    </row>
    <row r="61" customHeight="1" spans="1:2">
      <c r="A61" s="14"/>
      <c r="B61" s="151"/>
    </row>
    <row r="62" customHeight="1" spans="1:2">
      <c r="A62" s="14"/>
      <c r="B62" s="151"/>
    </row>
    <row r="63" customHeight="1" spans="1:2">
      <c r="A63" s="14"/>
      <c r="B63" s="151"/>
    </row>
  </sheetData>
  <mergeCells count="8">
    <mergeCell ref="A2:A10"/>
    <mergeCell ref="A11:A19"/>
    <mergeCell ref="A20:A28"/>
    <mergeCell ref="A29:A37"/>
    <mergeCell ref="A38:A46"/>
    <mergeCell ref="A47:A52"/>
    <mergeCell ref="A53:A58"/>
    <mergeCell ref="A59:A63"/>
  </mergeCell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workbookViewId="0">
      <selection activeCell="E10" sqref="E10"/>
    </sheetView>
  </sheetViews>
  <sheetFormatPr defaultColWidth="9" defaultRowHeight="14.25"/>
  <cols>
    <col min="1" max="1" width="12.25" customWidth="1"/>
    <col min="2" max="2" width="13.625" customWidth="1"/>
    <col min="3" max="3" width="17.125" customWidth="1"/>
    <col min="4" max="4" width="19.375" customWidth="1"/>
    <col min="5" max="5" width="14.625" customWidth="1"/>
    <col min="6" max="7" width="12.75" customWidth="1"/>
    <col min="8" max="8" width="12.375" customWidth="1"/>
    <col min="9" max="9" width="11.625" customWidth="1"/>
    <col min="11" max="11" width="12.625" customWidth="1"/>
  </cols>
  <sheetData>
    <row r="1" ht="24.95" customHeight="1" spans="1:11">
      <c r="A1" s="274" t="s">
        <v>0</v>
      </c>
      <c r="B1" s="140" t="s">
        <v>29</v>
      </c>
      <c r="C1" s="274" t="s">
        <v>30</v>
      </c>
      <c r="D1" s="274" t="s">
        <v>31</v>
      </c>
      <c r="E1" s="274" t="s">
        <v>32</v>
      </c>
      <c r="F1" s="274" t="s">
        <v>33</v>
      </c>
      <c r="G1" s="274" t="s">
        <v>34</v>
      </c>
      <c r="H1" s="274" t="s">
        <v>35</v>
      </c>
      <c r="I1" s="274" t="s">
        <v>36</v>
      </c>
      <c r="J1" s="274" t="s">
        <v>37</v>
      </c>
      <c r="K1" s="274" t="s">
        <v>5</v>
      </c>
    </row>
    <row r="2" s="150" customFormat="1" ht="24.95" customHeight="1" spans="1:11">
      <c r="A2" s="151"/>
      <c r="B2" s="151"/>
      <c r="C2" s="151"/>
      <c r="D2" s="151"/>
      <c r="E2" s="151"/>
      <c r="F2" s="151"/>
      <c r="G2" s="151"/>
      <c r="H2" s="151"/>
      <c r="I2" s="151"/>
      <c r="J2" s="986"/>
      <c r="K2" s="151"/>
    </row>
    <row r="3" ht="24.95" customHeight="1" spans="1:11">
      <c r="A3" s="140"/>
      <c r="B3" s="140"/>
      <c r="C3" s="985"/>
      <c r="D3" s="985"/>
      <c r="E3" s="985"/>
      <c r="F3" s="985"/>
      <c r="G3" s="985"/>
      <c r="H3" s="985"/>
      <c r="I3" s="985"/>
      <c r="J3" s="986"/>
      <c r="K3" s="140"/>
    </row>
    <row r="4" ht="24.95" customHeight="1" spans="1:11">
      <c r="A4" s="140"/>
      <c r="B4" s="140"/>
      <c r="C4" s="140"/>
      <c r="D4" s="140"/>
      <c r="E4" s="140"/>
      <c r="F4" s="140"/>
      <c r="G4" s="140"/>
      <c r="H4" s="140"/>
      <c r="I4" s="140"/>
      <c r="J4" s="140"/>
      <c r="K4" s="140"/>
    </row>
    <row r="5" ht="24.95" customHeight="1" spans="1:11">
      <c r="A5" s="140"/>
      <c r="B5" s="140"/>
      <c r="C5" s="140"/>
      <c r="D5" s="140"/>
      <c r="E5" s="140"/>
      <c r="F5" s="140"/>
      <c r="G5" s="140"/>
      <c r="H5" s="140"/>
      <c r="I5" s="140"/>
      <c r="J5" s="140"/>
      <c r="K5" s="140"/>
    </row>
    <row r="6" ht="24.95" customHeight="1" spans="1:11">
      <c r="A6" s="140"/>
      <c r="B6" s="140"/>
      <c r="C6" s="140"/>
      <c r="D6" s="140"/>
      <c r="E6" s="140"/>
      <c r="F6" s="140"/>
      <c r="G6" s="140"/>
      <c r="H6" s="140"/>
      <c r="I6" s="140"/>
      <c r="J6" s="140"/>
      <c r="K6" s="140"/>
    </row>
    <row r="7" ht="24.95" customHeight="1" spans="1:11">
      <c r="A7" s="140"/>
      <c r="B7" s="140"/>
      <c r="C7" s="140"/>
      <c r="D7" s="140"/>
      <c r="E7" s="140"/>
      <c r="F7" s="140"/>
      <c r="G7" s="140"/>
      <c r="H7" s="140"/>
      <c r="I7" s="140"/>
      <c r="J7" s="140"/>
      <c r="K7" s="140"/>
    </row>
    <row r="8" ht="24.95" customHeight="1" spans="1:11">
      <c r="A8" s="140"/>
      <c r="B8" s="140"/>
      <c r="C8" s="140"/>
      <c r="D8" s="140"/>
      <c r="E8" s="140"/>
      <c r="F8" s="140"/>
      <c r="G8" s="274"/>
      <c r="H8" s="140"/>
      <c r="I8" s="140"/>
      <c r="J8" s="140"/>
      <c r="K8" s="140"/>
    </row>
    <row r="9" ht="24.95" customHeight="1" spans="1:11">
      <c r="A9" s="140"/>
      <c r="B9" s="140"/>
      <c r="C9" s="140"/>
      <c r="D9" s="140"/>
      <c r="E9" s="140"/>
      <c r="F9" s="140"/>
      <c r="G9" s="140"/>
      <c r="H9" s="140"/>
      <c r="I9" s="140"/>
      <c r="J9" s="140"/>
      <c r="K9" s="140"/>
    </row>
    <row r="10" ht="24.95" customHeight="1" spans="1:11">
      <c r="A10" s="140"/>
      <c r="B10" s="140"/>
      <c r="C10" s="140"/>
      <c r="D10" s="140"/>
      <c r="E10" s="140"/>
      <c r="F10" s="140"/>
      <c r="G10" s="140"/>
      <c r="H10" s="140"/>
      <c r="I10" s="140"/>
      <c r="J10" s="140"/>
      <c r="K10" s="140"/>
    </row>
    <row r="11" ht="24.95" customHeight="1" spans="1:11">
      <c r="A11" s="140"/>
      <c r="B11" s="140"/>
      <c r="C11" s="140"/>
      <c r="D11" s="140"/>
      <c r="E11" s="140"/>
      <c r="F11" s="140"/>
      <c r="G11" s="140"/>
      <c r="H11" s="140"/>
      <c r="I11" s="140"/>
      <c r="J11" s="140"/>
      <c r="K11" s="140"/>
    </row>
    <row r="12" ht="24.95" customHeight="1" spans="1:11">
      <c r="A12" s="140"/>
      <c r="B12" s="140"/>
      <c r="C12" s="140"/>
      <c r="D12" s="140"/>
      <c r="E12" s="140"/>
      <c r="F12" s="140"/>
      <c r="G12" s="140"/>
      <c r="H12" s="140"/>
      <c r="I12" s="140"/>
      <c r="J12" s="140"/>
      <c r="K12" s="140"/>
    </row>
    <row r="13" ht="24.95" customHeight="1" spans="1:11">
      <c r="A13" s="140"/>
      <c r="B13" s="140"/>
      <c r="C13" s="140"/>
      <c r="D13" s="140"/>
      <c r="E13" s="140"/>
      <c r="F13" s="140"/>
      <c r="G13" s="140"/>
      <c r="H13" s="140"/>
      <c r="I13" s="140"/>
      <c r="J13" s="140"/>
      <c r="K13" s="140"/>
    </row>
    <row r="14" ht="24.95" customHeight="1" spans="1:11">
      <c r="A14" s="140"/>
      <c r="B14" s="140"/>
      <c r="C14" s="140"/>
      <c r="D14" s="140"/>
      <c r="E14" s="140"/>
      <c r="F14" s="140"/>
      <c r="G14" s="140"/>
      <c r="H14" s="140"/>
      <c r="I14" s="140"/>
      <c r="J14" s="140"/>
      <c r="K14" s="140"/>
    </row>
    <row r="15" ht="24.95" customHeight="1" spans="1:11">
      <c r="A15" s="140"/>
      <c r="B15" s="140"/>
      <c r="C15" s="140"/>
      <c r="D15" s="140"/>
      <c r="E15" s="140"/>
      <c r="F15" s="140"/>
      <c r="G15" s="140"/>
      <c r="H15" s="140"/>
      <c r="I15" s="140"/>
      <c r="J15" s="140"/>
      <c r="K15" s="140"/>
    </row>
    <row r="16" ht="24.95" customHeight="1" spans="1:11">
      <c r="A16" s="140"/>
      <c r="B16" s="140"/>
      <c r="C16" s="140"/>
      <c r="D16" s="140"/>
      <c r="E16" s="140"/>
      <c r="F16" s="140"/>
      <c r="G16" s="140"/>
      <c r="H16" s="140"/>
      <c r="I16" s="140"/>
      <c r="J16" s="140"/>
      <c r="K16" s="140"/>
    </row>
    <row r="17" ht="24.95" customHeight="1" spans="1:11">
      <c r="A17" s="140"/>
      <c r="B17" s="140"/>
      <c r="C17" s="140"/>
      <c r="D17" s="140"/>
      <c r="E17" s="140"/>
      <c r="F17" s="140"/>
      <c r="G17" s="140"/>
      <c r="H17" s="140"/>
      <c r="I17" s="140"/>
      <c r="J17" s="140"/>
      <c r="K17" s="140"/>
    </row>
    <row r="18" ht="24.95" customHeight="1" spans="1:11">
      <c r="A18" s="140"/>
      <c r="B18" s="140"/>
      <c r="C18" s="140"/>
      <c r="D18" s="140"/>
      <c r="E18" s="140"/>
      <c r="F18" s="140"/>
      <c r="G18" s="140"/>
      <c r="H18" s="140"/>
      <c r="I18" s="140"/>
      <c r="J18" s="140"/>
      <c r="K18" s="140"/>
    </row>
    <row r="19" ht="24.95" customHeight="1" spans="1:11">
      <c r="A19" s="140"/>
      <c r="B19" s="140"/>
      <c r="C19" s="140"/>
      <c r="D19" s="140"/>
      <c r="E19" s="140"/>
      <c r="F19" s="140"/>
      <c r="G19" s="140"/>
      <c r="H19" s="140"/>
      <c r="I19" s="140"/>
      <c r="J19" s="140"/>
      <c r="K19" s="140"/>
    </row>
    <row r="20" ht="24.95" customHeight="1" spans="1:11">
      <c r="A20" s="140"/>
      <c r="B20" s="140"/>
      <c r="C20" s="140"/>
      <c r="D20" s="140"/>
      <c r="E20" s="140"/>
      <c r="F20" s="140"/>
      <c r="G20" s="140"/>
      <c r="H20" s="140"/>
      <c r="I20" s="140"/>
      <c r="J20" s="140"/>
      <c r="K20" s="140"/>
    </row>
  </sheetData>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8"/>
  <sheetViews>
    <sheetView workbookViewId="0">
      <selection activeCell="H68" sqref="H68"/>
    </sheetView>
  </sheetViews>
  <sheetFormatPr defaultColWidth="9" defaultRowHeight="14.25" outlineLevelRow="7"/>
  <cols>
    <col min="1" max="1" width="9.25" style="150" customWidth="1"/>
    <col min="2" max="3" width="10.875" style="150" customWidth="1"/>
    <col min="4" max="16384" width="9" style="150"/>
  </cols>
  <sheetData>
    <row r="1" ht="18.75" customHeight="1" spans="1:40">
      <c r="A1" s="151" t="s">
        <v>1286</v>
      </c>
      <c r="B1" s="151" t="s">
        <v>1287</v>
      </c>
      <c r="C1" s="151" t="s">
        <v>138</v>
      </c>
      <c r="D1" s="151" t="s">
        <v>1288</v>
      </c>
      <c r="E1" s="151" t="s">
        <v>1289</v>
      </c>
      <c r="F1" s="151" t="s">
        <v>1290</v>
      </c>
      <c r="G1" s="151" t="s">
        <v>1291</v>
      </c>
      <c r="H1" s="151" t="s">
        <v>1292</v>
      </c>
      <c r="I1" s="151" t="s">
        <v>1293</v>
      </c>
      <c r="J1" s="151" t="s">
        <v>1294</v>
      </c>
      <c r="K1" s="151" t="s">
        <v>1295</v>
      </c>
      <c r="L1" s="151" t="s">
        <v>1296</v>
      </c>
      <c r="M1" s="151" t="s">
        <v>1297</v>
      </c>
      <c r="N1" s="151" t="s">
        <v>1298</v>
      </c>
      <c r="O1" s="151" t="s">
        <v>1299</v>
      </c>
      <c r="P1" s="151" t="s">
        <v>1300</v>
      </c>
      <c r="Q1" s="151" t="s">
        <v>1301</v>
      </c>
      <c r="R1" s="151" t="s">
        <v>1302</v>
      </c>
      <c r="S1" s="151" t="s">
        <v>1303</v>
      </c>
      <c r="T1" s="151" t="s">
        <v>1304</v>
      </c>
      <c r="U1" s="151" t="s">
        <v>1305</v>
      </c>
      <c r="V1" s="151" t="s">
        <v>1306</v>
      </c>
      <c r="W1" s="151" t="s">
        <v>1307</v>
      </c>
      <c r="X1" s="151" t="s">
        <v>1308</v>
      </c>
      <c r="Y1" s="151" t="s">
        <v>1309</v>
      </c>
      <c r="Z1" s="151" t="s">
        <v>1310</v>
      </c>
      <c r="AA1" s="151" t="s">
        <v>1311</v>
      </c>
      <c r="AB1" s="151" t="s">
        <v>1312</v>
      </c>
      <c r="AC1" s="151" t="s">
        <v>1313</v>
      </c>
      <c r="AD1" s="151" t="s">
        <v>1314</v>
      </c>
      <c r="AE1" s="151" t="s">
        <v>1315</v>
      </c>
      <c r="AF1" s="151" t="s">
        <v>1316</v>
      </c>
      <c r="AG1" s="151" t="s">
        <v>1317</v>
      </c>
      <c r="AH1" s="151" t="s">
        <v>1318</v>
      </c>
      <c r="AI1" s="151" t="s">
        <v>1319</v>
      </c>
      <c r="AJ1" s="151" t="s">
        <v>1320</v>
      </c>
      <c r="AK1" s="151" t="s">
        <v>1321</v>
      </c>
      <c r="AL1" s="151" t="s">
        <v>1322</v>
      </c>
      <c r="AM1" s="151" t="s">
        <v>1323</v>
      </c>
      <c r="AN1" s="151" t="s">
        <v>54</v>
      </c>
    </row>
    <row r="2" ht="18.75" customHeight="1" spans="1:40">
      <c r="A2" s="152">
        <v>1</v>
      </c>
      <c r="B2" s="153"/>
      <c r="C2" s="153"/>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4">
        <f>SUM(D2:AM2)</f>
        <v>0</v>
      </c>
    </row>
    <row r="3" ht="18.75" customHeight="1" spans="1:40">
      <c r="A3" s="14" t="s">
        <v>1335</v>
      </c>
      <c r="B3" s="151" t="s">
        <v>1336</v>
      </c>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row>
    <row r="4" ht="18.75" customHeight="1" spans="1:40">
      <c r="A4" s="14"/>
      <c r="B4" s="151" t="s">
        <v>1337</v>
      </c>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row>
    <row r="5" ht="18.75" customHeight="1" spans="1:40">
      <c r="A5" s="14"/>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row>
    <row r="6" ht="18.75" customHeight="1" spans="1:40">
      <c r="A6" s="14"/>
      <c r="B6" s="151" t="s">
        <v>1337</v>
      </c>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row>
    <row r="7" ht="18.75" customHeight="1" spans="1:40">
      <c r="A7" s="14"/>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row>
    <row r="8" ht="18.75" customHeight="1" spans="1:40">
      <c r="A8" s="14"/>
      <c r="B8" s="151" t="s">
        <v>138</v>
      </c>
      <c r="C8" s="151"/>
      <c r="D8" s="151"/>
      <c r="E8" s="151"/>
      <c r="F8" s="151"/>
      <c r="G8" s="151"/>
      <c r="H8" s="151"/>
      <c r="I8" s="151"/>
      <c r="J8" s="151"/>
      <c r="K8" s="151"/>
      <c r="L8" s="151"/>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row>
  </sheetData>
  <mergeCells count="1">
    <mergeCell ref="A3:A8"/>
  </mergeCells>
  <pageMargins left="0.699305555555556" right="0.699305555555556"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8"/>
  <sheetViews>
    <sheetView workbookViewId="0">
      <selection activeCell="H68" sqref="H68"/>
    </sheetView>
  </sheetViews>
  <sheetFormatPr defaultColWidth="9" defaultRowHeight="14.25" outlineLevelRow="7"/>
  <sheetData>
    <row r="1" s="150" customFormat="1" ht="18.75" customHeight="1" spans="1:40">
      <c r="A1" s="151" t="s">
        <v>1286</v>
      </c>
      <c r="B1" s="151" t="s">
        <v>1287</v>
      </c>
      <c r="C1" s="151" t="s">
        <v>138</v>
      </c>
      <c r="D1" s="151" t="s">
        <v>1288</v>
      </c>
      <c r="E1" s="151" t="s">
        <v>1289</v>
      </c>
      <c r="F1" s="151" t="s">
        <v>1290</v>
      </c>
      <c r="G1" s="151" t="s">
        <v>1291</v>
      </c>
      <c r="H1" s="151" t="s">
        <v>1292</v>
      </c>
      <c r="I1" s="151" t="s">
        <v>1293</v>
      </c>
      <c r="J1" s="151" t="s">
        <v>1294</v>
      </c>
      <c r="K1" s="151" t="s">
        <v>1295</v>
      </c>
      <c r="L1" s="151" t="s">
        <v>1296</v>
      </c>
      <c r="M1" s="151" t="s">
        <v>1297</v>
      </c>
      <c r="N1" s="151" t="s">
        <v>1298</v>
      </c>
      <c r="O1" s="151" t="s">
        <v>1299</v>
      </c>
      <c r="P1" s="151" t="s">
        <v>1300</v>
      </c>
      <c r="Q1" s="151" t="s">
        <v>1301</v>
      </c>
      <c r="R1" s="151" t="s">
        <v>1302</v>
      </c>
      <c r="S1" s="151" t="s">
        <v>1303</v>
      </c>
      <c r="T1" s="151" t="s">
        <v>1304</v>
      </c>
      <c r="U1" s="151" t="s">
        <v>1305</v>
      </c>
      <c r="V1" s="151" t="s">
        <v>1306</v>
      </c>
      <c r="W1" s="151" t="s">
        <v>1307</v>
      </c>
      <c r="X1" s="151" t="s">
        <v>1308</v>
      </c>
      <c r="Y1" s="151" t="s">
        <v>1309</v>
      </c>
      <c r="Z1" s="151" t="s">
        <v>1310</v>
      </c>
      <c r="AA1" s="151" t="s">
        <v>1311</v>
      </c>
      <c r="AB1" s="151" t="s">
        <v>1312</v>
      </c>
      <c r="AC1" s="151" t="s">
        <v>1313</v>
      </c>
      <c r="AD1" s="151" t="s">
        <v>1314</v>
      </c>
      <c r="AE1" s="151" t="s">
        <v>1315</v>
      </c>
      <c r="AF1" s="151" t="s">
        <v>1316</v>
      </c>
      <c r="AG1" s="151" t="s">
        <v>1317</v>
      </c>
      <c r="AH1" s="151" t="s">
        <v>1318</v>
      </c>
      <c r="AI1" s="151" t="s">
        <v>1319</v>
      </c>
      <c r="AJ1" s="151" t="s">
        <v>1320</v>
      </c>
      <c r="AK1" s="151" t="s">
        <v>1321</v>
      </c>
      <c r="AL1" s="151" t="s">
        <v>1322</v>
      </c>
      <c r="AM1" s="151" t="s">
        <v>1323</v>
      </c>
      <c r="AN1" s="151" t="s">
        <v>54</v>
      </c>
    </row>
    <row r="2" s="150" customFormat="1" ht="18.75" customHeight="1" spans="1:40">
      <c r="A2" s="152">
        <v>1</v>
      </c>
      <c r="B2" s="153" t="s">
        <v>1338</v>
      </c>
      <c r="C2" s="153"/>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4">
        <f>SUM(D2:AM2)</f>
        <v>0</v>
      </c>
    </row>
    <row r="3" s="150" customFormat="1" ht="18.75" customHeight="1" spans="1:40">
      <c r="A3" s="14" t="s">
        <v>1335</v>
      </c>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row>
    <row r="4" s="150" customFormat="1" ht="18.75" customHeight="1" spans="1:40">
      <c r="A4" s="14"/>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row>
    <row r="5" s="150" customFormat="1" ht="18.75" customHeight="1" spans="1:40">
      <c r="A5" s="14"/>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row>
    <row r="6" s="150" customFormat="1" ht="18.75" customHeight="1" spans="1:40">
      <c r="A6" s="14"/>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row>
    <row r="7" s="150" customFormat="1" ht="18.75" customHeight="1" spans="1:40">
      <c r="A7" s="14"/>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row>
    <row r="8" s="150" customFormat="1" ht="18.75" customHeight="1" spans="1:40">
      <c r="A8" s="14"/>
      <c r="B8" s="151" t="s">
        <v>138</v>
      </c>
      <c r="C8" s="151"/>
      <c r="D8" s="151"/>
      <c r="E8" s="151"/>
      <c r="F8" s="151"/>
      <c r="G8" s="151"/>
      <c r="H8" s="151"/>
      <c r="I8" s="151"/>
      <c r="J8" s="151"/>
      <c r="K8" s="151"/>
      <c r="L8" s="151"/>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row>
  </sheetData>
  <mergeCells count="1">
    <mergeCell ref="A3:A8"/>
  </mergeCells>
  <pageMargins left="0.699305555555556" right="0.699305555555556" top="0.75" bottom="0.75"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workbookViewId="0">
      <selection activeCell="G16" sqref="G16"/>
    </sheetView>
  </sheetViews>
  <sheetFormatPr defaultColWidth="9" defaultRowHeight="20.25" customHeight="1"/>
  <cols>
    <col min="1" max="1" width="17.5" customWidth="1"/>
    <col min="2" max="2" width="15.25" customWidth="1"/>
    <col min="3" max="3" width="16.625" style="139" customWidth="1"/>
  </cols>
  <sheetData>
    <row r="1" customHeight="1" spans="1:12">
      <c r="A1" s="140" t="s">
        <v>93</v>
      </c>
      <c r="B1" s="141" t="s">
        <v>94</v>
      </c>
      <c r="C1" s="142" t="s">
        <v>2</v>
      </c>
      <c r="H1" s="143" t="s">
        <v>1339</v>
      </c>
      <c r="I1" s="149"/>
      <c r="J1" s="149"/>
      <c r="K1" s="149"/>
      <c r="L1" s="149"/>
    </row>
    <row r="2" customHeight="1" spans="1:12">
      <c r="A2" s="144" t="s">
        <v>99</v>
      </c>
      <c r="B2" s="145" t="s">
        <v>100</v>
      </c>
      <c r="C2" s="146" t="s">
        <v>17</v>
      </c>
      <c r="H2" s="147"/>
      <c r="I2" s="147"/>
      <c r="J2" s="147"/>
      <c r="K2" s="147"/>
      <c r="L2" s="147"/>
    </row>
    <row r="3" customHeight="1" spans="1:12">
      <c r="A3" s="144" t="s">
        <v>90</v>
      </c>
      <c r="B3" s="145" t="s">
        <v>104</v>
      </c>
      <c r="C3" s="146" t="s">
        <v>20</v>
      </c>
      <c r="H3" s="147"/>
      <c r="I3" s="147"/>
      <c r="J3" s="147"/>
      <c r="K3" s="147"/>
      <c r="L3" s="147"/>
    </row>
    <row r="4" customHeight="1" spans="1:12">
      <c r="A4" s="140" t="s">
        <v>97</v>
      </c>
      <c r="B4" s="145" t="s">
        <v>107</v>
      </c>
      <c r="C4" s="146" t="s">
        <v>14</v>
      </c>
      <c r="H4" s="147"/>
      <c r="I4" s="147"/>
      <c r="J4" s="147"/>
      <c r="K4" s="147"/>
      <c r="L4" s="147"/>
    </row>
    <row r="5" customHeight="1" spans="1:12">
      <c r="A5" s="140" t="s">
        <v>109</v>
      </c>
      <c r="B5" s="145"/>
      <c r="C5" s="146" t="s">
        <v>7</v>
      </c>
      <c r="H5" s="147"/>
      <c r="I5" s="147"/>
      <c r="J5" s="147"/>
      <c r="K5" s="147"/>
      <c r="L5" s="147"/>
    </row>
    <row r="6" customHeight="1" spans="1:12">
      <c r="A6" s="144" t="s">
        <v>1340</v>
      </c>
      <c r="B6" s="145"/>
      <c r="C6" s="146" t="s">
        <v>11</v>
      </c>
      <c r="H6" s="147"/>
      <c r="I6" s="147"/>
      <c r="J6" s="147"/>
      <c r="K6" s="147"/>
      <c r="L6" s="147"/>
    </row>
    <row r="7" customHeight="1" spans="1:12">
      <c r="A7" s="140" t="s">
        <v>111</v>
      </c>
      <c r="B7" s="145"/>
      <c r="C7" s="146" t="s">
        <v>1341</v>
      </c>
      <c r="H7" s="147"/>
      <c r="I7" s="147"/>
      <c r="J7" s="147"/>
      <c r="K7" s="147"/>
      <c r="L7" s="147"/>
    </row>
    <row r="8" customHeight="1" spans="1:12">
      <c r="A8" s="144" t="s">
        <v>113</v>
      </c>
      <c r="B8" s="145"/>
      <c r="C8" s="146" t="s">
        <v>1342</v>
      </c>
      <c r="H8" s="147"/>
      <c r="I8" s="147"/>
      <c r="J8" s="147"/>
      <c r="K8" s="147"/>
      <c r="L8" s="147"/>
    </row>
    <row r="9" customHeight="1" spans="1:12">
      <c r="A9" s="144" t="s">
        <v>118</v>
      </c>
      <c r="B9" s="145"/>
      <c r="C9" s="148"/>
      <c r="H9" s="147"/>
      <c r="I9" s="147"/>
      <c r="J9" s="147"/>
      <c r="K9" s="147"/>
      <c r="L9" s="147"/>
    </row>
    <row r="10" customHeight="1" spans="1:12">
      <c r="A10" s="144" t="s">
        <v>122</v>
      </c>
      <c r="B10" s="145"/>
      <c r="C10" s="148"/>
      <c r="H10" s="147"/>
      <c r="I10" s="147"/>
      <c r="J10" s="147"/>
      <c r="K10" s="147"/>
      <c r="L10" s="147"/>
    </row>
    <row r="11" customHeight="1" spans="1:3">
      <c r="A11" s="140" t="s">
        <v>125</v>
      </c>
      <c r="B11" s="145"/>
      <c r="C11" s="148"/>
    </row>
    <row r="12" customHeight="1" spans="1:3">
      <c r="A12" s="140" t="s">
        <v>127</v>
      </c>
      <c r="B12" s="145"/>
      <c r="C12" s="148"/>
    </row>
    <row r="13" customHeight="1" spans="1:3">
      <c r="A13" s="140" t="s">
        <v>129</v>
      </c>
      <c r="B13" s="145"/>
      <c r="C13" s="148"/>
    </row>
    <row r="14" customHeight="1" spans="1:3">
      <c r="A14" s="140" t="s">
        <v>133</v>
      </c>
      <c r="B14" s="145"/>
      <c r="C14" s="148"/>
    </row>
    <row r="15" customHeight="1" spans="1:3">
      <c r="A15" s="144" t="s">
        <v>1343</v>
      </c>
      <c r="B15" s="145"/>
      <c r="C15" s="148"/>
    </row>
    <row r="16" customHeight="1" spans="1:3">
      <c r="A16" s="144" t="s">
        <v>1344</v>
      </c>
      <c r="B16" s="145"/>
      <c r="C16" s="148"/>
    </row>
    <row r="17" customHeight="1" spans="1:3">
      <c r="A17" s="140"/>
      <c r="B17" s="145"/>
      <c r="C17" s="148"/>
    </row>
    <row r="18" customHeight="1" spans="1:3">
      <c r="A18" s="140"/>
      <c r="B18" s="145"/>
      <c r="C18" s="148"/>
    </row>
  </sheetData>
  <mergeCells count="1">
    <mergeCell ref="H1:L1"/>
  </mergeCells>
  <pageMargins left="0.699305555555556" right="0.699305555555556"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F14"/>
  <sheetViews>
    <sheetView workbookViewId="0">
      <selection activeCell="D14" sqref="D14"/>
    </sheetView>
  </sheetViews>
  <sheetFormatPr defaultColWidth="9" defaultRowHeight="14.25" outlineLevelCol="5"/>
  <cols>
    <col min="2" max="3" width="13.625" customWidth="1"/>
    <col min="4" max="4" width="12.875" customWidth="1"/>
    <col min="5" max="5" width="13.625" customWidth="1"/>
    <col min="6" max="6" width="122.25" customWidth="1"/>
  </cols>
  <sheetData>
    <row r="1" ht="15"/>
    <row r="2" ht="27" customHeight="1" spans="2:6">
      <c r="B2" s="131" t="s">
        <v>1077</v>
      </c>
      <c r="C2" s="131" t="s">
        <v>1345</v>
      </c>
      <c r="D2" s="131" t="s">
        <v>1346</v>
      </c>
      <c r="E2" s="131" t="s">
        <v>1176</v>
      </c>
      <c r="F2" s="131" t="s">
        <v>1177</v>
      </c>
    </row>
    <row r="3" ht="27" customHeight="1" spans="2:6">
      <c r="B3" s="132" t="s">
        <v>77</v>
      </c>
      <c r="C3" s="133">
        <v>71304.53</v>
      </c>
      <c r="D3" s="133">
        <v>70247.86</v>
      </c>
      <c r="E3" s="133">
        <f>C3-D3</f>
        <v>1056.67</v>
      </c>
      <c r="F3" s="132" t="s">
        <v>1347</v>
      </c>
    </row>
    <row r="4" ht="27" customHeight="1" spans="2:6">
      <c r="B4" s="132" t="s">
        <v>79</v>
      </c>
      <c r="C4" s="133">
        <v>70789.96</v>
      </c>
      <c r="D4" s="133">
        <v>69462.86</v>
      </c>
      <c r="E4" s="133">
        <f t="shared" ref="E4:E11" si="0">C4-D4</f>
        <v>1327.10000000001</v>
      </c>
      <c r="F4" s="132" t="s">
        <v>1348</v>
      </c>
    </row>
    <row r="5" ht="27" customHeight="1" spans="2:6">
      <c r="B5" s="134" t="s">
        <v>1349</v>
      </c>
      <c r="C5" s="133">
        <v>65833.48</v>
      </c>
      <c r="D5" s="133">
        <v>66200.8</v>
      </c>
      <c r="E5" s="133">
        <f t="shared" si="0"/>
        <v>-367.320000000007</v>
      </c>
      <c r="F5" s="132" t="s">
        <v>1350</v>
      </c>
    </row>
    <row r="6" ht="27" customHeight="1" spans="2:6">
      <c r="B6" s="134" t="s">
        <v>1351</v>
      </c>
      <c r="C6" s="133">
        <v>22299.71</v>
      </c>
      <c r="D6" s="133">
        <v>22299.71</v>
      </c>
      <c r="E6" s="133">
        <f t="shared" si="0"/>
        <v>0</v>
      </c>
      <c r="F6" s="132" t="s">
        <v>1352</v>
      </c>
    </row>
    <row r="7" ht="27" customHeight="1" spans="2:6">
      <c r="B7" s="134" t="s">
        <v>1353</v>
      </c>
      <c r="C7" s="133">
        <v>33179.91</v>
      </c>
      <c r="D7" s="133">
        <v>32866.76</v>
      </c>
      <c r="E7" s="133">
        <f t="shared" si="0"/>
        <v>313.150000000001</v>
      </c>
      <c r="F7" s="132" t="s">
        <v>1354</v>
      </c>
    </row>
    <row r="8" ht="27" customHeight="1" spans="2:6">
      <c r="B8" s="134" t="s">
        <v>1355</v>
      </c>
      <c r="C8" s="133">
        <v>4814.6614282353</v>
      </c>
      <c r="D8" s="133">
        <v>4801.04</v>
      </c>
      <c r="E8" s="133">
        <f t="shared" si="0"/>
        <v>13.6214282352985</v>
      </c>
      <c r="F8" s="132" t="s">
        <v>1356</v>
      </c>
    </row>
    <row r="9" ht="27" customHeight="1" spans="2:6">
      <c r="B9" s="134" t="s">
        <v>1357</v>
      </c>
      <c r="C9" s="133">
        <v>4053.81758399817</v>
      </c>
      <c r="D9" s="133">
        <v>4282.07</v>
      </c>
      <c r="E9" s="133">
        <f t="shared" si="0"/>
        <v>-228.252416001828</v>
      </c>
      <c r="F9" s="132" t="s">
        <v>1358</v>
      </c>
    </row>
    <row r="10" ht="27" customHeight="1" spans="2:6">
      <c r="B10" s="134" t="s">
        <v>1359</v>
      </c>
      <c r="C10" s="133">
        <v>1485.37715253817</v>
      </c>
      <c r="D10" s="133">
        <v>1951.22</v>
      </c>
      <c r="E10" s="133">
        <f t="shared" si="0"/>
        <v>-465.842847461827</v>
      </c>
      <c r="F10" s="132" t="s">
        <v>1360</v>
      </c>
    </row>
    <row r="11" ht="27" customHeight="1" spans="2:6">
      <c r="B11" s="134" t="s">
        <v>1194</v>
      </c>
      <c r="C11" s="135">
        <v>0.0245932798120307</v>
      </c>
      <c r="D11" s="136">
        <v>0.0321</v>
      </c>
      <c r="E11" s="137">
        <f t="shared" si="0"/>
        <v>-0.00750672018796928</v>
      </c>
      <c r="F11" s="132" t="s">
        <v>1361</v>
      </c>
    </row>
    <row r="14" spans="3:4">
      <c r="C14" s="138"/>
      <c r="D14" s="138">
        <f>D5-D6-D7-D8-D9-D10</f>
        <v>2.04636307898909e-12</v>
      </c>
    </row>
  </sheetData>
  <pageMargins left="0.75" right="0.75" top="1" bottom="1" header="0.5" footer="0.5"/>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selection activeCell="J10" sqref="J10"/>
    </sheetView>
  </sheetViews>
  <sheetFormatPr defaultColWidth="9" defaultRowHeight="13.5"/>
  <cols>
    <col min="1" max="1" width="9" style="115"/>
    <col min="2" max="2" width="24.5" style="115" customWidth="1"/>
    <col min="3" max="3" width="13.6333333333333" style="115" customWidth="1"/>
    <col min="4" max="4" width="17.25" style="115" customWidth="1"/>
    <col min="5" max="5" width="9.75" style="115" customWidth="1"/>
    <col min="6" max="6" width="13.6333333333333" style="115" hidden="1" customWidth="1"/>
    <col min="7" max="7" width="17.25" style="115" hidden="1" customWidth="1"/>
    <col min="8" max="8" width="9.75" style="115" hidden="1" customWidth="1"/>
    <col min="9" max="9" width="14.6333333333333" style="115" customWidth="1"/>
    <col min="10" max="10" width="15.1333333333333" style="115" customWidth="1"/>
    <col min="11" max="11" width="11" style="115" customWidth="1"/>
    <col min="12" max="12" width="11.5" style="115" customWidth="1"/>
    <col min="13" max="13" width="48.6333333333333" style="115" customWidth="1"/>
    <col min="14" max="14" width="14.1333333333333" style="115"/>
    <col min="15" max="15" width="9.63333333333333" style="115"/>
    <col min="16" max="16384" width="9" style="115"/>
  </cols>
  <sheetData>
    <row r="1" s="115" customFormat="1" ht="30.95" customHeight="1" spans="3:13">
      <c r="C1" s="116" t="s">
        <v>1362</v>
      </c>
      <c r="D1" s="116"/>
      <c r="E1" s="116"/>
      <c r="F1" s="116" t="s">
        <v>1363</v>
      </c>
      <c r="G1" s="116"/>
      <c r="H1" s="116"/>
      <c r="I1" s="115" t="s">
        <v>1364</v>
      </c>
      <c r="L1" s="115" t="s">
        <v>1365</v>
      </c>
      <c r="M1" s="115" t="s">
        <v>5</v>
      </c>
    </row>
    <row r="2" s="115" customFormat="1" ht="27.95" customHeight="1" spans="1:13">
      <c r="A2" s="51">
        <v>1</v>
      </c>
      <c r="B2" s="117" t="s">
        <v>1366</v>
      </c>
      <c r="C2" s="117"/>
      <c r="D2" s="117"/>
      <c r="E2" s="117"/>
      <c r="F2" s="117"/>
      <c r="G2" s="117"/>
      <c r="H2" s="117"/>
      <c r="I2" s="117"/>
      <c r="J2" s="117"/>
      <c r="K2" s="117"/>
      <c r="L2" s="117"/>
      <c r="M2" s="117"/>
    </row>
    <row r="3" s="115" customFormat="1" ht="27.95" customHeight="1" spans="1:13">
      <c r="A3" s="51"/>
      <c r="B3" s="117" t="s">
        <v>1367</v>
      </c>
      <c r="C3" s="117">
        <v>70247.86</v>
      </c>
      <c r="D3" s="117"/>
      <c r="E3" s="117"/>
      <c r="F3" s="117">
        <f>F4+F7</f>
        <v>71194.73</v>
      </c>
      <c r="G3" s="117"/>
      <c r="H3" s="117"/>
      <c r="I3" s="117">
        <f>I4+I7</f>
        <v>71194.59</v>
      </c>
      <c r="J3" s="117"/>
      <c r="K3" s="117"/>
      <c r="L3" s="117">
        <f t="shared" ref="L3:L14" si="0">I3-C3</f>
        <v>946.729999999996</v>
      </c>
      <c r="M3" s="126" t="s">
        <v>1368</v>
      </c>
    </row>
    <row r="4" s="115" customFormat="1" ht="26.25" customHeight="1" spans="1:13">
      <c r="A4" s="51"/>
      <c r="B4" s="118" t="s">
        <v>1369</v>
      </c>
      <c r="C4" s="119">
        <v>49185</v>
      </c>
      <c r="D4" s="120" t="s">
        <v>1370</v>
      </c>
      <c r="E4" s="120">
        <v>32384</v>
      </c>
      <c r="F4" s="119">
        <f>H4+H5+H6</f>
        <v>48874.73</v>
      </c>
      <c r="G4" s="120" t="s">
        <v>1370</v>
      </c>
      <c r="H4" s="120">
        <v>31651.48</v>
      </c>
      <c r="I4" s="119">
        <f>K4+K5+K6</f>
        <v>48874.59</v>
      </c>
      <c r="J4" s="51" t="s">
        <v>1370</v>
      </c>
      <c r="K4" s="120">
        <v>31783.7</v>
      </c>
      <c r="L4" s="117">
        <f t="shared" ref="L4:L6" si="1">K4-E4</f>
        <v>-600.299999999999</v>
      </c>
      <c r="M4" s="127" t="s">
        <v>1371</v>
      </c>
    </row>
    <row r="5" s="115" customFormat="1" ht="28.5" customHeight="1" spans="1:13">
      <c r="A5" s="51"/>
      <c r="B5" s="121"/>
      <c r="C5" s="122"/>
      <c r="D5" s="120" t="s">
        <v>1372</v>
      </c>
      <c r="E5" s="120">
        <v>16016</v>
      </c>
      <c r="F5" s="122"/>
      <c r="G5" s="120" t="s">
        <v>1372</v>
      </c>
      <c r="H5" s="120">
        <v>16715.35</v>
      </c>
      <c r="I5" s="122"/>
      <c r="J5" s="51" t="s">
        <v>1372</v>
      </c>
      <c r="K5" s="120">
        <v>16582.99</v>
      </c>
      <c r="L5" s="117">
        <f t="shared" si="1"/>
        <v>566.990000000002</v>
      </c>
      <c r="M5" s="123"/>
    </row>
    <row r="6" s="115" customFormat="1" ht="27.95" customHeight="1" spans="1:13">
      <c r="A6" s="51"/>
      <c r="B6" s="121"/>
      <c r="C6" s="122"/>
      <c r="D6" s="123" t="s">
        <v>1373</v>
      </c>
      <c r="E6" s="120">
        <v>785</v>
      </c>
      <c r="F6" s="122"/>
      <c r="G6" s="123" t="s">
        <v>1374</v>
      </c>
      <c r="H6" s="120">
        <v>507.9</v>
      </c>
      <c r="I6" s="122"/>
      <c r="J6" s="128" t="s">
        <v>1374</v>
      </c>
      <c r="K6" s="120">
        <v>507.9</v>
      </c>
      <c r="L6" s="117">
        <f t="shared" si="1"/>
        <v>-277.1</v>
      </c>
      <c r="M6" s="129"/>
    </row>
    <row r="7" s="115" customFormat="1" ht="27.95" customHeight="1" spans="1:13">
      <c r="A7" s="51"/>
      <c r="B7" s="117" t="s">
        <v>1375</v>
      </c>
      <c r="C7" s="117">
        <v>21062.86</v>
      </c>
      <c r="D7" s="117"/>
      <c r="E7" s="117"/>
      <c r="F7" s="117">
        <v>22320</v>
      </c>
      <c r="G7" s="117"/>
      <c r="H7" s="117"/>
      <c r="I7" s="117">
        <v>22320</v>
      </c>
      <c r="J7" s="117"/>
      <c r="K7" s="117"/>
      <c r="L7" s="117">
        <f t="shared" si="0"/>
        <v>1257.14</v>
      </c>
      <c r="M7" s="126" t="s">
        <v>1376</v>
      </c>
    </row>
    <row r="8" s="115" customFormat="1" ht="27.95" customHeight="1" spans="1:13">
      <c r="A8" s="51"/>
      <c r="B8" s="117" t="s">
        <v>1377</v>
      </c>
      <c r="C8" s="117">
        <v>508</v>
      </c>
      <c r="D8" s="117"/>
      <c r="E8" s="117"/>
      <c r="F8" s="117">
        <v>498</v>
      </c>
      <c r="G8" s="117"/>
      <c r="H8" s="117"/>
      <c r="I8" s="117">
        <v>506</v>
      </c>
      <c r="J8" s="117"/>
      <c r="K8" s="117"/>
      <c r="L8" s="117">
        <f t="shared" si="0"/>
        <v>-2</v>
      </c>
      <c r="M8" s="117"/>
    </row>
    <row r="9" s="115" customFormat="1" ht="27.95" customHeight="1" spans="1:13">
      <c r="A9" s="51">
        <v>2</v>
      </c>
      <c r="B9" s="117" t="s">
        <v>1378</v>
      </c>
      <c r="C9" s="124">
        <v>32866.7595998725</v>
      </c>
      <c r="D9" s="124"/>
      <c r="E9" s="124"/>
      <c r="F9" s="124">
        <f>F10+F11+F12+F13+F14</f>
        <v>33176.72</v>
      </c>
      <c r="G9" s="124"/>
      <c r="H9" s="124"/>
      <c r="I9" s="124">
        <f>I10+I11+I12+I13+I14</f>
        <v>32929.67</v>
      </c>
      <c r="J9" s="117"/>
      <c r="K9" s="117"/>
      <c r="L9" s="130">
        <f t="shared" si="0"/>
        <v>62.9104001274973</v>
      </c>
      <c r="M9" s="117" t="s">
        <v>1379</v>
      </c>
    </row>
    <row r="10" s="115" customFormat="1" ht="106" customHeight="1" spans="1:13">
      <c r="A10" s="117"/>
      <c r="B10" s="125" t="s">
        <v>177</v>
      </c>
      <c r="C10" s="124">
        <v>2291.53452539704</v>
      </c>
      <c r="D10" s="124"/>
      <c r="E10" s="124"/>
      <c r="F10" s="124">
        <v>2424.01</v>
      </c>
      <c r="G10" s="124"/>
      <c r="H10" s="124"/>
      <c r="I10" s="117">
        <v>2178.41</v>
      </c>
      <c r="J10" s="117"/>
      <c r="K10" s="117"/>
      <c r="L10" s="130">
        <f t="shared" si="0"/>
        <v>-113.12452539704</v>
      </c>
      <c r="M10" s="126" t="s">
        <v>1380</v>
      </c>
    </row>
    <row r="11" s="115" customFormat="1" ht="71" customHeight="1" spans="1:13">
      <c r="A11" s="117"/>
      <c r="B11" s="125" t="s">
        <v>442</v>
      </c>
      <c r="C11" s="124">
        <v>25997.8104037156</v>
      </c>
      <c r="D11" s="124"/>
      <c r="E11" s="124"/>
      <c r="F11" s="124">
        <v>26368.04</v>
      </c>
      <c r="G11" s="124"/>
      <c r="H11" s="124"/>
      <c r="I11" s="117">
        <v>26250.58</v>
      </c>
      <c r="J11" s="117"/>
      <c r="K11" s="117"/>
      <c r="L11" s="130">
        <f t="shared" si="0"/>
        <v>252.769596284401</v>
      </c>
      <c r="M11" s="126" t="s">
        <v>1381</v>
      </c>
    </row>
    <row r="12" s="115" customFormat="1" ht="99" customHeight="1" spans="1:13">
      <c r="A12" s="117"/>
      <c r="B12" s="125" t="s">
        <v>627</v>
      </c>
      <c r="C12" s="124">
        <v>3514.13589316012</v>
      </c>
      <c r="D12" s="124"/>
      <c r="E12" s="124"/>
      <c r="F12" s="124">
        <v>3397.12</v>
      </c>
      <c r="G12" s="124"/>
      <c r="H12" s="124"/>
      <c r="I12" s="117">
        <v>3517.55</v>
      </c>
      <c r="J12" s="117"/>
      <c r="K12" s="117"/>
      <c r="L12" s="130">
        <f t="shared" si="0"/>
        <v>3.41410683988033</v>
      </c>
      <c r="M12" s="126" t="s">
        <v>1382</v>
      </c>
    </row>
    <row r="13" s="115" customFormat="1" ht="27.95" customHeight="1" spans="1:13">
      <c r="A13" s="117"/>
      <c r="B13" s="125" t="s">
        <v>675</v>
      </c>
      <c r="C13" s="124">
        <v>577.56311848834</v>
      </c>
      <c r="D13" s="124"/>
      <c r="E13" s="124"/>
      <c r="F13" s="124">
        <v>497.25</v>
      </c>
      <c r="G13" s="124"/>
      <c r="H13" s="124"/>
      <c r="I13" s="117">
        <v>496.48</v>
      </c>
      <c r="J13" s="117"/>
      <c r="K13" s="117"/>
      <c r="L13" s="130">
        <f t="shared" si="0"/>
        <v>-81.08311848834</v>
      </c>
      <c r="M13" s="126" t="s">
        <v>1383</v>
      </c>
    </row>
    <row r="14" s="115" customFormat="1" ht="27.95" customHeight="1" spans="1:13">
      <c r="A14" s="117"/>
      <c r="B14" s="125" t="s">
        <v>47</v>
      </c>
      <c r="C14" s="124">
        <v>485.715659111417</v>
      </c>
      <c r="D14" s="124"/>
      <c r="E14" s="124"/>
      <c r="F14" s="124">
        <v>490.3</v>
      </c>
      <c r="G14" s="124"/>
      <c r="H14" s="124"/>
      <c r="I14" s="117">
        <v>486.65</v>
      </c>
      <c r="J14" s="117"/>
      <c r="K14" s="117"/>
      <c r="L14" s="130">
        <f t="shared" si="0"/>
        <v>0.934340888582994</v>
      </c>
      <c r="M14" s="117"/>
    </row>
    <row r="15" s="115" customFormat="1" ht="20" customHeight="1"/>
    <row r="16" s="115" customFormat="1" ht="22" customHeight="1"/>
    <row r="17" s="115" customFormat="1" ht="20" customHeight="1"/>
  </sheetData>
  <mergeCells count="7">
    <mergeCell ref="C1:E1"/>
    <mergeCell ref="F1:H1"/>
    <mergeCell ref="B4:B6"/>
    <mergeCell ref="C4:C6"/>
    <mergeCell ref="F4:F6"/>
    <mergeCell ref="I4:I6"/>
    <mergeCell ref="M4:M6"/>
  </mergeCells>
  <pageMargins left="0.75" right="0.75" top="1" bottom="1" header="0.5" footer="0.5"/>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Q36"/>
  <sheetViews>
    <sheetView zoomScale="60" zoomScaleNormal="60" workbookViewId="0">
      <pane xSplit="2" ySplit="3" topLeftCell="Q4" activePane="bottomRight" state="frozen"/>
      <selection/>
      <selection pane="topRight"/>
      <selection pane="bottomLeft"/>
      <selection pane="bottomRight" activeCell="O23" sqref="O23"/>
    </sheetView>
  </sheetViews>
  <sheetFormatPr defaultColWidth="9" defaultRowHeight="14.25"/>
  <cols>
    <col min="1" max="1" width="13.125" customWidth="1"/>
    <col min="3" max="8" width="9" customWidth="1"/>
    <col min="9" max="9" width="13.375"/>
    <col min="10" max="11" width="9.25"/>
    <col min="14" max="14" width="12.125"/>
    <col min="15" max="15" width="15.7083333333333" customWidth="1"/>
    <col min="21" max="22" width="10.5" customWidth="1"/>
    <col min="28" max="28" width="8.75" customWidth="1"/>
    <col min="41" max="41" width="13.625" customWidth="1"/>
    <col min="53" max="53" width="9.125"/>
  </cols>
  <sheetData>
    <row r="1" ht="22.5" spans="1:41">
      <c r="A1" s="97" t="s">
        <v>1384</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row>
    <row r="2" ht="37" customHeight="1" spans="1:41">
      <c r="A2" s="98" t="s">
        <v>1385</v>
      </c>
      <c r="B2" s="99" t="s">
        <v>1386</v>
      </c>
      <c r="C2" s="100" t="s">
        <v>1387</v>
      </c>
      <c r="D2" s="101"/>
      <c r="E2" s="98" t="s">
        <v>1388</v>
      </c>
      <c r="F2" s="98"/>
      <c r="G2" s="98"/>
      <c r="H2" s="98"/>
      <c r="I2" s="98"/>
      <c r="J2" s="98"/>
      <c r="K2" s="98"/>
      <c r="L2" s="98"/>
      <c r="M2" s="98"/>
      <c r="N2" s="98"/>
      <c r="O2" s="98"/>
      <c r="P2" s="98"/>
      <c r="Q2" s="98" t="s">
        <v>1389</v>
      </c>
      <c r="R2" s="98"/>
      <c r="S2" s="98"/>
      <c r="T2" s="98"/>
      <c r="U2" s="98"/>
      <c r="V2" s="98"/>
      <c r="W2" s="98"/>
      <c r="X2" s="98"/>
      <c r="Y2" s="98"/>
      <c r="Z2" s="98"/>
      <c r="AA2" s="98"/>
      <c r="AB2" s="98"/>
      <c r="AC2" s="98" t="s">
        <v>1390</v>
      </c>
      <c r="AD2" s="98"/>
      <c r="AE2" s="98"/>
      <c r="AF2" s="98"/>
      <c r="AG2" s="98"/>
      <c r="AH2" s="98"/>
      <c r="AI2" s="98"/>
      <c r="AJ2" s="98"/>
      <c r="AK2" s="98"/>
      <c r="AL2" s="98"/>
      <c r="AM2" s="98"/>
      <c r="AN2" s="98"/>
      <c r="AO2" s="99" t="s">
        <v>138</v>
      </c>
    </row>
    <row r="3" ht="37" customHeight="1" spans="1:43">
      <c r="A3" s="99" t="s">
        <v>1391</v>
      </c>
      <c r="B3" s="99"/>
      <c r="C3" s="99" t="s">
        <v>1392</v>
      </c>
      <c r="D3" s="99" t="s">
        <v>1393</v>
      </c>
      <c r="E3" s="99" t="s">
        <v>1394</v>
      </c>
      <c r="F3" s="102" t="s">
        <v>1395</v>
      </c>
      <c r="G3" s="99" t="s">
        <v>1396</v>
      </c>
      <c r="H3" s="99" t="s">
        <v>1397</v>
      </c>
      <c r="I3" s="111" t="s">
        <v>1398</v>
      </c>
      <c r="J3" s="99" t="s">
        <v>1399</v>
      </c>
      <c r="K3" s="99" t="s">
        <v>43</v>
      </c>
      <c r="L3" s="99" t="s">
        <v>1400</v>
      </c>
      <c r="M3" s="99" t="s">
        <v>1401</v>
      </c>
      <c r="N3" s="99" t="s">
        <v>1402</v>
      </c>
      <c r="O3" s="99" t="s">
        <v>1392</v>
      </c>
      <c r="P3" s="99" t="s">
        <v>1393</v>
      </c>
      <c r="Q3" s="99" t="s">
        <v>1394</v>
      </c>
      <c r="R3" s="99" t="s">
        <v>1395</v>
      </c>
      <c r="S3" s="99" t="s">
        <v>1396</v>
      </c>
      <c r="T3" s="99" t="s">
        <v>1397</v>
      </c>
      <c r="U3" s="99" t="s">
        <v>1398</v>
      </c>
      <c r="V3" s="99" t="s">
        <v>1399</v>
      </c>
      <c r="W3" s="99" t="s">
        <v>43</v>
      </c>
      <c r="X3" s="99" t="s">
        <v>1400</v>
      </c>
      <c r="Y3" s="99" t="s">
        <v>1401</v>
      </c>
      <c r="Z3" s="99" t="s">
        <v>1402</v>
      </c>
      <c r="AA3" s="99" t="s">
        <v>1392</v>
      </c>
      <c r="AB3" s="102" t="s">
        <v>1393</v>
      </c>
      <c r="AC3" s="99" t="s">
        <v>1394</v>
      </c>
      <c r="AD3" s="99" t="s">
        <v>1395</v>
      </c>
      <c r="AE3" s="99" t="s">
        <v>1396</v>
      </c>
      <c r="AF3" s="99" t="s">
        <v>1397</v>
      </c>
      <c r="AG3" s="99" t="s">
        <v>1398</v>
      </c>
      <c r="AH3" s="99" t="s">
        <v>1399</v>
      </c>
      <c r="AI3" s="99" t="s">
        <v>43</v>
      </c>
      <c r="AJ3" s="99" t="s">
        <v>1400</v>
      </c>
      <c r="AK3" s="102" t="s">
        <v>1401</v>
      </c>
      <c r="AL3" s="99" t="s">
        <v>1402</v>
      </c>
      <c r="AM3" s="99" t="s">
        <v>1392</v>
      </c>
      <c r="AN3" s="99" t="s">
        <v>1393</v>
      </c>
      <c r="AO3" s="99"/>
      <c r="AQ3">
        <f>经济指标!I9</f>
        <v>184</v>
      </c>
    </row>
    <row r="4" ht="37" customHeight="1" spans="1:43">
      <c r="A4" s="99" t="s">
        <v>1329</v>
      </c>
      <c r="B4" s="99" t="str">
        <f>经济指标!C9</f>
        <v>洋房</v>
      </c>
      <c r="C4" s="103"/>
      <c r="D4" s="103"/>
      <c r="E4" s="104"/>
      <c r="F4" s="104"/>
      <c r="G4" s="104"/>
      <c r="H4" s="104"/>
      <c r="I4" s="104"/>
      <c r="J4" s="104"/>
      <c r="K4" s="104"/>
      <c r="L4" s="104"/>
      <c r="M4" s="104">
        <v>50</v>
      </c>
      <c r="N4" s="104">
        <v>12</v>
      </c>
      <c r="O4" s="104">
        <v>13</v>
      </c>
      <c r="P4" s="104">
        <v>8</v>
      </c>
      <c r="Q4" s="104">
        <v>2</v>
      </c>
      <c r="R4" s="104">
        <v>3</v>
      </c>
      <c r="S4" s="104">
        <v>8</v>
      </c>
      <c r="T4" s="104">
        <v>13</v>
      </c>
      <c r="U4" s="104">
        <v>18</v>
      </c>
      <c r="V4" s="104">
        <v>12</v>
      </c>
      <c r="W4" s="104">
        <v>10</v>
      </c>
      <c r="X4" s="104">
        <v>10</v>
      </c>
      <c r="Y4" s="104">
        <v>10</v>
      </c>
      <c r="Z4" s="104">
        <v>15</v>
      </c>
      <c r="AA4" s="104"/>
      <c r="AB4" s="104"/>
      <c r="AC4" s="104"/>
      <c r="AD4" s="104"/>
      <c r="AE4" s="104"/>
      <c r="AF4" s="104"/>
      <c r="AG4" s="104"/>
      <c r="AH4" s="104"/>
      <c r="AI4" s="104"/>
      <c r="AJ4" s="104"/>
      <c r="AK4" s="104"/>
      <c r="AL4" s="104"/>
      <c r="AM4" s="104"/>
      <c r="AN4" s="104"/>
      <c r="AO4" s="103">
        <f>SUM(C4:AN4)</f>
        <v>184</v>
      </c>
      <c r="AQ4">
        <f>AQ3-AO4</f>
        <v>0</v>
      </c>
    </row>
    <row r="5" ht="37" customHeight="1" spans="1:41">
      <c r="A5" s="102" t="s">
        <v>1403</v>
      </c>
      <c r="B5" s="102"/>
      <c r="C5" s="102"/>
      <c r="D5" s="102"/>
      <c r="E5" s="105"/>
      <c r="F5" s="105"/>
      <c r="G5" s="105"/>
      <c r="H5" s="105"/>
      <c r="I5" s="105">
        <f>I4*经济指标!$K$9</f>
        <v>0</v>
      </c>
      <c r="J5" s="105">
        <f>J4*经济指标!$K$9</f>
        <v>0</v>
      </c>
      <c r="K5" s="105">
        <f>K4*经济指标!$K$9</f>
        <v>0</v>
      </c>
      <c r="L5" s="105">
        <f>L4*经济指标!$K$9</f>
        <v>0</v>
      </c>
      <c r="M5" s="105">
        <f>M4*经济指标!$K$9</f>
        <v>8598.59782608696</v>
      </c>
      <c r="N5" s="105">
        <f>N4*经济指标!$K$9</f>
        <v>2063.66347826087</v>
      </c>
      <c r="O5" s="105">
        <f>O4*经济指标!$K$9</f>
        <v>2235.63543478261</v>
      </c>
      <c r="P5" s="105">
        <f>P4*经济指标!$K$9</f>
        <v>1375.77565217391</v>
      </c>
      <c r="Q5" s="105">
        <f>Q4*经济指标!$K$9</f>
        <v>343.943913043478</v>
      </c>
      <c r="R5" s="105">
        <f>R4*经济指标!$K$9</f>
        <v>515.915869565217</v>
      </c>
      <c r="S5" s="105">
        <f>S4*经济指标!$K$9</f>
        <v>1375.77565217391</v>
      </c>
      <c r="T5" s="105">
        <f>T4*经济指标!$K$9</f>
        <v>2235.63543478261</v>
      </c>
      <c r="U5" s="105">
        <f>U4*经济指标!$K$9</f>
        <v>3095.4952173913</v>
      </c>
      <c r="V5" s="105">
        <f>V4*经济指标!$K$9</f>
        <v>2063.66347826087</v>
      </c>
      <c r="W5" s="105">
        <f>W4*经济指标!$K$9</f>
        <v>1719.71956521739</v>
      </c>
      <c r="X5" s="105">
        <f>X4*经济指标!$K$9</f>
        <v>1719.71956521739</v>
      </c>
      <c r="Y5" s="105">
        <f>Y4*经济指标!$K$9</f>
        <v>1719.71956521739</v>
      </c>
      <c r="Z5" s="105">
        <f>Z4*经济指标!$K$9</f>
        <v>2579.57934782609</v>
      </c>
      <c r="AA5" s="105">
        <f>AA4*经济指标!$K$9</f>
        <v>0</v>
      </c>
      <c r="AB5" s="105">
        <f>AB4*经济指标!$K$9</f>
        <v>0</v>
      </c>
      <c r="AC5" s="105">
        <f>AC4*经济指标!$K$9</f>
        <v>0</v>
      </c>
      <c r="AD5" s="105">
        <f>AD4*经济指标!$K$9</f>
        <v>0</v>
      </c>
      <c r="AE5" s="105">
        <f>AE4*经济指标!$K$9</f>
        <v>0</v>
      </c>
      <c r="AF5" s="105">
        <f>AF4*经济指标!$K$9</f>
        <v>0</v>
      </c>
      <c r="AG5" s="105">
        <f>AG4*经济指标!$K$9</f>
        <v>0</v>
      </c>
      <c r="AH5" s="105">
        <f>AH4*经济指标!$K$9</f>
        <v>0</v>
      </c>
      <c r="AI5" s="105">
        <f>AI4*经济指标!$K$9</f>
        <v>0</v>
      </c>
      <c r="AJ5" s="105">
        <f>AJ4*经济指标!$K$9</f>
        <v>0</v>
      </c>
      <c r="AK5" s="105">
        <f>AK4*经济指标!$K$9</f>
        <v>0</v>
      </c>
      <c r="AL5" s="105">
        <f>AL4*经济指标!$K$9</f>
        <v>0</v>
      </c>
      <c r="AM5" s="105">
        <f>AM4*经济指标!$K$9</f>
        <v>0</v>
      </c>
      <c r="AN5" s="105">
        <f>AN4*经济指标!$K$9</f>
        <v>0</v>
      </c>
      <c r="AO5" s="114">
        <f t="shared" ref="AO4:AO9" si="0">SUM(C5:AN5)</f>
        <v>31642.84</v>
      </c>
    </row>
    <row r="6" ht="37" customHeight="1" spans="1:41">
      <c r="A6" s="102" t="s">
        <v>1404</v>
      </c>
      <c r="B6" s="102"/>
      <c r="C6" s="102"/>
      <c r="D6" s="102"/>
      <c r="E6" s="105"/>
      <c r="F6" s="105"/>
      <c r="G6" s="105"/>
      <c r="H6" s="105"/>
      <c r="I6" s="105">
        <f>I5*预计销售收入及费用情况表!$D$7/10000</f>
        <v>0</v>
      </c>
      <c r="J6" s="105">
        <f>J5*预计销售收入及费用情况表!$D$7/10000</f>
        <v>0</v>
      </c>
      <c r="K6" s="105">
        <f>K5*预计销售收入及费用情况表!$D$7/10000</f>
        <v>0</v>
      </c>
      <c r="L6" s="105">
        <f>L5*预计销售收入及费用情况表!$D$7/10000</f>
        <v>0</v>
      </c>
      <c r="M6" s="105">
        <f>M5*预计销售收入及费用情况表!$D$7/10000</f>
        <v>11608.1070652174</v>
      </c>
      <c r="N6" s="105">
        <f>N5*预计销售收入及费用情况表!$D$7/10000</f>
        <v>2785.94569565217</v>
      </c>
      <c r="O6" s="105">
        <f>O5*预计销售收入及费用情况表!$D$7/10000</f>
        <v>3018.10783695652</v>
      </c>
      <c r="P6" s="105">
        <f>P5*预计销售收入及费用情况表!$D$7/10000</f>
        <v>1857.29713043478</v>
      </c>
      <c r="Q6" s="105">
        <f>Q5*预计销售收入及费用情况表!$D$7/10000</f>
        <v>464.324282608696</v>
      </c>
      <c r="R6" s="105">
        <f>R5*预计销售收入及费用情况表!$D$7/10000</f>
        <v>696.486423913043</v>
      </c>
      <c r="S6" s="105">
        <f>S5*预计销售收入及费用情况表!$D$7/10000</f>
        <v>1857.29713043478</v>
      </c>
      <c r="T6" s="105">
        <f>T5*预计销售收入及费用情况表!$D$7/10000</f>
        <v>3018.10783695652</v>
      </c>
      <c r="U6" s="105">
        <f>U5*预计销售收入及费用情况表!$D$7/10000</f>
        <v>4178.91854347826</v>
      </c>
      <c r="V6" s="105">
        <f>V5*预计销售收入及费用情况表!$D$7/10000</f>
        <v>2785.94569565217</v>
      </c>
      <c r="W6" s="105">
        <f>W5*预计销售收入及费用情况表!$D$7/10000</f>
        <v>2321.62141304348</v>
      </c>
      <c r="X6" s="105">
        <f>X5*预计销售收入及费用情况表!$D$7/10000</f>
        <v>2321.62141304348</v>
      </c>
      <c r="Y6" s="105">
        <f>Y5*预计销售收入及费用情况表!$D$7/10000</f>
        <v>2321.62141304348</v>
      </c>
      <c r="Z6" s="105">
        <f>Z5*预计销售收入及费用情况表!$D$7/10000</f>
        <v>3482.43211956522</v>
      </c>
      <c r="AA6" s="105">
        <f>AA5*预计销售收入及费用情况表!$D$7/10000</f>
        <v>0</v>
      </c>
      <c r="AB6" s="105">
        <f>AB5*预计销售收入及费用情况表!$D$7/10000</f>
        <v>0</v>
      </c>
      <c r="AC6" s="105">
        <f>AC5*预计销售收入及费用情况表!$D$7/10000</f>
        <v>0</v>
      </c>
      <c r="AD6" s="105">
        <f>AD5*预计销售收入及费用情况表!$D$7/10000</f>
        <v>0</v>
      </c>
      <c r="AE6" s="105">
        <f>AE5*预计销售收入及费用情况表!$D$7/10000</f>
        <v>0</v>
      </c>
      <c r="AF6" s="105">
        <f>AF5*预计销售收入及费用情况表!$D$7/10000</f>
        <v>0</v>
      </c>
      <c r="AG6" s="105">
        <f>AG5*预计销售收入及费用情况表!$D$7/10000</f>
        <v>0</v>
      </c>
      <c r="AH6" s="105">
        <f>AH5*预计销售收入及费用情况表!$D$7/10000</f>
        <v>0</v>
      </c>
      <c r="AI6" s="105">
        <f>AI5*预计销售收入及费用情况表!$D$7/10000</f>
        <v>0</v>
      </c>
      <c r="AJ6" s="105">
        <f>AJ5*预计销售收入及费用情况表!$D$7/10000</f>
        <v>0</v>
      </c>
      <c r="AK6" s="105">
        <f>AK5*预计销售收入及费用情况表!$D$7/10000</f>
        <v>0</v>
      </c>
      <c r="AL6" s="105">
        <f>AL5*预计销售收入及费用情况表!$D$7/10000</f>
        <v>0</v>
      </c>
      <c r="AM6" s="105">
        <f>AM5*预计销售收入及费用情况表!$D$7/10000</f>
        <v>0</v>
      </c>
      <c r="AN6" s="105">
        <f>AN5*预计销售收入及费用情况表!$D$7/10000</f>
        <v>0</v>
      </c>
      <c r="AO6" s="114">
        <f t="shared" si="0"/>
        <v>42717.834</v>
      </c>
    </row>
    <row r="7" ht="37" customHeight="1" spans="1:41">
      <c r="A7" s="102" t="s">
        <v>1405</v>
      </c>
      <c r="B7" s="99"/>
      <c r="C7" s="99"/>
      <c r="D7" s="99"/>
      <c r="E7" s="105"/>
      <c r="F7" s="105"/>
      <c r="G7" s="105"/>
      <c r="H7" s="105"/>
      <c r="I7" s="105">
        <f t="shared" ref="I7:AW7" si="1">I6*0.3</f>
        <v>0</v>
      </c>
      <c r="J7" s="105">
        <f t="shared" si="1"/>
        <v>0</v>
      </c>
      <c r="K7" s="105">
        <f t="shared" si="1"/>
        <v>0</v>
      </c>
      <c r="L7" s="105">
        <f t="shared" si="1"/>
        <v>0</v>
      </c>
      <c r="M7" s="105">
        <f t="shared" si="1"/>
        <v>3482.43211956522</v>
      </c>
      <c r="N7" s="105">
        <f t="shared" si="1"/>
        <v>835.783708695652</v>
      </c>
      <c r="O7" s="105">
        <f t="shared" si="1"/>
        <v>905.432351086957</v>
      </c>
      <c r="P7" s="105">
        <f t="shared" si="1"/>
        <v>557.189139130435</v>
      </c>
      <c r="Q7" s="105">
        <f t="shared" si="1"/>
        <v>139.297284782609</v>
      </c>
      <c r="R7" s="105">
        <f t="shared" si="1"/>
        <v>208.945927173913</v>
      </c>
      <c r="S7" s="105">
        <f t="shared" si="1"/>
        <v>557.189139130435</v>
      </c>
      <c r="T7" s="105">
        <f t="shared" si="1"/>
        <v>905.432351086957</v>
      </c>
      <c r="U7" s="105">
        <f t="shared" si="1"/>
        <v>1253.67556304348</v>
      </c>
      <c r="V7" s="105">
        <f t="shared" si="1"/>
        <v>835.783708695652</v>
      </c>
      <c r="W7" s="105">
        <f t="shared" si="1"/>
        <v>696.486423913044</v>
      </c>
      <c r="X7" s="105">
        <f t="shared" si="1"/>
        <v>696.486423913044</v>
      </c>
      <c r="Y7" s="105">
        <f t="shared" si="1"/>
        <v>696.486423913044</v>
      </c>
      <c r="Z7" s="105">
        <f t="shared" si="1"/>
        <v>1044.72963586957</v>
      </c>
      <c r="AA7" s="105">
        <f t="shared" si="1"/>
        <v>0</v>
      </c>
      <c r="AB7" s="105">
        <f t="shared" si="1"/>
        <v>0</v>
      </c>
      <c r="AC7" s="105">
        <f t="shared" si="1"/>
        <v>0</v>
      </c>
      <c r="AD7" s="105">
        <f t="shared" si="1"/>
        <v>0</v>
      </c>
      <c r="AE7" s="105">
        <f t="shared" si="1"/>
        <v>0</v>
      </c>
      <c r="AF7" s="105">
        <f t="shared" si="1"/>
        <v>0</v>
      </c>
      <c r="AG7" s="105">
        <f t="shared" si="1"/>
        <v>0</v>
      </c>
      <c r="AH7" s="105">
        <f t="shared" si="1"/>
        <v>0</v>
      </c>
      <c r="AI7" s="105">
        <f t="shared" si="1"/>
        <v>0</v>
      </c>
      <c r="AJ7" s="105">
        <f t="shared" si="1"/>
        <v>0</v>
      </c>
      <c r="AK7" s="105">
        <f t="shared" si="1"/>
        <v>0</v>
      </c>
      <c r="AL7" s="105">
        <f t="shared" si="1"/>
        <v>0</v>
      </c>
      <c r="AM7" s="105">
        <f t="shared" si="1"/>
        <v>0</v>
      </c>
      <c r="AN7" s="105">
        <f t="shared" si="1"/>
        <v>0</v>
      </c>
      <c r="AO7" s="114">
        <f t="shared" si="0"/>
        <v>12815.3502</v>
      </c>
    </row>
    <row r="8" ht="37" customHeight="1" spans="1:41">
      <c r="A8" s="99" t="s">
        <v>1406</v>
      </c>
      <c r="B8" s="99"/>
      <c r="C8" s="99"/>
      <c r="D8" s="99"/>
      <c r="E8" s="105"/>
      <c r="F8" s="105"/>
      <c r="G8" s="105"/>
      <c r="H8" s="105"/>
      <c r="I8" s="105">
        <f>H6*0.35+G6*0.35</f>
        <v>0</v>
      </c>
      <c r="J8" s="105">
        <f t="shared" ref="J8:AN8" si="2">I6*0.35+H6*0.35</f>
        <v>0</v>
      </c>
      <c r="K8" s="105">
        <f t="shared" si="2"/>
        <v>0</v>
      </c>
      <c r="L8" s="105">
        <f t="shared" si="2"/>
        <v>0</v>
      </c>
      <c r="M8" s="105">
        <f t="shared" si="2"/>
        <v>0</v>
      </c>
      <c r="N8" s="105">
        <f t="shared" si="2"/>
        <v>4062.83747282609</v>
      </c>
      <c r="O8" s="105">
        <f t="shared" si="2"/>
        <v>5037.91846630435</v>
      </c>
      <c r="P8" s="105">
        <f t="shared" si="2"/>
        <v>2031.41873641304</v>
      </c>
      <c r="Q8" s="105">
        <f t="shared" si="2"/>
        <v>1706.39173858696</v>
      </c>
      <c r="R8" s="105">
        <f t="shared" si="2"/>
        <v>812.567494565217</v>
      </c>
      <c r="S8" s="105">
        <f t="shared" si="2"/>
        <v>406.283747282609</v>
      </c>
      <c r="T8" s="105">
        <f t="shared" si="2"/>
        <v>893.824244021739</v>
      </c>
      <c r="U8" s="105">
        <f t="shared" si="2"/>
        <v>1706.39173858696</v>
      </c>
      <c r="V8" s="105">
        <f t="shared" si="2"/>
        <v>2518.95923315217</v>
      </c>
      <c r="W8" s="105">
        <f t="shared" si="2"/>
        <v>2437.70248369565</v>
      </c>
      <c r="X8" s="105">
        <f t="shared" si="2"/>
        <v>1787.64848804348</v>
      </c>
      <c r="Y8" s="105">
        <f t="shared" si="2"/>
        <v>1625.13498913044</v>
      </c>
      <c r="Z8" s="105">
        <f t="shared" si="2"/>
        <v>1625.13498913044</v>
      </c>
      <c r="AA8" s="105">
        <f t="shared" si="2"/>
        <v>2031.41873641304</v>
      </c>
      <c r="AB8" s="105">
        <f t="shared" si="2"/>
        <v>1218.85124184783</v>
      </c>
      <c r="AC8" s="105">
        <f t="shared" si="2"/>
        <v>0</v>
      </c>
      <c r="AD8" s="105">
        <f t="shared" si="2"/>
        <v>0</v>
      </c>
      <c r="AE8" s="105">
        <f t="shared" si="2"/>
        <v>0</v>
      </c>
      <c r="AF8" s="105">
        <f t="shared" si="2"/>
        <v>0</v>
      </c>
      <c r="AG8" s="105">
        <f t="shared" si="2"/>
        <v>0</v>
      </c>
      <c r="AH8" s="105">
        <f t="shared" si="2"/>
        <v>0</v>
      </c>
      <c r="AI8" s="105">
        <f t="shared" si="2"/>
        <v>0</v>
      </c>
      <c r="AJ8" s="105">
        <f t="shared" si="2"/>
        <v>0</v>
      </c>
      <c r="AK8" s="105">
        <f t="shared" si="2"/>
        <v>0</v>
      </c>
      <c r="AL8" s="105">
        <f t="shared" si="2"/>
        <v>0</v>
      </c>
      <c r="AM8" s="105">
        <f t="shared" si="2"/>
        <v>0</v>
      </c>
      <c r="AN8" s="105">
        <f t="shared" si="2"/>
        <v>0</v>
      </c>
      <c r="AO8" s="114">
        <f t="shared" si="0"/>
        <v>29902.4838</v>
      </c>
    </row>
    <row r="9" ht="37" customHeight="1" spans="1:41">
      <c r="A9" s="99" t="s">
        <v>1329</v>
      </c>
      <c r="B9" s="99" t="str">
        <f>经济指标!C10</f>
        <v>别墅</v>
      </c>
      <c r="C9" s="103">
        <v>66</v>
      </c>
      <c r="D9" s="103"/>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v>0</v>
      </c>
      <c r="AO9" s="103">
        <f t="shared" si="0"/>
        <v>66</v>
      </c>
    </row>
    <row r="10" ht="37" customHeight="1" spans="1:41">
      <c r="A10" s="102" t="s">
        <v>1403</v>
      </c>
      <c r="B10" s="102"/>
      <c r="C10" s="102">
        <f>C9*经济指标!$K$10</f>
        <v>16692.48</v>
      </c>
      <c r="D10" s="102">
        <f>D9*经济指标!$K$10</f>
        <v>0</v>
      </c>
      <c r="E10" s="102">
        <f>E9*经济指标!$K$10</f>
        <v>0</v>
      </c>
      <c r="F10" s="102">
        <f>F9*经济指标!$K$10</f>
        <v>0</v>
      </c>
      <c r="G10" s="102">
        <f>G9*经济指标!$K$10</f>
        <v>0</v>
      </c>
      <c r="H10" s="102">
        <f>H9*经济指标!$K$10</f>
        <v>0</v>
      </c>
      <c r="I10" s="102">
        <f>I9*经济指标!$K$10</f>
        <v>0</v>
      </c>
      <c r="J10" s="102">
        <f>J9*经济指标!$K$10</f>
        <v>0</v>
      </c>
      <c r="K10" s="102">
        <f>K9*经济指标!$K$10</f>
        <v>0</v>
      </c>
      <c r="L10" s="102">
        <f>L9*经济指标!$K$10</f>
        <v>0</v>
      </c>
      <c r="M10" s="102">
        <f>M9*经济指标!$K$10</f>
        <v>0</v>
      </c>
      <c r="N10" s="102">
        <f>N9*经济指标!$K$10</f>
        <v>0</v>
      </c>
      <c r="O10" s="102">
        <f>O9*经济指标!$K$10</f>
        <v>0</v>
      </c>
      <c r="P10" s="102">
        <f>P9*经济指标!$K$10</f>
        <v>0</v>
      </c>
      <c r="Q10" s="102">
        <f>Q9*经济指标!$K$10</f>
        <v>0</v>
      </c>
      <c r="R10" s="102">
        <f>R9*经济指标!$K$10</f>
        <v>0</v>
      </c>
      <c r="S10" s="102">
        <f>S9*经济指标!$K$10</f>
        <v>0</v>
      </c>
      <c r="T10" s="102">
        <f>T9*经济指标!$K$10</f>
        <v>0</v>
      </c>
      <c r="U10" s="102">
        <f>U9*经济指标!$K$10</f>
        <v>0</v>
      </c>
      <c r="V10" s="102">
        <f>V9*经济指标!$K$10</f>
        <v>0</v>
      </c>
      <c r="W10" s="102">
        <f>W9*经济指标!$K$10</f>
        <v>0</v>
      </c>
      <c r="X10" s="102">
        <f>X9*经济指标!$K$10</f>
        <v>0</v>
      </c>
      <c r="Y10" s="102">
        <f>Y9*经济指标!$K$10</f>
        <v>0</v>
      </c>
      <c r="Z10" s="102">
        <f>Z9*经济指标!$K$10</f>
        <v>0</v>
      </c>
      <c r="AA10" s="102">
        <f>AA9*经济指标!$K$10</f>
        <v>0</v>
      </c>
      <c r="AB10" s="102">
        <f>AB9*经济指标!$K$10</f>
        <v>0</v>
      </c>
      <c r="AC10" s="102">
        <f>AC9*经济指标!$K$10</f>
        <v>0</v>
      </c>
      <c r="AD10" s="102">
        <f>AD9*经济指标!$K$10</f>
        <v>0</v>
      </c>
      <c r="AE10" s="102">
        <f>AE9*经济指标!$K$10</f>
        <v>0</v>
      </c>
      <c r="AF10" s="102">
        <f>AF9*经济指标!$K$10</f>
        <v>0</v>
      </c>
      <c r="AG10" s="102">
        <f>AG9*经济指标!$K$10</f>
        <v>0</v>
      </c>
      <c r="AH10" s="102">
        <f>AH9*经济指标!$K$10</f>
        <v>0</v>
      </c>
      <c r="AI10" s="102">
        <f>AI9*经济指标!$K$10</f>
        <v>0</v>
      </c>
      <c r="AJ10" s="102">
        <f>AJ9*经济指标!$K$10</f>
        <v>0</v>
      </c>
      <c r="AK10" s="102">
        <f>AK9*经济指标!$K$10</f>
        <v>0</v>
      </c>
      <c r="AL10" s="102">
        <f>AL9*经济指标!$K$10</f>
        <v>0</v>
      </c>
      <c r="AM10" s="102">
        <f>AM9*经济指标!$K$10</f>
        <v>0</v>
      </c>
      <c r="AN10" s="102">
        <f>AN9*经济指标!$K$10</f>
        <v>0</v>
      </c>
      <c r="AO10" s="114">
        <f t="shared" ref="AO10:AO26" si="3">SUM(C10:AN10)</f>
        <v>16692.48</v>
      </c>
    </row>
    <row r="11" ht="37" customHeight="1" spans="1:41">
      <c r="A11" s="102" t="s">
        <v>1404</v>
      </c>
      <c r="B11" s="102"/>
      <c r="C11" s="102">
        <f>C10*预计销售收入及费用情况表!$D$8/10000</f>
        <v>19196.352</v>
      </c>
      <c r="D11" s="102">
        <f>D10*预计销售收入及费用情况表!$D$8/10000</f>
        <v>0</v>
      </c>
      <c r="E11" s="102">
        <f>E10*预计销售收入及费用情况表!$D$8/10000</f>
        <v>0</v>
      </c>
      <c r="F11" s="102">
        <f>F10*预计销售收入及费用情况表!$D$8/10000</f>
        <v>0</v>
      </c>
      <c r="G11" s="102">
        <f>G10*预计销售收入及费用情况表!$D$8/10000</f>
        <v>0</v>
      </c>
      <c r="H11" s="102">
        <f>H10*预计销售收入及费用情况表!$D$8/10000</f>
        <v>0</v>
      </c>
      <c r="I11" s="102">
        <f>I10*预计销售收入及费用情况表!$D$8/10000</f>
        <v>0</v>
      </c>
      <c r="J11" s="102">
        <f>J10*预计销售收入及费用情况表!$D$8/10000</f>
        <v>0</v>
      </c>
      <c r="K11" s="102">
        <f>K10*预计销售收入及费用情况表!$D$8/10000</f>
        <v>0</v>
      </c>
      <c r="L11" s="102">
        <f>L10*预计销售收入及费用情况表!$D$8/10000</f>
        <v>0</v>
      </c>
      <c r="M11" s="102">
        <f>M10*预计销售收入及费用情况表!$D$8/10000</f>
        <v>0</v>
      </c>
      <c r="N11" s="102">
        <f>N10*预计销售收入及费用情况表!$D$8/10000</f>
        <v>0</v>
      </c>
      <c r="O11" s="102">
        <f>O10*预计销售收入及费用情况表!$D$8/10000</f>
        <v>0</v>
      </c>
      <c r="P11" s="102">
        <f>P10*预计销售收入及费用情况表!$D$8/10000</f>
        <v>0</v>
      </c>
      <c r="Q11" s="102">
        <f>Q10*预计销售收入及费用情况表!$D$8/10000</f>
        <v>0</v>
      </c>
      <c r="R11" s="102">
        <f>R10*预计销售收入及费用情况表!$D$8/10000</f>
        <v>0</v>
      </c>
      <c r="S11" s="102">
        <f>S10*预计销售收入及费用情况表!$D$8/10000</f>
        <v>0</v>
      </c>
      <c r="T11" s="102">
        <f>T10*预计销售收入及费用情况表!$D$8/10000</f>
        <v>0</v>
      </c>
      <c r="U11" s="102">
        <f>U10*预计销售收入及费用情况表!$D$8/10000</f>
        <v>0</v>
      </c>
      <c r="V11" s="102">
        <f>V10*预计销售收入及费用情况表!$D$8/10000</f>
        <v>0</v>
      </c>
      <c r="W11" s="102">
        <f>W10*预计销售收入及费用情况表!$D$8/10000</f>
        <v>0</v>
      </c>
      <c r="X11" s="102">
        <f>X10*预计销售收入及费用情况表!$D$8/10000</f>
        <v>0</v>
      </c>
      <c r="Y11" s="102">
        <f>Y10*预计销售收入及费用情况表!$D$8/10000</f>
        <v>0</v>
      </c>
      <c r="Z11" s="102">
        <f>Z10*预计销售收入及费用情况表!$D$8/10000</f>
        <v>0</v>
      </c>
      <c r="AA11" s="102">
        <f>AA10*预计销售收入及费用情况表!$D$8/10000</f>
        <v>0</v>
      </c>
      <c r="AB11" s="102">
        <f>AB10*预计销售收入及费用情况表!$D$8/10000</f>
        <v>0</v>
      </c>
      <c r="AC11" s="102">
        <f>AC10*预计销售收入及费用情况表!$D$8/10000</f>
        <v>0</v>
      </c>
      <c r="AD11" s="102">
        <f>AD10*预计销售收入及费用情况表!$D$8/10000</f>
        <v>0</v>
      </c>
      <c r="AE11" s="102">
        <f>AE10*预计销售收入及费用情况表!$D$8/10000</f>
        <v>0</v>
      </c>
      <c r="AF11" s="102">
        <f>AF10*预计销售收入及费用情况表!$D$8/10000</f>
        <v>0</v>
      </c>
      <c r="AG11" s="102">
        <f>AG10*预计销售收入及费用情况表!$D$8/10000</f>
        <v>0</v>
      </c>
      <c r="AH11" s="102">
        <f>AH10*预计销售收入及费用情况表!$D$8/10000</f>
        <v>0</v>
      </c>
      <c r="AI11" s="102">
        <f>AI10*预计销售收入及费用情况表!$D$8/10000</f>
        <v>0</v>
      </c>
      <c r="AJ11" s="102">
        <f>AJ10*预计销售收入及费用情况表!$D$8/10000</f>
        <v>0</v>
      </c>
      <c r="AK11" s="102">
        <f>AK10*预计销售收入及费用情况表!$D$8/10000</f>
        <v>0</v>
      </c>
      <c r="AL11" s="102">
        <f>AL10*预计销售收入及费用情况表!$D$8/10000</f>
        <v>0</v>
      </c>
      <c r="AM11" s="102">
        <f>AM10*预计销售收入及费用情况表!$D$8/10000</f>
        <v>0</v>
      </c>
      <c r="AN11" s="102">
        <f>AN10*预计销售收入及费用情况表!$D$8/10000</f>
        <v>0</v>
      </c>
      <c r="AO11" s="114">
        <f t="shared" si="3"/>
        <v>19196.352</v>
      </c>
    </row>
    <row r="12" ht="37" customHeight="1" spans="1:41">
      <c r="A12" s="102" t="s">
        <v>1405</v>
      </c>
      <c r="B12" s="102"/>
      <c r="C12" s="102"/>
      <c r="D12" s="102"/>
      <c r="E12" s="105"/>
      <c r="F12" s="105"/>
      <c r="G12" s="105"/>
      <c r="H12" s="105"/>
      <c r="I12" s="105"/>
      <c r="J12" s="105"/>
      <c r="K12" s="105"/>
      <c r="L12" s="105"/>
      <c r="M12" s="105">
        <v>9900</v>
      </c>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c r="AK12" s="105"/>
      <c r="AL12" s="105"/>
      <c r="AM12" s="105"/>
      <c r="AN12" s="105"/>
      <c r="AO12" s="114">
        <f t="shared" si="3"/>
        <v>9900</v>
      </c>
    </row>
    <row r="13" ht="37" customHeight="1" spans="1:41">
      <c r="A13" s="99" t="s">
        <v>1406</v>
      </c>
      <c r="B13" s="99"/>
      <c r="C13" s="99"/>
      <c r="D13" s="99"/>
      <c r="E13" s="105"/>
      <c r="F13" s="105"/>
      <c r="G13" s="105"/>
      <c r="H13" s="105"/>
      <c r="I13" s="105"/>
      <c r="J13" s="105"/>
      <c r="K13" s="105"/>
      <c r="L13" s="105"/>
      <c r="M13" s="105"/>
      <c r="N13" s="105">
        <f>O13</f>
        <v>4648.176</v>
      </c>
      <c r="O13" s="105">
        <f>(预计销售收入及费用情况表!E8-9900)*0.5</f>
        <v>4648.176</v>
      </c>
      <c r="P13" s="105"/>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105"/>
      <c r="AO13" s="114">
        <f t="shared" si="3"/>
        <v>9296.352</v>
      </c>
    </row>
    <row r="14" ht="37" hidden="1" customHeight="1" spans="1:41">
      <c r="A14" s="99" t="s">
        <v>1329</v>
      </c>
      <c r="B14" s="99"/>
      <c r="C14" s="103"/>
      <c r="D14" s="103"/>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v>0</v>
      </c>
      <c r="AM14" s="104">
        <v>0</v>
      </c>
      <c r="AN14" s="104">
        <v>0</v>
      </c>
      <c r="AO14" s="103">
        <f t="shared" si="3"/>
        <v>0</v>
      </c>
    </row>
    <row r="15" ht="37" hidden="1" customHeight="1" spans="1:41">
      <c r="A15" s="102" t="s">
        <v>1403</v>
      </c>
      <c r="B15" s="102"/>
      <c r="C15" s="102"/>
      <c r="D15" s="102"/>
      <c r="E15" s="105"/>
      <c r="F15" s="105"/>
      <c r="G15" s="105"/>
      <c r="H15" s="105"/>
      <c r="I15" s="105">
        <f>I14*经济指标!$K$10</f>
        <v>0</v>
      </c>
      <c r="J15" s="105">
        <f>J14*经济指标!$K$10</f>
        <v>0</v>
      </c>
      <c r="K15" s="105">
        <f>K14*经济指标!$K$10</f>
        <v>0</v>
      </c>
      <c r="L15" s="105">
        <f>L14*经济指标!$K$10</f>
        <v>0</v>
      </c>
      <c r="M15" s="105">
        <f>M14*经济指标!$K$10</f>
        <v>0</v>
      </c>
      <c r="N15" s="105">
        <f>N14*经济指标!$K$10</f>
        <v>0</v>
      </c>
      <c r="O15" s="105">
        <f>O14*经济指标!$K$10</f>
        <v>0</v>
      </c>
      <c r="P15" s="105">
        <f>P14*经济指标!$K$10</f>
        <v>0</v>
      </c>
      <c r="Q15" s="105">
        <f>Q14*经济指标!$K$10</f>
        <v>0</v>
      </c>
      <c r="R15" s="105">
        <f>R14*经济指标!$K$10</f>
        <v>0</v>
      </c>
      <c r="S15" s="105">
        <f>S14*经济指标!$K$10</f>
        <v>0</v>
      </c>
      <c r="T15" s="105">
        <f>T14*经济指标!$K$10</f>
        <v>0</v>
      </c>
      <c r="U15" s="105">
        <f>U14*经济指标!$K$10</f>
        <v>0</v>
      </c>
      <c r="V15" s="105">
        <f>V14*经济指标!$K$10</f>
        <v>0</v>
      </c>
      <c r="W15" s="105">
        <f>W14*经济指标!$K$10</f>
        <v>0</v>
      </c>
      <c r="X15" s="105">
        <f>X14*经济指标!$K$10</f>
        <v>0</v>
      </c>
      <c r="Y15" s="105">
        <f>Y14*经济指标!$K$10</f>
        <v>0</v>
      </c>
      <c r="Z15" s="105">
        <f>Z14*经济指标!$K$10</f>
        <v>0</v>
      </c>
      <c r="AA15" s="105">
        <f>AA14*经济指标!$K$10</f>
        <v>0</v>
      </c>
      <c r="AB15" s="105">
        <f>AB14*经济指标!$K$10</f>
        <v>0</v>
      </c>
      <c r="AC15" s="105">
        <f>AC14*经济指标!$K$10</f>
        <v>0</v>
      </c>
      <c r="AD15" s="105">
        <f>AD14*经济指标!$K$10</f>
        <v>0</v>
      </c>
      <c r="AE15" s="105">
        <f>AE14*经济指标!$K$10</f>
        <v>0</v>
      </c>
      <c r="AF15" s="105">
        <f>AF14*经济指标!$K$10</f>
        <v>0</v>
      </c>
      <c r="AG15" s="105">
        <f>AG14*经济指标!$K$10</f>
        <v>0</v>
      </c>
      <c r="AH15" s="105">
        <f>AH14*经济指标!$K$10</f>
        <v>0</v>
      </c>
      <c r="AI15" s="105">
        <f>AI14*经济指标!$K$10</f>
        <v>0</v>
      </c>
      <c r="AJ15" s="105">
        <f>AJ14*经济指标!$K$10</f>
        <v>0</v>
      </c>
      <c r="AK15" s="105">
        <f>AK14*经济指标!$K$10</f>
        <v>0</v>
      </c>
      <c r="AL15" s="105">
        <f>AL14*经济指标!$K$10</f>
        <v>0</v>
      </c>
      <c r="AM15" s="105">
        <f>AM14*经济指标!$K$10</f>
        <v>0</v>
      </c>
      <c r="AN15" s="105">
        <f>AN14*经济指标!$K$10</f>
        <v>0</v>
      </c>
      <c r="AO15" s="102">
        <f t="shared" si="3"/>
        <v>0</v>
      </c>
    </row>
    <row r="16" ht="37" hidden="1" customHeight="1" spans="1:41">
      <c r="A16" s="102" t="s">
        <v>1404</v>
      </c>
      <c r="B16" s="102"/>
      <c r="C16" s="102"/>
      <c r="D16" s="102"/>
      <c r="E16" s="105"/>
      <c r="F16" s="105"/>
      <c r="G16" s="105"/>
      <c r="H16" s="105"/>
      <c r="I16" s="105">
        <f>I15*预计销售收入及费用情况表!$D$8/10000</f>
        <v>0</v>
      </c>
      <c r="J16" s="105">
        <f>J15*预计销售收入及费用情况表!$D$8/10000</f>
        <v>0</v>
      </c>
      <c r="K16" s="105">
        <f>K15*预计销售收入及费用情况表!$D$8/10000</f>
        <v>0</v>
      </c>
      <c r="L16" s="105">
        <f>L15*预计销售收入及费用情况表!$D$8/10000</f>
        <v>0</v>
      </c>
      <c r="M16" s="105">
        <f>M15*预计销售收入及费用情况表!$D$8/10000</f>
        <v>0</v>
      </c>
      <c r="N16" s="105">
        <f>N15*预计销售收入及费用情况表!$D$8/10000</f>
        <v>0</v>
      </c>
      <c r="O16" s="105">
        <f>O15*预计销售收入及费用情况表!$D$8/10000</f>
        <v>0</v>
      </c>
      <c r="P16" s="105">
        <f>P15*预计销售收入及费用情况表!$D$8/10000</f>
        <v>0</v>
      </c>
      <c r="Q16" s="105">
        <f>Q15*预计销售收入及费用情况表!$D$8/10000</f>
        <v>0</v>
      </c>
      <c r="R16" s="105">
        <f>R15*预计销售收入及费用情况表!$D$8/10000</f>
        <v>0</v>
      </c>
      <c r="S16" s="105">
        <f>S15*预计销售收入及费用情况表!$D$8/10000</f>
        <v>0</v>
      </c>
      <c r="T16" s="105">
        <f>T15*预计销售收入及费用情况表!$D$8/10000</f>
        <v>0</v>
      </c>
      <c r="U16" s="105">
        <f>U15*预计销售收入及费用情况表!$D$8/10000</f>
        <v>0</v>
      </c>
      <c r="V16" s="105">
        <f>V15*预计销售收入及费用情况表!$D$8/10000</f>
        <v>0</v>
      </c>
      <c r="W16" s="105">
        <f>W15*预计销售收入及费用情况表!$D$8/10000</f>
        <v>0</v>
      </c>
      <c r="X16" s="105">
        <f>X15*预计销售收入及费用情况表!$D$8/10000</f>
        <v>0</v>
      </c>
      <c r="Y16" s="105">
        <f>Y15*预计销售收入及费用情况表!$D$8/10000</f>
        <v>0</v>
      </c>
      <c r="Z16" s="105">
        <f>Z15*预计销售收入及费用情况表!$D$8/10000</f>
        <v>0</v>
      </c>
      <c r="AA16" s="105">
        <f>AA15*预计销售收入及费用情况表!$D$8/10000</f>
        <v>0</v>
      </c>
      <c r="AB16" s="105">
        <f>AB15*预计销售收入及费用情况表!$D$8/10000</f>
        <v>0</v>
      </c>
      <c r="AC16" s="105">
        <f>AC15*预计销售收入及费用情况表!$D$8/10000</f>
        <v>0</v>
      </c>
      <c r="AD16" s="105">
        <f>AD15*预计销售收入及费用情况表!$D$8/10000</f>
        <v>0</v>
      </c>
      <c r="AE16" s="105">
        <f>AE15*预计销售收入及费用情况表!$D$8/10000</f>
        <v>0</v>
      </c>
      <c r="AF16" s="105">
        <f>AF15*预计销售收入及费用情况表!$D$8/10000</f>
        <v>0</v>
      </c>
      <c r="AG16" s="105">
        <f>AG15*预计销售收入及费用情况表!$D$8/10000</f>
        <v>0</v>
      </c>
      <c r="AH16" s="105">
        <f>AH15*预计销售收入及费用情况表!$D$8/10000</f>
        <v>0</v>
      </c>
      <c r="AI16" s="105">
        <f>AI15*预计销售收入及费用情况表!$D$8/10000</f>
        <v>0</v>
      </c>
      <c r="AJ16" s="105">
        <f>AJ15*预计销售收入及费用情况表!$D$8/10000</f>
        <v>0</v>
      </c>
      <c r="AK16" s="105">
        <f>AK15*预计销售收入及费用情况表!$D$8/10000</f>
        <v>0</v>
      </c>
      <c r="AL16" s="105">
        <f>AL15*预计销售收入及费用情况表!$D$8/10000</f>
        <v>0</v>
      </c>
      <c r="AM16" s="105">
        <f>AM15*预计销售收入及费用情况表!$D$8/10000</f>
        <v>0</v>
      </c>
      <c r="AN16" s="105">
        <f>AN15*预计销售收入及费用情况表!$D$8/10000</f>
        <v>0</v>
      </c>
      <c r="AO16" s="102">
        <f t="shared" si="3"/>
        <v>0</v>
      </c>
    </row>
    <row r="17" ht="37" hidden="1" customHeight="1" spans="1:41">
      <c r="A17" s="102" t="s">
        <v>1405</v>
      </c>
      <c r="B17" s="102"/>
      <c r="C17" s="102"/>
      <c r="D17" s="102"/>
      <c r="E17" s="105"/>
      <c r="F17" s="105"/>
      <c r="G17" s="105"/>
      <c r="H17" s="105"/>
      <c r="I17" s="105">
        <f t="shared" ref="I17:AW17" si="4">I16*0.3</f>
        <v>0</v>
      </c>
      <c r="J17" s="105">
        <f t="shared" si="4"/>
        <v>0</v>
      </c>
      <c r="K17" s="105">
        <f t="shared" si="4"/>
        <v>0</v>
      </c>
      <c r="L17" s="105">
        <f t="shared" si="4"/>
        <v>0</v>
      </c>
      <c r="M17" s="105">
        <f t="shared" si="4"/>
        <v>0</v>
      </c>
      <c r="N17" s="105">
        <f t="shared" si="4"/>
        <v>0</v>
      </c>
      <c r="O17" s="105">
        <f t="shared" si="4"/>
        <v>0</v>
      </c>
      <c r="P17" s="105">
        <f t="shared" si="4"/>
        <v>0</v>
      </c>
      <c r="Q17" s="105">
        <f t="shared" si="4"/>
        <v>0</v>
      </c>
      <c r="R17" s="105">
        <f t="shared" si="4"/>
        <v>0</v>
      </c>
      <c r="S17" s="105">
        <f t="shared" si="4"/>
        <v>0</v>
      </c>
      <c r="T17" s="105">
        <f t="shared" si="4"/>
        <v>0</v>
      </c>
      <c r="U17" s="105">
        <f t="shared" si="4"/>
        <v>0</v>
      </c>
      <c r="V17" s="105">
        <f t="shared" si="4"/>
        <v>0</v>
      </c>
      <c r="W17" s="105">
        <f t="shared" si="4"/>
        <v>0</v>
      </c>
      <c r="X17" s="105">
        <f t="shared" si="4"/>
        <v>0</v>
      </c>
      <c r="Y17" s="105">
        <f t="shared" si="4"/>
        <v>0</v>
      </c>
      <c r="Z17" s="105">
        <f t="shared" si="4"/>
        <v>0</v>
      </c>
      <c r="AA17" s="105">
        <f t="shared" si="4"/>
        <v>0</v>
      </c>
      <c r="AB17" s="105">
        <f t="shared" si="4"/>
        <v>0</v>
      </c>
      <c r="AC17" s="105">
        <f t="shared" si="4"/>
        <v>0</v>
      </c>
      <c r="AD17" s="105">
        <f t="shared" si="4"/>
        <v>0</v>
      </c>
      <c r="AE17" s="105">
        <f t="shared" si="4"/>
        <v>0</v>
      </c>
      <c r="AF17" s="105">
        <f t="shared" si="4"/>
        <v>0</v>
      </c>
      <c r="AG17" s="105">
        <f t="shared" si="4"/>
        <v>0</v>
      </c>
      <c r="AH17" s="105">
        <f t="shared" si="4"/>
        <v>0</v>
      </c>
      <c r="AI17" s="105">
        <f t="shared" si="4"/>
        <v>0</v>
      </c>
      <c r="AJ17" s="105">
        <f t="shared" si="4"/>
        <v>0</v>
      </c>
      <c r="AK17" s="105">
        <f t="shared" si="4"/>
        <v>0</v>
      </c>
      <c r="AL17" s="105">
        <f t="shared" si="4"/>
        <v>0</v>
      </c>
      <c r="AM17" s="105">
        <f t="shared" si="4"/>
        <v>0</v>
      </c>
      <c r="AN17" s="105">
        <f t="shared" si="4"/>
        <v>0</v>
      </c>
      <c r="AO17" s="102">
        <f t="shared" si="3"/>
        <v>0</v>
      </c>
    </row>
    <row r="18" ht="37" hidden="1" customHeight="1" spans="1:41">
      <c r="A18" s="99" t="s">
        <v>1406</v>
      </c>
      <c r="B18" s="99"/>
      <c r="C18" s="99"/>
      <c r="D18" s="99"/>
      <c r="E18" s="105"/>
      <c r="F18" s="105"/>
      <c r="G18" s="105"/>
      <c r="H18" s="105"/>
      <c r="I18" s="105">
        <f t="shared" ref="I18:AW18" si="5">H16*0.7</f>
        <v>0</v>
      </c>
      <c r="J18" s="105">
        <f t="shared" si="5"/>
        <v>0</v>
      </c>
      <c r="K18" s="105">
        <f t="shared" si="5"/>
        <v>0</v>
      </c>
      <c r="L18" s="105">
        <f t="shared" si="5"/>
        <v>0</v>
      </c>
      <c r="M18" s="105">
        <f t="shared" si="5"/>
        <v>0</v>
      </c>
      <c r="N18" s="105">
        <f t="shared" si="5"/>
        <v>0</v>
      </c>
      <c r="O18" s="105">
        <f t="shared" si="5"/>
        <v>0</v>
      </c>
      <c r="P18" s="105">
        <f t="shared" si="5"/>
        <v>0</v>
      </c>
      <c r="Q18" s="105">
        <f t="shared" si="5"/>
        <v>0</v>
      </c>
      <c r="R18" s="105">
        <f t="shared" si="5"/>
        <v>0</v>
      </c>
      <c r="S18" s="105">
        <f t="shared" si="5"/>
        <v>0</v>
      </c>
      <c r="T18" s="105">
        <f t="shared" si="5"/>
        <v>0</v>
      </c>
      <c r="U18" s="105">
        <f t="shared" si="5"/>
        <v>0</v>
      </c>
      <c r="V18" s="105">
        <f t="shared" si="5"/>
        <v>0</v>
      </c>
      <c r="W18" s="105">
        <f t="shared" si="5"/>
        <v>0</v>
      </c>
      <c r="X18" s="105">
        <f t="shared" si="5"/>
        <v>0</v>
      </c>
      <c r="Y18" s="105">
        <f t="shared" si="5"/>
        <v>0</v>
      </c>
      <c r="Z18" s="105">
        <f t="shared" si="5"/>
        <v>0</v>
      </c>
      <c r="AA18" s="105">
        <f t="shared" si="5"/>
        <v>0</v>
      </c>
      <c r="AB18" s="105">
        <f t="shared" si="5"/>
        <v>0</v>
      </c>
      <c r="AC18" s="105">
        <f t="shared" si="5"/>
        <v>0</v>
      </c>
      <c r="AD18" s="105">
        <f t="shared" si="5"/>
        <v>0</v>
      </c>
      <c r="AE18" s="105">
        <f t="shared" si="5"/>
        <v>0</v>
      </c>
      <c r="AF18" s="105">
        <f t="shared" si="5"/>
        <v>0</v>
      </c>
      <c r="AG18" s="105">
        <f t="shared" si="5"/>
        <v>0</v>
      </c>
      <c r="AH18" s="105">
        <f t="shared" si="5"/>
        <v>0</v>
      </c>
      <c r="AI18" s="105">
        <f t="shared" si="5"/>
        <v>0</v>
      </c>
      <c r="AJ18" s="105">
        <f t="shared" si="5"/>
        <v>0</v>
      </c>
      <c r="AK18" s="105">
        <f t="shared" si="5"/>
        <v>0</v>
      </c>
      <c r="AL18" s="105">
        <f t="shared" si="5"/>
        <v>0</v>
      </c>
      <c r="AM18" s="105">
        <f t="shared" si="5"/>
        <v>0</v>
      </c>
      <c r="AN18" s="105">
        <f t="shared" si="5"/>
        <v>0</v>
      </c>
      <c r="AO18" s="102">
        <f t="shared" si="3"/>
        <v>0</v>
      </c>
    </row>
    <row r="19" ht="37" hidden="1" customHeight="1" spans="1:41">
      <c r="A19" s="99" t="s">
        <v>1329</v>
      </c>
      <c r="B19" s="99"/>
      <c r="C19" s="103"/>
      <c r="D19" s="103"/>
      <c r="E19" s="104"/>
      <c r="F19" s="104"/>
      <c r="G19" s="104"/>
      <c r="H19" s="104"/>
      <c r="I19" s="104">
        <v>0</v>
      </c>
      <c r="J19" s="104">
        <v>0</v>
      </c>
      <c r="K19" s="104">
        <v>0</v>
      </c>
      <c r="L19" s="104">
        <v>0</v>
      </c>
      <c r="M19" s="104">
        <v>0</v>
      </c>
      <c r="N19" s="104">
        <v>0</v>
      </c>
      <c r="O19" s="104">
        <v>0</v>
      </c>
      <c r="P19" s="104">
        <v>0</v>
      </c>
      <c r="Q19" s="104">
        <v>0</v>
      </c>
      <c r="R19" s="104">
        <v>0</v>
      </c>
      <c r="S19" s="104">
        <v>0</v>
      </c>
      <c r="T19" s="104">
        <v>0</v>
      </c>
      <c r="U19" s="104">
        <v>0</v>
      </c>
      <c r="V19" s="104">
        <v>0</v>
      </c>
      <c r="W19" s="104">
        <v>0</v>
      </c>
      <c r="X19" s="104">
        <v>0</v>
      </c>
      <c r="Y19" s="104">
        <v>0</v>
      </c>
      <c r="Z19" s="104">
        <v>0</v>
      </c>
      <c r="AA19" s="104">
        <v>0</v>
      </c>
      <c r="AB19" s="104">
        <v>0</v>
      </c>
      <c r="AC19" s="104">
        <v>0</v>
      </c>
      <c r="AD19" s="104">
        <v>0</v>
      </c>
      <c r="AE19" s="104">
        <v>0</v>
      </c>
      <c r="AF19" s="104">
        <v>0</v>
      </c>
      <c r="AG19" s="104">
        <v>0</v>
      </c>
      <c r="AH19" s="104">
        <v>0</v>
      </c>
      <c r="AI19" s="104">
        <v>0</v>
      </c>
      <c r="AJ19" s="104">
        <v>0</v>
      </c>
      <c r="AK19" s="104">
        <v>0</v>
      </c>
      <c r="AL19" s="104">
        <v>0</v>
      </c>
      <c r="AM19" s="104">
        <v>0</v>
      </c>
      <c r="AN19" s="104">
        <v>0</v>
      </c>
      <c r="AO19" s="103">
        <f t="shared" si="3"/>
        <v>0</v>
      </c>
    </row>
    <row r="20" ht="37" hidden="1" customHeight="1" spans="1:41">
      <c r="A20" s="102" t="s">
        <v>1404</v>
      </c>
      <c r="B20" s="102"/>
      <c r="C20" s="102"/>
      <c r="D20" s="102"/>
      <c r="E20" s="105"/>
      <c r="F20" s="105"/>
      <c r="G20" s="105"/>
      <c r="H20" s="105"/>
      <c r="I20" s="105">
        <v>0</v>
      </c>
      <c r="J20" s="105">
        <v>0</v>
      </c>
      <c r="K20" s="105">
        <v>0</v>
      </c>
      <c r="L20" s="105">
        <v>0</v>
      </c>
      <c r="M20" s="105">
        <v>0</v>
      </c>
      <c r="N20" s="105">
        <v>0</v>
      </c>
      <c r="O20" s="105">
        <v>0</v>
      </c>
      <c r="P20" s="105">
        <v>0</v>
      </c>
      <c r="Q20" s="105">
        <v>0</v>
      </c>
      <c r="R20" s="105">
        <v>0</v>
      </c>
      <c r="S20" s="105">
        <v>0</v>
      </c>
      <c r="T20" s="105">
        <v>0</v>
      </c>
      <c r="U20" s="105">
        <v>0</v>
      </c>
      <c r="V20" s="105">
        <v>0</v>
      </c>
      <c r="W20" s="105">
        <v>0</v>
      </c>
      <c r="X20" s="105">
        <v>0</v>
      </c>
      <c r="Y20" s="105">
        <v>0</v>
      </c>
      <c r="Z20" s="105">
        <v>0</v>
      </c>
      <c r="AA20" s="105">
        <v>0</v>
      </c>
      <c r="AB20" s="105">
        <v>0</v>
      </c>
      <c r="AC20" s="105">
        <v>0</v>
      </c>
      <c r="AD20" s="105">
        <v>0</v>
      </c>
      <c r="AE20" s="105">
        <v>0</v>
      </c>
      <c r="AF20" s="105">
        <v>0</v>
      </c>
      <c r="AG20" s="113">
        <v>0</v>
      </c>
      <c r="AH20" s="105">
        <v>0</v>
      </c>
      <c r="AI20" s="105">
        <v>0</v>
      </c>
      <c r="AJ20" s="105">
        <v>0</v>
      </c>
      <c r="AK20" s="105">
        <v>0</v>
      </c>
      <c r="AL20" s="105">
        <v>0</v>
      </c>
      <c r="AM20" s="105">
        <v>0</v>
      </c>
      <c r="AN20" s="105">
        <v>0</v>
      </c>
      <c r="AO20" s="102">
        <f t="shared" si="3"/>
        <v>0</v>
      </c>
    </row>
    <row r="21" ht="37" hidden="1" customHeight="1" spans="1:41">
      <c r="A21" s="99" t="s">
        <v>1405</v>
      </c>
      <c r="B21" s="99"/>
      <c r="C21" s="99"/>
      <c r="D21" s="99"/>
      <c r="E21" s="105"/>
      <c r="F21" s="105"/>
      <c r="G21" s="105"/>
      <c r="H21" s="105"/>
      <c r="I21" s="112">
        <f t="shared" ref="E21:AW21" si="6">I20*0.5</f>
        <v>0</v>
      </c>
      <c r="J21" s="112">
        <f t="shared" si="6"/>
        <v>0</v>
      </c>
      <c r="K21" s="112">
        <f t="shared" si="6"/>
        <v>0</v>
      </c>
      <c r="L21" s="112">
        <f t="shared" si="6"/>
        <v>0</v>
      </c>
      <c r="M21" s="112">
        <f t="shared" si="6"/>
        <v>0</v>
      </c>
      <c r="N21" s="112">
        <f t="shared" si="6"/>
        <v>0</v>
      </c>
      <c r="O21" s="112">
        <f t="shared" si="6"/>
        <v>0</v>
      </c>
      <c r="P21" s="112">
        <f t="shared" si="6"/>
        <v>0</v>
      </c>
      <c r="Q21" s="112">
        <f t="shared" si="6"/>
        <v>0</v>
      </c>
      <c r="R21" s="112">
        <f t="shared" si="6"/>
        <v>0</v>
      </c>
      <c r="S21" s="112">
        <f t="shared" si="6"/>
        <v>0</v>
      </c>
      <c r="T21" s="112">
        <f t="shared" si="6"/>
        <v>0</v>
      </c>
      <c r="U21" s="112">
        <f t="shared" si="6"/>
        <v>0</v>
      </c>
      <c r="V21" s="112">
        <f t="shared" si="6"/>
        <v>0</v>
      </c>
      <c r="W21" s="112">
        <f t="shared" si="6"/>
        <v>0</v>
      </c>
      <c r="X21" s="112">
        <f t="shared" si="6"/>
        <v>0</v>
      </c>
      <c r="Y21" s="112">
        <f t="shared" si="6"/>
        <v>0</v>
      </c>
      <c r="Z21" s="112">
        <f t="shared" si="6"/>
        <v>0</v>
      </c>
      <c r="AA21" s="112">
        <f t="shared" si="6"/>
        <v>0</v>
      </c>
      <c r="AB21" s="112">
        <f t="shared" si="6"/>
        <v>0</v>
      </c>
      <c r="AC21" s="112">
        <f t="shared" si="6"/>
        <v>0</v>
      </c>
      <c r="AD21" s="112">
        <f t="shared" si="6"/>
        <v>0</v>
      </c>
      <c r="AE21" s="112">
        <f t="shared" si="6"/>
        <v>0</v>
      </c>
      <c r="AF21" s="112">
        <f t="shared" si="6"/>
        <v>0</v>
      </c>
      <c r="AG21" s="112">
        <f t="shared" si="6"/>
        <v>0</v>
      </c>
      <c r="AH21" s="112">
        <f t="shared" si="6"/>
        <v>0</v>
      </c>
      <c r="AI21" s="112">
        <f t="shared" si="6"/>
        <v>0</v>
      </c>
      <c r="AJ21" s="112">
        <f t="shared" si="6"/>
        <v>0</v>
      </c>
      <c r="AK21" s="112">
        <f t="shared" si="6"/>
        <v>0</v>
      </c>
      <c r="AL21" s="112">
        <f t="shared" si="6"/>
        <v>0</v>
      </c>
      <c r="AM21" s="112">
        <f t="shared" si="6"/>
        <v>0</v>
      </c>
      <c r="AN21" s="112">
        <f t="shared" si="6"/>
        <v>0</v>
      </c>
      <c r="AO21" s="102">
        <f t="shared" si="3"/>
        <v>0</v>
      </c>
    </row>
    <row r="22" ht="37" hidden="1" customHeight="1" spans="1:41">
      <c r="A22" s="102" t="s">
        <v>1406</v>
      </c>
      <c r="B22" s="102"/>
      <c r="C22" s="102"/>
      <c r="D22" s="102"/>
      <c r="E22" s="105"/>
      <c r="F22" s="105"/>
      <c r="G22" s="105"/>
      <c r="H22" s="105"/>
      <c r="I22" s="105">
        <f t="shared" ref="F22:AW22" si="7">H20*0.5</f>
        <v>0</v>
      </c>
      <c r="J22" s="105">
        <f t="shared" si="7"/>
        <v>0</v>
      </c>
      <c r="K22" s="105">
        <f t="shared" si="7"/>
        <v>0</v>
      </c>
      <c r="L22" s="105">
        <f t="shared" si="7"/>
        <v>0</v>
      </c>
      <c r="M22" s="105">
        <f t="shared" si="7"/>
        <v>0</v>
      </c>
      <c r="N22" s="105">
        <f t="shared" si="7"/>
        <v>0</v>
      </c>
      <c r="O22" s="105">
        <f t="shared" si="7"/>
        <v>0</v>
      </c>
      <c r="P22" s="105">
        <f t="shared" si="7"/>
        <v>0</v>
      </c>
      <c r="Q22" s="105">
        <f t="shared" si="7"/>
        <v>0</v>
      </c>
      <c r="R22" s="105">
        <f t="shared" si="7"/>
        <v>0</v>
      </c>
      <c r="S22" s="105">
        <f t="shared" si="7"/>
        <v>0</v>
      </c>
      <c r="T22" s="105">
        <f t="shared" si="7"/>
        <v>0</v>
      </c>
      <c r="U22" s="105">
        <f t="shared" si="7"/>
        <v>0</v>
      </c>
      <c r="V22" s="105">
        <f t="shared" si="7"/>
        <v>0</v>
      </c>
      <c r="W22" s="105">
        <f t="shared" si="7"/>
        <v>0</v>
      </c>
      <c r="X22" s="105">
        <f t="shared" si="7"/>
        <v>0</v>
      </c>
      <c r="Y22" s="105">
        <f t="shared" si="7"/>
        <v>0</v>
      </c>
      <c r="Z22" s="105">
        <f t="shared" si="7"/>
        <v>0</v>
      </c>
      <c r="AA22" s="105">
        <f t="shared" si="7"/>
        <v>0</v>
      </c>
      <c r="AB22" s="105">
        <f t="shared" si="7"/>
        <v>0</v>
      </c>
      <c r="AC22" s="105">
        <f t="shared" si="7"/>
        <v>0</v>
      </c>
      <c r="AD22" s="105">
        <f t="shared" si="7"/>
        <v>0</v>
      </c>
      <c r="AE22" s="105">
        <f t="shared" si="7"/>
        <v>0</v>
      </c>
      <c r="AF22" s="105">
        <f t="shared" si="7"/>
        <v>0</v>
      </c>
      <c r="AG22" s="105">
        <f t="shared" si="7"/>
        <v>0</v>
      </c>
      <c r="AH22" s="105">
        <f t="shared" si="7"/>
        <v>0</v>
      </c>
      <c r="AI22" s="105">
        <f t="shared" si="7"/>
        <v>0</v>
      </c>
      <c r="AJ22" s="105">
        <f t="shared" si="7"/>
        <v>0</v>
      </c>
      <c r="AK22" s="105">
        <f t="shared" si="7"/>
        <v>0</v>
      </c>
      <c r="AL22" s="105">
        <f t="shared" si="7"/>
        <v>0</v>
      </c>
      <c r="AM22" s="105">
        <f t="shared" si="7"/>
        <v>0</v>
      </c>
      <c r="AN22" s="105">
        <f t="shared" si="7"/>
        <v>0</v>
      </c>
      <c r="AO22" s="102">
        <f t="shared" si="3"/>
        <v>0</v>
      </c>
    </row>
    <row r="23" ht="37" customHeight="1" spans="1:43">
      <c r="A23" s="99" t="s">
        <v>1329</v>
      </c>
      <c r="B23" s="99" t="s">
        <v>1407</v>
      </c>
      <c r="C23" s="103"/>
      <c r="D23" s="103"/>
      <c r="E23" s="104"/>
      <c r="F23" s="104"/>
      <c r="G23" s="104"/>
      <c r="H23" s="104"/>
      <c r="I23" s="104">
        <v>0</v>
      </c>
      <c r="J23" s="104">
        <v>0</v>
      </c>
      <c r="K23" s="104">
        <v>0</v>
      </c>
      <c r="L23" s="104">
        <v>0</v>
      </c>
      <c r="M23" s="104">
        <v>132</v>
      </c>
      <c r="N23" s="104">
        <v>0</v>
      </c>
      <c r="O23" s="104">
        <v>10</v>
      </c>
      <c r="P23" s="104">
        <v>10</v>
      </c>
      <c r="Q23" s="104">
        <v>2</v>
      </c>
      <c r="R23" s="104">
        <v>3</v>
      </c>
      <c r="S23" s="104">
        <v>5</v>
      </c>
      <c r="T23" s="104">
        <v>6</v>
      </c>
      <c r="U23" s="104">
        <v>8</v>
      </c>
      <c r="V23" s="104">
        <v>5</v>
      </c>
      <c r="W23" s="104">
        <v>5</v>
      </c>
      <c r="X23" s="104">
        <v>5</v>
      </c>
      <c r="Y23" s="104">
        <v>6</v>
      </c>
      <c r="Z23" s="104">
        <v>8</v>
      </c>
      <c r="AA23" s="104">
        <v>10</v>
      </c>
      <c r="AB23" s="104">
        <v>10</v>
      </c>
      <c r="AC23" s="104">
        <v>20</v>
      </c>
      <c r="AD23" s="104">
        <v>20</v>
      </c>
      <c r="AE23" s="104">
        <v>25</v>
      </c>
      <c r="AF23" s="104">
        <v>25</v>
      </c>
      <c r="AG23" s="104">
        <v>28</v>
      </c>
      <c r="AH23" s="104">
        <v>25</v>
      </c>
      <c r="AI23" s="104">
        <v>25</v>
      </c>
      <c r="AJ23" s="104">
        <v>7</v>
      </c>
      <c r="AK23" s="104"/>
      <c r="AL23" s="104"/>
      <c r="AM23" s="104"/>
      <c r="AN23" s="104"/>
      <c r="AO23" s="103">
        <f t="shared" si="3"/>
        <v>400</v>
      </c>
      <c r="AQ23">
        <f>预计销售收入及费用情况表!C20+预计销售收入及费用情况表!C21</f>
        <v>400</v>
      </c>
    </row>
    <row r="24" ht="37" customHeight="1" spans="1:43">
      <c r="A24" s="102" t="s">
        <v>1404</v>
      </c>
      <c r="B24" s="102"/>
      <c r="C24" s="102"/>
      <c r="D24" s="102"/>
      <c r="E24" s="105"/>
      <c r="F24" s="105"/>
      <c r="G24" s="105"/>
      <c r="H24" s="105"/>
      <c r="I24" s="105">
        <f>I23*预计销售收入及费用情况表!$D$20</f>
        <v>0</v>
      </c>
      <c r="J24" s="105">
        <f>J23*预计销售收入及费用情况表!$D$20</f>
        <v>0</v>
      </c>
      <c r="K24" s="105">
        <f>K23*预计销售收入及费用情况表!$D$20</f>
        <v>0</v>
      </c>
      <c r="L24" s="105">
        <f>L23*预计销售收入及费用情况表!$D$20</f>
        <v>0</v>
      </c>
      <c r="M24" s="105">
        <f>M23*预计销售收入及费用情况表!$D$20</f>
        <v>1056</v>
      </c>
      <c r="N24" s="105">
        <f>N23*预计销售收入及费用情况表!$D$20</f>
        <v>0</v>
      </c>
      <c r="O24" s="105">
        <f>O23*预计销售收入及费用情况表!$D$20</f>
        <v>80</v>
      </c>
      <c r="P24" s="105">
        <f>P23*预计销售收入及费用情况表!$D$20</f>
        <v>80</v>
      </c>
      <c r="Q24" s="105">
        <f>Q23*预计销售收入及费用情况表!$D$20</f>
        <v>16</v>
      </c>
      <c r="R24" s="105">
        <f>R23*预计销售收入及费用情况表!$D$20</f>
        <v>24</v>
      </c>
      <c r="S24" s="105">
        <f>S23*预计销售收入及费用情况表!$D$20</f>
        <v>40</v>
      </c>
      <c r="T24" s="105">
        <f>T23*预计销售收入及费用情况表!$D$20</f>
        <v>48</v>
      </c>
      <c r="U24" s="105">
        <f>U23*预计销售收入及费用情况表!$D$20</f>
        <v>64</v>
      </c>
      <c r="V24" s="105">
        <f>V23*预计销售收入及费用情况表!$D$20</f>
        <v>40</v>
      </c>
      <c r="W24" s="105">
        <f>W23*预计销售收入及费用情况表!$D$20</f>
        <v>40</v>
      </c>
      <c r="X24" s="105">
        <f>X23*预计销售收入及费用情况表!$D$20</f>
        <v>40</v>
      </c>
      <c r="Y24" s="105">
        <f>Y23*预计销售收入及费用情况表!$D$20</f>
        <v>48</v>
      </c>
      <c r="Z24" s="105">
        <f>Z23*预计销售收入及费用情况表!$D$20</f>
        <v>64</v>
      </c>
      <c r="AA24" s="105">
        <f>AA23*预计销售收入及费用情况表!$D$20</f>
        <v>80</v>
      </c>
      <c r="AB24" s="105">
        <f>AB23*预计销售收入及费用情况表!$D$20</f>
        <v>80</v>
      </c>
      <c r="AC24" s="105">
        <f>AC23*预计销售收入及费用情况表!$D$20</f>
        <v>160</v>
      </c>
      <c r="AD24" s="105">
        <f>AD23*预计销售收入及费用情况表!$D$20</f>
        <v>160</v>
      </c>
      <c r="AE24" s="105">
        <f>AE23*预计销售收入及费用情况表!$D$20</f>
        <v>200</v>
      </c>
      <c r="AF24" s="105">
        <f>AF23*预计销售收入及费用情况表!$D$20</f>
        <v>200</v>
      </c>
      <c r="AG24" s="105">
        <f>AG23*预计销售收入及费用情况表!$D$20</f>
        <v>224</v>
      </c>
      <c r="AH24" s="105">
        <f>AH23*预计销售收入及费用情况表!$D$20</f>
        <v>200</v>
      </c>
      <c r="AI24" s="105">
        <f>AI23*预计销售收入及费用情况表!$D$20</f>
        <v>200</v>
      </c>
      <c r="AJ24" s="105">
        <f>AJ23*预计销售收入及费用情况表!$D$20</f>
        <v>56</v>
      </c>
      <c r="AK24" s="105">
        <f>AK23*预计销售收入及费用情况表!$D$20</f>
        <v>0</v>
      </c>
      <c r="AL24" s="105">
        <f>AL23*预计销售收入及费用情况表!$D$20</f>
        <v>0</v>
      </c>
      <c r="AM24" s="105">
        <f>AM23*预计销售收入及费用情况表!$D$20</f>
        <v>0</v>
      </c>
      <c r="AN24" s="105">
        <f>AN23*预计销售收入及费用情况表!$D$20</f>
        <v>0</v>
      </c>
      <c r="AO24" s="114">
        <f t="shared" si="3"/>
        <v>3200</v>
      </c>
      <c r="AQ24">
        <f>AQ23-AO23</f>
        <v>0</v>
      </c>
    </row>
    <row r="25" ht="37" customHeight="1" spans="1:41">
      <c r="A25" s="99" t="s">
        <v>1405</v>
      </c>
      <c r="B25" s="99"/>
      <c r="C25" s="99"/>
      <c r="D25" s="99"/>
      <c r="E25" s="105"/>
      <c r="F25" s="105"/>
      <c r="G25" s="105"/>
      <c r="H25" s="105"/>
      <c r="I25" s="105">
        <f>I24*0.5</f>
        <v>0</v>
      </c>
      <c r="J25" s="105">
        <f t="shared" ref="J25:AN25" si="8">J24*0.5</f>
        <v>0</v>
      </c>
      <c r="K25" s="105">
        <f t="shared" si="8"/>
        <v>0</v>
      </c>
      <c r="L25" s="105">
        <f t="shared" si="8"/>
        <v>0</v>
      </c>
      <c r="M25" s="105">
        <f t="shared" si="8"/>
        <v>528</v>
      </c>
      <c r="N25" s="105">
        <f t="shared" si="8"/>
        <v>0</v>
      </c>
      <c r="O25" s="105">
        <f t="shared" si="8"/>
        <v>40</v>
      </c>
      <c r="P25" s="105">
        <f t="shared" si="8"/>
        <v>40</v>
      </c>
      <c r="Q25" s="105">
        <f t="shared" si="8"/>
        <v>8</v>
      </c>
      <c r="R25" s="105">
        <f t="shared" si="8"/>
        <v>12</v>
      </c>
      <c r="S25" s="105">
        <f t="shared" si="8"/>
        <v>20</v>
      </c>
      <c r="T25" s="105">
        <f t="shared" si="8"/>
        <v>24</v>
      </c>
      <c r="U25" s="105">
        <f t="shared" si="8"/>
        <v>32</v>
      </c>
      <c r="V25" s="105">
        <f t="shared" si="8"/>
        <v>20</v>
      </c>
      <c r="W25" s="105">
        <f t="shared" si="8"/>
        <v>20</v>
      </c>
      <c r="X25" s="105">
        <f t="shared" si="8"/>
        <v>20</v>
      </c>
      <c r="Y25" s="105">
        <f t="shared" si="8"/>
        <v>24</v>
      </c>
      <c r="Z25" s="105">
        <f t="shared" si="8"/>
        <v>32</v>
      </c>
      <c r="AA25" s="105">
        <f t="shared" si="8"/>
        <v>40</v>
      </c>
      <c r="AB25" s="105">
        <f t="shared" si="8"/>
        <v>40</v>
      </c>
      <c r="AC25" s="105">
        <f t="shared" si="8"/>
        <v>80</v>
      </c>
      <c r="AD25" s="105">
        <f t="shared" si="8"/>
        <v>80</v>
      </c>
      <c r="AE25" s="105">
        <f t="shared" si="8"/>
        <v>100</v>
      </c>
      <c r="AF25" s="105">
        <f t="shared" si="8"/>
        <v>100</v>
      </c>
      <c r="AG25" s="105">
        <f t="shared" si="8"/>
        <v>112</v>
      </c>
      <c r="AH25" s="105">
        <f t="shared" si="8"/>
        <v>100</v>
      </c>
      <c r="AI25" s="105">
        <f t="shared" si="8"/>
        <v>100</v>
      </c>
      <c r="AJ25" s="105">
        <f t="shared" si="8"/>
        <v>28</v>
      </c>
      <c r="AK25" s="105">
        <f t="shared" si="8"/>
        <v>0</v>
      </c>
      <c r="AL25" s="105">
        <f t="shared" si="8"/>
        <v>0</v>
      </c>
      <c r="AM25" s="105">
        <f t="shared" si="8"/>
        <v>0</v>
      </c>
      <c r="AN25" s="105">
        <f t="shared" si="8"/>
        <v>0</v>
      </c>
      <c r="AO25" s="114">
        <f t="shared" si="3"/>
        <v>1600</v>
      </c>
    </row>
    <row r="26" ht="37" customHeight="1" spans="1:41">
      <c r="A26" s="102" t="s">
        <v>1406</v>
      </c>
      <c r="B26" s="102"/>
      <c r="C26" s="102"/>
      <c r="D26" s="102"/>
      <c r="E26" s="105"/>
      <c r="F26" s="105"/>
      <c r="G26" s="105"/>
      <c r="H26" s="105"/>
      <c r="I26" s="105">
        <f>I24*0.5</f>
        <v>0</v>
      </c>
      <c r="J26" s="105">
        <f t="shared" ref="J26:AN26" si="9">J24*0.5</f>
        <v>0</v>
      </c>
      <c r="K26" s="105">
        <f t="shared" si="9"/>
        <v>0</v>
      </c>
      <c r="L26" s="105">
        <f t="shared" si="9"/>
        <v>0</v>
      </c>
      <c r="M26" s="105">
        <f t="shared" si="9"/>
        <v>528</v>
      </c>
      <c r="N26" s="105">
        <f t="shared" si="9"/>
        <v>0</v>
      </c>
      <c r="O26" s="105">
        <f t="shared" si="9"/>
        <v>40</v>
      </c>
      <c r="P26" s="105">
        <f t="shared" si="9"/>
        <v>40</v>
      </c>
      <c r="Q26" s="105">
        <f t="shared" si="9"/>
        <v>8</v>
      </c>
      <c r="R26" s="105">
        <f t="shared" si="9"/>
        <v>12</v>
      </c>
      <c r="S26" s="105">
        <f t="shared" si="9"/>
        <v>20</v>
      </c>
      <c r="T26" s="105">
        <f t="shared" si="9"/>
        <v>24</v>
      </c>
      <c r="U26" s="105">
        <f t="shared" si="9"/>
        <v>32</v>
      </c>
      <c r="V26" s="105">
        <f t="shared" si="9"/>
        <v>20</v>
      </c>
      <c r="W26" s="105">
        <f t="shared" si="9"/>
        <v>20</v>
      </c>
      <c r="X26" s="105">
        <f t="shared" si="9"/>
        <v>20</v>
      </c>
      <c r="Y26" s="105">
        <f t="shared" si="9"/>
        <v>24</v>
      </c>
      <c r="Z26" s="105">
        <f t="shared" si="9"/>
        <v>32</v>
      </c>
      <c r="AA26" s="105">
        <f t="shared" si="9"/>
        <v>40</v>
      </c>
      <c r="AB26" s="105">
        <f t="shared" si="9"/>
        <v>40</v>
      </c>
      <c r="AC26" s="105">
        <f t="shared" si="9"/>
        <v>80</v>
      </c>
      <c r="AD26" s="105">
        <f t="shared" si="9"/>
        <v>80</v>
      </c>
      <c r="AE26" s="105">
        <f t="shared" si="9"/>
        <v>100</v>
      </c>
      <c r="AF26" s="105">
        <f t="shared" si="9"/>
        <v>100</v>
      </c>
      <c r="AG26" s="105">
        <f t="shared" si="9"/>
        <v>112</v>
      </c>
      <c r="AH26" s="105">
        <f t="shared" si="9"/>
        <v>100</v>
      </c>
      <c r="AI26" s="105">
        <f t="shared" si="9"/>
        <v>100</v>
      </c>
      <c r="AJ26" s="105">
        <f t="shared" si="9"/>
        <v>28</v>
      </c>
      <c r="AK26" s="105">
        <f t="shared" si="9"/>
        <v>0</v>
      </c>
      <c r="AL26" s="105">
        <f t="shared" si="9"/>
        <v>0</v>
      </c>
      <c r="AM26" s="105">
        <f t="shared" si="9"/>
        <v>0</v>
      </c>
      <c r="AN26" s="105">
        <f t="shared" si="9"/>
        <v>0</v>
      </c>
      <c r="AO26" s="114">
        <f t="shared" si="3"/>
        <v>1600</v>
      </c>
    </row>
    <row r="27" ht="37" customHeight="1" spans="1:41">
      <c r="A27" s="106" t="s">
        <v>1408</v>
      </c>
      <c r="B27" s="106"/>
      <c r="C27" s="107">
        <f t="shared" ref="C27:H27" si="10">C6+C11+C16+C24+C20</f>
        <v>19196.352</v>
      </c>
      <c r="D27" s="107">
        <f t="shared" si="10"/>
        <v>0</v>
      </c>
      <c r="E27" s="107">
        <f t="shared" si="10"/>
        <v>0</v>
      </c>
      <c r="F27" s="107">
        <f t="shared" si="10"/>
        <v>0</v>
      </c>
      <c r="G27" s="107">
        <f t="shared" si="10"/>
        <v>0</v>
      </c>
      <c r="H27" s="107">
        <f t="shared" si="10"/>
        <v>0</v>
      </c>
      <c r="I27" s="107">
        <f t="shared" ref="I27:AX27" si="11">I6+I11+I16+I24+I20</f>
        <v>0</v>
      </c>
      <c r="J27" s="107">
        <f t="shared" si="11"/>
        <v>0</v>
      </c>
      <c r="K27" s="107">
        <f t="shared" si="11"/>
        <v>0</v>
      </c>
      <c r="L27" s="107">
        <f t="shared" si="11"/>
        <v>0</v>
      </c>
      <c r="M27" s="107">
        <f t="shared" si="11"/>
        <v>12664.1070652174</v>
      </c>
      <c r="N27" s="107">
        <f t="shared" si="11"/>
        <v>2785.94569565217</v>
      </c>
      <c r="O27" s="107">
        <f t="shared" si="11"/>
        <v>3098.10783695652</v>
      </c>
      <c r="P27" s="107">
        <f t="shared" si="11"/>
        <v>1937.29713043478</v>
      </c>
      <c r="Q27" s="107">
        <f t="shared" si="11"/>
        <v>480.324282608696</v>
      </c>
      <c r="R27" s="107">
        <f t="shared" si="11"/>
        <v>720.486423913043</v>
      </c>
      <c r="S27" s="107">
        <f t="shared" si="11"/>
        <v>1897.29713043478</v>
      </c>
      <c r="T27" s="107">
        <f t="shared" si="11"/>
        <v>3066.10783695652</v>
      </c>
      <c r="U27" s="107">
        <f t="shared" si="11"/>
        <v>4242.91854347826</v>
      </c>
      <c r="V27" s="107">
        <f t="shared" si="11"/>
        <v>2825.94569565217</v>
      </c>
      <c r="W27" s="107">
        <f t="shared" si="11"/>
        <v>2361.62141304348</v>
      </c>
      <c r="X27" s="107">
        <f t="shared" si="11"/>
        <v>2361.62141304348</v>
      </c>
      <c r="Y27" s="107">
        <f t="shared" si="11"/>
        <v>2369.62141304348</v>
      </c>
      <c r="Z27" s="107">
        <f t="shared" si="11"/>
        <v>3546.43211956522</v>
      </c>
      <c r="AA27" s="107">
        <f t="shared" si="11"/>
        <v>80</v>
      </c>
      <c r="AB27" s="107">
        <f t="shared" si="11"/>
        <v>80</v>
      </c>
      <c r="AC27" s="107">
        <f t="shared" si="11"/>
        <v>160</v>
      </c>
      <c r="AD27" s="107">
        <f t="shared" si="11"/>
        <v>160</v>
      </c>
      <c r="AE27" s="107">
        <f t="shared" si="11"/>
        <v>200</v>
      </c>
      <c r="AF27" s="107">
        <f t="shared" si="11"/>
        <v>200</v>
      </c>
      <c r="AG27" s="107">
        <f t="shared" si="11"/>
        <v>224</v>
      </c>
      <c r="AH27" s="107">
        <f t="shared" si="11"/>
        <v>200</v>
      </c>
      <c r="AI27" s="107">
        <f t="shared" si="11"/>
        <v>200</v>
      </c>
      <c r="AJ27" s="107">
        <f t="shared" si="11"/>
        <v>56</v>
      </c>
      <c r="AK27" s="107">
        <f t="shared" si="11"/>
        <v>0</v>
      </c>
      <c r="AL27" s="107">
        <f t="shared" si="11"/>
        <v>0</v>
      </c>
      <c r="AM27" s="107">
        <f t="shared" si="11"/>
        <v>0</v>
      </c>
      <c r="AN27" s="107">
        <f t="shared" si="11"/>
        <v>0</v>
      </c>
      <c r="AO27" s="107">
        <f t="shared" si="11"/>
        <v>65114.186</v>
      </c>
    </row>
    <row r="28" ht="37" customHeight="1" spans="1:41">
      <c r="A28" s="102" t="s">
        <v>1409</v>
      </c>
      <c r="B28" s="102"/>
      <c r="C28" s="105">
        <f t="shared" ref="C28:H28" si="12">C7+C12+C17+C25+C21</f>
        <v>0</v>
      </c>
      <c r="D28" s="105">
        <f t="shared" si="12"/>
        <v>0</v>
      </c>
      <c r="E28" s="105">
        <f t="shared" si="12"/>
        <v>0</v>
      </c>
      <c r="F28" s="105">
        <f t="shared" si="12"/>
        <v>0</v>
      </c>
      <c r="G28" s="105">
        <f t="shared" si="12"/>
        <v>0</v>
      </c>
      <c r="H28" s="105">
        <f t="shared" si="12"/>
        <v>0</v>
      </c>
      <c r="I28" s="105">
        <f t="shared" ref="I28:AX28" si="13">I7+I12+I17+I25+I21</f>
        <v>0</v>
      </c>
      <c r="J28" s="105">
        <f t="shared" si="13"/>
        <v>0</v>
      </c>
      <c r="K28" s="105">
        <f t="shared" si="13"/>
        <v>0</v>
      </c>
      <c r="L28" s="105">
        <f t="shared" si="13"/>
        <v>0</v>
      </c>
      <c r="M28" s="105">
        <f t="shared" si="13"/>
        <v>13910.4321195652</v>
      </c>
      <c r="N28" s="105">
        <f t="shared" si="13"/>
        <v>835.783708695652</v>
      </c>
      <c r="O28" s="105">
        <f t="shared" si="13"/>
        <v>945.432351086957</v>
      </c>
      <c r="P28" s="105">
        <f t="shared" si="13"/>
        <v>597.189139130435</v>
      </c>
      <c r="Q28" s="105">
        <f t="shared" si="13"/>
        <v>147.297284782609</v>
      </c>
      <c r="R28" s="105">
        <f t="shared" si="13"/>
        <v>220.945927173913</v>
      </c>
      <c r="S28" s="105">
        <f t="shared" si="13"/>
        <v>577.189139130435</v>
      </c>
      <c r="T28" s="105">
        <f t="shared" si="13"/>
        <v>929.432351086957</v>
      </c>
      <c r="U28" s="105">
        <f t="shared" si="13"/>
        <v>1285.67556304348</v>
      </c>
      <c r="V28" s="105">
        <f t="shared" si="13"/>
        <v>855.783708695652</v>
      </c>
      <c r="W28" s="105">
        <f t="shared" si="13"/>
        <v>716.486423913044</v>
      </c>
      <c r="X28" s="105">
        <f t="shared" si="13"/>
        <v>716.486423913044</v>
      </c>
      <c r="Y28" s="105">
        <f t="shared" si="13"/>
        <v>720.486423913044</v>
      </c>
      <c r="Z28" s="105">
        <f t="shared" si="13"/>
        <v>1076.72963586957</v>
      </c>
      <c r="AA28" s="105">
        <f t="shared" si="13"/>
        <v>40</v>
      </c>
      <c r="AB28" s="105">
        <f t="shared" si="13"/>
        <v>40</v>
      </c>
      <c r="AC28" s="105">
        <f t="shared" si="13"/>
        <v>80</v>
      </c>
      <c r="AD28" s="105">
        <f t="shared" si="13"/>
        <v>80</v>
      </c>
      <c r="AE28" s="105">
        <f t="shared" si="13"/>
        <v>100</v>
      </c>
      <c r="AF28" s="105">
        <f t="shared" si="13"/>
        <v>100</v>
      </c>
      <c r="AG28" s="105">
        <f t="shared" si="13"/>
        <v>112</v>
      </c>
      <c r="AH28" s="105">
        <f t="shared" si="13"/>
        <v>100</v>
      </c>
      <c r="AI28" s="105">
        <f t="shared" si="13"/>
        <v>100</v>
      </c>
      <c r="AJ28" s="105">
        <f t="shared" si="13"/>
        <v>28</v>
      </c>
      <c r="AK28" s="105">
        <f t="shared" si="13"/>
        <v>0</v>
      </c>
      <c r="AL28" s="105">
        <f t="shared" si="13"/>
        <v>0</v>
      </c>
      <c r="AM28" s="105">
        <f t="shared" si="13"/>
        <v>0</v>
      </c>
      <c r="AN28" s="105">
        <f t="shared" si="13"/>
        <v>0</v>
      </c>
      <c r="AO28" s="105">
        <f t="shared" si="13"/>
        <v>24315.3502</v>
      </c>
    </row>
    <row r="29" ht="37" customHeight="1" spans="1:41">
      <c r="A29" s="108" t="s">
        <v>1410</v>
      </c>
      <c r="B29" s="108"/>
      <c r="C29" s="105">
        <f t="shared" ref="C29:H29" si="14">C8+C13+C18+C26+C22</f>
        <v>0</v>
      </c>
      <c r="D29" s="105">
        <f t="shared" si="14"/>
        <v>0</v>
      </c>
      <c r="E29" s="105">
        <f t="shared" si="14"/>
        <v>0</v>
      </c>
      <c r="F29" s="105">
        <f t="shared" si="14"/>
        <v>0</v>
      </c>
      <c r="G29" s="105">
        <f t="shared" si="14"/>
        <v>0</v>
      </c>
      <c r="H29" s="105">
        <f t="shared" si="14"/>
        <v>0</v>
      </c>
      <c r="I29" s="105">
        <f t="shared" ref="I29:AX29" si="15">I8+I13+I18+I26+I22</f>
        <v>0</v>
      </c>
      <c r="J29" s="105">
        <f t="shared" si="15"/>
        <v>0</v>
      </c>
      <c r="K29" s="105">
        <f t="shared" si="15"/>
        <v>0</v>
      </c>
      <c r="L29" s="105">
        <f t="shared" si="15"/>
        <v>0</v>
      </c>
      <c r="M29" s="105">
        <f t="shared" si="15"/>
        <v>528</v>
      </c>
      <c r="N29" s="105">
        <f t="shared" si="15"/>
        <v>8711.01347282609</v>
      </c>
      <c r="O29" s="105">
        <f t="shared" si="15"/>
        <v>9726.09446630435</v>
      </c>
      <c r="P29" s="105">
        <f t="shared" si="15"/>
        <v>2071.41873641304</v>
      </c>
      <c r="Q29" s="105">
        <f t="shared" si="15"/>
        <v>1714.39173858696</v>
      </c>
      <c r="R29" s="105">
        <f t="shared" si="15"/>
        <v>824.567494565217</v>
      </c>
      <c r="S29" s="105">
        <f t="shared" si="15"/>
        <v>426.283747282609</v>
      </c>
      <c r="T29" s="105">
        <f t="shared" si="15"/>
        <v>917.824244021739</v>
      </c>
      <c r="U29" s="105">
        <f t="shared" si="15"/>
        <v>1738.39173858696</v>
      </c>
      <c r="V29" s="105">
        <f t="shared" si="15"/>
        <v>2538.95923315217</v>
      </c>
      <c r="W29" s="105">
        <f t="shared" si="15"/>
        <v>2457.70248369565</v>
      </c>
      <c r="X29" s="105">
        <f t="shared" si="15"/>
        <v>1807.64848804348</v>
      </c>
      <c r="Y29" s="105">
        <f t="shared" si="15"/>
        <v>1649.13498913044</v>
      </c>
      <c r="Z29" s="105">
        <f t="shared" si="15"/>
        <v>1657.13498913044</v>
      </c>
      <c r="AA29" s="105">
        <f t="shared" si="15"/>
        <v>2071.41873641304</v>
      </c>
      <c r="AB29" s="105">
        <f t="shared" si="15"/>
        <v>1258.85124184783</v>
      </c>
      <c r="AC29" s="105">
        <f t="shared" si="15"/>
        <v>80</v>
      </c>
      <c r="AD29" s="105">
        <f t="shared" si="15"/>
        <v>80</v>
      </c>
      <c r="AE29" s="105">
        <f t="shared" si="15"/>
        <v>100</v>
      </c>
      <c r="AF29" s="105">
        <f t="shared" si="15"/>
        <v>100</v>
      </c>
      <c r="AG29" s="105">
        <f t="shared" si="15"/>
        <v>112</v>
      </c>
      <c r="AH29" s="105">
        <f t="shared" si="15"/>
        <v>100</v>
      </c>
      <c r="AI29" s="105">
        <f t="shared" si="15"/>
        <v>100</v>
      </c>
      <c r="AJ29" s="105">
        <f t="shared" si="15"/>
        <v>28</v>
      </c>
      <c r="AK29" s="105">
        <f t="shared" si="15"/>
        <v>0</v>
      </c>
      <c r="AL29" s="105">
        <f t="shared" si="15"/>
        <v>0</v>
      </c>
      <c r="AM29" s="105">
        <f t="shared" si="15"/>
        <v>0</v>
      </c>
      <c r="AN29" s="105">
        <f t="shared" si="15"/>
        <v>0</v>
      </c>
      <c r="AO29" s="105">
        <f t="shared" si="15"/>
        <v>40798.8358</v>
      </c>
    </row>
    <row r="30" ht="37" customHeight="1" spans="1:41">
      <c r="A30" s="109" t="s">
        <v>1411</v>
      </c>
      <c r="B30" s="109"/>
      <c r="C30" s="110">
        <f t="shared" ref="C30:H30" si="16">C28+C29</f>
        <v>0</v>
      </c>
      <c r="D30" s="110">
        <f t="shared" si="16"/>
        <v>0</v>
      </c>
      <c r="E30" s="110">
        <f t="shared" si="16"/>
        <v>0</v>
      </c>
      <c r="F30" s="110">
        <f t="shared" si="16"/>
        <v>0</v>
      </c>
      <c r="G30" s="110">
        <f t="shared" si="16"/>
        <v>0</v>
      </c>
      <c r="H30" s="110">
        <f t="shared" si="16"/>
        <v>0</v>
      </c>
      <c r="I30" s="110">
        <f t="shared" ref="I30:AX30" si="17">I28+I29</f>
        <v>0</v>
      </c>
      <c r="J30" s="110">
        <f t="shared" si="17"/>
        <v>0</v>
      </c>
      <c r="K30" s="110">
        <f t="shared" si="17"/>
        <v>0</v>
      </c>
      <c r="L30" s="110">
        <f t="shared" si="17"/>
        <v>0</v>
      </c>
      <c r="M30" s="110">
        <f t="shared" si="17"/>
        <v>14438.4321195652</v>
      </c>
      <c r="N30" s="110">
        <f t="shared" si="17"/>
        <v>9546.79718152174</v>
      </c>
      <c r="O30" s="110">
        <f t="shared" si="17"/>
        <v>10671.5268173913</v>
      </c>
      <c r="P30" s="110">
        <f t="shared" si="17"/>
        <v>2668.60787554348</v>
      </c>
      <c r="Q30" s="110">
        <f t="shared" si="17"/>
        <v>1861.68902336957</v>
      </c>
      <c r="R30" s="110">
        <f t="shared" si="17"/>
        <v>1045.51342173913</v>
      </c>
      <c r="S30" s="110">
        <f t="shared" si="17"/>
        <v>1003.47288641304</v>
      </c>
      <c r="T30" s="110">
        <f t="shared" si="17"/>
        <v>1847.2565951087</v>
      </c>
      <c r="U30" s="110">
        <f t="shared" si="17"/>
        <v>3024.06730163044</v>
      </c>
      <c r="V30" s="110">
        <f t="shared" si="17"/>
        <v>3394.74294184783</v>
      </c>
      <c r="W30" s="110">
        <f t="shared" si="17"/>
        <v>3174.1889076087</v>
      </c>
      <c r="X30" s="110">
        <f t="shared" si="17"/>
        <v>2524.13491195652</v>
      </c>
      <c r="Y30" s="110">
        <f t="shared" si="17"/>
        <v>2369.62141304348</v>
      </c>
      <c r="Z30" s="110">
        <f t="shared" si="17"/>
        <v>2733.864625</v>
      </c>
      <c r="AA30" s="110">
        <f t="shared" si="17"/>
        <v>2111.41873641304</v>
      </c>
      <c r="AB30" s="110">
        <f t="shared" si="17"/>
        <v>1298.85124184783</v>
      </c>
      <c r="AC30" s="110">
        <f t="shared" si="17"/>
        <v>160</v>
      </c>
      <c r="AD30" s="110">
        <f t="shared" si="17"/>
        <v>160</v>
      </c>
      <c r="AE30" s="110">
        <f t="shared" si="17"/>
        <v>200</v>
      </c>
      <c r="AF30" s="110">
        <f t="shared" si="17"/>
        <v>200</v>
      </c>
      <c r="AG30" s="110">
        <f t="shared" si="17"/>
        <v>224</v>
      </c>
      <c r="AH30" s="110">
        <f t="shared" si="17"/>
        <v>200</v>
      </c>
      <c r="AI30" s="110">
        <f t="shared" si="17"/>
        <v>200</v>
      </c>
      <c r="AJ30" s="110">
        <f t="shared" si="17"/>
        <v>56</v>
      </c>
      <c r="AK30" s="110">
        <f t="shared" si="17"/>
        <v>0</v>
      </c>
      <c r="AL30" s="110">
        <f t="shared" si="17"/>
        <v>0</v>
      </c>
      <c r="AM30" s="110">
        <f t="shared" si="17"/>
        <v>0</v>
      </c>
      <c r="AN30" s="110">
        <f t="shared" si="17"/>
        <v>0</v>
      </c>
      <c r="AO30" s="110">
        <f t="shared" si="17"/>
        <v>65114.186</v>
      </c>
    </row>
    <row r="31" ht="37" customHeight="1" spans="41:41">
      <c r="AO31">
        <f>AO30-预计销售收入及费用情况表!E23</f>
        <v>0</v>
      </c>
    </row>
    <row r="32" ht="37" customHeight="1"/>
    <row r="33" ht="37" customHeight="1"/>
    <row r="34" ht="37" customHeight="1"/>
    <row r="35" ht="37" customHeight="1"/>
    <row r="36" ht="37" customHeight="1"/>
  </sheetData>
  <mergeCells count="16">
    <mergeCell ref="A1:AO1"/>
    <mergeCell ref="C2:D2"/>
    <mergeCell ref="E2:P2"/>
    <mergeCell ref="Q2:AB2"/>
    <mergeCell ref="AC2:AN2"/>
    <mergeCell ref="A27:B27"/>
    <mergeCell ref="A28:B28"/>
    <mergeCell ref="A29:B29"/>
    <mergeCell ref="A30:B30"/>
    <mergeCell ref="B2:B3"/>
    <mergeCell ref="B4:B8"/>
    <mergeCell ref="B9:B13"/>
    <mergeCell ref="B14:B18"/>
    <mergeCell ref="B19:B22"/>
    <mergeCell ref="B23:B26"/>
    <mergeCell ref="AO2:AO3"/>
  </mergeCells>
  <pageMargins left="0.75" right="0.75" top="1" bottom="1" header="0.5" footer="0.5"/>
  <pageSetup paperSize="9"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1"/>
  <sheetViews>
    <sheetView topLeftCell="A6" workbookViewId="0">
      <selection activeCell="L13" sqref="L13"/>
    </sheetView>
  </sheetViews>
  <sheetFormatPr defaultColWidth="9" defaultRowHeight="13.5"/>
  <cols>
    <col min="1" max="1" width="6.875" style="39" customWidth="1"/>
    <col min="2" max="3" width="7" style="39" customWidth="1"/>
    <col min="4" max="4" width="9" style="39"/>
    <col min="5" max="9" width="9" style="39" hidden="1" customWidth="1"/>
    <col min="10" max="10" width="16.625" style="39" customWidth="1"/>
    <col min="11" max="11" width="11.25" style="43" customWidth="1"/>
    <col min="12" max="12" width="13.125" style="43" customWidth="1"/>
    <col min="13" max="13" width="10.75" style="39" customWidth="1"/>
    <col min="14" max="14" width="8.75" style="39" customWidth="1"/>
    <col min="15" max="15" width="10.375" style="39" customWidth="1"/>
    <col min="16" max="16" width="12.75" style="39" customWidth="1"/>
    <col min="17" max="17" width="13.875" style="39" customWidth="1"/>
    <col min="18" max="18" width="13.125" style="39" customWidth="1"/>
    <col min="19" max="19" width="4" style="39" customWidth="1"/>
    <col min="20" max="20" width="17" style="44" customWidth="1"/>
    <col min="21" max="21" width="14" style="45" customWidth="1"/>
    <col min="22" max="22" width="12.875" style="45" customWidth="1"/>
    <col min="23" max="23" width="12.875" style="46" customWidth="1"/>
    <col min="24" max="26" width="17.625" style="45" customWidth="1"/>
    <col min="27" max="27" width="11.5" style="43"/>
    <col min="28" max="28" width="13.75" style="43"/>
    <col min="29" max="16384" width="9" style="39"/>
  </cols>
  <sheetData>
    <row r="1" s="39" customFormat="1" ht="38" customHeight="1" spans="1:28">
      <c r="A1" s="47" t="s">
        <v>1412</v>
      </c>
      <c r="B1" s="47"/>
      <c r="C1" s="47"/>
      <c r="D1" s="47"/>
      <c r="E1" s="47"/>
      <c r="F1" s="47"/>
      <c r="G1" s="47"/>
      <c r="H1" s="47"/>
      <c r="I1" s="47"/>
      <c r="J1" s="47"/>
      <c r="K1" s="57"/>
      <c r="L1" s="57"/>
      <c r="M1" s="47"/>
      <c r="N1" s="47"/>
      <c r="O1" s="47"/>
      <c r="P1" s="47"/>
      <c r="T1" s="45"/>
      <c r="U1" s="45"/>
      <c r="V1" s="45"/>
      <c r="W1" s="46"/>
      <c r="X1" s="45"/>
      <c r="Y1" s="45"/>
      <c r="Z1" s="45"/>
      <c r="AA1" s="43"/>
      <c r="AB1" s="43"/>
    </row>
    <row r="2" s="40" customFormat="1" ht="23" customHeight="1" spans="1:28">
      <c r="A2" s="48" t="s">
        <v>1413</v>
      </c>
      <c r="B2" s="48" t="s">
        <v>75</v>
      </c>
      <c r="C2" s="48" t="s">
        <v>1414</v>
      </c>
      <c r="D2" s="48" t="s">
        <v>1415</v>
      </c>
      <c r="E2" s="48" t="s">
        <v>1416</v>
      </c>
      <c r="F2" s="48" t="s">
        <v>1209</v>
      </c>
      <c r="G2" s="48" t="s">
        <v>1416</v>
      </c>
      <c r="H2" s="48" t="s">
        <v>1209</v>
      </c>
      <c r="I2" s="48" t="s">
        <v>1416</v>
      </c>
      <c r="J2" s="48" t="s">
        <v>1417</v>
      </c>
      <c r="K2" s="58" t="s">
        <v>1059</v>
      </c>
      <c r="L2" s="58" t="s">
        <v>1418</v>
      </c>
      <c r="M2" s="48" t="s">
        <v>1419</v>
      </c>
      <c r="N2" s="48" t="s">
        <v>1420</v>
      </c>
      <c r="O2" s="48" t="s">
        <v>1421</v>
      </c>
      <c r="P2" s="48" t="s">
        <v>446</v>
      </c>
      <c r="Q2" s="48" t="s">
        <v>1422</v>
      </c>
      <c r="R2" s="48" t="s">
        <v>1423</v>
      </c>
      <c r="T2" s="73"/>
      <c r="U2" s="73" t="s">
        <v>1424</v>
      </c>
      <c r="V2" s="73" t="s">
        <v>1425</v>
      </c>
      <c r="W2" s="74" t="s">
        <v>1426</v>
      </c>
      <c r="X2" s="73"/>
      <c r="Y2" s="73" t="s">
        <v>1427</v>
      </c>
      <c r="Z2" s="73" t="s">
        <v>1425</v>
      </c>
      <c r="AA2" s="94"/>
      <c r="AB2" s="94"/>
    </row>
    <row r="3" s="41" customFormat="1" ht="23" customHeight="1" spans="1:28">
      <c r="A3" s="49" t="s">
        <v>1428</v>
      </c>
      <c r="B3" s="49" t="s">
        <v>90</v>
      </c>
      <c r="C3" s="49" t="s">
        <v>1429</v>
      </c>
      <c r="D3" s="49">
        <v>32</v>
      </c>
      <c r="E3" s="49">
        <v>166</v>
      </c>
      <c r="F3" s="49">
        <v>32</v>
      </c>
      <c r="G3" s="49"/>
      <c r="H3" s="49"/>
      <c r="I3" s="49"/>
      <c r="J3" s="49"/>
      <c r="K3" s="59">
        <v>13500</v>
      </c>
      <c r="L3" s="59">
        <f t="shared" ref="L3:L14" si="0">K3*P3/10000</f>
        <v>7429.18852173913</v>
      </c>
      <c r="M3" s="49">
        <v>2024.4</v>
      </c>
      <c r="N3" s="49" t="s">
        <v>1430</v>
      </c>
      <c r="O3" s="59">
        <f>经济指标!$K$9</f>
        <v>171.971956521739</v>
      </c>
      <c r="P3" s="59">
        <f t="shared" ref="P3:P14" si="1">O3*D3</f>
        <v>5503.10260869565</v>
      </c>
      <c r="Q3" s="75">
        <f t="shared" ref="Q3:Q14" si="2">4000*P3/10000</f>
        <v>2201.24104347826</v>
      </c>
      <c r="R3" s="75"/>
      <c r="T3" s="76" t="s">
        <v>1431</v>
      </c>
      <c r="U3" s="77">
        <f>4000*P16/10000</f>
        <v>6676.99200000001</v>
      </c>
      <c r="V3" s="78">
        <v>1</v>
      </c>
      <c r="W3" s="79" t="s">
        <v>1432</v>
      </c>
      <c r="X3" s="76" t="s">
        <v>1431</v>
      </c>
      <c r="Y3" s="77">
        <f>4000*P17/10000</f>
        <v>12657.136</v>
      </c>
      <c r="Z3" s="78">
        <v>1</v>
      </c>
      <c r="AA3" s="95"/>
      <c r="AB3" s="95"/>
    </row>
    <row r="4" s="41" customFormat="1" ht="23" customHeight="1" spans="1:28">
      <c r="A4" s="49" t="s">
        <v>1433</v>
      </c>
      <c r="B4" s="49" t="s">
        <v>90</v>
      </c>
      <c r="C4" s="49" t="s">
        <v>1429</v>
      </c>
      <c r="D4" s="49">
        <v>32</v>
      </c>
      <c r="E4" s="49">
        <v>186</v>
      </c>
      <c r="F4" s="49">
        <v>32</v>
      </c>
      <c r="G4" s="49"/>
      <c r="H4" s="49"/>
      <c r="I4" s="49"/>
      <c r="J4" s="49"/>
      <c r="K4" s="59">
        <v>13500</v>
      </c>
      <c r="L4" s="59">
        <f t="shared" si="0"/>
        <v>7429.18852173913</v>
      </c>
      <c r="M4" s="49">
        <v>2024.3</v>
      </c>
      <c r="N4" s="49" t="s">
        <v>1430</v>
      </c>
      <c r="O4" s="59">
        <f>经济指标!$K$9</f>
        <v>171.971956521739</v>
      </c>
      <c r="P4" s="59">
        <f t="shared" si="1"/>
        <v>5503.10260869565</v>
      </c>
      <c r="Q4" s="75">
        <f t="shared" si="2"/>
        <v>2201.24104347826</v>
      </c>
      <c r="R4" s="75"/>
      <c r="T4" s="80" t="s">
        <v>1434</v>
      </c>
      <c r="U4" s="81">
        <f>$U$3*V4</f>
        <v>5341.59360000001</v>
      </c>
      <c r="V4" s="82">
        <v>0.8</v>
      </c>
      <c r="W4" s="83"/>
      <c r="X4" s="80" t="s">
        <v>1434</v>
      </c>
      <c r="Y4" s="81">
        <f>$Y$3*Z4</f>
        <v>10125.7088</v>
      </c>
      <c r="Z4" s="82">
        <v>0.8</v>
      </c>
      <c r="AA4" s="95"/>
      <c r="AB4" s="95"/>
    </row>
    <row r="5" s="41" customFormat="1" ht="23" customHeight="1" spans="1:28">
      <c r="A5" s="49" t="s">
        <v>1435</v>
      </c>
      <c r="B5" s="49" t="s">
        <v>90</v>
      </c>
      <c r="C5" s="49" t="s">
        <v>1429</v>
      </c>
      <c r="D5" s="49">
        <v>32</v>
      </c>
      <c r="E5" s="49">
        <v>166</v>
      </c>
      <c r="F5" s="49">
        <v>32</v>
      </c>
      <c r="G5" s="49"/>
      <c r="H5" s="49"/>
      <c r="I5" s="49"/>
      <c r="J5" s="60" t="s">
        <v>1436</v>
      </c>
      <c r="K5" s="59">
        <v>13500</v>
      </c>
      <c r="L5" s="59">
        <f t="shared" si="0"/>
        <v>7429.18852173913</v>
      </c>
      <c r="M5" s="49">
        <v>2023.9</v>
      </c>
      <c r="N5" s="49" t="s">
        <v>1437</v>
      </c>
      <c r="O5" s="59">
        <f>经济指标!$K$9</f>
        <v>171.971956521739</v>
      </c>
      <c r="P5" s="59">
        <f t="shared" si="1"/>
        <v>5503.10260869565</v>
      </c>
      <c r="Q5" s="75">
        <f t="shared" si="2"/>
        <v>2201.24104347826</v>
      </c>
      <c r="R5" s="75">
        <f t="shared" ref="R5:R11" si="3">P5*7500/10000</f>
        <v>4127.32695652174</v>
      </c>
      <c r="T5" s="84" t="s">
        <v>1438</v>
      </c>
      <c r="U5" s="77">
        <f>$U$3*V5</f>
        <v>5007.74400000001</v>
      </c>
      <c r="V5" s="78">
        <v>0.75</v>
      </c>
      <c r="W5" s="85"/>
      <c r="X5" s="84" t="s">
        <v>1438</v>
      </c>
      <c r="Y5" s="77">
        <f>$Y$3*Z5</f>
        <v>9492.85200000001</v>
      </c>
      <c r="Z5" s="78">
        <v>0.75</v>
      </c>
      <c r="AA5" s="95"/>
      <c r="AB5" s="95"/>
    </row>
    <row r="6" s="41" customFormat="1" ht="23" customHeight="1" spans="1:28">
      <c r="A6" s="49" t="s">
        <v>1439</v>
      </c>
      <c r="B6" s="49" t="s">
        <v>90</v>
      </c>
      <c r="C6" s="49" t="s">
        <v>1429</v>
      </c>
      <c r="D6" s="49">
        <f>32-8</f>
        <v>24</v>
      </c>
      <c r="E6" s="49">
        <v>142</v>
      </c>
      <c r="F6" s="49">
        <v>32</v>
      </c>
      <c r="G6" s="49"/>
      <c r="H6" s="49"/>
      <c r="I6" s="49"/>
      <c r="J6" s="49" t="s">
        <v>1436</v>
      </c>
      <c r="K6" s="59">
        <v>13500</v>
      </c>
      <c r="L6" s="59">
        <f t="shared" si="0"/>
        <v>5571.89139130435</v>
      </c>
      <c r="M6" s="49">
        <v>2023.9</v>
      </c>
      <c r="N6" s="49" t="s">
        <v>1437</v>
      </c>
      <c r="O6" s="59">
        <f>经济指标!$K$9</f>
        <v>171.971956521739</v>
      </c>
      <c r="P6" s="59">
        <f t="shared" si="1"/>
        <v>4127.32695652174</v>
      </c>
      <c r="Q6" s="75">
        <f t="shared" si="2"/>
        <v>1650.9307826087</v>
      </c>
      <c r="R6" s="75">
        <f t="shared" si="3"/>
        <v>3095.4952173913</v>
      </c>
      <c r="T6" s="84" t="s">
        <v>1440</v>
      </c>
      <c r="U6" s="77">
        <f>$U$3*V6</f>
        <v>4340.04480000001</v>
      </c>
      <c r="V6" s="78">
        <v>0.65</v>
      </c>
      <c r="W6" s="85"/>
      <c r="X6" s="84" t="s">
        <v>1440</v>
      </c>
      <c r="Y6" s="77">
        <f>$Y$3*Z6</f>
        <v>8227.13840000001</v>
      </c>
      <c r="Z6" s="78">
        <v>0.65</v>
      </c>
      <c r="AA6" s="95"/>
      <c r="AB6" s="95"/>
    </row>
    <row r="7" s="41" customFormat="1" ht="23" customHeight="1" spans="1:28">
      <c r="A7" s="50" t="s">
        <v>1441</v>
      </c>
      <c r="B7" s="50" t="s">
        <v>1442</v>
      </c>
      <c r="C7" s="50" t="s">
        <v>1443</v>
      </c>
      <c r="D7" s="50">
        <v>12</v>
      </c>
      <c r="E7" s="50">
        <v>288</v>
      </c>
      <c r="F7" s="50">
        <v>8</v>
      </c>
      <c r="G7" s="50">
        <v>258</v>
      </c>
      <c r="H7" s="50">
        <v>4</v>
      </c>
      <c r="I7" s="50"/>
      <c r="J7" s="50" t="s">
        <v>1436</v>
      </c>
      <c r="K7" s="61">
        <v>11500</v>
      </c>
      <c r="L7" s="61">
        <f t="shared" si="0"/>
        <v>3490.24581818182</v>
      </c>
      <c r="M7" s="50" t="s">
        <v>1444</v>
      </c>
      <c r="N7" s="50" t="s">
        <v>1437</v>
      </c>
      <c r="O7" s="61">
        <f>经济指标!$K$10</f>
        <v>252.916363636364</v>
      </c>
      <c r="P7" s="61">
        <f t="shared" si="1"/>
        <v>3034.99636363637</v>
      </c>
      <c r="Q7" s="86">
        <f t="shared" si="2"/>
        <v>1213.99854545455</v>
      </c>
      <c r="R7" s="86">
        <f t="shared" si="3"/>
        <v>2276.24727272728</v>
      </c>
      <c r="T7" s="84" t="s">
        <v>1445</v>
      </c>
      <c r="U7" s="77">
        <f>$U$3*V7</f>
        <v>4006.19520000001</v>
      </c>
      <c r="V7" s="78">
        <v>0.6</v>
      </c>
      <c r="W7" s="85"/>
      <c r="X7" s="84" t="s">
        <v>1445</v>
      </c>
      <c r="Y7" s="77">
        <f>$Y$3*Z7</f>
        <v>7594.28160000001</v>
      </c>
      <c r="Z7" s="78">
        <v>0.6</v>
      </c>
      <c r="AA7" s="95"/>
      <c r="AB7" s="95"/>
    </row>
    <row r="8" s="41" customFormat="1" ht="23" customHeight="1" spans="1:28">
      <c r="A8" s="50" t="s">
        <v>1446</v>
      </c>
      <c r="B8" s="50" t="s">
        <v>1442</v>
      </c>
      <c r="C8" s="50" t="s">
        <v>1443</v>
      </c>
      <c r="D8" s="50">
        <v>6</v>
      </c>
      <c r="E8" s="50">
        <v>288</v>
      </c>
      <c r="F8" s="50">
        <v>4</v>
      </c>
      <c r="G8" s="50">
        <v>258</v>
      </c>
      <c r="H8" s="50">
        <v>2</v>
      </c>
      <c r="I8" s="50"/>
      <c r="J8" s="50" t="s">
        <v>1436</v>
      </c>
      <c r="K8" s="61">
        <v>11500</v>
      </c>
      <c r="L8" s="61">
        <f t="shared" si="0"/>
        <v>1745.12290909091</v>
      </c>
      <c r="M8" s="50" t="s">
        <v>1444</v>
      </c>
      <c r="N8" s="50" t="s">
        <v>1437</v>
      </c>
      <c r="O8" s="61">
        <f>经济指标!$K$10</f>
        <v>252.916363636364</v>
      </c>
      <c r="P8" s="61">
        <f t="shared" si="1"/>
        <v>1517.49818181818</v>
      </c>
      <c r="Q8" s="86">
        <f t="shared" si="2"/>
        <v>606.999272727274</v>
      </c>
      <c r="R8" s="86">
        <f t="shared" si="3"/>
        <v>1138.12363636364</v>
      </c>
      <c r="T8" s="87" t="s">
        <v>1447</v>
      </c>
      <c r="U8" s="81">
        <f>$U$3*V8</f>
        <v>3004.6464</v>
      </c>
      <c r="V8" s="82">
        <v>0.45</v>
      </c>
      <c r="W8" s="88"/>
      <c r="X8" s="87" t="s">
        <v>1447</v>
      </c>
      <c r="Y8" s="81">
        <f>$Y$3*Z8</f>
        <v>5695.71120000001</v>
      </c>
      <c r="Z8" s="82">
        <v>0.45</v>
      </c>
      <c r="AA8" s="95"/>
      <c r="AB8" s="95"/>
    </row>
    <row r="9" s="41" customFormat="1" ht="23" customHeight="1" spans="1:28">
      <c r="A9" s="50" t="s">
        <v>1448</v>
      </c>
      <c r="B9" s="50" t="s">
        <v>1442</v>
      </c>
      <c r="C9" s="50" t="s">
        <v>1443</v>
      </c>
      <c r="D9" s="50">
        <v>12</v>
      </c>
      <c r="E9" s="50">
        <v>288</v>
      </c>
      <c r="F9" s="50">
        <v>8</v>
      </c>
      <c r="G9" s="50">
        <v>258</v>
      </c>
      <c r="H9" s="50">
        <v>4</v>
      </c>
      <c r="I9" s="50"/>
      <c r="J9" s="50" t="s">
        <v>1436</v>
      </c>
      <c r="K9" s="61">
        <v>11500</v>
      </c>
      <c r="L9" s="61">
        <f t="shared" si="0"/>
        <v>3490.24581818182</v>
      </c>
      <c r="M9" s="50" t="s">
        <v>1444</v>
      </c>
      <c r="N9" s="50" t="s">
        <v>1437</v>
      </c>
      <c r="O9" s="61">
        <f>经济指标!$K$10</f>
        <v>252.916363636364</v>
      </c>
      <c r="P9" s="61">
        <f t="shared" si="1"/>
        <v>3034.99636363637</v>
      </c>
      <c r="Q9" s="86">
        <f t="shared" si="2"/>
        <v>1213.99854545455</v>
      </c>
      <c r="R9" s="86">
        <f t="shared" si="3"/>
        <v>2276.24727272728</v>
      </c>
      <c r="T9" s="84" t="s">
        <v>1449</v>
      </c>
      <c r="U9" s="77">
        <f>$U$3*V9</f>
        <v>2336.9472</v>
      </c>
      <c r="V9" s="78">
        <v>0.35</v>
      </c>
      <c r="W9" s="85"/>
      <c r="X9" s="84" t="s">
        <v>1449</v>
      </c>
      <c r="Y9" s="77">
        <f>$Y$3*Z9</f>
        <v>4429.99760000001</v>
      </c>
      <c r="Z9" s="78">
        <v>0.35</v>
      </c>
      <c r="AA9" s="95"/>
      <c r="AB9" s="95"/>
    </row>
    <row r="10" s="41" customFormat="1" ht="23" customHeight="1" spans="1:28">
      <c r="A10" s="50" t="s">
        <v>1450</v>
      </c>
      <c r="B10" s="50" t="s">
        <v>1442</v>
      </c>
      <c r="C10" s="50" t="s">
        <v>1443</v>
      </c>
      <c r="D10" s="50">
        <v>12</v>
      </c>
      <c r="E10" s="50">
        <v>288</v>
      </c>
      <c r="F10" s="50">
        <v>8</v>
      </c>
      <c r="G10" s="50">
        <v>258</v>
      </c>
      <c r="H10" s="50">
        <v>4</v>
      </c>
      <c r="I10" s="50"/>
      <c r="J10" s="50" t="s">
        <v>1436</v>
      </c>
      <c r="K10" s="61">
        <v>11500</v>
      </c>
      <c r="L10" s="61">
        <f t="shared" si="0"/>
        <v>3490.24581818182</v>
      </c>
      <c r="M10" s="50" t="s">
        <v>1444</v>
      </c>
      <c r="N10" s="50" t="s">
        <v>1437</v>
      </c>
      <c r="O10" s="61">
        <f>经济指标!$K$10</f>
        <v>252.916363636364</v>
      </c>
      <c r="P10" s="61">
        <f t="shared" si="1"/>
        <v>3034.99636363637</v>
      </c>
      <c r="Q10" s="86">
        <f t="shared" si="2"/>
        <v>1213.99854545455</v>
      </c>
      <c r="R10" s="86">
        <f t="shared" si="3"/>
        <v>2276.24727272728</v>
      </c>
      <c r="T10" s="84" t="s">
        <v>1451</v>
      </c>
      <c r="U10" s="77">
        <f>$U$3*V10</f>
        <v>2003.0976</v>
      </c>
      <c r="V10" s="78">
        <v>0.3</v>
      </c>
      <c r="W10" s="85"/>
      <c r="X10" s="84" t="s">
        <v>1451</v>
      </c>
      <c r="Y10" s="77">
        <f>$Y$3*Z10</f>
        <v>3797.1408</v>
      </c>
      <c r="Z10" s="78">
        <v>0.3</v>
      </c>
      <c r="AA10" s="95"/>
      <c r="AB10" s="95"/>
    </row>
    <row r="11" s="41" customFormat="1" ht="23" customHeight="1" spans="1:28">
      <c r="A11" s="50" t="s">
        <v>1452</v>
      </c>
      <c r="B11" s="50" t="s">
        <v>1453</v>
      </c>
      <c r="C11" s="50" t="s">
        <v>1443</v>
      </c>
      <c r="D11" s="50">
        <v>12</v>
      </c>
      <c r="E11" s="50">
        <v>238</v>
      </c>
      <c r="F11" s="50">
        <v>2</v>
      </c>
      <c r="G11" s="50">
        <v>218</v>
      </c>
      <c r="H11" s="50">
        <v>6</v>
      </c>
      <c r="I11" s="50">
        <v>208</v>
      </c>
      <c r="J11" s="50" t="s">
        <v>1436</v>
      </c>
      <c r="K11" s="61">
        <v>11500</v>
      </c>
      <c r="L11" s="61">
        <f t="shared" si="0"/>
        <v>3490.24581818182</v>
      </c>
      <c r="M11" s="50" t="s">
        <v>1444</v>
      </c>
      <c r="N11" s="50" t="s">
        <v>1437</v>
      </c>
      <c r="O11" s="61">
        <f>经济指标!$K$10</f>
        <v>252.916363636364</v>
      </c>
      <c r="P11" s="61">
        <f t="shared" si="1"/>
        <v>3034.99636363637</v>
      </c>
      <c r="Q11" s="86">
        <f t="shared" si="2"/>
        <v>1213.99854545455</v>
      </c>
      <c r="R11" s="86">
        <f t="shared" si="3"/>
        <v>2276.24727272728</v>
      </c>
      <c r="T11" s="84" t="s">
        <v>1454</v>
      </c>
      <c r="U11" s="77">
        <f>$U$3*V11</f>
        <v>1335.3984</v>
      </c>
      <c r="V11" s="78">
        <v>0.2</v>
      </c>
      <c r="W11" s="85"/>
      <c r="X11" s="84" t="s">
        <v>1454</v>
      </c>
      <c r="Y11" s="77">
        <f>$Y$3*Z11</f>
        <v>2531.4272</v>
      </c>
      <c r="Z11" s="78">
        <v>0.2</v>
      </c>
      <c r="AA11" s="95"/>
      <c r="AB11" s="95"/>
    </row>
    <row r="12" s="41" customFormat="1" ht="23" customHeight="1" spans="1:28">
      <c r="A12" s="49" t="s">
        <v>1455</v>
      </c>
      <c r="B12" s="49" t="s">
        <v>90</v>
      </c>
      <c r="C12" s="49" t="s">
        <v>1429</v>
      </c>
      <c r="D12" s="49">
        <v>32</v>
      </c>
      <c r="E12" s="49">
        <v>186</v>
      </c>
      <c r="F12" s="49">
        <v>32</v>
      </c>
      <c r="G12" s="49"/>
      <c r="H12" s="49"/>
      <c r="I12" s="49"/>
      <c r="J12" s="49"/>
      <c r="K12" s="59">
        <v>13500</v>
      </c>
      <c r="L12" s="59">
        <f t="shared" si="0"/>
        <v>7429.18852173913</v>
      </c>
      <c r="M12" s="49">
        <v>2024.5</v>
      </c>
      <c r="N12" s="49" t="s">
        <v>1430</v>
      </c>
      <c r="O12" s="59">
        <f>经济指标!$K$9</f>
        <v>171.971956521739</v>
      </c>
      <c r="P12" s="59">
        <f t="shared" si="1"/>
        <v>5503.10260869565</v>
      </c>
      <c r="Q12" s="75">
        <f t="shared" si="2"/>
        <v>2201.24104347826</v>
      </c>
      <c r="R12" s="75"/>
      <c r="T12" s="80" t="s">
        <v>1456</v>
      </c>
      <c r="U12" s="81">
        <f>$U$3*V12</f>
        <v>667.699200000001</v>
      </c>
      <c r="V12" s="82">
        <v>0.1</v>
      </c>
      <c r="W12" s="83"/>
      <c r="X12" s="80" t="s">
        <v>1456</v>
      </c>
      <c r="Y12" s="81">
        <f>$Y$3*Z12</f>
        <v>1265.7136</v>
      </c>
      <c r="Z12" s="82">
        <v>0.1</v>
      </c>
      <c r="AA12" s="95"/>
      <c r="AB12" s="95"/>
    </row>
    <row r="13" s="41" customFormat="1" ht="23" customHeight="1" spans="1:28">
      <c r="A13" s="50" t="s">
        <v>1457</v>
      </c>
      <c r="B13" s="50" t="s">
        <v>1453</v>
      </c>
      <c r="C13" s="50" t="s">
        <v>1443</v>
      </c>
      <c r="D13" s="50">
        <v>12</v>
      </c>
      <c r="E13" s="50">
        <v>238</v>
      </c>
      <c r="F13" s="50">
        <v>2</v>
      </c>
      <c r="G13" s="50">
        <v>218</v>
      </c>
      <c r="H13" s="50">
        <v>6</v>
      </c>
      <c r="I13" s="50">
        <v>208</v>
      </c>
      <c r="J13" s="50" t="s">
        <v>1436</v>
      </c>
      <c r="K13" s="61">
        <v>11500</v>
      </c>
      <c r="L13" s="61">
        <f t="shared" si="0"/>
        <v>3490.24581818182</v>
      </c>
      <c r="M13" s="50" t="s">
        <v>1444</v>
      </c>
      <c r="N13" s="50" t="s">
        <v>1437</v>
      </c>
      <c r="O13" s="61">
        <f>经济指标!$K$10</f>
        <v>252.916363636364</v>
      </c>
      <c r="P13" s="61">
        <f t="shared" si="1"/>
        <v>3034.99636363637</v>
      </c>
      <c r="Q13" s="86">
        <f t="shared" si="2"/>
        <v>1213.99854545455</v>
      </c>
      <c r="R13" s="86">
        <f>P13*7500/10000</f>
        <v>2276.24727272728</v>
      </c>
      <c r="T13" s="80" t="s">
        <v>1458</v>
      </c>
      <c r="U13" s="81">
        <f>$U$3*V13</f>
        <v>333.8496</v>
      </c>
      <c r="V13" s="82">
        <v>0.05</v>
      </c>
      <c r="W13" s="83"/>
      <c r="X13" s="80" t="s">
        <v>1458</v>
      </c>
      <c r="Y13" s="81">
        <f>$Y$3*Z13</f>
        <v>632.856800000001</v>
      </c>
      <c r="Z13" s="82">
        <v>0.05</v>
      </c>
      <c r="AA13" s="95"/>
      <c r="AB13" s="95"/>
    </row>
    <row r="14" s="41" customFormat="1" ht="23" customHeight="1" spans="1:28">
      <c r="A14" s="49" t="s">
        <v>1459</v>
      </c>
      <c r="B14" s="49" t="s">
        <v>90</v>
      </c>
      <c r="C14" s="49" t="s">
        <v>1429</v>
      </c>
      <c r="D14" s="49">
        <v>32</v>
      </c>
      <c r="E14" s="49">
        <v>166</v>
      </c>
      <c r="F14" s="49">
        <v>32</v>
      </c>
      <c r="G14" s="49"/>
      <c r="H14" s="49"/>
      <c r="I14" s="49"/>
      <c r="J14" s="49"/>
      <c r="K14" s="59">
        <v>13500</v>
      </c>
      <c r="L14" s="59">
        <f t="shared" si="0"/>
        <v>7429.18852173913</v>
      </c>
      <c r="M14" s="49">
        <v>2024.7</v>
      </c>
      <c r="N14" s="49" t="s">
        <v>1430</v>
      </c>
      <c r="O14" s="59">
        <f>经济指标!$K$9</f>
        <v>171.971956521739</v>
      </c>
      <c r="P14" s="59">
        <f t="shared" si="1"/>
        <v>5503.10260869565</v>
      </c>
      <c r="Q14" s="75">
        <f t="shared" si="2"/>
        <v>2201.24104347826</v>
      </c>
      <c r="R14" s="75"/>
      <c r="T14" s="84" t="s">
        <v>1460</v>
      </c>
      <c r="U14" s="77">
        <f>$U$3*V14</f>
        <v>200.30976</v>
      </c>
      <c r="V14" s="78">
        <v>0.03</v>
      </c>
      <c r="W14" s="85"/>
      <c r="X14" s="84" t="s">
        <v>1460</v>
      </c>
      <c r="Y14" s="77">
        <f>$Y$3*Z14</f>
        <v>379.71408</v>
      </c>
      <c r="Z14" s="78">
        <v>0.03</v>
      </c>
      <c r="AA14" s="95"/>
      <c r="AB14" s="95"/>
    </row>
    <row r="15" s="41" customFormat="1" ht="23" customHeight="1" spans="1:28">
      <c r="A15" s="51" t="s">
        <v>138</v>
      </c>
      <c r="B15" s="51" t="s">
        <v>1461</v>
      </c>
      <c r="C15" s="51" t="s">
        <v>1461</v>
      </c>
      <c r="D15" s="51">
        <f>SUM(D3:D14)</f>
        <v>250</v>
      </c>
      <c r="E15" s="51" t="s">
        <v>1461</v>
      </c>
      <c r="F15" s="51" t="s">
        <v>1461</v>
      </c>
      <c r="G15" s="51" t="s">
        <v>1461</v>
      </c>
      <c r="H15" s="51" t="s">
        <v>1461</v>
      </c>
      <c r="I15" s="51" t="s">
        <v>1461</v>
      </c>
      <c r="J15" s="51" t="s">
        <v>1461</v>
      </c>
      <c r="K15" s="62" t="s">
        <v>1461</v>
      </c>
      <c r="L15" s="62">
        <f t="shared" ref="L15:Q15" si="4">SUM(L3:L14)</f>
        <v>61914.186</v>
      </c>
      <c r="M15" s="51" t="s">
        <v>1461</v>
      </c>
      <c r="N15" s="51" t="s">
        <v>1461</v>
      </c>
      <c r="O15" s="51"/>
      <c r="P15" s="63">
        <f t="shared" si="4"/>
        <v>48335.32</v>
      </c>
      <c r="Q15" s="63">
        <f t="shared" si="4"/>
        <v>19334.128</v>
      </c>
      <c r="R15" s="63"/>
      <c r="T15" s="84" t="s">
        <v>1462</v>
      </c>
      <c r="U15" s="77">
        <f>$U$3*V15</f>
        <v>0</v>
      </c>
      <c r="V15" s="78">
        <v>0</v>
      </c>
      <c r="W15" s="85"/>
      <c r="X15" s="84" t="s">
        <v>1462</v>
      </c>
      <c r="Y15" s="77">
        <f>$Y$3*Z15</f>
        <v>0</v>
      </c>
      <c r="Z15" s="78">
        <v>0</v>
      </c>
      <c r="AA15" s="95"/>
      <c r="AB15" s="95"/>
    </row>
    <row r="16" s="42" customFormat="1" ht="24" customHeight="1" spans="1:28">
      <c r="A16" s="52" t="s">
        <v>1463</v>
      </c>
      <c r="B16" s="53"/>
      <c r="C16" s="54"/>
      <c r="D16" s="54"/>
      <c r="E16" s="54"/>
      <c r="F16" s="54"/>
      <c r="G16" s="54"/>
      <c r="H16" s="54"/>
      <c r="I16" s="54"/>
      <c r="J16" s="54"/>
      <c r="K16" s="64"/>
      <c r="L16" s="64">
        <f>K16*P16/10000</f>
        <v>0</v>
      </c>
      <c r="M16" s="54"/>
      <c r="N16" s="54"/>
      <c r="O16" s="54"/>
      <c r="P16" s="64">
        <f>P7+P8+P9+P10+P11+P13</f>
        <v>16692.48</v>
      </c>
      <c r="Q16" s="64">
        <f>Q7+Q8+Q9+Q10+Q11+Q13</f>
        <v>6676.99200000001</v>
      </c>
      <c r="R16" s="64">
        <f>SUM(R3:R14)</f>
        <v>19742.1821739131</v>
      </c>
      <c r="T16" s="89"/>
      <c r="U16" s="90"/>
      <c r="V16" s="89"/>
      <c r="W16" s="89"/>
      <c r="X16" s="89"/>
      <c r="Y16" s="89"/>
      <c r="Z16" s="89"/>
      <c r="AA16" s="96"/>
      <c r="AB16" s="96"/>
    </row>
    <row r="17" s="40" customFormat="1" ht="24" customHeight="1" spans="1:28">
      <c r="A17" s="55" t="s">
        <v>1464</v>
      </c>
      <c r="B17" s="56"/>
      <c r="C17" s="54"/>
      <c r="D17" s="54"/>
      <c r="E17" s="54"/>
      <c r="F17" s="54"/>
      <c r="G17" s="54"/>
      <c r="H17" s="54"/>
      <c r="I17" s="54"/>
      <c r="J17" s="54"/>
      <c r="K17" s="64"/>
      <c r="L17" s="64">
        <f>K17*P17/10000</f>
        <v>0</v>
      </c>
      <c r="M17" s="54"/>
      <c r="N17" s="54"/>
      <c r="O17" s="54"/>
      <c r="P17" s="64">
        <f>P15-P16</f>
        <v>31642.84</v>
      </c>
      <c r="Q17" s="64">
        <f>Q15-Q16</f>
        <v>12657.136</v>
      </c>
      <c r="R17" s="64"/>
      <c r="T17" s="91"/>
      <c r="U17" s="92"/>
      <c r="V17" s="91"/>
      <c r="W17" s="93"/>
      <c r="X17" s="91"/>
      <c r="Y17" s="91"/>
      <c r="Z17" s="91"/>
      <c r="AA17" s="94"/>
      <c r="AB17" s="94"/>
    </row>
    <row r="18" s="40" customFormat="1" ht="24" customHeight="1" spans="1:28">
      <c r="A18" s="55" t="s">
        <v>1465</v>
      </c>
      <c r="B18" s="56"/>
      <c r="C18" s="54"/>
      <c r="D18" s="54"/>
      <c r="E18" s="54"/>
      <c r="F18" s="54"/>
      <c r="G18" s="54"/>
      <c r="H18" s="54"/>
      <c r="I18" s="54"/>
      <c r="J18" s="54"/>
      <c r="K18" s="64"/>
      <c r="L18" s="64"/>
      <c r="M18" s="54"/>
      <c r="N18" s="54"/>
      <c r="O18" s="54"/>
      <c r="P18" s="64"/>
      <c r="Q18" s="64">
        <f>Q16+Q5+Q6</f>
        <v>10529.163826087</v>
      </c>
      <c r="R18" s="64"/>
      <c r="T18" s="91"/>
      <c r="U18" s="92"/>
      <c r="V18" s="91"/>
      <c r="W18" s="93"/>
      <c r="X18" s="91"/>
      <c r="Y18" s="91"/>
      <c r="Z18" s="91"/>
      <c r="AA18" s="94"/>
      <c r="AB18" s="94"/>
    </row>
    <row r="19" s="40" customFormat="1" ht="24" customHeight="1" spans="1:28">
      <c r="A19" s="55"/>
      <c r="B19" s="56"/>
      <c r="C19" s="54"/>
      <c r="D19" s="54"/>
      <c r="E19" s="54"/>
      <c r="F19" s="54"/>
      <c r="G19" s="54"/>
      <c r="H19" s="54"/>
      <c r="I19" s="54"/>
      <c r="J19" s="54"/>
      <c r="K19" s="64"/>
      <c r="L19" s="64"/>
      <c r="M19" s="54"/>
      <c r="N19" s="54"/>
      <c r="O19" s="54"/>
      <c r="P19" s="64"/>
      <c r="Q19" s="64"/>
      <c r="R19" s="64"/>
      <c r="T19" s="91"/>
      <c r="U19" s="92"/>
      <c r="V19" s="91"/>
      <c r="W19" s="93"/>
      <c r="X19" s="91"/>
      <c r="Y19" s="91"/>
      <c r="Z19" s="91"/>
      <c r="AA19" s="94"/>
      <c r="AB19" s="94"/>
    </row>
    <row r="20" s="39" customFormat="1" spans="11:28">
      <c r="K20" s="43"/>
      <c r="L20" s="65"/>
      <c r="T20" s="45"/>
      <c r="U20" s="45"/>
      <c r="V20" s="45"/>
      <c r="W20" s="46"/>
      <c r="X20" s="45"/>
      <c r="Y20" s="45"/>
      <c r="Z20" s="45"/>
      <c r="AA20" s="43"/>
      <c r="AB20" s="43"/>
    </row>
    <row r="21" s="39" customFormat="1" spans="11:28">
      <c r="K21" s="43"/>
      <c r="L21" s="43"/>
      <c r="T21" s="45"/>
      <c r="U21" s="45"/>
      <c r="V21" s="45"/>
      <c r="W21" s="46"/>
      <c r="X21" s="45"/>
      <c r="Y21" s="45"/>
      <c r="Z21" s="45"/>
      <c r="AA21" s="43"/>
      <c r="AB21" s="43"/>
    </row>
    <row r="22" s="39" customFormat="1" ht="30" customHeight="1" spans="10:28">
      <c r="J22" s="66" t="s">
        <v>1338</v>
      </c>
      <c r="K22" s="66" t="s">
        <v>1466</v>
      </c>
      <c r="L22" s="67" t="s">
        <v>1467</v>
      </c>
      <c r="M22" s="67" t="s">
        <v>1468</v>
      </c>
      <c r="N22" s="67" t="s">
        <v>1469</v>
      </c>
      <c r="O22" s="67" t="s">
        <v>1470</v>
      </c>
      <c r="P22" s="67" t="s">
        <v>1471</v>
      </c>
      <c r="Q22" s="67" t="s">
        <v>1472</v>
      </c>
      <c r="R22" s="67" t="s">
        <v>1473</v>
      </c>
      <c r="T22" s="45"/>
      <c r="U22" s="45"/>
      <c r="V22" s="45"/>
      <c r="W22" s="46"/>
      <c r="X22" s="45"/>
      <c r="Y22" s="45"/>
      <c r="Z22" s="45"/>
      <c r="AA22" s="43"/>
      <c r="AB22" s="43"/>
    </row>
    <row r="23" s="39" customFormat="1" ht="30" customHeight="1" spans="10:28">
      <c r="J23" s="62" t="s">
        <v>1474</v>
      </c>
      <c r="K23" s="68">
        <v>0.2</v>
      </c>
      <c r="L23" s="69">
        <v>0.55</v>
      </c>
      <c r="M23" s="69">
        <v>0.65</v>
      </c>
      <c r="N23" s="69">
        <v>0.7</v>
      </c>
      <c r="O23" s="69">
        <v>0.8</v>
      </c>
      <c r="P23" s="69">
        <v>0.9</v>
      </c>
      <c r="Q23" s="69">
        <v>0.95</v>
      </c>
      <c r="R23" s="69">
        <v>1</v>
      </c>
      <c r="T23" s="45"/>
      <c r="U23" s="45"/>
      <c r="V23" s="45"/>
      <c r="W23" s="46"/>
      <c r="X23" s="45"/>
      <c r="Y23" s="45"/>
      <c r="Z23" s="45"/>
      <c r="AA23" s="43"/>
      <c r="AB23" s="43"/>
    </row>
    <row r="24" s="39" customFormat="1" ht="30" customHeight="1" spans="10:28">
      <c r="J24" s="62" t="s">
        <v>1475</v>
      </c>
      <c r="K24" s="69">
        <v>0.2</v>
      </c>
      <c r="L24" s="69">
        <f>L23-K24</f>
        <v>0.35</v>
      </c>
      <c r="M24" s="69">
        <f t="shared" ref="M24:R24" si="5">M23-L23</f>
        <v>0.1</v>
      </c>
      <c r="N24" s="69">
        <f t="shared" si="5"/>
        <v>0.0499999999999999</v>
      </c>
      <c r="O24" s="69">
        <f t="shared" si="5"/>
        <v>0.1</v>
      </c>
      <c r="P24" s="69">
        <f t="shared" si="5"/>
        <v>0.1</v>
      </c>
      <c r="Q24" s="69">
        <f t="shared" si="5"/>
        <v>0.0499999999999999</v>
      </c>
      <c r="R24" s="69">
        <f t="shared" si="5"/>
        <v>0.05</v>
      </c>
      <c r="T24" s="45"/>
      <c r="U24" s="45"/>
      <c r="V24" s="45"/>
      <c r="W24" s="46"/>
      <c r="X24" s="45"/>
      <c r="Y24" s="45"/>
      <c r="Z24" s="45"/>
      <c r="AA24" s="43"/>
      <c r="AB24" s="43"/>
    </row>
    <row r="25" s="39" customFormat="1" ht="30" customHeight="1" spans="10:28">
      <c r="J25" s="62" t="s">
        <v>1476</v>
      </c>
      <c r="K25" s="62"/>
      <c r="L25" s="70">
        <v>0.55</v>
      </c>
      <c r="M25" s="70">
        <v>0.65</v>
      </c>
      <c r="N25" s="71">
        <v>0.7</v>
      </c>
      <c r="O25" s="71">
        <v>0.8</v>
      </c>
      <c r="P25" s="69">
        <v>0.9</v>
      </c>
      <c r="Q25" s="68"/>
      <c r="R25" s="68"/>
      <c r="T25" s="45"/>
      <c r="U25" s="45"/>
      <c r="V25" s="45"/>
      <c r="W25" s="46"/>
      <c r="X25" s="45"/>
      <c r="Y25" s="45"/>
      <c r="Z25" s="45"/>
      <c r="AA25" s="43"/>
      <c r="AB25" s="43"/>
    </row>
    <row r="26" ht="30" customHeight="1" spans="10:18">
      <c r="J26" s="62" t="s">
        <v>1477</v>
      </c>
      <c r="K26" s="62"/>
      <c r="L26" s="70">
        <v>0.55</v>
      </c>
      <c r="M26" s="70">
        <v>0.65</v>
      </c>
      <c r="N26" s="71">
        <v>0.7</v>
      </c>
      <c r="O26" s="71">
        <v>0.8</v>
      </c>
      <c r="P26" s="69">
        <v>0.9</v>
      </c>
      <c r="Q26" s="68"/>
      <c r="R26" s="68"/>
    </row>
    <row r="27" ht="30" customHeight="1" spans="10:18">
      <c r="J27" s="62" t="s">
        <v>1478</v>
      </c>
      <c r="K27" s="70">
        <v>0.2</v>
      </c>
      <c r="L27" s="70">
        <v>0.55</v>
      </c>
      <c r="M27" s="71">
        <v>0.65</v>
      </c>
      <c r="N27" s="69">
        <v>0.7</v>
      </c>
      <c r="O27" s="69">
        <v>0.8</v>
      </c>
      <c r="P27" s="69">
        <v>0.9</v>
      </c>
      <c r="Q27" s="68"/>
      <c r="R27" s="68"/>
    </row>
    <row r="28" ht="30" customHeight="1" spans="10:18">
      <c r="J28" s="62" t="s">
        <v>1479</v>
      </c>
      <c r="K28" s="62"/>
      <c r="L28" s="72">
        <v>0.55</v>
      </c>
      <c r="M28" s="71">
        <v>0.65</v>
      </c>
      <c r="N28" s="69">
        <v>0.7</v>
      </c>
      <c r="O28" s="69">
        <v>0.8</v>
      </c>
      <c r="P28" s="69">
        <v>0.9</v>
      </c>
      <c r="Q28" s="68"/>
      <c r="R28" s="68"/>
    </row>
    <row r="29" ht="30" customHeight="1" spans="10:18">
      <c r="J29" s="62" t="s">
        <v>1480</v>
      </c>
      <c r="K29" s="68"/>
      <c r="L29" s="69">
        <v>0.55</v>
      </c>
      <c r="M29" s="71">
        <v>0.65</v>
      </c>
      <c r="N29" s="69">
        <v>0.7</v>
      </c>
      <c r="O29" s="69">
        <v>0.8</v>
      </c>
      <c r="P29" s="69">
        <v>0.9</v>
      </c>
      <c r="Q29" s="68"/>
      <c r="R29" s="68"/>
    </row>
    <row r="30" ht="30" customHeight="1" spans="10:18">
      <c r="J30" s="62" t="s">
        <v>1481</v>
      </c>
      <c r="K30" s="68"/>
      <c r="L30" s="68"/>
      <c r="M30" s="69">
        <v>0.65</v>
      </c>
      <c r="N30" s="69">
        <v>0.7</v>
      </c>
      <c r="O30" s="69">
        <v>0.8</v>
      </c>
      <c r="P30" s="69">
        <v>0.9</v>
      </c>
      <c r="Q30" s="68"/>
      <c r="R30" s="68"/>
    </row>
    <row r="31" ht="24" customHeight="1"/>
    <row r="32" ht="24" customHeight="1" spans="10:10">
      <c r="J32" s="39" t="s">
        <v>1482</v>
      </c>
    </row>
    <row r="33" ht="30" customHeight="1" spans="10:16">
      <c r="J33" s="66" t="s">
        <v>1338</v>
      </c>
      <c r="K33" s="66" t="s">
        <v>1422</v>
      </c>
      <c r="L33" s="67" t="s">
        <v>1467</v>
      </c>
      <c r="M33" s="51"/>
      <c r="N33" s="51"/>
      <c r="O33" s="51"/>
      <c r="P33" s="51"/>
    </row>
    <row r="34" ht="30" customHeight="1" spans="10:16">
      <c r="J34" s="51" t="s">
        <v>1483</v>
      </c>
      <c r="K34" s="62">
        <f>Q7+Q8+Q9+Q10</f>
        <v>4248.99490909092</v>
      </c>
      <c r="L34" s="62"/>
      <c r="M34" s="51"/>
      <c r="N34" s="51"/>
      <c r="O34" s="51"/>
      <c r="P34" s="51"/>
    </row>
    <row r="35" ht="30" customHeight="1" spans="10:16">
      <c r="J35" s="51" t="s">
        <v>1484</v>
      </c>
      <c r="K35" s="62">
        <f>Q11+Q13</f>
        <v>2427.99709090909</v>
      </c>
      <c r="L35" s="62"/>
      <c r="M35" s="51"/>
      <c r="N35" s="51"/>
      <c r="O35" s="51"/>
      <c r="P35" s="51"/>
    </row>
    <row r="36" ht="30" customHeight="1" spans="10:16">
      <c r="J36" s="51" t="s">
        <v>1485</v>
      </c>
      <c r="K36" s="62">
        <f>Q4+Q5+Q6</f>
        <v>6053.41286956522</v>
      </c>
      <c r="L36" s="62"/>
      <c r="M36" s="51"/>
      <c r="N36" s="51"/>
      <c r="O36" s="51"/>
      <c r="P36" s="51"/>
    </row>
    <row r="37" ht="30" customHeight="1" spans="10:16">
      <c r="J37" s="51" t="s">
        <v>1428</v>
      </c>
      <c r="K37" s="62">
        <f>Q3</f>
        <v>2201.24104347826</v>
      </c>
      <c r="L37" s="62"/>
      <c r="M37" s="51"/>
      <c r="N37" s="51"/>
      <c r="O37" s="51"/>
      <c r="P37" s="51"/>
    </row>
    <row r="38" ht="30" customHeight="1" spans="10:16">
      <c r="J38" s="51" t="s">
        <v>1480</v>
      </c>
      <c r="K38" s="62">
        <f>Q12</f>
        <v>2201.24104347826</v>
      </c>
      <c r="L38" s="62"/>
      <c r="M38" s="51"/>
      <c r="N38" s="51"/>
      <c r="O38" s="51"/>
      <c r="P38" s="51"/>
    </row>
    <row r="39" ht="30" customHeight="1" spans="10:16">
      <c r="J39" s="51" t="s">
        <v>1481</v>
      </c>
      <c r="K39" s="62">
        <f>Q14</f>
        <v>2201.24104347826</v>
      </c>
      <c r="L39" s="62"/>
      <c r="M39" s="51"/>
      <c r="N39" s="51"/>
      <c r="O39" s="51"/>
      <c r="P39" s="51"/>
    </row>
    <row r="40" ht="30" customHeight="1" spans="10:15">
      <c r="J40" s="39" t="s">
        <v>1486</v>
      </c>
      <c r="K40" s="43">
        <f>SUM(K34:K36)</f>
        <v>12730.4048695652</v>
      </c>
      <c r="L40" s="43" t="s">
        <v>1487</v>
      </c>
      <c r="M40" s="43">
        <f>SUM(K37:K39)</f>
        <v>6603.72313043478</v>
      </c>
      <c r="N40" s="43"/>
      <c r="O40" s="43">
        <f>K40+M40</f>
        <v>19334.128</v>
      </c>
    </row>
    <row r="41" ht="30" customHeight="1"/>
  </sheetData>
  <mergeCells count="5">
    <mergeCell ref="A1:N1"/>
    <mergeCell ref="A16:B16"/>
    <mergeCell ref="A17:B17"/>
    <mergeCell ref="A18:B18"/>
    <mergeCell ref="A19:B19"/>
  </mergeCells>
  <pageMargins left="0.75" right="0.75" top="1" bottom="1" header="0.5" footer="0.5"/>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BK65"/>
  <sheetViews>
    <sheetView zoomScale="85" zoomScaleNormal="85" workbookViewId="0">
      <pane xSplit="2" topLeftCell="C1" activePane="topRight" state="frozen"/>
      <selection/>
      <selection pane="topRight" activeCell="B14" sqref="B14"/>
    </sheetView>
  </sheetViews>
  <sheetFormatPr defaultColWidth="9" defaultRowHeight="14.25"/>
  <cols>
    <col min="1" max="1" width="20.625" style="2" customWidth="1"/>
    <col min="2" max="2" width="16.875" style="2" customWidth="1"/>
    <col min="3" max="3" width="15.175" style="2" customWidth="1"/>
    <col min="4" max="5" width="15.25" style="2" customWidth="1"/>
    <col min="6" max="6" width="14.1" style="2" customWidth="1"/>
    <col min="7" max="8" width="15.25" style="2" customWidth="1"/>
    <col min="9" max="9" width="18.7416666666667" style="2" customWidth="1"/>
    <col min="10" max="10" width="15.25" style="2" customWidth="1"/>
    <col min="11" max="11" width="16.7833333333333" style="2" customWidth="1"/>
    <col min="12" max="12" width="30.175" style="2" customWidth="1"/>
    <col min="13" max="13" width="26.4" style="2" customWidth="1"/>
    <col min="14" max="14" width="18.3916666666667" style="2" customWidth="1"/>
    <col min="15" max="15" width="20.525" style="2" customWidth="1"/>
    <col min="16" max="16" width="19.9916666666667" style="2" customWidth="1"/>
    <col min="17" max="18" width="15.25" style="2" customWidth="1"/>
    <col min="19" max="19" width="16.5666666666667" style="2" customWidth="1"/>
    <col min="20" max="20" width="19.9916666666667" style="2" customWidth="1"/>
    <col min="21" max="21" width="15.25" style="2" customWidth="1"/>
    <col min="22" max="22" width="23.9" style="2" customWidth="1"/>
    <col min="23" max="23" width="15.25" style="2" customWidth="1"/>
    <col min="24" max="24" width="21.2416666666667" style="2" customWidth="1"/>
    <col min="25" max="25" width="15.25" style="2" customWidth="1"/>
    <col min="26" max="26" width="19.5333333333333" style="2" customWidth="1"/>
    <col min="27" max="28" width="15.25" style="2" customWidth="1"/>
    <col min="29" max="29" width="22.65" style="2" customWidth="1"/>
    <col min="30" max="40" width="14.125" style="2" customWidth="1"/>
    <col min="41" max="52" width="14.125" style="2" hidden="1" customWidth="1"/>
    <col min="53" max="57" width="12.875" style="2" hidden="1" customWidth="1"/>
    <col min="58" max="58" width="13.75" style="2" customWidth="1"/>
    <col min="59" max="60" width="18.925" style="2" customWidth="1"/>
    <col min="61" max="16384" width="9" style="2"/>
  </cols>
  <sheetData>
    <row r="1" s="2" customFormat="1" ht="43" customHeight="1" spans="1:4">
      <c r="A1" s="7" t="s">
        <v>1488</v>
      </c>
      <c r="B1" s="7"/>
      <c r="C1" s="7"/>
      <c r="D1" s="7"/>
    </row>
    <row r="2" s="3" customFormat="1" ht="58" customHeight="1" spans="1:59">
      <c r="A2" s="8" t="s">
        <v>1489</v>
      </c>
      <c r="B2" s="8"/>
      <c r="C2" s="8" t="s">
        <v>1490</v>
      </c>
      <c r="D2" s="8"/>
      <c r="E2" s="8"/>
      <c r="F2" s="8"/>
      <c r="G2" s="8"/>
      <c r="H2" s="8"/>
      <c r="I2" s="23" t="s">
        <v>1491</v>
      </c>
      <c r="J2" s="8" t="s">
        <v>1492</v>
      </c>
      <c r="K2" s="8" t="s">
        <v>1493</v>
      </c>
      <c r="L2" s="23" t="s">
        <v>1494</v>
      </c>
      <c r="M2" s="24" t="s">
        <v>1495</v>
      </c>
      <c r="N2" s="8" t="s">
        <v>1496</v>
      </c>
      <c r="O2" s="23" t="s">
        <v>1497</v>
      </c>
      <c r="P2" s="23" t="s">
        <v>1498</v>
      </c>
      <c r="Q2" s="8" t="s">
        <v>1499</v>
      </c>
      <c r="R2" s="8"/>
      <c r="S2" s="23" t="s">
        <v>1500</v>
      </c>
      <c r="T2" s="23" t="s">
        <v>1501</v>
      </c>
      <c r="U2" s="8"/>
      <c r="V2" s="24" t="s">
        <v>1502</v>
      </c>
      <c r="W2" s="8"/>
      <c r="X2" s="8" t="s">
        <v>1503</v>
      </c>
      <c r="Y2" s="8"/>
      <c r="Z2" s="8" t="s">
        <v>1504</v>
      </c>
      <c r="AA2" s="8"/>
      <c r="AB2" s="8"/>
      <c r="AC2" s="8" t="s">
        <v>1505</v>
      </c>
      <c r="AD2" s="8"/>
      <c r="AE2" s="8"/>
      <c r="AF2" s="8"/>
      <c r="AG2" s="8" t="s">
        <v>1506</v>
      </c>
      <c r="AH2" s="8"/>
      <c r="AI2" s="8"/>
      <c r="AJ2" s="8"/>
      <c r="AK2" s="8" t="s">
        <v>1507</v>
      </c>
      <c r="AL2" s="8" t="s">
        <v>1508</v>
      </c>
      <c r="AM2" s="8" t="s">
        <v>1509</v>
      </c>
      <c r="AN2" s="8"/>
      <c r="AO2" s="8"/>
      <c r="AP2" s="8"/>
      <c r="AQ2" s="8"/>
      <c r="AR2" s="8"/>
      <c r="AS2" s="8"/>
      <c r="AT2" s="8"/>
      <c r="AU2" s="8"/>
      <c r="AV2" s="8"/>
      <c r="AW2" s="8"/>
      <c r="AX2" s="8"/>
      <c r="AY2" s="8"/>
      <c r="AZ2" s="8"/>
      <c r="BA2" s="8"/>
      <c r="BB2" s="8"/>
      <c r="BC2" s="8"/>
      <c r="BD2" s="8"/>
      <c r="BE2" s="8"/>
      <c r="BF2" s="8"/>
      <c r="BG2" s="8"/>
    </row>
    <row r="3" s="4" customFormat="1" ht="30" customHeight="1" spans="1:59">
      <c r="A3" s="9" t="s">
        <v>1510</v>
      </c>
      <c r="B3" s="9"/>
      <c r="C3" s="9"/>
      <c r="D3" s="9"/>
      <c r="E3" s="9"/>
      <c r="F3" s="9"/>
      <c r="G3" s="9"/>
      <c r="H3" s="9"/>
      <c r="I3" s="9"/>
      <c r="J3" s="9"/>
      <c r="K3" s="9"/>
      <c r="L3" s="9"/>
      <c r="M3" s="9" t="s">
        <v>1511</v>
      </c>
      <c r="N3" s="9"/>
      <c r="O3" s="9"/>
      <c r="P3" s="9"/>
      <c r="Q3" s="9"/>
      <c r="R3" s="9"/>
      <c r="S3" s="9"/>
      <c r="T3" s="9" t="s">
        <v>1512</v>
      </c>
      <c r="U3" s="9" t="s">
        <v>1513</v>
      </c>
      <c r="V3" s="9"/>
      <c r="W3" s="9" t="s">
        <v>1514</v>
      </c>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row>
    <row r="4" s="5" customFormat="1" ht="31" customHeight="1" spans="1:59">
      <c r="A4" s="10" t="s">
        <v>1077</v>
      </c>
      <c r="B4" s="10" t="s">
        <v>138</v>
      </c>
      <c r="C4" s="10">
        <v>44866</v>
      </c>
      <c r="D4" s="10">
        <v>44896</v>
      </c>
      <c r="E4" s="10">
        <v>44927</v>
      </c>
      <c r="F4" s="10">
        <v>44958</v>
      </c>
      <c r="G4" s="10">
        <v>44986</v>
      </c>
      <c r="H4" s="10">
        <v>45017</v>
      </c>
      <c r="I4" s="10">
        <v>45047</v>
      </c>
      <c r="J4" s="10">
        <v>45078</v>
      </c>
      <c r="K4" s="10">
        <v>45108</v>
      </c>
      <c r="L4" s="10">
        <v>45141</v>
      </c>
      <c r="M4" s="10">
        <v>45170</v>
      </c>
      <c r="N4" s="10">
        <v>45200</v>
      </c>
      <c r="O4" s="10">
        <v>45231</v>
      </c>
      <c r="P4" s="10">
        <v>45261</v>
      </c>
      <c r="Q4" s="10">
        <v>45292</v>
      </c>
      <c r="R4" s="10">
        <v>45323</v>
      </c>
      <c r="S4" s="10">
        <v>45352</v>
      </c>
      <c r="T4" s="10">
        <v>45383</v>
      </c>
      <c r="U4" s="10">
        <v>45413</v>
      </c>
      <c r="V4" s="10">
        <v>45444</v>
      </c>
      <c r="W4" s="10">
        <v>45474</v>
      </c>
      <c r="X4" s="10">
        <v>45505</v>
      </c>
      <c r="Y4" s="10">
        <v>45536</v>
      </c>
      <c r="Z4" s="10">
        <v>45566</v>
      </c>
      <c r="AA4" s="10">
        <v>45597</v>
      </c>
      <c r="AB4" s="10">
        <v>45627</v>
      </c>
      <c r="AC4" s="10">
        <v>45658</v>
      </c>
      <c r="AD4" s="10">
        <v>45689</v>
      </c>
      <c r="AE4" s="10">
        <v>45717</v>
      </c>
      <c r="AF4" s="10">
        <v>45748</v>
      </c>
      <c r="AG4" s="10">
        <v>45778</v>
      </c>
      <c r="AH4" s="10">
        <v>45809</v>
      </c>
      <c r="AI4" s="10">
        <v>45839</v>
      </c>
      <c r="AJ4" s="10">
        <v>45870</v>
      </c>
      <c r="AK4" s="10">
        <v>45901</v>
      </c>
      <c r="AL4" s="10">
        <v>45931</v>
      </c>
      <c r="AM4" s="10">
        <v>45962</v>
      </c>
      <c r="AN4" s="10">
        <v>45992</v>
      </c>
      <c r="AO4" s="10">
        <v>46023</v>
      </c>
      <c r="AP4" s="10">
        <v>46054</v>
      </c>
      <c r="AQ4" s="10">
        <v>46082</v>
      </c>
      <c r="AR4" s="10">
        <v>46113</v>
      </c>
      <c r="AS4" s="10">
        <v>46143</v>
      </c>
      <c r="AT4" s="10">
        <v>46174</v>
      </c>
      <c r="AU4" s="10">
        <v>46204</v>
      </c>
      <c r="AV4" s="10">
        <v>46235</v>
      </c>
      <c r="AW4" s="10">
        <v>46266</v>
      </c>
      <c r="AX4" s="10">
        <v>46296</v>
      </c>
      <c r="AY4" s="10">
        <v>46327</v>
      </c>
      <c r="AZ4" s="10">
        <v>46357</v>
      </c>
      <c r="BA4" s="10">
        <v>46388</v>
      </c>
      <c r="BB4" s="10">
        <v>46419</v>
      </c>
      <c r="BC4" s="10">
        <v>46447</v>
      </c>
      <c r="BD4" s="10">
        <v>46478</v>
      </c>
      <c r="BE4" s="10">
        <v>46508</v>
      </c>
      <c r="BF4" s="10" t="s">
        <v>138</v>
      </c>
      <c r="BG4" s="10" t="s">
        <v>54</v>
      </c>
    </row>
    <row r="5" s="2" customFormat="1" ht="29" customHeight="1" spans="1:59">
      <c r="A5" s="11" t="s">
        <v>1515</v>
      </c>
      <c r="B5" s="12">
        <v>0</v>
      </c>
      <c r="C5" s="12">
        <v>0</v>
      </c>
      <c r="D5" s="12">
        <f t="shared" ref="D5:BE5" si="0">C20</f>
        <v>-4270.7</v>
      </c>
      <c r="E5" s="12">
        <f t="shared" si="0"/>
        <v>-4270.7</v>
      </c>
      <c r="F5" s="12">
        <f t="shared" si="0"/>
        <v>-4271.234</v>
      </c>
      <c r="G5" s="12">
        <f t="shared" si="0"/>
        <v>-4272.6619</v>
      </c>
      <c r="H5" s="12">
        <f t="shared" si="0"/>
        <v>-4283.5719</v>
      </c>
      <c r="I5" s="12">
        <f t="shared" si="0"/>
        <v>-4369.6119</v>
      </c>
      <c r="J5" s="12">
        <f t="shared" si="0"/>
        <v>-10824.9719</v>
      </c>
      <c r="K5" s="12">
        <f t="shared" si="0"/>
        <v>-10865.5819</v>
      </c>
      <c r="L5" s="12">
        <f t="shared" si="0"/>
        <v>-23039.8977390547</v>
      </c>
      <c r="M5" s="12">
        <f t="shared" si="0"/>
        <v>-23656.793877568</v>
      </c>
      <c r="N5" s="12">
        <f t="shared" si="0"/>
        <v>-25096.8032160813</v>
      </c>
      <c r="O5" s="12">
        <f t="shared" si="0"/>
        <v>-22221.0466850864</v>
      </c>
      <c r="P5" s="12">
        <f t="shared" si="0"/>
        <v>-16435.8505162368</v>
      </c>
      <c r="Q5" s="12">
        <f t="shared" si="0"/>
        <v>-2484.07006767537</v>
      </c>
      <c r="R5" s="12">
        <f t="shared" si="0"/>
        <v>-364.495663980245</v>
      </c>
      <c r="S5" s="12">
        <f t="shared" si="0"/>
        <v>-112.678051499659</v>
      </c>
      <c r="T5" s="12">
        <f t="shared" si="0"/>
        <v>-219.319401967593</v>
      </c>
      <c r="U5" s="12">
        <f t="shared" si="0"/>
        <v>179.070444081975</v>
      </c>
      <c r="V5" s="12">
        <f t="shared" si="0"/>
        <v>155.782421221191</v>
      </c>
      <c r="W5" s="12">
        <f t="shared" si="0"/>
        <v>149.681545435099</v>
      </c>
      <c r="X5" s="12">
        <f t="shared" si="0"/>
        <v>1042.5849457469</v>
      </c>
      <c r="Y5" s="12">
        <f t="shared" si="0"/>
        <v>505.665031908033</v>
      </c>
      <c r="Z5" s="12">
        <f t="shared" si="0"/>
        <v>1688.94783076139</v>
      </c>
      <c r="AA5" s="12">
        <f t="shared" si="0"/>
        <v>1690.53323867639</v>
      </c>
      <c r="AB5" s="12">
        <f t="shared" si="0"/>
        <v>4352.00599714193</v>
      </c>
      <c r="AC5" s="12">
        <f t="shared" si="0"/>
        <v>5605.29763893285</v>
      </c>
      <c r="AD5" s="12">
        <f t="shared" si="0"/>
        <v>6081.36555986613</v>
      </c>
      <c r="AE5" s="12">
        <f t="shared" si="0"/>
        <v>7702.89388770907</v>
      </c>
      <c r="AF5" s="12">
        <f t="shared" si="0"/>
        <v>6009.7179798644</v>
      </c>
      <c r="AG5" s="12">
        <f t="shared" si="0"/>
        <v>4430.55356628029</v>
      </c>
      <c r="AH5" s="12">
        <f t="shared" si="0"/>
        <v>4256.67504969618</v>
      </c>
      <c r="AI5" s="12">
        <f t="shared" si="0"/>
        <v>4381.61984870839</v>
      </c>
      <c r="AJ5" s="12">
        <f t="shared" si="0"/>
        <v>4534.38397551875</v>
      </c>
      <c r="AK5" s="12">
        <f t="shared" si="0"/>
        <v>4530.89810232912</v>
      </c>
      <c r="AL5" s="12">
        <f t="shared" si="0"/>
        <v>4500.1299355615</v>
      </c>
      <c r="AM5" s="12">
        <f t="shared" si="0"/>
        <v>4479.43809906911</v>
      </c>
      <c r="AN5" s="12">
        <f t="shared" si="0"/>
        <v>5427.60266257672</v>
      </c>
      <c r="AO5" s="12">
        <f t="shared" si="0"/>
        <v>502.412154995605</v>
      </c>
      <c r="AP5" s="12">
        <f t="shared" si="0"/>
        <v>502.412154995605</v>
      </c>
      <c r="AQ5" s="12">
        <f t="shared" si="0"/>
        <v>502.412154995605</v>
      </c>
      <c r="AR5" s="12">
        <f t="shared" si="0"/>
        <v>502.412154995605</v>
      </c>
      <c r="AS5" s="12">
        <f t="shared" si="0"/>
        <v>502.412154995605</v>
      </c>
      <c r="AT5" s="12">
        <f t="shared" si="0"/>
        <v>502.412154995605</v>
      </c>
      <c r="AU5" s="12">
        <f t="shared" si="0"/>
        <v>502.412154995605</v>
      </c>
      <c r="AV5" s="12">
        <f t="shared" si="0"/>
        <v>502.412154995605</v>
      </c>
      <c r="AW5" s="12">
        <f t="shared" si="0"/>
        <v>502.412154995605</v>
      </c>
      <c r="AX5" s="12">
        <f t="shared" si="0"/>
        <v>502.412154995605</v>
      </c>
      <c r="AY5" s="12">
        <f t="shared" si="0"/>
        <v>502.412154995605</v>
      </c>
      <c r="AZ5" s="12">
        <f t="shared" si="0"/>
        <v>502.412154995605</v>
      </c>
      <c r="BA5" s="12">
        <f t="shared" si="0"/>
        <v>502.412154995605</v>
      </c>
      <c r="BB5" s="12">
        <f t="shared" si="0"/>
        <v>502.412154995605</v>
      </c>
      <c r="BC5" s="12">
        <f t="shared" si="0"/>
        <v>502.412154995605</v>
      </c>
      <c r="BD5" s="12">
        <f t="shared" si="0"/>
        <v>502.412154995605</v>
      </c>
      <c r="BE5" s="12">
        <f t="shared" si="0"/>
        <v>502.412154995605</v>
      </c>
      <c r="BF5" s="12">
        <v>0</v>
      </c>
      <c r="BG5" s="12"/>
    </row>
    <row r="6" s="2" customFormat="1" ht="29" customHeight="1" spans="1:59">
      <c r="A6" s="11" t="s">
        <v>1516</v>
      </c>
      <c r="B6" s="12">
        <f>B7+B8</f>
        <v>65114.186</v>
      </c>
      <c r="C6" s="12">
        <f t="shared" ref="C6:AN6" si="1">C7+C8</f>
        <v>0</v>
      </c>
      <c r="D6" s="12">
        <f t="shared" si="1"/>
        <v>0</v>
      </c>
      <c r="E6" s="12">
        <f t="shared" si="1"/>
        <v>0</v>
      </c>
      <c r="F6" s="12">
        <f t="shared" si="1"/>
        <v>0</v>
      </c>
      <c r="G6" s="12">
        <f t="shared" si="1"/>
        <v>0</v>
      </c>
      <c r="H6" s="12">
        <f t="shared" si="1"/>
        <v>0</v>
      </c>
      <c r="I6" s="12">
        <f t="shared" si="1"/>
        <v>0</v>
      </c>
      <c r="J6" s="12">
        <f t="shared" si="1"/>
        <v>0</v>
      </c>
      <c r="K6" s="12">
        <f t="shared" si="1"/>
        <v>0</v>
      </c>
      <c r="L6" s="12">
        <f t="shared" si="1"/>
        <v>0</v>
      </c>
      <c r="M6" s="12">
        <f t="shared" si="1"/>
        <v>14438.4321195652</v>
      </c>
      <c r="N6" s="12">
        <f t="shared" si="1"/>
        <v>9546.79718152174</v>
      </c>
      <c r="O6" s="12">
        <f t="shared" si="1"/>
        <v>10671.5268173913</v>
      </c>
      <c r="P6" s="12">
        <f t="shared" si="1"/>
        <v>2668.60787554348</v>
      </c>
      <c r="Q6" s="12">
        <f t="shared" si="1"/>
        <v>1861.68902336957</v>
      </c>
      <c r="R6" s="12">
        <f t="shared" si="1"/>
        <v>1045.51342173913</v>
      </c>
      <c r="S6" s="12">
        <f t="shared" si="1"/>
        <v>1003.47288641304</v>
      </c>
      <c r="T6" s="12">
        <f t="shared" si="1"/>
        <v>1847.2565951087</v>
      </c>
      <c r="U6" s="12">
        <f t="shared" si="1"/>
        <v>3024.06730163044</v>
      </c>
      <c r="V6" s="12">
        <f t="shared" si="1"/>
        <v>3394.74294184783</v>
      </c>
      <c r="W6" s="12">
        <f t="shared" si="1"/>
        <v>3174.1889076087</v>
      </c>
      <c r="X6" s="12">
        <f t="shared" si="1"/>
        <v>2524.13491195652</v>
      </c>
      <c r="Y6" s="12">
        <f t="shared" si="1"/>
        <v>2369.62141304348</v>
      </c>
      <c r="Z6" s="12">
        <f t="shared" si="1"/>
        <v>2733.864625</v>
      </c>
      <c r="AA6" s="12">
        <f t="shared" si="1"/>
        <v>2111.41873641304</v>
      </c>
      <c r="AB6" s="12">
        <f t="shared" si="1"/>
        <v>1298.85124184783</v>
      </c>
      <c r="AC6" s="12">
        <f t="shared" si="1"/>
        <v>160</v>
      </c>
      <c r="AD6" s="12">
        <f t="shared" si="1"/>
        <v>160</v>
      </c>
      <c r="AE6" s="12">
        <f t="shared" si="1"/>
        <v>200</v>
      </c>
      <c r="AF6" s="12">
        <f t="shared" si="1"/>
        <v>200</v>
      </c>
      <c r="AG6" s="12">
        <f t="shared" si="1"/>
        <v>224</v>
      </c>
      <c r="AH6" s="12">
        <f t="shared" si="1"/>
        <v>200</v>
      </c>
      <c r="AI6" s="12">
        <f t="shared" si="1"/>
        <v>200</v>
      </c>
      <c r="AJ6" s="12">
        <f t="shared" si="1"/>
        <v>56</v>
      </c>
      <c r="AK6" s="12">
        <f t="shared" si="1"/>
        <v>0</v>
      </c>
      <c r="AL6" s="12">
        <f t="shared" si="1"/>
        <v>0</v>
      </c>
      <c r="AM6" s="12">
        <f t="shared" si="1"/>
        <v>0</v>
      </c>
      <c r="AN6" s="12">
        <f t="shared" si="1"/>
        <v>0</v>
      </c>
      <c r="AO6" s="12"/>
      <c r="AP6" s="12"/>
      <c r="AQ6" s="12"/>
      <c r="AR6" s="12"/>
      <c r="AS6" s="12"/>
      <c r="AT6" s="12"/>
      <c r="AU6" s="12"/>
      <c r="AV6" s="12"/>
      <c r="AW6" s="12"/>
      <c r="AX6" s="12"/>
      <c r="AY6" s="12"/>
      <c r="AZ6" s="12"/>
      <c r="BA6" s="12"/>
      <c r="BB6" s="12"/>
      <c r="BC6" s="12"/>
      <c r="BD6" s="12"/>
      <c r="BE6" s="12"/>
      <c r="BF6" s="12">
        <f t="shared" ref="BF6:BF8" si="2">SUM(C6:BE6)</f>
        <v>65114.186</v>
      </c>
      <c r="BG6" s="12">
        <f t="shared" ref="BG6:BG20" si="3">B6-BF6</f>
        <v>0</v>
      </c>
    </row>
    <row r="7" s="2" customFormat="1" ht="29" customHeight="1" spans="1:59">
      <c r="A7" s="11" t="s">
        <v>1517</v>
      </c>
      <c r="B7" s="12">
        <f>推售计划!AO30-推售计划!AO26-推售计划!AO25</f>
        <v>61914.186</v>
      </c>
      <c r="C7" s="13">
        <f>推售计划!C30-推售计划!C26-推售计划!C25</f>
        <v>0</v>
      </c>
      <c r="D7" s="13">
        <f>推售计划!D30-推售计划!D26-推售计划!D25</f>
        <v>0</v>
      </c>
      <c r="E7" s="13">
        <f>推售计划!E30-推售计划!E26-推售计划!E25</f>
        <v>0</v>
      </c>
      <c r="F7" s="13">
        <f>推售计划!F30-推售计划!F26-推售计划!F25</f>
        <v>0</v>
      </c>
      <c r="G7" s="13">
        <f>推售计划!G30-推售计划!G26-推售计划!G25</f>
        <v>0</v>
      </c>
      <c r="H7" s="13">
        <f>推售计划!H30-推售计划!H26-推售计划!H25</f>
        <v>0</v>
      </c>
      <c r="I7" s="13">
        <f>推售计划!I30-推售计划!I26-推售计划!I25</f>
        <v>0</v>
      </c>
      <c r="J7" s="13">
        <f>推售计划!J30-推售计划!J26-推售计划!J25</f>
        <v>0</v>
      </c>
      <c r="K7" s="13">
        <f>推售计划!K30-推售计划!K26-推售计划!K25</f>
        <v>0</v>
      </c>
      <c r="L7" s="13">
        <f>推售计划!L30-推售计划!L26-推售计划!L25</f>
        <v>0</v>
      </c>
      <c r="M7" s="13">
        <f>推售计划!M30-推售计划!M26-推售计划!M25</f>
        <v>13382.4321195652</v>
      </c>
      <c r="N7" s="13">
        <f>推售计划!N30-推售计划!N26-推售计划!N25</f>
        <v>9546.79718152174</v>
      </c>
      <c r="O7" s="13">
        <f>推售计划!O30-推售计划!O26-推售计划!O25</f>
        <v>10591.5268173913</v>
      </c>
      <c r="P7" s="13">
        <f>推售计划!P30-推售计划!P26-推售计划!P25</f>
        <v>2588.60787554348</v>
      </c>
      <c r="Q7" s="13">
        <f>推售计划!Q30-推售计划!Q26-推售计划!Q25</f>
        <v>1845.68902336957</v>
      </c>
      <c r="R7" s="13">
        <f>推售计划!R30-推售计划!R26-推售计划!R25</f>
        <v>1021.51342173913</v>
      </c>
      <c r="S7" s="13">
        <f>推售计划!S30-推售计划!S26-推售计划!S25</f>
        <v>963.472886413044</v>
      </c>
      <c r="T7" s="13">
        <f>推售计划!T30-推售计划!T26-推售计划!T25</f>
        <v>1799.2565951087</v>
      </c>
      <c r="U7" s="13">
        <f>推售计划!U30-推售计划!U26-推售计划!U25</f>
        <v>2960.06730163044</v>
      </c>
      <c r="V7" s="13">
        <f>推售计划!V30-推售计划!V26-推售计划!V25</f>
        <v>3354.74294184783</v>
      </c>
      <c r="W7" s="13">
        <f>推售计划!W30-推售计划!W26-推售计划!W25</f>
        <v>3134.1889076087</v>
      </c>
      <c r="X7" s="13">
        <f>推售计划!X30-推售计划!X26-推售计划!X25</f>
        <v>2484.13491195652</v>
      </c>
      <c r="Y7" s="13">
        <f>推售计划!Y30-推售计划!Y26-推售计划!Y25</f>
        <v>2321.62141304348</v>
      </c>
      <c r="Z7" s="13">
        <f>推售计划!Z30-推售计划!Z26-推售计划!Z25</f>
        <v>2669.864625</v>
      </c>
      <c r="AA7" s="13">
        <f>推售计划!AA30-推售计划!AA26-推售计划!AA25</f>
        <v>2031.41873641304</v>
      </c>
      <c r="AB7" s="13">
        <f>推售计划!AB30-推售计划!AB26-推售计划!AB25</f>
        <v>1218.85124184783</v>
      </c>
      <c r="AC7" s="13">
        <f>推售计划!AC30-推售计划!AC26-推售计划!AC25</f>
        <v>0</v>
      </c>
      <c r="AD7" s="13">
        <f>推售计划!AD30-推售计划!AD26-推售计划!AD25</f>
        <v>0</v>
      </c>
      <c r="AE7" s="13">
        <f>推售计划!AE30-推售计划!AE26-推售计划!AE25</f>
        <v>0</v>
      </c>
      <c r="AF7" s="13">
        <f>推售计划!AF30-推售计划!AF26-推售计划!AF25</f>
        <v>0</v>
      </c>
      <c r="AG7" s="13">
        <f>推售计划!AG30-推售计划!AG26-推售计划!AG25</f>
        <v>0</v>
      </c>
      <c r="AH7" s="13">
        <f>推售计划!AH30-推售计划!AH26-推售计划!AH25</f>
        <v>0</v>
      </c>
      <c r="AI7" s="13">
        <f>推售计划!AI30-推售计划!AI26-推售计划!AI25</f>
        <v>0</v>
      </c>
      <c r="AJ7" s="13">
        <f>推售计划!AJ30-推售计划!AJ26-推售计划!AJ25</f>
        <v>0</v>
      </c>
      <c r="AK7" s="13">
        <f>推售计划!AK30-推售计划!AK26-推售计划!AK25</f>
        <v>0</v>
      </c>
      <c r="AL7" s="13">
        <f>推售计划!AL30-推售计划!AL26-推售计划!AL25</f>
        <v>0</v>
      </c>
      <c r="AM7" s="13">
        <f>推售计划!AM30-推售计划!AM26-推售计划!AM25</f>
        <v>0</v>
      </c>
      <c r="AN7" s="13">
        <f>推售计划!AN30-推售计划!AN26-推售计划!AN25</f>
        <v>0</v>
      </c>
      <c r="AO7" s="13"/>
      <c r="AP7" s="13"/>
      <c r="AQ7" s="13"/>
      <c r="AR7" s="13"/>
      <c r="AS7" s="13"/>
      <c r="AT7" s="13"/>
      <c r="AU7" s="13"/>
      <c r="AV7" s="13"/>
      <c r="AW7" s="13"/>
      <c r="AX7" s="13"/>
      <c r="AY7" s="13"/>
      <c r="AZ7" s="13"/>
      <c r="BA7" s="13"/>
      <c r="BB7" s="13"/>
      <c r="BC7" s="13"/>
      <c r="BD7" s="13"/>
      <c r="BE7" s="13"/>
      <c r="BF7" s="13">
        <f t="shared" si="2"/>
        <v>61914.186</v>
      </c>
      <c r="BG7" s="14">
        <f t="shared" si="3"/>
        <v>0</v>
      </c>
    </row>
    <row r="8" s="2" customFormat="1" ht="29" customHeight="1" spans="1:63">
      <c r="A8" s="11" t="s">
        <v>1174</v>
      </c>
      <c r="B8" s="12">
        <f>推售计划!AO25+推售计划!AO26</f>
        <v>3200</v>
      </c>
      <c r="C8" s="13">
        <f>推售计划!C25+推售计划!C26</f>
        <v>0</v>
      </c>
      <c r="D8" s="13">
        <f>推售计划!D25+推售计划!D26</f>
        <v>0</v>
      </c>
      <c r="E8" s="13">
        <f>推售计划!E25+推售计划!E26</f>
        <v>0</v>
      </c>
      <c r="F8" s="13">
        <f>推售计划!F25+推售计划!F26</f>
        <v>0</v>
      </c>
      <c r="G8" s="13">
        <f>推售计划!G25+推售计划!G26</f>
        <v>0</v>
      </c>
      <c r="H8" s="13">
        <f>推售计划!H25+推售计划!H26</f>
        <v>0</v>
      </c>
      <c r="I8" s="13">
        <f>推售计划!I25+推售计划!I26</f>
        <v>0</v>
      </c>
      <c r="J8" s="13">
        <f>推售计划!J25+推售计划!J26</f>
        <v>0</v>
      </c>
      <c r="K8" s="13">
        <f>推售计划!K25+推售计划!K26</f>
        <v>0</v>
      </c>
      <c r="L8" s="13">
        <f>推售计划!L25+推售计划!L26</f>
        <v>0</v>
      </c>
      <c r="M8" s="13">
        <f>推售计划!M25+推售计划!M26</f>
        <v>1056</v>
      </c>
      <c r="N8" s="13">
        <f>推售计划!N25+推售计划!N26</f>
        <v>0</v>
      </c>
      <c r="O8" s="13">
        <f>推售计划!O25+推售计划!O26</f>
        <v>80</v>
      </c>
      <c r="P8" s="13">
        <f>推售计划!P25+推售计划!P26</f>
        <v>80</v>
      </c>
      <c r="Q8" s="13">
        <f>推售计划!Q25+推售计划!Q26</f>
        <v>16</v>
      </c>
      <c r="R8" s="13">
        <f>推售计划!R25+推售计划!R26</f>
        <v>24</v>
      </c>
      <c r="S8" s="13">
        <f>推售计划!S25+推售计划!S26</f>
        <v>40</v>
      </c>
      <c r="T8" s="13">
        <f>推售计划!T25+推售计划!T26</f>
        <v>48</v>
      </c>
      <c r="U8" s="13">
        <f>推售计划!U25+推售计划!U26</f>
        <v>64</v>
      </c>
      <c r="V8" s="13">
        <f>推售计划!V25+推售计划!V26</f>
        <v>40</v>
      </c>
      <c r="W8" s="13">
        <f>推售计划!W25+推售计划!W26</f>
        <v>40</v>
      </c>
      <c r="X8" s="13">
        <f>推售计划!X25+推售计划!X26</f>
        <v>40</v>
      </c>
      <c r="Y8" s="13">
        <f>推售计划!Y25+推售计划!Y26</f>
        <v>48</v>
      </c>
      <c r="Z8" s="13">
        <f>推售计划!Z25+推售计划!Z26</f>
        <v>64</v>
      </c>
      <c r="AA8" s="13">
        <f>推售计划!AA25+推售计划!AA26</f>
        <v>80</v>
      </c>
      <c r="AB8" s="13">
        <f>推售计划!AB25+推售计划!AB26</f>
        <v>80</v>
      </c>
      <c r="AC8" s="13">
        <f>推售计划!AC25+推售计划!AC26</f>
        <v>160</v>
      </c>
      <c r="AD8" s="13">
        <f>推售计划!AD25+推售计划!AD26</f>
        <v>160</v>
      </c>
      <c r="AE8" s="13">
        <f>推售计划!AE25+推售计划!AE26</f>
        <v>200</v>
      </c>
      <c r="AF8" s="13">
        <f>推售计划!AF25+推售计划!AF26</f>
        <v>200</v>
      </c>
      <c r="AG8" s="13">
        <f>推售计划!AG25+推售计划!AG26</f>
        <v>224</v>
      </c>
      <c r="AH8" s="13">
        <f>推售计划!AH25+推售计划!AH26</f>
        <v>200</v>
      </c>
      <c r="AI8" s="13">
        <f>推售计划!AI25+推售计划!AI26</f>
        <v>200</v>
      </c>
      <c r="AJ8" s="13">
        <f>推售计划!AJ25+推售计划!AJ26</f>
        <v>56</v>
      </c>
      <c r="AK8" s="13">
        <f>推售计划!AK25+推售计划!AK26</f>
        <v>0</v>
      </c>
      <c r="AL8" s="13">
        <f>推售计划!AL25+推售计划!AL26</f>
        <v>0</v>
      </c>
      <c r="AM8" s="13">
        <f>推售计划!AM25+推售计划!AM26</f>
        <v>0</v>
      </c>
      <c r="AN8" s="13">
        <f>推售计划!AN25+推售计划!AN26</f>
        <v>0</v>
      </c>
      <c r="AO8" s="13"/>
      <c r="AP8" s="13"/>
      <c r="AQ8" s="13"/>
      <c r="AR8" s="13"/>
      <c r="AS8" s="13"/>
      <c r="AT8" s="13"/>
      <c r="AU8" s="13"/>
      <c r="AV8" s="13"/>
      <c r="AW8" s="13"/>
      <c r="AX8" s="13"/>
      <c r="AY8" s="13"/>
      <c r="AZ8" s="13"/>
      <c r="BA8" s="13"/>
      <c r="BB8" s="13"/>
      <c r="BC8" s="13"/>
      <c r="BD8" s="13"/>
      <c r="BE8" s="13"/>
      <c r="BF8" s="13">
        <f t="shared" si="2"/>
        <v>3200</v>
      </c>
      <c r="BG8" s="14">
        <f t="shared" si="3"/>
        <v>0</v>
      </c>
      <c r="BK8" s="33"/>
    </row>
    <row r="9" s="2" customFormat="1" ht="29" customHeight="1" spans="1:59">
      <c r="A9" s="11" t="s">
        <v>1518</v>
      </c>
      <c r="B9" s="12">
        <f>SUM(B10:B19)</f>
        <v>64444.9007804771</v>
      </c>
      <c r="C9" s="12">
        <f t="shared" ref="B9:BF9" si="4">SUM(C10:C19)</f>
        <v>4270.7</v>
      </c>
      <c r="D9" s="12">
        <f t="shared" si="4"/>
        <v>0</v>
      </c>
      <c r="E9" s="12">
        <f t="shared" si="4"/>
        <v>0.534</v>
      </c>
      <c r="F9" s="12">
        <f t="shared" si="4"/>
        <v>1.4279</v>
      </c>
      <c r="G9" s="12">
        <f t="shared" si="4"/>
        <v>10.91</v>
      </c>
      <c r="H9" s="12">
        <f t="shared" si="4"/>
        <v>86.04</v>
      </c>
      <c r="I9" s="12">
        <f t="shared" si="4"/>
        <v>6455.36</v>
      </c>
      <c r="J9" s="12">
        <f t="shared" si="4"/>
        <v>40.61</v>
      </c>
      <c r="K9" s="12">
        <f t="shared" si="4"/>
        <v>12174.3158390547</v>
      </c>
      <c r="L9" s="12">
        <f t="shared" si="4"/>
        <v>616.896138513333</v>
      </c>
      <c r="M9" s="12">
        <f t="shared" si="4"/>
        <v>15878.4414580786</v>
      </c>
      <c r="N9" s="12">
        <f t="shared" si="4"/>
        <v>6671.04065052684</v>
      </c>
      <c r="O9" s="12">
        <f t="shared" si="4"/>
        <v>4886.33064854166</v>
      </c>
      <c r="P9" s="12">
        <f t="shared" si="4"/>
        <v>-11283.1725730179</v>
      </c>
      <c r="Q9" s="12">
        <f t="shared" si="4"/>
        <v>-257.885380325559</v>
      </c>
      <c r="R9" s="12">
        <f t="shared" si="4"/>
        <v>793.695809258545</v>
      </c>
      <c r="S9" s="12">
        <f t="shared" si="4"/>
        <v>1110.11423688098</v>
      </c>
      <c r="T9" s="12">
        <f t="shared" si="4"/>
        <v>1448.86674905913</v>
      </c>
      <c r="U9" s="12">
        <f t="shared" si="4"/>
        <v>3047.35532449122</v>
      </c>
      <c r="V9" s="12">
        <f t="shared" si="4"/>
        <v>3400.84381763392</v>
      </c>
      <c r="W9" s="12">
        <f t="shared" si="4"/>
        <v>2281.2855072969</v>
      </c>
      <c r="X9" s="12">
        <f t="shared" si="4"/>
        <v>3061.05482579539</v>
      </c>
      <c r="Y9" s="12">
        <f t="shared" si="4"/>
        <v>1186.33861419012</v>
      </c>
      <c r="Z9" s="12">
        <f t="shared" si="4"/>
        <v>2732.279217085</v>
      </c>
      <c r="AA9" s="12">
        <f t="shared" si="4"/>
        <v>-550.054022052494</v>
      </c>
      <c r="AB9" s="12">
        <f t="shared" si="4"/>
        <v>45.5596000569076</v>
      </c>
      <c r="AC9" s="12">
        <f t="shared" si="4"/>
        <v>-316.067920933285</v>
      </c>
      <c r="AD9" s="12">
        <f t="shared" si="4"/>
        <v>-1461.52832784294</v>
      </c>
      <c r="AE9" s="12">
        <f t="shared" si="4"/>
        <v>1893.17590784467</v>
      </c>
      <c r="AF9" s="12">
        <f t="shared" si="4"/>
        <v>1779.16441358411</v>
      </c>
      <c r="AG9" s="12">
        <f t="shared" si="4"/>
        <v>397.878516584114</v>
      </c>
      <c r="AH9" s="12">
        <f t="shared" si="4"/>
        <v>75.0552009877841</v>
      </c>
      <c r="AI9" s="12">
        <f t="shared" si="4"/>
        <v>47.2358731896384</v>
      </c>
      <c r="AJ9" s="12">
        <f t="shared" si="4"/>
        <v>59.4858731896384</v>
      </c>
      <c r="AK9" s="12">
        <f t="shared" si="4"/>
        <v>30.7681667676201</v>
      </c>
      <c r="AL9" s="12">
        <f t="shared" si="4"/>
        <v>20.6918364923907</v>
      </c>
      <c r="AM9" s="12">
        <f t="shared" si="4"/>
        <v>-948.16456350761</v>
      </c>
      <c r="AN9" s="12">
        <f t="shared" si="4"/>
        <v>4925.19050758111</v>
      </c>
      <c r="AO9" s="12">
        <f t="shared" si="4"/>
        <v>0</v>
      </c>
      <c r="AP9" s="12">
        <f t="shared" si="4"/>
        <v>0</v>
      </c>
      <c r="AQ9" s="12">
        <f t="shared" si="4"/>
        <v>0</v>
      </c>
      <c r="AR9" s="12">
        <f t="shared" si="4"/>
        <v>0</v>
      </c>
      <c r="AS9" s="12">
        <f t="shared" si="4"/>
        <v>0</v>
      </c>
      <c r="AT9" s="12">
        <f t="shared" si="4"/>
        <v>0</v>
      </c>
      <c r="AU9" s="12">
        <f t="shared" si="4"/>
        <v>0</v>
      </c>
      <c r="AV9" s="12">
        <f t="shared" si="4"/>
        <v>0</v>
      </c>
      <c r="AW9" s="12">
        <f t="shared" si="4"/>
        <v>0</v>
      </c>
      <c r="AX9" s="12">
        <f t="shared" si="4"/>
        <v>0</v>
      </c>
      <c r="AY9" s="12">
        <f t="shared" si="4"/>
        <v>0</v>
      </c>
      <c r="AZ9" s="12">
        <f t="shared" si="4"/>
        <v>0</v>
      </c>
      <c r="BA9" s="12">
        <f t="shared" si="4"/>
        <v>0</v>
      </c>
      <c r="BB9" s="12">
        <f t="shared" si="4"/>
        <v>0</v>
      </c>
      <c r="BC9" s="12">
        <f t="shared" si="4"/>
        <v>0</v>
      </c>
      <c r="BD9" s="12">
        <f t="shared" si="4"/>
        <v>0</v>
      </c>
      <c r="BE9" s="12">
        <f t="shared" si="4"/>
        <v>0</v>
      </c>
      <c r="BF9" s="12">
        <f t="shared" si="4"/>
        <v>64611.7738450044</v>
      </c>
      <c r="BG9" s="12">
        <f t="shared" si="3"/>
        <v>-166.873064527317</v>
      </c>
    </row>
    <row r="10" s="2" customFormat="1" ht="29" customHeight="1" spans="1:59">
      <c r="A10" s="11" t="s">
        <v>34</v>
      </c>
      <c r="B10" s="12">
        <f>项目利润情况表!B14</f>
        <v>22449.4773197381</v>
      </c>
      <c r="C10" s="13">
        <f>4270.7</f>
        <v>4270.7</v>
      </c>
      <c r="D10" s="13"/>
      <c r="E10" s="13"/>
      <c r="F10" s="13"/>
      <c r="G10" s="13"/>
      <c r="H10" s="13"/>
      <c r="I10" s="13">
        <f>6405.9</f>
        <v>6405.9</v>
      </c>
      <c r="J10" s="13"/>
      <c r="K10" s="13">
        <f>C10+I10+成本测算明细!$D$12+成本测算明细!$D$16+成本测算明细!D18-0.64</f>
        <v>11683.0144179381</v>
      </c>
      <c r="L10" s="13"/>
      <c r="M10" s="13">
        <f>[7]开发计划预算!P2</f>
        <v>0</v>
      </c>
      <c r="N10" s="13">
        <f>[7]开发计划预算!Q2</f>
        <v>0</v>
      </c>
      <c r="O10" s="13">
        <f>[7]开发计划预算!R2</f>
        <v>0</v>
      </c>
      <c r="P10" s="13">
        <f>[7]开发计划预算!S2</f>
        <v>0</v>
      </c>
      <c r="Q10" s="13">
        <f>[7]开发计划预算!T2</f>
        <v>0</v>
      </c>
      <c r="R10" s="13">
        <f>[7]开发计划预算!U2</f>
        <v>0</v>
      </c>
      <c r="S10" s="13">
        <f>[7]开发计划预算!V2</f>
        <v>0</v>
      </c>
      <c r="T10" s="13">
        <f>[7]开发计划预算!W2</f>
        <v>0</v>
      </c>
      <c r="U10" s="13">
        <f>[7]开发计划预算!X2</f>
        <v>0</v>
      </c>
      <c r="V10" s="13">
        <f>[7]开发计划预算!Y2</f>
        <v>0</v>
      </c>
      <c r="W10" s="13">
        <f>[7]开发计划预算!Z2</f>
        <v>0</v>
      </c>
      <c r="X10" s="13">
        <f>[7]开发计划预算!AA2</f>
        <v>0</v>
      </c>
      <c r="Y10" s="13">
        <f>[7]开发计划预算!AB2</f>
        <v>0</v>
      </c>
      <c r="Z10" s="13">
        <f>[7]开发计划预算!AC2</f>
        <v>0</v>
      </c>
      <c r="AA10" s="13">
        <f>[7]开发计划预算!AD2</f>
        <v>0</v>
      </c>
      <c r="AB10" s="13">
        <f>[7]开发计划预算!AE2</f>
        <v>0</v>
      </c>
      <c r="AC10" s="13">
        <f>[7]开发计划预算!AF2</f>
        <v>0</v>
      </c>
      <c r="AD10" s="13">
        <f>[7]开发计划预算!AG2</f>
        <v>0</v>
      </c>
      <c r="AE10" s="13">
        <f>[7]开发计划预算!AH2</f>
        <v>0</v>
      </c>
      <c r="AF10" s="13">
        <f>[7]开发计划预算!AI2</f>
        <v>0</v>
      </c>
      <c r="AG10" s="13">
        <f>[7]开发计划预算!AJ2</f>
        <v>0</v>
      </c>
      <c r="AH10" s="13">
        <f>[7]开发计划预算!AK2</f>
        <v>0</v>
      </c>
      <c r="AI10" s="13">
        <f>[7]开发计划预算!AL2</f>
        <v>0</v>
      </c>
      <c r="AJ10" s="13">
        <f>[7]开发计划预算!AM2</f>
        <v>0</v>
      </c>
      <c r="AK10" s="13">
        <f>[7]开发计划预算!AN2</f>
        <v>0</v>
      </c>
      <c r="AL10" s="13">
        <f>[7]开发计划预算!AO2</f>
        <v>0</v>
      </c>
      <c r="AM10" s="13">
        <f>[7]开发计划预算!AP2</f>
        <v>0</v>
      </c>
      <c r="AN10" s="13">
        <f>[7]开发计划预算!AQ2</f>
        <v>0</v>
      </c>
      <c r="AO10" s="13"/>
      <c r="AP10" s="13"/>
      <c r="AQ10" s="13"/>
      <c r="AR10" s="13"/>
      <c r="AS10" s="13"/>
      <c r="AT10" s="13"/>
      <c r="AU10" s="13"/>
      <c r="AV10" s="13"/>
      <c r="AW10" s="13"/>
      <c r="AX10" s="13"/>
      <c r="AY10" s="13"/>
      <c r="AZ10" s="13"/>
      <c r="BA10" s="13"/>
      <c r="BB10" s="13"/>
      <c r="BC10" s="13"/>
      <c r="BD10" s="13"/>
      <c r="BE10" s="13"/>
      <c r="BF10" s="13">
        <f t="shared" ref="BF10:BF19" si="5">SUM(C10:BE10)</f>
        <v>22359.6144179381</v>
      </c>
      <c r="BG10" s="13">
        <f t="shared" si="3"/>
        <v>89.8629017999592</v>
      </c>
    </row>
    <row r="11" s="2" customFormat="1" ht="29" customHeight="1" spans="1:59">
      <c r="A11" s="11" t="s">
        <v>35</v>
      </c>
      <c r="B11" s="12">
        <f>项目利润情况表!B15</f>
        <v>33411.2325133287</v>
      </c>
      <c r="C11" s="13"/>
      <c r="D11" s="13"/>
      <c r="E11" s="13"/>
      <c r="F11" s="13"/>
      <c r="G11" s="13">
        <v>2.71</v>
      </c>
      <c r="H11" s="13">
        <v>77.86</v>
      </c>
      <c r="I11" s="13">
        <v>24</v>
      </c>
      <c r="J11" s="13">
        <v>16.8</v>
      </c>
      <c r="K11" s="13">
        <v>200</v>
      </c>
      <c r="L11" s="13">
        <f>274+200</f>
        <v>474</v>
      </c>
      <c r="M11" s="13">
        <v>2321.7232</v>
      </c>
      <c r="N11" s="13">
        <v>1048.41446716</v>
      </c>
      <c r="O11" s="25">
        <f>541.1+500</f>
        <v>1041.1</v>
      </c>
      <c r="P11" s="13">
        <f>1037.14906666667+500</f>
        <v>1537.14906666667</v>
      </c>
      <c r="Q11" s="13">
        <v>169.788701884</v>
      </c>
      <c r="R11" s="13">
        <f>164.167387648+1000+200</f>
        <v>1364.167387648</v>
      </c>
      <c r="S11" s="13">
        <v>990.99</v>
      </c>
      <c r="T11" s="13">
        <f>570.6712+500</f>
        <v>1070.6712</v>
      </c>
      <c r="U11" s="13">
        <v>654.670715</v>
      </c>
      <c r="V11" s="13">
        <f>2200.5936-500</f>
        <v>1700.5936</v>
      </c>
      <c r="W11" s="13">
        <v>3878.5066884</v>
      </c>
      <c r="X11" s="13">
        <f>2118.829495484+500</f>
        <v>2618.829495484</v>
      </c>
      <c r="Y11" s="13">
        <v>1404.560435712</v>
      </c>
      <c r="Z11" s="13">
        <v>2134.686191456</v>
      </c>
      <c r="AA11" s="13">
        <v>477.1726</v>
      </c>
      <c r="AB11" s="13">
        <v>645.606266746667</v>
      </c>
      <c r="AC11" s="13">
        <v>767.2437572</v>
      </c>
      <c r="AD11" s="13">
        <v>433.090656576</v>
      </c>
      <c r="AE11" s="13">
        <v>1845.9627986</v>
      </c>
      <c r="AF11" s="13">
        <v>1741.062497</v>
      </c>
      <c r="AG11" s="13">
        <v>1326.343</v>
      </c>
      <c r="AH11" s="13">
        <v>34.732</v>
      </c>
      <c r="AI11" s="13">
        <v>10</v>
      </c>
      <c r="AJ11" s="13">
        <v>24.1</v>
      </c>
      <c r="AK11" s="13">
        <v>0</v>
      </c>
      <c r="AL11" s="13">
        <v>0</v>
      </c>
      <c r="AM11" s="13">
        <v>0</v>
      </c>
      <c r="AN11" s="13">
        <v>3764.14</v>
      </c>
      <c r="AO11" s="14"/>
      <c r="AP11" s="14"/>
      <c r="AQ11" s="14"/>
      <c r="AR11" s="13"/>
      <c r="AS11" s="14"/>
      <c r="AT11" s="14"/>
      <c r="AU11" s="14"/>
      <c r="AV11" s="14"/>
      <c r="AW11" s="14"/>
      <c r="AX11" s="14"/>
      <c r="AY11" s="14"/>
      <c r="AZ11" s="14"/>
      <c r="BA11" s="14"/>
      <c r="BB11" s="14"/>
      <c r="BC11" s="14"/>
      <c r="BD11" s="14"/>
      <c r="BE11" s="14"/>
      <c r="BF11" s="13">
        <f t="shared" si="5"/>
        <v>33800.6747255333</v>
      </c>
      <c r="BG11" s="13">
        <f t="shared" si="3"/>
        <v>-389.442212204653</v>
      </c>
    </row>
    <row r="12" s="2" customFormat="1" ht="29" customHeight="1" spans="1:59">
      <c r="A12" s="11" t="s">
        <v>705</v>
      </c>
      <c r="B12" s="12">
        <f>成本测算明细!D242</f>
        <v>1437.77502</v>
      </c>
      <c r="C12" s="13"/>
      <c r="D12" s="13"/>
      <c r="E12" s="13"/>
      <c r="F12" s="13"/>
      <c r="G12" s="13"/>
      <c r="H12" s="13">
        <v>3.29</v>
      </c>
      <c r="I12" s="13">
        <v>10.55</v>
      </c>
      <c r="J12" s="13">
        <v>11.46</v>
      </c>
      <c r="K12" s="13">
        <f>40+10</f>
        <v>50</v>
      </c>
      <c r="L12" s="13">
        <f>43.2+30</f>
        <v>73.2</v>
      </c>
      <c r="M12" s="13">
        <f>82.3+30</f>
        <v>112.3</v>
      </c>
      <c r="N12" s="13">
        <v>219.2</v>
      </c>
      <c r="O12" s="13">
        <f>88.2+20</f>
        <v>108.2</v>
      </c>
      <c r="P12" s="13">
        <v>87.6</v>
      </c>
      <c r="Q12" s="13">
        <f>62.7+20</f>
        <v>82.7</v>
      </c>
      <c r="R12" s="13">
        <f>39+20+14.65</f>
        <v>73.65</v>
      </c>
      <c r="S12" s="13">
        <v>52.6</v>
      </c>
      <c r="T12" s="13">
        <v>71.5</v>
      </c>
      <c r="U12" s="13">
        <v>74.2</v>
      </c>
      <c r="V12" s="13">
        <v>63.7</v>
      </c>
      <c r="W12" s="13">
        <v>53.8</v>
      </c>
      <c r="X12" s="13">
        <v>52.5</v>
      </c>
      <c r="Y12" s="13">
        <v>55.1</v>
      </c>
      <c r="Z12" s="13">
        <v>51.5</v>
      </c>
      <c r="AA12" s="13">
        <v>50.1</v>
      </c>
      <c r="AB12" s="13">
        <f>39.7-16.58</f>
        <v>23.12</v>
      </c>
      <c r="AC12" s="13">
        <f>12.5</f>
        <v>12.5</v>
      </c>
      <c r="AD12" s="13">
        <v>6</v>
      </c>
      <c r="AE12" s="13">
        <v>6</v>
      </c>
      <c r="AF12" s="13">
        <v>5</v>
      </c>
      <c r="AG12" s="13">
        <v>5</v>
      </c>
      <c r="AH12" s="13">
        <v>5</v>
      </c>
      <c r="AI12" s="13">
        <v>4</v>
      </c>
      <c r="AJ12" s="13">
        <v>4</v>
      </c>
      <c r="AK12" s="13">
        <v>8</v>
      </c>
      <c r="AL12" s="13">
        <v>2.01</v>
      </c>
      <c r="AM12" s="13"/>
      <c r="AN12" s="13"/>
      <c r="AO12" s="14"/>
      <c r="AP12" s="14"/>
      <c r="AQ12" s="14"/>
      <c r="AR12" s="14"/>
      <c r="AS12" s="14"/>
      <c r="AT12" s="14"/>
      <c r="AU12" s="14"/>
      <c r="AV12" s="14"/>
      <c r="AW12" s="14"/>
      <c r="AX12" s="14"/>
      <c r="AY12" s="14"/>
      <c r="AZ12" s="14"/>
      <c r="BA12" s="14"/>
      <c r="BB12" s="14"/>
      <c r="BC12" s="14"/>
      <c r="BD12" s="14"/>
      <c r="BE12" s="14"/>
      <c r="BF12" s="13">
        <f t="shared" si="5"/>
        <v>1437.78</v>
      </c>
      <c r="BG12" s="14">
        <f t="shared" si="3"/>
        <v>-0.00497999999970489</v>
      </c>
    </row>
    <row r="13" s="2" customFormat="1" ht="29" customHeight="1" spans="1:59">
      <c r="A13" s="11" t="s">
        <v>706</v>
      </c>
      <c r="B13" s="12">
        <f>成本测算明细!D243</f>
        <v>1302.28372</v>
      </c>
      <c r="C13" s="13"/>
      <c r="D13" s="13"/>
      <c r="E13" s="13"/>
      <c r="F13" s="13">
        <v>0.8039</v>
      </c>
      <c r="G13" s="13">
        <v>2.86</v>
      </c>
      <c r="H13" s="13">
        <v>2.91</v>
      </c>
      <c r="I13" s="13">
        <v>7.86</v>
      </c>
      <c r="J13" s="13">
        <v>12.35</v>
      </c>
      <c r="K13" s="13">
        <v>30</v>
      </c>
      <c r="L13" s="13">
        <f>39.6961385133333+30</f>
        <v>69.6961385133333</v>
      </c>
      <c r="M13" s="13">
        <f>41.9861385133333+20</f>
        <v>61.9861385133333</v>
      </c>
      <c r="N13" s="13">
        <f>49.8961385133333+20</f>
        <v>69.8961385133333</v>
      </c>
      <c r="O13" s="13">
        <f>39.6961385133333+10</f>
        <v>49.6961385133333</v>
      </c>
      <c r="P13" s="13">
        <v>41.4911385133333</v>
      </c>
      <c r="Q13" s="13">
        <v>40.85209518</v>
      </c>
      <c r="R13" s="13">
        <v>43.43209518</v>
      </c>
      <c r="S13" s="13">
        <v>49.29603348</v>
      </c>
      <c r="T13" s="13">
        <v>38.92603348</v>
      </c>
      <c r="U13" s="13">
        <v>39.54603348</v>
      </c>
      <c r="V13" s="13">
        <v>40.04603348</v>
      </c>
      <c r="W13" s="13">
        <v>39.6209418426</v>
      </c>
      <c r="X13" s="13">
        <v>41.1209418426</v>
      </c>
      <c r="Y13" s="13">
        <v>39.4009418426</v>
      </c>
      <c r="Z13" s="13">
        <v>29.4209418426</v>
      </c>
      <c r="AA13" s="13">
        <v>29.6709418426</v>
      </c>
      <c r="AB13" s="13">
        <v>33.4909418426</v>
      </c>
      <c r="AC13" s="13">
        <v>27.4385862232667</v>
      </c>
      <c r="AD13" s="13">
        <v>22.5185862232667</v>
      </c>
      <c r="AE13" s="13">
        <v>30.9378798868667</v>
      </c>
      <c r="AF13" s="13">
        <v>20.2578798868667</v>
      </c>
      <c r="AG13" s="13">
        <v>20.3978798868667</v>
      </c>
      <c r="AH13" s="13">
        <v>20.9378798868667</v>
      </c>
      <c r="AI13" s="13">
        <v>20.3918364923907</v>
      </c>
      <c r="AJ13" s="13">
        <v>18.5418364923907</v>
      </c>
      <c r="AK13" s="13">
        <v>19.1718364923907</v>
      </c>
      <c r="AL13" s="13">
        <v>18.6818364923907</v>
      </c>
      <c r="AM13" s="13">
        <v>18.5418364923907</v>
      </c>
      <c r="AN13" s="13">
        <v>250.09</v>
      </c>
      <c r="AO13" s="14"/>
      <c r="AP13" s="14"/>
      <c r="AQ13" s="14"/>
      <c r="AR13" s="14"/>
      <c r="AS13" s="14"/>
      <c r="AT13" s="14"/>
      <c r="AU13" s="14"/>
      <c r="AV13" s="14"/>
      <c r="AW13" s="14"/>
      <c r="AX13" s="14"/>
      <c r="AY13" s="14"/>
      <c r="AZ13" s="14"/>
      <c r="BA13" s="14"/>
      <c r="BB13" s="14"/>
      <c r="BC13" s="14"/>
      <c r="BD13" s="14"/>
      <c r="BE13" s="14"/>
      <c r="BF13" s="13">
        <f t="shared" si="5"/>
        <v>1302.28144235822</v>
      </c>
      <c r="BG13" s="14">
        <f t="shared" si="3"/>
        <v>0.00227764177975587</v>
      </c>
    </row>
    <row r="14" s="2" customFormat="1" ht="29" customHeight="1" spans="1:59">
      <c r="A14" s="11" t="s">
        <v>704</v>
      </c>
      <c r="B14" s="12">
        <f>成本测算明细!D241</f>
        <v>2107.55192869767</v>
      </c>
      <c r="C14" s="13"/>
      <c r="D14" s="13"/>
      <c r="E14" s="14"/>
      <c r="F14" s="14"/>
      <c r="G14" s="14"/>
      <c r="H14" s="14"/>
      <c r="I14" s="14">
        <v>7.05</v>
      </c>
      <c r="J14" s="14"/>
      <c r="K14" s="14">
        <f>成本测算明细!D11*0.5*4.75%/12*5</f>
        <v>211.301421116563</v>
      </c>
      <c r="L14" s="14"/>
      <c r="M14" s="14"/>
      <c r="N14" s="14"/>
      <c r="O14" s="14"/>
      <c r="P14" s="14"/>
      <c r="Q14" s="14"/>
      <c r="R14" s="14"/>
      <c r="S14" s="14"/>
      <c r="T14" s="14"/>
      <c r="U14" s="32"/>
      <c r="V14" s="14"/>
      <c r="W14" s="14"/>
      <c r="X14" s="14"/>
      <c r="Y14" s="14"/>
      <c r="Z14" s="14"/>
      <c r="AA14" s="14"/>
      <c r="AB14" s="14"/>
      <c r="AC14" s="14"/>
      <c r="AD14" s="14"/>
      <c r="AE14" s="14"/>
      <c r="AF14" s="14"/>
      <c r="AG14" s="14"/>
      <c r="AH14" s="14"/>
      <c r="AI14" s="14"/>
      <c r="AJ14" s="14"/>
      <c r="AK14" s="14"/>
      <c r="AL14" s="14"/>
      <c r="AM14" s="14"/>
      <c r="AN14" s="38">
        <f>M25</f>
        <v>1889.20050758111</v>
      </c>
      <c r="AO14" s="14"/>
      <c r="AP14" s="14"/>
      <c r="AQ14" s="14"/>
      <c r="AR14" s="14"/>
      <c r="AS14" s="14"/>
      <c r="AT14" s="14"/>
      <c r="AU14" s="14"/>
      <c r="AV14" s="14"/>
      <c r="AW14" s="14"/>
      <c r="AX14" s="14"/>
      <c r="AY14" s="14"/>
      <c r="AZ14" s="14"/>
      <c r="BA14" s="14"/>
      <c r="BB14" s="14"/>
      <c r="BC14" s="14"/>
      <c r="BD14" s="14"/>
      <c r="BE14" s="14"/>
      <c r="BF14" s="13">
        <f t="shared" si="5"/>
        <v>2107.55192869767</v>
      </c>
      <c r="BG14" s="14">
        <f t="shared" si="3"/>
        <v>0</v>
      </c>
    </row>
    <row r="15" s="2" customFormat="1" ht="29" customHeight="1" spans="1:59">
      <c r="A15" s="11" t="s">
        <v>1334</v>
      </c>
      <c r="B15" s="12">
        <f>税金计算表!R36+项目利润情况表!B20</f>
        <v>3736.58027871266</v>
      </c>
      <c r="C15" s="13"/>
      <c r="D15" s="13"/>
      <c r="E15" s="13">
        <v>0.534</v>
      </c>
      <c r="F15" s="13">
        <v>0.624</v>
      </c>
      <c r="G15" s="13">
        <v>5.34</v>
      </c>
      <c r="H15" s="13">
        <v>1.98</v>
      </c>
      <c r="I15" s="13">
        <f>推售计划!H30/1.09*0.07</f>
        <v>0</v>
      </c>
      <c r="J15" s="13">
        <f>推售计划!I30/1.09*0.07</f>
        <v>0</v>
      </c>
      <c r="K15" s="13">
        <f>推售计划!J30/1.09*0.07</f>
        <v>0</v>
      </c>
      <c r="L15" s="13">
        <f>推售计划!K30/1.09*0.07</f>
        <v>0</v>
      </c>
      <c r="M15" s="13">
        <f>推售计划!L30/1.09*0.07</f>
        <v>0</v>
      </c>
      <c r="N15" s="13">
        <f>推售计划!M30/1.09*0.07</f>
        <v>927.238759972078</v>
      </c>
      <c r="O15" s="13">
        <f>推售计划!N30/1.09*0.07</f>
        <v>613.097066703231</v>
      </c>
      <c r="P15" s="13">
        <f>推售计划!O30/1.09*0.07</f>
        <v>685.327410291185</v>
      </c>
      <c r="Q15" s="13">
        <f>推售计划!P30/1.09*0.07</f>
        <v>171.378487420223</v>
      </c>
      <c r="R15" s="13">
        <f>推售计划!Q30/1.09*0.07</f>
        <v>119.55801067511</v>
      </c>
      <c r="S15" s="13">
        <f>推售计划!R30/1.09*0.07</f>
        <v>67.1430637814121</v>
      </c>
      <c r="T15" s="13">
        <f>推售计划!S30/1.09*0.07</f>
        <v>64.443212888911</v>
      </c>
      <c r="U15" s="13">
        <f>推售计划!T30/1.09*0.07</f>
        <v>118.631157484045</v>
      </c>
      <c r="V15" s="13">
        <f>推售计划!U30/1.09*0.07</f>
        <v>194.206156985441</v>
      </c>
      <c r="W15" s="13">
        <f>推售计划!V30/1.09*0.07</f>
        <v>218.011014614081</v>
      </c>
      <c r="X15" s="13">
        <f>推售计划!W30/1.09*0.07</f>
        <v>203.846994066614</v>
      </c>
      <c r="Y15" s="13">
        <f>推售计划!X30/1.09*0.07</f>
        <v>162.100407189868</v>
      </c>
      <c r="Z15" s="13">
        <f>推售计划!Y30/1.09*0.07</f>
        <v>152.177521938572</v>
      </c>
      <c r="AA15" s="13">
        <f>推售计划!Z30/1.09*0.07</f>
        <v>175.569287844037</v>
      </c>
      <c r="AB15" s="13">
        <f>推售计划!AA30/1.09*0.07</f>
        <v>135.595698668728</v>
      </c>
      <c r="AC15" s="13">
        <f>推售计划!AB30/1.09*0.07</f>
        <v>83.4124650727962</v>
      </c>
      <c r="AD15" s="13">
        <f>推售计划!AC30/1.09*0.07</f>
        <v>10.2752293577982</v>
      </c>
      <c r="AE15" s="13">
        <f>推售计划!AD30/1.09*0.07</f>
        <v>10.2752293577982</v>
      </c>
      <c r="AF15" s="13">
        <f>推售计划!AE30/1.09*0.07</f>
        <v>12.8440366972477</v>
      </c>
      <c r="AG15" s="13">
        <f>推售计划!AF30/1.09*0.07</f>
        <v>12.8440366972477</v>
      </c>
      <c r="AH15" s="13">
        <f>推售计划!AG30/1.09*0.07</f>
        <v>14.3853211009174</v>
      </c>
      <c r="AI15" s="13">
        <f>推售计划!AH30/1.09*0.07</f>
        <v>12.8440366972477</v>
      </c>
      <c r="AJ15" s="13">
        <f>推售计划!AI30/1.09*0.07</f>
        <v>12.8440366972477</v>
      </c>
      <c r="AK15" s="13">
        <f>推售计划!AJ30/1.09*0.07</f>
        <v>3.59633027522936</v>
      </c>
      <c r="AL15" s="13">
        <f>推售计划!AK30/1.09*0.07</f>
        <v>0</v>
      </c>
      <c r="AM15" s="13">
        <f>推售计划!AL30/1.09*0.07</f>
        <v>0</v>
      </c>
      <c r="AN15" s="13">
        <v>-586.25</v>
      </c>
      <c r="AO15" s="13"/>
      <c r="AP15" s="13">
        <f t="shared" ref="AP15:BE15" si="6">AO6/1.09*0.06</f>
        <v>0</v>
      </c>
      <c r="AQ15" s="13">
        <f t="shared" si="6"/>
        <v>0</v>
      </c>
      <c r="AR15" s="13">
        <f t="shared" si="6"/>
        <v>0</v>
      </c>
      <c r="AS15" s="13">
        <f t="shared" si="6"/>
        <v>0</v>
      </c>
      <c r="AT15" s="13">
        <f t="shared" si="6"/>
        <v>0</v>
      </c>
      <c r="AU15" s="13">
        <f t="shared" si="6"/>
        <v>0</v>
      </c>
      <c r="AV15" s="13">
        <f t="shared" si="6"/>
        <v>0</v>
      </c>
      <c r="AW15" s="13">
        <f t="shared" si="6"/>
        <v>0</v>
      </c>
      <c r="AX15" s="13">
        <f t="shared" si="6"/>
        <v>0</v>
      </c>
      <c r="AY15" s="13">
        <f t="shared" si="6"/>
        <v>0</v>
      </c>
      <c r="AZ15" s="13">
        <f t="shared" si="6"/>
        <v>0</v>
      </c>
      <c r="BA15" s="13">
        <f t="shared" si="6"/>
        <v>0</v>
      </c>
      <c r="BB15" s="13">
        <f t="shared" si="6"/>
        <v>0</v>
      </c>
      <c r="BC15" s="13">
        <f t="shared" si="6"/>
        <v>0</v>
      </c>
      <c r="BD15" s="13">
        <f t="shared" si="6"/>
        <v>0</v>
      </c>
      <c r="BE15" s="13">
        <f t="shared" si="6"/>
        <v>0</v>
      </c>
      <c r="BF15" s="13">
        <f t="shared" si="5"/>
        <v>3603.87297247707</v>
      </c>
      <c r="BG15" s="13">
        <f t="shared" si="3"/>
        <v>132.707306235588</v>
      </c>
    </row>
    <row r="16" s="2" customFormat="1" ht="29" customHeight="1" spans="1:59">
      <c r="A16" s="11" t="s">
        <v>1519</v>
      </c>
      <c r="B16" s="12"/>
      <c r="C16" s="13"/>
      <c r="D16" s="13"/>
      <c r="E16" s="13"/>
      <c r="F16" s="13"/>
      <c r="G16" s="13"/>
      <c r="H16" s="13"/>
      <c r="I16" s="13"/>
      <c r="J16" s="13"/>
      <c r="K16" s="13"/>
      <c r="L16" s="13"/>
      <c r="M16" s="13">
        <f>(推售计划!L29-推售计划!L26)*0.01</f>
        <v>0</v>
      </c>
      <c r="N16" s="13">
        <f>(推售计划!M29-推售计划!M26)*0.01</f>
        <v>0</v>
      </c>
      <c r="O16" s="13">
        <f>(推售计划!N29-推售计划!N26)*0.01</f>
        <v>87.1101347282609</v>
      </c>
      <c r="P16" s="13">
        <f>(推售计划!O29-推售计划!O26)*0.01</f>
        <v>96.8609446630435</v>
      </c>
      <c r="Q16" s="13">
        <f>(推售计划!P29-推售计划!P26)*0.01</f>
        <v>20.3141873641304</v>
      </c>
      <c r="R16" s="13">
        <f>(推售计划!Q29-推售计划!Q26)*0.01</f>
        <v>17.0639173858696</v>
      </c>
      <c r="S16" s="13">
        <f>(推售计划!R29-推售计划!R26)*0.01</f>
        <v>8.12567494565218</v>
      </c>
      <c r="T16" s="13">
        <f>(推售计划!S29-推售计划!S26)*0.01</f>
        <v>4.06283747282609</v>
      </c>
      <c r="U16" s="13">
        <f>(推售计划!T29-推售计划!T26)*0.01</f>
        <v>8.93824244021739</v>
      </c>
      <c r="V16" s="13">
        <f>(推售计划!U29-推售计划!U26)*0.01</f>
        <v>17.0639173858696</v>
      </c>
      <c r="W16" s="13">
        <f>(推售计划!V29-推售计划!V26)*0.01</f>
        <v>25.1895923315217</v>
      </c>
      <c r="X16" s="13">
        <f>(推售计划!W29-推售计划!W26)*0.01</f>
        <v>24.3770248369565</v>
      </c>
      <c r="Y16" s="13">
        <f>(推售计划!X29-推售计划!X26)*0.01</f>
        <v>17.8764848804348</v>
      </c>
      <c r="Z16" s="13">
        <f>(推售计划!Y29-推售计划!Y26)*0.01</f>
        <v>16.2513498913044</v>
      </c>
      <c r="AA16" s="13">
        <f>(推售计划!Z29-推售计划!Z26)*0.01</f>
        <v>16.2513498913044</v>
      </c>
      <c r="AB16" s="13">
        <f>(推售计划!AA29-推售计划!AA26)*0.01</f>
        <v>20.3141873641304</v>
      </c>
      <c r="AC16" s="13">
        <f>(推售计划!AB29-推售计划!AB26)*0.01</f>
        <v>12.1885124184783</v>
      </c>
      <c r="AD16" s="13">
        <f>(推售计划!AC29-推售计划!AC26)*0.01</f>
        <v>0</v>
      </c>
      <c r="AE16" s="13">
        <f>(推售计划!AD29-推售计划!AD26)*0.01</f>
        <v>0</v>
      </c>
      <c r="AF16" s="13">
        <f>(推售计划!AE29-推售计划!AE26)*0.01</f>
        <v>0</v>
      </c>
      <c r="AG16" s="13">
        <f>(推售计划!AF29-推售计划!AF26)*0.01</f>
        <v>0</v>
      </c>
      <c r="AH16" s="13">
        <f>(推售计划!AG29-推售计划!AG26)*0.01</f>
        <v>0</v>
      </c>
      <c r="AI16" s="13">
        <f>(推售计划!AH29-推售计划!AH26)*0.01</f>
        <v>0</v>
      </c>
      <c r="AJ16" s="13">
        <f>(推售计划!AI29-推售计划!AI26)*0.01</f>
        <v>0</v>
      </c>
      <c r="AK16" s="13">
        <f>(推售计划!AJ29-推售计划!AJ26)*0.01</f>
        <v>0</v>
      </c>
      <c r="AL16" s="13">
        <f>(推售计划!AK29-推售计划!AK26)*0.01</f>
        <v>0</v>
      </c>
      <c r="AM16" s="13">
        <f>(推售计划!AL29-推售计划!AL26)*0.01</f>
        <v>0</v>
      </c>
      <c r="AN16" s="13">
        <v>-391.99</v>
      </c>
      <c r="AO16" s="14"/>
      <c r="AP16" s="14"/>
      <c r="AQ16" s="14"/>
      <c r="AR16" s="14"/>
      <c r="AS16" s="14"/>
      <c r="AT16" s="14"/>
      <c r="AU16" s="14"/>
      <c r="AV16" s="14"/>
      <c r="AW16" s="14"/>
      <c r="AX16" s="14"/>
      <c r="AY16" s="14"/>
      <c r="AZ16" s="14"/>
      <c r="BA16" s="14"/>
      <c r="BB16" s="14"/>
      <c r="BC16" s="14"/>
      <c r="BD16" s="14"/>
      <c r="BE16" s="14"/>
      <c r="BF16" s="13">
        <f t="shared" si="5"/>
        <v>-0.00164200000000392</v>
      </c>
      <c r="BG16" s="13">
        <f t="shared" si="3"/>
        <v>0.00164200000000392</v>
      </c>
    </row>
    <row r="17" s="2" customFormat="1" ht="29" customHeight="1" spans="1:59">
      <c r="A17" s="11" t="s">
        <v>1520</v>
      </c>
      <c r="B17" s="12"/>
      <c r="C17" s="13"/>
      <c r="D17" s="13"/>
      <c r="E17" s="14"/>
      <c r="F17" s="14"/>
      <c r="G17" s="14"/>
      <c r="H17" s="14"/>
      <c r="I17" s="14"/>
      <c r="J17" s="14"/>
      <c r="K17" s="14"/>
      <c r="L17" s="13"/>
      <c r="M17" s="14">
        <f>M7</f>
        <v>13382.4321195652</v>
      </c>
      <c r="N17" s="14">
        <f t="shared" ref="M17:AH17" si="7">N7</f>
        <v>9546.79718152174</v>
      </c>
      <c r="O17" s="14">
        <f t="shared" si="7"/>
        <v>10591.5268173913</v>
      </c>
      <c r="P17" s="14">
        <f t="shared" si="7"/>
        <v>2588.60787554348</v>
      </c>
      <c r="Q17" s="14">
        <f t="shared" si="7"/>
        <v>1845.68902336957</v>
      </c>
      <c r="R17" s="14">
        <f t="shared" si="7"/>
        <v>1021.51342173913</v>
      </c>
      <c r="S17" s="14">
        <f t="shared" si="7"/>
        <v>963.472886413044</v>
      </c>
      <c r="T17" s="14">
        <f t="shared" si="7"/>
        <v>1799.2565951087</v>
      </c>
      <c r="U17" s="14">
        <f t="shared" si="7"/>
        <v>2960.06730163044</v>
      </c>
      <c r="V17" s="14">
        <f t="shared" si="7"/>
        <v>3354.74294184783</v>
      </c>
      <c r="W17" s="14">
        <f t="shared" si="7"/>
        <v>3134.1889076087</v>
      </c>
      <c r="X17" s="14">
        <f t="shared" si="7"/>
        <v>2484.13491195652</v>
      </c>
      <c r="Y17" s="14">
        <f t="shared" si="7"/>
        <v>2321.62141304348</v>
      </c>
      <c r="Z17" s="14">
        <f t="shared" si="7"/>
        <v>2669.864625</v>
      </c>
      <c r="AA17" s="14">
        <f t="shared" si="7"/>
        <v>2031.41873641304</v>
      </c>
      <c r="AB17" s="14">
        <f t="shared" si="7"/>
        <v>1218.85124184783</v>
      </c>
      <c r="AC17" s="14">
        <f t="shared" si="7"/>
        <v>0</v>
      </c>
      <c r="AD17" s="14">
        <f t="shared" si="7"/>
        <v>0</v>
      </c>
      <c r="AE17" s="14">
        <f t="shared" si="7"/>
        <v>0</v>
      </c>
      <c r="AF17" s="14">
        <f t="shared" si="7"/>
        <v>0</v>
      </c>
      <c r="AG17" s="14">
        <f t="shared" si="7"/>
        <v>0</v>
      </c>
      <c r="AH17" s="14">
        <f t="shared" si="7"/>
        <v>0</v>
      </c>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3">
        <f t="shared" si="5"/>
        <v>61914.186</v>
      </c>
      <c r="BG17" s="13">
        <f t="shared" si="3"/>
        <v>-61914.186</v>
      </c>
    </row>
    <row r="18" s="2" customFormat="1" ht="29" customHeight="1" spans="1:60">
      <c r="A18" s="11" t="s">
        <v>1521</v>
      </c>
      <c r="B18" s="12"/>
      <c r="C18" s="13"/>
      <c r="D18" s="13"/>
      <c r="E18" s="14"/>
      <c r="F18" s="14"/>
      <c r="G18" s="14"/>
      <c r="H18" s="14"/>
      <c r="I18" s="14"/>
      <c r="J18" s="14"/>
      <c r="K18" s="14"/>
      <c r="L18" s="13"/>
      <c r="M18" s="14"/>
      <c r="N18" s="14">
        <f>-(M17-监管资金节点!K34*0.8-监管资金节点!K36*0.8)</f>
        <v>-5140.50589664031</v>
      </c>
      <c r="O18" s="14">
        <f>-(N17-监管资金节点!K35*0.8)</f>
        <v>-7604.39950879447</v>
      </c>
      <c r="P18" s="14">
        <f>-O17-监管资金节点!K40*(35%+10%)</f>
        <v>-16320.2090086957</v>
      </c>
      <c r="Q18" s="14">
        <f>-P17</f>
        <v>-2588.60787554348</v>
      </c>
      <c r="R18" s="14">
        <f>-Q17</f>
        <v>-1845.68902336957</v>
      </c>
      <c r="S18" s="14">
        <f>-R17</f>
        <v>-1021.51342173913</v>
      </c>
      <c r="T18" s="14">
        <f>-(监管资金节点!K40)*0.05-S17</f>
        <v>-1599.9931298913</v>
      </c>
      <c r="U18" s="14">
        <f>-(T17-监管资金节点!K37*0.45)</f>
        <v>-808.698125543478</v>
      </c>
      <c r="V18" s="14">
        <f>-(U17-监管资金节点!K38*0.45)</f>
        <v>-1969.50883206522</v>
      </c>
      <c r="W18" s="14">
        <f>-V17-监管资金节点!K40*10%-(监管资金节点!K37+监管资金节点!K38)*10%</f>
        <v>-5068.0316375</v>
      </c>
      <c r="X18" s="14">
        <f>-(W17-监管资金节点!K39*35%)</f>
        <v>-2363.75454239131</v>
      </c>
      <c r="Y18" s="14">
        <f>-X17-监管资金节点!M40*5%</f>
        <v>-2814.32106847826</v>
      </c>
      <c r="Z18" s="14">
        <f>-Y17</f>
        <v>-2321.62141304348</v>
      </c>
      <c r="AA18" s="14">
        <f>-Z17-监管资金节点!M40*10%</f>
        <v>-3330.23693804348</v>
      </c>
      <c r="AB18" s="14">
        <f>-AA17</f>
        <v>-2031.41873641304</v>
      </c>
      <c r="AC18" s="14">
        <f>-AB17</f>
        <v>-1218.85124184783</v>
      </c>
      <c r="AD18" s="14">
        <f>-(监管资金节点!K40+监管资金节点!M40)*10%</f>
        <v>-1933.4128</v>
      </c>
      <c r="AE18" s="14"/>
      <c r="AF18" s="14"/>
      <c r="AG18" s="14">
        <f>-(监管资金节点!K40+监管资金节点!M40)*(10%-5%)</f>
        <v>-966.706400000001</v>
      </c>
      <c r="AH18" s="14"/>
      <c r="AI18" s="14"/>
      <c r="AJ18" s="14"/>
      <c r="AK18" s="14"/>
      <c r="AL18" s="14"/>
      <c r="AM18" s="14">
        <f>-(监管资金节点!K40+监管资金节点!M40)*5%</f>
        <v>-966.706400000001</v>
      </c>
      <c r="AN18" s="14"/>
      <c r="AO18" s="14"/>
      <c r="AP18" s="14"/>
      <c r="AQ18" s="14"/>
      <c r="AR18" s="14"/>
      <c r="AS18" s="14"/>
      <c r="AT18" s="14"/>
      <c r="AU18" s="14"/>
      <c r="AV18" s="14"/>
      <c r="AW18" s="14"/>
      <c r="AX18" s="14"/>
      <c r="AY18" s="14"/>
      <c r="AZ18" s="14"/>
      <c r="BA18" s="14"/>
      <c r="BB18" s="14"/>
      <c r="BC18" s="14"/>
      <c r="BD18" s="14"/>
      <c r="BE18" s="14"/>
      <c r="BF18" s="13">
        <f t="shared" si="5"/>
        <v>-61914.186</v>
      </c>
      <c r="BG18" s="13">
        <f t="shared" si="3"/>
        <v>61914.186</v>
      </c>
      <c r="BH18" s="21">
        <f>SUM(BG17:BG18)</f>
        <v>0</v>
      </c>
    </row>
    <row r="19" s="2" customFormat="1" ht="29" customHeight="1" spans="1:59">
      <c r="A19" s="11" t="s">
        <v>1522</v>
      </c>
      <c r="B19" s="12"/>
      <c r="C19" s="13"/>
      <c r="D19" s="13"/>
      <c r="E19" s="14"/>
      <c r="F19" s="14"/>
      <c r="G19" s="14"/>
      <c r="H19" s="14"/>
      <c r="I19" s="14"/>
      <c r="J19" s="14"/>
      <c r="K19" s="14"/>
      <c r="L19" s="14"/>
      <c r="M19" s="14"/>
      <c r="N19" s="14"/>
      <c r="O19" s="14"/>
      <c r="P19" s="14"/>
      <c r="Q19" s="14"/>
      <c r="R19" s="14"/>
      <c r="S19" s="14"/>
      <c r="T19" s="14"/>
      <c r="U19" s="33"/>
      <c r="V19" s="14"/>
      <c r="W19" s="14"/>
      <c r="X19" s="14"/>
      <c r="Y19" s="33"/>
      <c r="Z19" s="33"/>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3">
        <f t="shared" si="5"/>
        <v>0</v>
      </c>
      <c r="BG19" s="13">
        <f t="shared" si="3"/>
        <v>0</v>
      </c>
    </row>
    <row r="20" s="2" customFormat="1" ht="29" customHeight="1" spans="1:59">
      <c r="A20" s="11" t="s">
        <v>1523</v>
      </c>
      <c r="B20" s="12">
        <f>B6-B9</f>
        <v>669.285219522921</v>
      </c>
      <c r="C20" s="12">
        <f t="shared" ref="C20:BF20" si="8">C5+C6-C9</f>
        <v>-4270.7</v>
      </c>
      <c r="D20" s="12">
        <f t="shared" si="8"/>
        <v>-4270.7</v>
      </c>
      <c r="E20" s="12">
        <f t="shared" si="8"/>
        <v>-4271.234</v>
      </c>
      <c r="F20" s="12">
        <f t="shared" si="8"/>
        <v>-4272.6619</v>
      </c>
      <c r="G20" s="12">
        <f t="shared" si="8"/>
        <v>-4283.5719</v>
      </c>
      <c r="H20" s="12">
        <f t="shared" si="8"/>
        <v>-4369.6119</v>
      </c>
      <c r="I20" s="12">
        <f t="shared" si="8"/>
        <v>-10824.9719</v>
      </c>
      <c r="J20" s="12">
        <f t="shared" si="8"/>
        <v>-10865.5819</v>
      </c>
      <c r="K20" s="12">
        <f t="shared" si="8"/>
        <v>-23039.8977390547</v>
      </c>
      <c r="L20" s="12">
        <f t="shared" si="8"/>
        <v>-23656.793877568</v>
      </c>
      <c r="M20" s="12">
        <f t="shared" si="8"/>
        <v>-25096.8032160813</v>
      </c>
      <c r="N20" s="12">
        <f t="shared" si="8"/>
        <v>-22221.0466850864</v>
      </c>
      <c r="O20" s="12">
        <f t="shared" si="8"/>
        <v>-16435.8505162368</v>
      </c>
      <c r="P20" s="12">
        <f t="shared" si="8"/>
        <v>-2484.07006767537</v>
      </c>
      <c r="Q20" s="12">
        <f t="shared" si="8"/>
        <v>-364.495663980245</v>
      </c>
      <c r="R20" s="12">
        <f t="shared" si="8"/>
        <v>-112.678051499659</v>
      </c>
      <c r="S20" s="12">
        <f t="shared" si="8"/>
        <v>-219.319401967593</v>
      </c>
      <c r="T20" s="12">
        <f t="shared" si="8"/>
        <v>179.070444081975</v>
      </c>
      <c r="U20" s="12">
        <f t="shared" si="8"/>
        <v>155.782421221191</v>
      </c>
      <c r="V20" s="12">
        <f t="shared" si="8"/>
        <v>149.681545435099</v>
      </c>
      <c r="W20" s="12">
        <f t="shared" si="8"/>
        <v>1042.5849457469</v>
      </c>
      <c r="X20" s="12">
        <f t="shared" si="8"/>
        <v>505.665031908033</v>
      </c>
      <c r="Y20" s="12">
        <f t="shared" si="8"/>
        <v>1688.94783076139</v>
      </c>
      <c r="Z20" s="12">
        <f t="shared" si="8"/>
        <v>1690.53323867639</v>
      </c>
      <c r="AA20" s="12">
        <f t="shared" si="8"/>
        <v>4352.00599714193</v>
      </c>
      <c r="AB20" s="12">
        <f t="shared" si="8"/>
        <v>5605.29763893285</v>
      </c>
      <c r="AC20" s="12">
        <f t="shared" si="8"/>
        <v>6081.36555986613</v>
      </c>
      <c r="AD20" s="12">
        <f t="shared" si="8"/>
        <v>7702.89388770907</v>
      </c>
      <c r="AE20" s="12">
        <f t="shared" si="8"/>
        <v>6009.7179798644</v>
      </c>
      <c r="AF20" s="12">
        <f t="shared" si="8"/>
        <v>4430.55356628029</v>
      </c>
      <c r="AG20" s="12">
        <f t="shared" si="8"/>
        <v>4256.67504969618</v>
      </c>
      <c r="AH20" s="12">
        <f t="shared" si="8"/>
        <v>4381.61984870839</v>
      </c>
      <c r="AI20" s="12">
        <f t="shared" si="8"/>
        <v>4534.38397551875</v>
      </c>
      <c r="AJ20" s="12">
        <f t="shared" si="8"/>
        <v>4530.89810232912</v>
      </c>
      <c r="AK20" s="12">
        <f t="shared" si="8"/>
        <v>4500.1299355615</v>
      </c>
      <c r="AL20" s="12">
        <f t="shared" si="8"/>
        <v>4479.43809906911</v>
      </c>
      <c r="AM20" s="12">
        <f t="shared" si="8"/>
        <v>5427.60266257672</v>
      </c>
      <c r="AN20" s="12">
        <f t="shared" si="8"/>
        <v>502.412154995605</v>
      </c>
      <c r="AO20" s="12">
        <f t="shared" si="8"/>
        <v>502.412154995605</v>
      </c>
      <c r="AP20" s="12">
        <f t="shared" si="8"/>
        <v>502.412154995605</v>
      </c>
      <c r="AQ20" s="12">
        <f t="shared" si="8"/>
        <v>502.412154995605</v>
      </c>
      <c r="AR20" s="12">
        <f t="shared" si="8"/>
        <v>502.412154995605</v>
      </c>
      <c r="AS20" s="12">
        <f t="shared" si="8"/>
        <v>502.412154995605</v>
      </c>
      <c r="AT20" s="12">
        <f t="shared" si="8"/>
        <v>502.412154995605</v>
      </c>
      <c r="AU20" s="12">
        <f t="shared" si="8"/>
        <v>502.412154995605</v>
      </c>
      <c r="AV20" s="12">
        <f t="shared" si="8"/>
        <v>502.412154995605</v>
      </c>
      <c r="AW20" s="12">
        <f t="shared" si="8"/>
        <v>502.412154995605</v>
      </c>
      <c r="AX20" s="12">
        <f t="shared" si="8"/>
        <v>502.412154995605</v>
      </c>
      <c r="AY20" s="12">
        <f t="shared" si="8"/>
        <v>502.412154995605</v>
      </c>
      <c r="AZ20" s="12">
        <f t="shared" si="8"/>
        <v>502.412154995605</v>
      </c>
      <c r="BA20" s="12">
        <f t="shared" si="8"/>
        <v>502.412154995605</v>
      </c>
      <c r="BB20" s="12">
        <f t="shared" si="8"/>
        <v>502.412154995605</v>
      </c>
      <c r="BC20" s="12">
        <f t="shared" si="8"/>
        <v>502.412154995605</v>
      </c>
      <c r="BD20" s="12">
        <f t="shared" si="8"/>
        <v>502.412154995605</v>
      </c>
      <c r="BE20" s="12">
        <f t="shared" si="8"/>
        <v>502.412154995605</v>
      </c>
      <c r="BF20" s="12">
        <f t="shared" si="8"/>
        <v>502.412154995647</v>
      </c>
      <c r="BG20" s="12">
        <f t="shared" si="3"/>
        <v>166.873064527274</v>
      </c>
    </row>
    <row r="21" s="2" customFormat="1" ht="29" customHeight="1" spans="1:59">
      <c r="A21" s="11" t="s">
        <v>1524</v>
      </c>
      <c r="B21" s="12">
        <f>B20</f>
        <v>669.285219522921</v>
      </c>
      <c r="C21" s="12">
        <f t="shared" ref="C21:BF21" si="9">C6-C9</f>
        <v>-4270.7</v>
      </c>
      <c r="D21" s="12">
        <f t="shared" si="9"/>
        <v>0</v>
      </c>
      <c r="E21" s="12">
        <f t="shared" si="9"/>
        <v>-0.534</v>
      </c>
      <c r="F21" s="12">
        <f t="shared" si="9"/>
        <v>-1.4279</v>
      </c>
      <c r="G21" s="12">
        <f t="shared" si="9"/>
        <v>-10.91</v>
      </c>
      <c r="H21" s="12">
        <f t="shared" si="9"/>
        <v>-86.04</v>
      </c>
      <c r="I21" s="12">
        <f t="shared" si="9"/>
        <v>-6455.36</v>
      </c>
      <c r="J21" s="12">
        <f t="shared" si="9"/>
        <v>-40.61</v>
      </c>
      <c r="K21" s="12">
        <f t="shared" si="9"/>
        <v>-12174.3158390547</v>
      </c>
      <c r="L21" s="12">
        <f t="shared" si="9"/>
        <v>-616.896138513333</v>
      </c>
      <c r="M21" s="12">
        <f t="shared" si="9"/>
        <v>-1440.00933851333</v>
      </c>
      <c r="N21" s="12">
        <f t="shared" si="9"/>
        <v>2875.7565309949</v>
      </c>
      <c r="O21" s="12">
        <f t="shared" si="9"/>
        <v>5785.19616884964</v>
      </c>
      <c r="P21" s="12">
        <f t="shared" si="9"/>
        <v>13951.7804485614</v>
      </c>
      <c r="Q21" s="12">
        <f t="shared" si="9"/>
        <v>2119.57440369512</v>
      </c>
      <c r="R21" s="12">
        <f t="shared" si="9"/>
        <v>251.817612480586</v>
      </c>
      <c r="S21" s="12">
        <f t="shared" si="9"/>
        <v>-106.641350467934</v>
      </c>
      <c r="T21" s="12">
        <f t="shared" si="9"/>
        <v>398.389846049567</v>
      </c>
      <c r="U21" s="12">
        <f t="shared" si="9"/>
        <v>-23.2880228607837</v>
      </c>
      <c r="V21" s="12">
        <f t="shared" si="9"/>
        <v>-6.10087578609227</v>
      </c>
      <c r="W21" s="12">
        <f t="shared" si="9"/>
        <v>892.903400311799</v>
      </c>
      <c r="X21" s="12">
        <f t="shared" si="9"/>
        <v>-536.919913838865</v>
      </c>
      <c r="Y21" s="12">
        <f t="shared" si="9"/>
        <v>1183.28279885336</v>
      </c>
      <c r="Z21" s="12">
        <f t="shared" si="9"/>
        <v>1.58540791500172</v>
      </c>
      <c r="AA21" s="12">
        <f t="shared" si="9"/>
        <v>2661.47275846554</v>
      </c>
      <c r="AB21" s="12">
        <f t="shared" si="9"/>
        <v>1253.29164179092</v>
      </c>
      <c r="AC21" s="12">
        <f t="shared" si="9"/>
        <v>476.067920933285</v>
      </c>
      <c r="AD21" s="12">
        <f t="shared" si="9"/>
        <v>1621.52832784294</v>
      </c>
      <c r="AE21" s="12">
        <f t="shared" si="9"/>
        <v>-1693.17590784467</v>
      </c>
      <c r="AF21" s="12">
        <f t="shared" si="9"/>
        <v>-1579.16441358411</v>
      </c>
      <c r="AG21" s="12">
        <f t="shared" si="9"/>
        <v>-173.878516584114</v>
      </c>
      <c r="AH21" s="12">
        <f t="shared" si="9"/>
        <v>124.944799012216</v>
      </c>
      <c r="AI21" s="12">
        <f t="shared" si="9"/>
        <v>152.764126810362</v>
      </c>
      <c r="AJ21" s="12">
        <f t="shared" si="9"/>
        <v>-3.48587318963841</v>
      </c>
      <c r="AK21" s="12">
        <f t="shared" si="9"/>
        <v>-30.7681667676201</v>
      </c>
      <c r="AL21" s="12">
        <f t="shared" si="9"/>
        <v>-20.6918364923907</v>
      </c>
      <c r="AM21" s="12">
        <f t="shared" si="9"/>
        <v>948.16456350761</v>
      </c>
      <c r="AN21" s="12">
        <f t="shared" si="9"/>
        <v>-4925.19050758111</v>
      </c>
      <c r="AO21" s="12">
        <f t="shared" si="9"/>
        <v>0</v>
      </c>
      <c r="AP21" s="12">
        <f t="shared" si="9"/>
        <v>0</v>
      </c>
      <c r="AQ21" s="12">
        <f t="shared" si="9"/>
        <v>0</v>
      </c>
      <c r="AR21" s="12">
        <f t="shared" si="9"/>
        <v>0</v>
      </c>
      <c r="AS21" s="12">
        <f t="shared" si="9"/>
        <v>0</v>
      </c>
      <c r="AT21" s="12">
        <f t="shared" si="9"/>
        <v>0</v>
      </c>
      <c r="AU21" s="12">
        <f t="shared" si="9"/>
        <v>0</v>
      </c>
      <c r="AV21" s="12">
        <f t="shared" si="9"/>
        <v>0</v>
      </c>
      <c r="AW21" s="12">
        <f t="shared" si="9"/>
        <v>0</v>
      </c>
      <c r="AX21" s="12">
        <f t="shared" si="9"/>
        <v>0</v>
      </c>
      <c r="AY21" s="12">
        <f t="shared" si="9"/>
        <v>0</v>
      </c>
      <c r="AZ21" s="12">
        <f t="shared" si="9"/>
        <v>0</v>
      </c>
      <c r="BA21" s="12">
        <f t="shared" si="9"/>
        <v>0</v>
      </c>
      <c r="BB21" s="12">
        <f t="shared" si="9"/>
        <v>0</v>
      </c>
      <c r="BC21" s="12">
        <f t="shared" si="9"/>
        <v>0</v>
      </c>
      <c r="BD21" s="12">
        <f t="shared" si="9"/>
        <v>0</v>
      </c>
      <c r="BE21" s="12">
        <f t="shared" si="9"/>
        <v>0</v>
      </c>
      <c r="BF21" s="12">
        <f t="shared" si="9"/>
        <v>502.412154995647</v>
      </c>
      <c r="BG21" s="12"/>
    </row>
    <row r="22" s="2" customFormat="1" ht="29" customHeight="1" spans="1:59">
      <c r="A22" s="15" t="s">
        <v>1525</v>
      </c>
      <c r="B22" s="16">
        <f>IRR(C21:AZ21,)*12</f>
        <v>0.0553438906532957</v>
      </c>
      <c r="C22" s="16"/>
      <c r="D22" s="16"/>
      <c r="E22" s="14"/>
      <c r="F22" s="14"/>
      <c r="G22" s="14"/>
      <c r="H22" s="14"/>
      <c r="I22" s="14"/>
      <c r="J22" s="14"/>
      <c r="K22" s="14"/>
      <c r="L22" s="14"/>
      <c r="M22" s="14"/>
      <c r="N22" s="14"/>
      <c r="O22" s="13"/>
      <c r="P22" s="14"/>
      <c r="Q22" s="34"/>
      <c r="R22" s="34"/>
      <c r="S22" s="34"/>
      <c r="T22" s="35" t="s">
        <v>1526</v>
      </c>
      <c r="U22" s="13"/>
      <c r="V22" s="33"/>
      <c r="X22" s="13"/>
      <c r="Y22" s="34"/>
      <c r="Z22" s="34"/>
      <c r="AB22" s="14"/>
      <c r="AC22" s="14"/>
      <c r="AD22" s="13"/>
      <c r="AE22" s="13"/>
      <c r="AF22" s="13"/>
      <c r="AG22" s="13"/>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3">
        <f>SUM(E22:BE22)</f>
        <v>0</v>
      </c>
      <c r="BG22" s="14">
        <v>0</v>
      </c>
    </row>
    <row r="23" s="2" customFormat="1" ht="29" customHeight="1" spans="1:59">
      <c r="A23" s="15" t="s">
        <v>1527</v>
      </c>
      <c r="B23" s="14"/>
      <c r="C23" s="17">
        <v>1</v>
      </c>
      <c r="D23" s="17">
        <v>2</v>
      </c>
      <c r="E23" s="17">
        <v>3</v>
      </c>
      <c r="F23" s="17">
        <v>4</v>
      </c>
      <c r="G23" s="17">
        <v>5</v>
      </c>
      <c r="H23" s="17">
        <v>6</v>
      </c>
      <c r="I23" s="17">
        <v>7</v>
      </c>
      <c r="J23" s="17">
        <v>8</v>
      </c>
      <c r="K23" s="17">
        <v>9</v>
      </c>
      <c r="L23" s="17">
        <v>10</v>
      </c>
      <c r="M23" s="17">
        <v>11</v>
      </c>
      <c r="N23" s="17">
        <v>12</v>
      </c>
      <c r="O23" s="17">
        <v>13</v>
      </c>
      <c r="P23" s="17">
        <v>14</v>
      </c>
      <c r="Q23" s="17">
        <v>15</v>
      </c>
      <c r="R23" s="17">
        <v>16</v>
      </c>
      <c r="S23" s="17">
        <v>17</v>
      </c>
      <c r="T23" s="17">
        <v>18</v>
      </c>
      <c r="U23" s="36">
        <v>19</v>
      </c>
      <c r="V23" s="17">
        <v>20</v>
      </c>
      <c r="W23" s="17">
        <v>21</v>
      </c>
      <c r="X23" s="17">
        <v>22</v>
      </c>
      <c r="Y23" s="17">
        <v>23</v>
      </c>
      <c r="Z23" s="17">
        <v>24</v>
      </c>
      <c r="AA23" s="17">
        <v>25</v>
      </c>
      <c r="AB23" s="17">
        <v>26</v>
      </c>
      <c r="AC23" s="17">
        <v>27</v>
      </c>
      <c r="AD23" s="17">
        <v>28</v>
      </c>
      <c r="AE23" s="17">
        <v>29</v>
      </c>
      <c r="AF23" s="17">
        <v>30</v>
      </c>
      <c r="AG23" s="17">
        <v>31</v>
      </c>
      <c r="AH23" s="17">
        <v>32</v>
      </c>
      <c r="AI23" s="17">
        <v>33</v>
      </c>
      <c r="AJ23" s="17">
        <v>34</v>
      </c>
      <c r="AK23" s="17">
        <v>35</v>
      </c>
      <c r="AL23" s="17">
        <v>36</v>
      </c>
      <c r="AM23" s="17">
        <v>37</v>
      </c>
      <c r="AN23" s="17">
        <v>38</v>
      </c>
      <c r="AO23" s="17">
        <v>39</v>
      </c>
      <c r="AP23" s="17">
        <v>40</v>
      </c>
      <c r="AQ23" s="17">
        <v>41</v>
      </c>
      <c r="AR23" s="17">
        <v>42</v>
      </c>
      <c r="AS23" s="17">
        <v>43</v>
      </c>
      <c r="AT23" s="17">
        <v>44</v>
      </c>
      <c r="AU23" s="17">
        <v>45</v>
      </c>
      <c r="AV23" s="17">
        <v>46</v>
      </c>
      <c r="AW23" s="17">
        <v>47</v>
      </c>
      <c r="AX23" s="17">
        <v>48</v>
      </c>
      <c r="AY23" s="14"/>
      <c r="AZ23" s="14"/>
      <c r="BA23" s="14"/>
      <c r="BB23" s="14"/>
      <c r="BC23" s="14"/>
      <c r="BD23" s="14"/>
      <c r="BE23" s="14"/>
      <c r="BF23" s="13"/>
      <c r="BG23" s="14"/>
    </row>
    <row r="24" s="2" customFormat="1" ht="28" customHeight="1" spans="9:15">
      <c r="I24" s="6"/>
      <c r="M24" s="2" t="s">
        <v>1528</v>
      </c>
      <c r="O24" s="26"/>
    </row>
    <row r="25" s="6" customFormat="1" ht="22" customHeight="1" spans="1:29">
      <c r="A25" s="6" t="s">
        <v>1529</v>
      </c>
      <c r="C25" s="18">
        <f>-C21*$C$27*C26/12</f>
        <v>512.484</v>
      </c>
      <c r="D25" s="18">
        <f>-D21*$C$27*D26/12</f>
        <v>0</v>
      </c>
      <c r="E25" s="18">
        <f t="shared" ref="D25:L25" si="10">-E21*$C$27*E26/12</f>
        <v>0.05696</v>
      </c>
      <c r="F25" s="18">
        <f t="shared" si="10"/>
        <v>0.14279</v>
      </c>
      <c r="G25" s="18">
        <f t="shared" si="10"/>
        <v>1.01826666666667</v>
      </c>
      <c r="H25" s="18">
        <f t="shared" si="10"/>
        <v>7.4568</v>
      </c>
      <c r="I25" s="18">
        <f t="shared" si="10"/>
        <v>516.4288</v>
      </c>
      <c r="J25" s="18">
        <f t="shared" si="10"/>
        <v>2.97806666666667</v>
      </c>
      <c r="K25" s="18">
        <f t="shared" si="10"/>
        <v>811.621055936978</v>
      </c>
      <c r="L25" s="18">
        <f t="shared" si="10"/>
        <v>37.0137683108</v>
      </c>
      <c r="M25" s="18">
        <f>SUM(C25:L25)</f>
        <v>1889.20050758111</v>
      </c>
      <c r="N25" s="18"/>
      <c r="O25" s="18"/>
      <c r="P25" s="18"/>
      <c r="Q25" s="18"/>
      <c r="R25" s="37"/>
      <c r="S25" s="37"/>
      <c r="T25" s="37"/>
      <c r="U25" s="37"/>
      <c r="V25" s="37"/>
      <c r="W25" s="37"/>
      <c r="X25" s="37"/>
      <c r="Y25" s="37"/>
      <c r="Z25" s="37"/>
      <c r="AA25" s="37"/>
      <c r="AB25" s="37"/>
      <c r="AC25" s="37"/>
    </row>
    <row r="26" s="6" customFormat="1" ht="22" customHeight="1" spans="1:12">
      <c r="A26" s="6" t="s">
        <v>1530</v>
      </c>
      <c r="C26" s="6">
        <v>18</v>
      </c>
      <c r="D26" s="6">
        <f t="shared" ref="D26:L26" si="11">C26-1</f>
        <v>17</v>
      </c>
      <c r="E26" s="6">
        <f t="shared" si="11"/>
        <v>16</v>
      </c>
      <c r="F26" s="6">
        <f t="shared" si="11"/>
        <v>15</v>
      </c>
      <c r="G26" s="6">
        <f t="shared" si="11"/>
        <v>14</v>
      </c>
      <c r="H26" s="6">
        <f t="shared" si="11"/>
        <v>13</v>
      </c>
      <c r="I26" s="6">
        <f t="shared" si="11"/>
        <v>12</v>
      </c>
      <c r="J26" s="6">
        <f t="shared" si="11"/>
        <v>11</v>
      </c>
      <c r="K26" s="6">
        <f t="shared" si="11"/>
        <v>10</v>
      </c>
      <c r="L26" s="6">
        <f t="shared" si="11"/>
        <v>9</v>
      </c>
    </row>
    <row r="27" s="6" customFormat="1" ht="22" customHeight="1" spans="1:6">
      <c r="A27" s="6" t="s">
        <v>1531</v>
      </c>
      <c r="C27" s="19">
        <f>[6]项目资金筹措!C17</f>
        <v>0.08</v>
      </c>
      <c r="F27" s="20"/>
    </row>
    <row r="28" s="2" customFormat="1" ht="37.15" customHeight="1" spans="3:20">
      <c r="C28" s="21"/>
      <c r="D28" s="21"/>
      <c r="E28" s="21">
        <v>3960</v>
      </c>
      <c r="F28" s="21">
        <v>180</v>
      </c>
      <c r="G28" s="21">
        <f>E28*C27/365*180</f>
        <v>156.230136986301</v>
      </c>
      <c r="H28" s="21"/>
      <c r="I28" s="21"/>
      <c r="J28" s="21"/>
      <c r="K28" s="21"/>
      <c r="L28" s="21"/>
      <c r="M28" s="21">
        <v>38427</v>
      </c>
      <c r="N28" s="21">
        <v>3960</v>
      </c>
      <c r="O28" s="21">
        <f>M28-N28</f>
        <v>34467</v>
      </c>
      <c r="P28" s="21"/>
      <c r="Q28" s="21"/>
      <c r="R28" s="21"/>
      <c r="S28" s="21"/>
      <c r="T28" s="21"/>
    </row>
    <row r="29" s="2" customFormat="1" ht="37.15" customHeight="1" spans="3:20">
      <c r="C29" s="21"/>
      <c r="D29" s="21"/>
      <c r="E29" s="21">
        <v>5940</v>
      </c>
      <c r="F29" s="21">
        <v>90</v>
      </c>
      <c r="G29" s="21">
        <f>E29*C27/365*90</f>
        <v>117.172602739726</v>
      </c>
      <c r="H29" s="21"/>
      <c r="I29" s="21"/>
      <c r="J29" s="21"/>
      <c r="K29" s="21"/>
      <c r="L29" s="21"/>
      <c r="M29" s="21"/>
      <c r="N29" s="21"/>
      <c r="O29" s="21"/>
      <c r="P29" s="21"/>
      <c r="Q29" s="21"/>
      <c r="R29" s="21"/>
      <c r="S29" s="21"/>
      <c r="T29" s="21"/>
    </row>
    <row r="30" s="2" customFormat="1" ht="37.15" customHeight="1" spans="7:14">
      <c r="G30" s="2">
        <f>SUM(G28:G29)</f>
        <v>273.402739726027</v>
      </c>
      <c r="M30" s="2">
        <f>L32+P32</f>
        <v>19334.128</v>
      </c>
      <c r="N30" s="2">
        <f>M30*0.35</f>
        <v>6766.9448</v>
      </c>
    </row>
    <row r="31" s="2" customFormat="1" ht="37.15" customHeight="1" spans="5:17">
      <c r="E31" s="22"/>
      <c r="F31" s="22"/>
      <c r="G31" s="22"/>
      <c r="H31" s="22"/>
      <c r="I31" s="22"/>
      <c r="J31" s="22"/>
      <c r="L31" s="2" t="s">
        <v>1424</v>
      </c>
      <c r="M31" s="2" t="s">
        <v>1425</v>
      </c>
      <c r="N31" s="2" t="s">
        <v>1426</v>
      </c>
      <c r="P31" s="2" t="s">
        <v>1427</v>
      </c>
      <c r="Q31" s="2" t="s">
        <v>1425</v>
      </c>
    </row>
    <row r="32" s="2" customFormat="1" ht="37.15" customHeight="1" spans="11:17">
      <c r="K32" s="22" t="s">
        <v>1431</v>
      </c>
      <c r="L32" s="21">
        <f>4000*经济指标!E10/10000</f>
        <v>6676.992</v>
      </c>
      <c r="M32" s="27">
        <v>1</v>
      </c>
      <c r="N32" s="22" t="s">
        <v>1432</v>
      </c>
      <c r="O32" s="22" t="s">
        <v>1431</v>
      </c>
      <c r="P32" s="21">
        <f>4000*经济指标!E9/10000</f>
        <v>12657.136</v>
      </c>
      <c r="Q32" s="27">
        <v>1</v>
      </c>
    </row>
    <row r="33" s="2" customFormat="1" ht="37.15" customHeight="1" spans="11:17">
      <c r="K33" s="28" t="s">
        <v>1434</v>
      </c>
      <c r="L33" s="29">
        <f t="shared" ref="L33:L44" si="12">$L$32*M33</f>
        <v>5341.5936</v>
      </c>
      <c r="M33" s="30">
        <v>0.8</v>
      </c>
      <c r="N33" s="28"/>
      <c r="O33" s="28" t="s">
        <v>1434</v>
      </c>
      <c r="P33" s="29">
        <f t="shared" ref="P33:P44" si="13">$P$32*Q33</f>
        <v>10125.7088</v>
      </c>
      <c r="Q33" s="30">
        <v>0.8</v>
      </c>
    </row>
    <row r="34" s="2" customFormat="1" ht="37.15" customHeight="1" spans="11:17">
      <c r="K34" s="2" t="s">
        <v>1438</v>
      </c>
      <c r="L34" s="21">
        <f t="shared" si="12"/>
        <v>5007.744</v>
      </c>
      <c r="M34" s="27">
        <v>0.75</v>
      </c>
      <c r="O34" s="2" t="s">
        <v>1438</v>
      </c>
      <c r="P34" s="21">
        <f t="shared" si="13"/>
        <v>9492.852</v>
      </c>
      <c r="Q34" s="27">
        <v>0.75</v>
      </c>
    </row>
    <row r="35" s="2" customFormat="1" ht="37.15" customHeight="1" spans="11:17">
      <c r="K35" s="2" t="s">
        <v>1440</v>
      </c>
      <c r="L35" s="21">
        <f t="shared" si="12"/>
        <v>4340.0448</v>
      </c>
      <c r="M35" s="27">
        <v>0.65</v>
      </c>
      <c r="O35" s="2" t="s">
        <v>1440</v>
      </c>
      <c r="P35" s="21">
        <f t="shared" si="13"/>
        <v>8227.1384</v>
      </c>
      <c r="Q35" s="27">
        <v>0.65</v>
      </c>
    </row>
    <row r="36" s="2" customFormat="1" ht="37.15" customHeight="1" spans="5:17">
      <c r="E36" s="22"/>
      <c r="F36" s="22"/>
      <c r="G36" s="22"/>
      <c r="H36" s="22"/>
      <c r="I36" s="22"/>
      <c r="J36" s="22"/>
      <c r="K36" s="2" t="s">
        <v>1445</v>
      </c>
      <c r="L36" s="21">
        <f t="shared" si="12"/>
        <v>4006.1952</v>
      </c>
      <c r="M36" s="27">
        <v>0.6</v>
      </c>
      <c r="O36" s="2" t="s">
        <v>1445</v>
      </c>
      <c r="P36" s="21">
        <f t="shared" si="13"/>
        <v>7594.2816</v>
      </c>
      <c r="Q36" s="27">
        <v>0.6</v>
      </c>
    </row>
    <row r="37" s="2" customFormat="1" ht="37.15" customHeight="1" spans="11:17">
      <c r="K37" s="31" t="s">
        <v>1447</v>
      </c>
      <c r="L37" s="29">
        <f t="shared" si="12"/>
        <v>3004.6464</v>
      </c>
      <c r="M37" s="30">
        <v>0.45</v>
      </c>
      <c r="N37" s="31"/>
      <c r="O37" s="31" t="s">
        <v>1447</v>
      </c>
      <c r="P37" s="29">
        <f t="shared" si="13"/>
        <v>5695.7112</v>
      </c>
      <c r="Q37" s="30">
        <v>0.45</v>
      </c>
    </row>
    <row r="38" s="2" customFormat="1" ht="37.15" customHeight="1" spans="11:17">
      <c r="K38" s="2" t="s">
        <v>1449</v>
      </c>
      <c r="L38" s="21">
        <f t="shared" si="12"/>
        <v>2336.9472</v>
      </c>
      <c r="M38" s="27">
        <v>0.35</v>
      </c>
      <c r="O38" s="2" t="s">
        <v>1449</v>
      </c>
      <c r="P38" s="21">
        <f t="shared" si="13"/>
        <v>4429.9976</v>
      </c>
      <c r="Q38" s="27">
        <v>0.35</v>
      </c>
    </row>
    <row r="39" s="2" customFormat="1" ht="37.15" customHeight="1" spans="11:19">
      <c r="K39" s="2" t="s">
        <v>1451</v>
      </c>
      <c r="L39" s="21">
        <f t="shared" si="12"/>
        <v>2003.0976</v>
      </c>
      <c r="M39" s="27">
        <v>0.3</v>
      </c>
      <c r="N39" s="2">
        <f>+N40+AA17</f>
        <v>4368.36593641304</v>
      </c>
      <c r="O39" s="2" t="s">
        <v>1451</v>
      </c>
      <c r="P39" s="21">
        <f t="shared" si="13"/>
        <v>3797.1408</v>
      </c>
      <c r="Q39" s="27">
        <v>0.3</v>
      </c>
      <c r="S39" s="2">
        <f>L37-L41</f>
        <v>2336.9472</v>
      </c>
    </row>
    <row r="40" s="2" customFormat="1" ht="37.15" customHeight="1" spans="11:19">
      <c r="K40" s="2" t="s">
        <v>1454</v>
      </c>
      <c r="L40" s="21">
        <f t="shared" si="12"/>
        <v>1335.3984</v>
      </c>
      <c r="M40" s="27">
        <v>0.2</v>
      </c>
      <c r="N40" s="2">
        <f>L37-L41</f>
        <v>2336.9472</v>
      </c>
      <c r="O40" s="2" t="s">
        <v>1454</v>
      </c>
      <c r="P40" s="21">
        <f t="shared" si="13"/>
        <v>2531.4272</v>
      </c>
      <c r="Q40" s="27">
        <v>0.2</v>
      </c>
      <c r="S40" s="2">
        <f>P37-P41</f>
        <v>4429.9976</v>
      </c>
    </row>
    <row r="41" s="2" customFormat="1" ht="37.15" customHeight="1" spans="11:17">
      <c r="K41" s="28" t="s">
        <v>1456</v>
      </c>
      <c r="L41" s="29">
        <f t="shared" si="12"/>
        <v>667.6992</v>
      </c>
      <c r="M41" s="30">
        <v>0.1</v>
      </c>
      <c r="N41" s="28">
        <f>M37-M41</f>
        <v>0.35</v>
      </c>
      <c r="O41" s="28" t="s">
        <v>1456</v>
      </c>
      <c r="P41" s="29">
        <f t="shared" si="13"/>
        <v>1265.7136</v>
      </c>
      <c r="Q41" s="30">
        <v>0.1</v>
      </c>
    </row>
    <row r="42" s="2" customFormat="1" ht="37.15" customHeight="1" spans="11:17">
      <c r="K42" s="28" t="s">
        <v>1458</v>
      </c>
      <c r="L42" s="29">
        <f t="shared" si="12"/>
        <v>333.8496</v>
      </c>
      <c r="M42" s="30">
        <v>0.05</v>
      </c>
      <c r="N42" s="28"/>
      <c r="O42" s="28" t="s">
        <v>1458</v>
      </c>
      <c r="P42" s="29">
        <f t="shared" si="13"/>
        <v>632.8568</v>
      </c>
      <c r="Q42" s="30">
        <v>0.05</v>
      </c>
    </row>
    <row r="43" s="2" customFormat="1" ht="37.15" customHeight="1" spans="11:17">
      <c r="K43" s="2" t="s">
        <v>1460</v>
      </c>
      <c r="L43" s="21">
        <f t="shared" si="12"/>
        <v>200.30976</v>
      </c>
      <c r="M43" s="27">
        <v>0.03</v>
      </c>
      <c r="O43" s="2" t="s">
        <v>1460</v>
      </c>
      <c r="P43" s="21">
        <f t="shared" si="13"/>
        <v>379.71408</v>
      </c>
      <c r="Q43" s="27">
        <v>0.03</v>
      </c>
    </row>
    <row r="44" s="2" customFormat="1" ht="37.15" customHeight="1" spans="11:17">
      <c r="K44" s="2" t="s">
        <v>1462</v>
      </c>
      <c r="L44" s="21">
        <f t="shared" si="12"/>
        <v>0</v>
      </c>
      <c r="M44" s="27">
        <v>0</v>
      </c>
      <c r="O44" s="2" t="s">
        <v>1462</v>
      </c>
      <c r="P44" s="21">
        <f t="shared" si="13"/>
        <v>0</v>
      </c>
      <c r="Q44" s="27">
        <v>0</v>
      </c>
    </row>
    <row r="45" s="2" customFormat="1" ht="37.15" customHeight="1"/>
    <row r="46" s="2" customFormat="1" ht="37.15" customHeight="1"/>
    <row r="47" s="2" customFormat="1" ht="37.15" customHeight="1"/>
    <row r="48" s="2" customFormat="1" ht="37.15" customHeight="1" spans="10:10">
      <c r="J48" s="21"/>
    </row>
    <row r="49" s="2" customFormat="1" ht="37.15" customHeight="1" spans="10:10">
      <c r="J49" s="21"/>
    </row>
    <row r="50" s="2" customFormat="1" ht="37.15" customHeight="1" spans="10:12">
      <c r="J50" s="21"/>
      <c r="K50" s="2" t="s">
        <v>1532</v>
      </c>
      <c r="L50" s="2">
        <v>10000</v>
      </c>
    </row>
    <row r="51" s="2" customFormat="1" ht="37.15" customHeight="1" spans="10:12">
      <c r="J51" s="21"/>
      <c r="K51" s="2" t="s">
        <v>1155</v>
      </c>
      <c r="L51" s="21">
        <f>L50/1.09*0.03</f>
        <v>275.229357798165</v>
      </c>
    </row>
    <row r="52" s="2" customFormat="1" ht="37.15" customHeight="1" spans="10:12">
      <c r="J52" s="21"/>
      <c r="K52" s="2" t="s">
        <v>1533</v>
      </c>
      <c r="L52" s="21">
        <f>L51*0.12</f>
        <v>33.0275229357798</v>
      </c>
    </row>
    <row r="53" s="2" customFormat="1" ht="37.15" customHeight="1" spans="10:12">
      <c r="J53" s="21"/>
      <c r="K53" s="2" t="s">
        <v>1162</v>
      </c>
      <c r="L53" s="21">
        <f>(L50-L51)*0.035</f>
        <v>340.366972477064</v>
      </c>
    </row>
    <row r="54" s="2" customFormat="1" ht="37.15" customHeight="1" spans="10:12">
      <c r="J54" s="21"/>
      <c r="K54" s="2" t="s">
        <v>1534</v>
      </c>
      <c r="L54" s="21">
        <f>SUM(L51:L53)</f>
        <v>648.623853211009</v>
      </c>
    </row>
    <row r="55" s="2" customFormat="1" ht="37.15" customHeight="1" spans="10:12">
      <c r="J55" s="27"/>
      <c r="K55" s="2" t="s">
        <v>1535</v>
      </c>
      <c r="L55" s="27">
        <f>L54/L50</f>
        <v>0.0648623853211009</v>
      </c>
    </row>
    <row r="56" s="2" customFormat="1" ht="37.15" customHeight="1"/>
    <row r="57" s="2" customFormat="1" ht="37.15" customHeight="1"/>
    <row r="58" s="2" customFormat="1" ht="37.15" customHeight="1"/>
    <row r="59" s="2" customFormat="1" ht="37.15" customHeight="1"/>
    <row r="60" s="2" customFormat="1" ht="37.15" customHeight="1"/>
    <row r="61" s="2" customFormat="1" ht="37.15" customHeight="1"/>
    <row r="62" s="2" customFormat="1" ht="37.15" customHeight="1"/>
    <row r="63" s="2" customFormat="1" ht="37.15" customHeight="1"/>
    <row r="64" s="2" customFormat="1" ht="37.15" customHeight="1"/>
    <row r="65" s="2" customFormat="1" ht="43.15" customHeight="1"/>
  </sheetData>
  <mergeCells count="1">
    <mergeCell ref="A1:D1"/>
  </mergeCells>
  <pageMargins left="0.75" right="0.75" top="1" bottom="1" header="0.5" footer="0.5"/>
  <pageSetup paperSize="9" orientation="portrait"/>
  <headerFooter/>
  <drawing r:id="rId2"/>
  <legacyDrawing r:id="rId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
  <sheetViews>
    <sheetView workbookViewId="0">
      <selection activeCell="M34" sqref="M34"/>
    </sheetView>
  </sheetViews>
  <sheetFormatPr defaultColWidth="9" defaultRowHeight="14.25" outlineLevelRow="3" outlineLevelCol="2"/>
  <sheetData>
    <row r="1" spans="1:3">
      <c r="A1" s="1">
        <v>0</v>
      </c>
      <c r="B1" s="1">
        <v>0.3</v>
      </c>
      <c r="C1" s="1">
        <v>0</v>
      </c>
    </row>
    <row r="2" spans="1:3">
      <c r="A2" s="1">
        <v>0.5</v>
      </c>
      <c r="B2" s="1">
        <v>0.4</v>
      </c>
      <c r="C2" s="1">
        <v>0.05</v>
      </c>
    </row>
    <row r="3" spans="1:3">
      <c r="A3" s="1">
        <v>1</v>
      </c>
      <c r="B3" s="1">
        <v>0.5</v>
      </c>
      <c r="C3" s="1">
        <v>0.15</v>
      </c>
    </row>
    <row r="4" spans="1:3">
      <c r="A4" s="1">
        <v>2</v>
      </c>
      <c r="B4" s="1">
        <v>0.6</v>
      </c>
      <c r="C4" s="1">
        <v>0.35</v>
      </c>
    </row>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Z16"/>
  <sheetViews>
    <sheetView workbookViewId="0">
      <selection activeCell="G7" sqref="G7"/>
    </sheetView>
  </sheetViews>
  <sheetFormatPr defaultColWidth="16" defaultRowHeight="28.5" customHeight="1"/>
  <cols>
    <col min="1" max="1" width="3.875" style="318" customWidth="1"/>
    <col min="2" max="4" width="38.125" style="317" customWidth="1"/>
    <col min="5" max="5" width="8.125" style="318" customWidth="1"/>
    <col min="6" max="6" width="17.125" style="318" customWidth="1"/>
    <col min="7" max="7" width="16" style="318" customWidth="1"/>
    <col min="8" max="8" width="24.125" style="318" customWidth="1"/>
    <col min="9" max="10" width="17.125" style="318" customWidth="1"/>
    <col min="11" max="11" width="15.5" style="318" customWidth="1"/>
    <col min="12" max="12" width="23.125" style="318" customWidth="1"/>
    <col min="13" max="13" width="16" style="946" customWidth="1"/>
    <col min="14" max="16" width="18.375" style="946" customWidth="1"/>
    <col min="17" max="18" width="22.75" style="946" customWidth="1"/>
    <col min="19" max="19" width="18.375" style="946" customWidth="1"/>
    <col min="20" max="20" width="16" style="946" customWidth="1"/>
    <col min="21" max="21" width="18.375" style="946" customWidth="1"/>
    <col min="22" max="22" width="22.75" style="946" customWidth="1"/>
    <col min="23" max="25" width="20.5" style="946" customWidth="1"/>
    <col min="26" max="26" width="25" style="946" customWidth="1"/>
    <col min="27" max="16384" width="16" style="318"/>
  </cols>
  <sheetData>
    <row r="1" ht="31.5" customHeight="1" spans="3:3">
      <c r="C1" s="947" t="s">
        <v>38</v>
      </c>
    </row>
    <row r="2" ht="19.5" customHeight="1" spans="3:3">
      <c r="C2" s="317" t="s">
        <v>39</v>
      </c>
    </row>
    <row r="3" s="318" customFormat="1" ht="27.75" customHeight="1" spans="2:26">
      <c r="B3" s="948" t="s">
        <v>40</v>
      </c>
      <c r="C3" s="317"/>
      <c r="D3" s="949" t="s">
        <v>41</v>
      </c>
      <c r="M3" s="946"/>
      <c r="N3" s="946"/>
      <c r="O3" s="946"/>
      <c r="P3" s="946"/>
      <c r="Q3" s="946"/>
      <c r="R3" s="946"/>
      <c r="S3" s="946"/>
      <c r="T3" s="946"/>
      <c r="U3" s="946"/>
      <c r="V3" s="946"/>
      <c r="W3" s="946"/>
      <c r="X3" s="946"/>
      <c r="Y3" s="946"/>
      <c r="Z3" s="946"/>
    </row>
    <row r="4" ht="43.5" customHeight="1" spans="2:8">
      <c r="B4" s="950" t="s">
        <v>42</v>
      </c>
      <c r="C4" s="951"/>
      <c r="D4" s="950"/>
      <c r="H4" s="317" t="s">
        <v>43</v>
      </c>
    </row>
    <row r="5" ht="43.5" customHeight="1" spans="2:8">
      <c r="B5" s="952" t="str">
        <f>+动态成本!B5</f>
        <v>建筑面积</v>
      </c>
      <c r="C5" s="953">
        <f>+动态成本!C5*10000</f>
        <v>71378.25</v>
      </c>
      <c r="D5" s="954"/>
      <c r="F5" s="948"/>
      <c r="H5" s="955">
        <v>558776070.71</v>
      </c>
    </row>
    <row r="6" ht="43.5" customHeight="1" spans="2:6">
      <c r="B6" s="956"/>
      <c r="C6" s="957"/>
      <c r="D6" s="958"/>
      <c r="F6" s="955"/>
    </row>
    <row r="7" ht="37.5" customHeight="1" spans="2:6">
      <c r="B7" s="959" t="s">
        <v>44</v>
      </c>
      <c r="C7" s="960" t="s">
        <v>45</v>
      </c>
      <c r="D7" s="959" t="s">
        <v>46</v>
      </c>
      <c r="F7" s="948"/>
    </row>
    <row r="8" ht="37.5" customHeight="1" spans="2:6">
      <c r="B8" s="961">
        <f>+动态成本!E234</f>
        <v>558776070.711545</v>
      </c>
      <c r="C8" s="962">
        <f>+动态成本!E234</f>
        <v>558776070.711545</v>
      </c>
      <c r="D8" s="961">
        <f>C8-B8</f>
        <v>0</v>
      </c>
      <c r="F8" s="963"/>
    </row>
    <row r="9" ht="37.5" customHeight="1" spans="2:8">
      <c r="B9" s="964"/>
      <c r="C9" s="965"/>
      <c r="D9" s="964"/>
      <c r="E9" s="963"/>
      <c r="F9" s="293"/>
      <c r="G9" s="966"/>
      <c r="H9" s="963"/>
    </row>
    <row r="10" ht="37.5" customHeight="1" spans="2:8">
      <c r="B10" s="967"/>
      <c r="C10" s="968"/>
      <c r="D10" s="967"/>
      <c r="F10" s="963"/>
      <c r="G10" s="963"/>
      <c r="H10" s="963"/>
    </row>
    <row r="11" ht="37.5" customHeight="1" spans="2:6">
      <c r="B11" s="969" t="s">
        <v>47</v>
      </c>
      <c r="C11" s="970" t="s">
        <v>48</v>
      </c>
      <c r="D11" s="971" t="str">
        <f>[10]动态成本台帐!J3</f>
        <v>当前预期超支节余率</v>
      </c>
      <c r="E11" s="972"/>
      <c r="F11" s="948"/>
    </row>
    <row r="12" ht="37.5" customHeight="1" spans="2:4">
      <c r="B12" s="973">
        <f>+动态成本!E233</f>
        <v>4944476.16030784</v>
      </c>
      <c r="C12" s="974">
        <f>+动态成本!K234</f>
        <v>184862909.617709</v>
      </c>
      <c r="D12" s="975">
        <f>IF($B$8=0,"",D8/B8)</f>
        <v>0</v>
      </c>
    </row>
    <row r="13" ht="37.5" customHeight="1" spans="2:6">
      <c r="B13" s="976"/>
      <c r="C13" s="977"/>
      <c r="D13" s="978"/>
      <c r="F13" s="979"/>
    </row>
    <row r="14" ht="37.5" customHeight="1" spans="2:4">
      <c r="B14" s="980"/>
      <c r="C14" s="981"/>
      <c r="D14" s="982"/>
    </row>
    <row r="15" ht="50.25" customHeight="1" spans="2:4">
      <c r="B15" s="983"/>
      <c r="C15" s="984"/>
      <c r="D15" s="983"/>
    </row>
    <row r="16" s="318" customFormat="1" ht="37.5" customHeight="1" spans="2:26">
      <c r="B16" s="317"/>
      <c r="C16" s="317"/>
      <c r="D16" s="317"/>
      <c r="M16" s="946"/>
      <c r="N16" s="946"/>
      <c r="O16" s="946"/>
      <c r="P16" s="946"/>
      <c r="Q16" s="946"/>
      <c r="R16" s="946"/>
      <c r="S16" s="946"/>
      <c r="T16" s="946"/>
      <c r="U16" s="946"/>
      <c r="V16" s="946"/>
      <c r="W16" s="946"/>
      <c r="X16" s="946"/>
      <c r="Y16" s="946"/>
      <c r="Z16" s="946"/>
    </row>
  </sheetData>
  <mergeCells count="8">
    <mergeCell ref="B5:B6"/>
    <mergeCell ref="B8:B10"/>
    <mergeCell ref="B12:B14"/>
    <mergeCell ref="C8:C10"/>
    <mergeCell ref="C12:C14"/>
    <mergeCell ref="D8:D10"/>
    <mergeCell ref="D12:D14"/>
    <mergeCell ref="C5:D6"/>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workbookViewId="0">
      <selection activeCell="C13" sqref="C13:D13"/>
    </sheetView>
  </sheetViews>
  <sheetFormatPr defaultColWidth="9" defaultRowHeight="30.75" customHeight="1" outlineLevelCol="4"/>
  <cols>
    <col min="1" max="1" width="18.5" style="915" customWidth="1"/>
    <col min="2" max="2" width="25.5" style="915" customWidth="1"/>
    <col min="3" max="3" width="25.75" style="915" customWidth="1"/>
    <col min="4" max="4" width="43.375" style="916" customWidth="1"/>
    <col min="5" max="5" width="67.625" style="916" customWidth="1"/>
    <col min="6" max="6" width="16.625" style="916" customWidth="1"/>
    <col min="7" max="16384" width="9" style="916"/>
  </cols>
  <sheetData>
    <row r="1" ht="24" customHeight="1" spans="1:3">
      <c r="A1" s="917" t="s">
        <v>49</v>
      </c>
      <c r="B1" s="918" t="str">
        <f>目录!C3</f>
        <v>投拓中心</v>
      </c>
      <c r="C1" s="919" t="s">
        <v>50</v>
      </c>
    </row>
    <row r="2" ht="24" customHeight="1" spans="1:3">
      <c r="A2" s="917" t="s">
        <v>3</v>
      </c>
      <c r="B2" s="918" t="str">
        <f>目录!D3</f>
        <v>李阳</v>
      </c>
      <c r="C2" s="920"/>
    </row>
    <row r="3" ht="24" customHeight="1" spans="1:3">
      <c r="A3" s="917" t="s">
        <v>4</v>
      </c>
      <c r="B3" s="921" t="str">
        <f>目录!E3</f>
        <v>2022.10.31</v>
      </c>
      <c r="C3" s="920"/>
    </row>
    <row r="4" customHeight="1" spans="1:5">
      <c r="A4" s="922" t="str">
        <f>B6&amp;"项目概况表"</f>
        <v>洛龙区八里堂地块（挂牌）项目概况表</v>
      </c>
      <c r="B4" s="922"/>
      <c r="C4" s="922"/>
      <c r="D4" s="922"/>
      <c r="E4" s="922"/>
    </row>
    <row r="5" customHeight="1" spans="1:5">
      <c r="A5" s="923" t="s">
        <v>51</v>
      </c>
      <c r="B5" s="923" t="s">
        <v>52</v>
      </c>
      <c r="C5" s="923" t="s">
        <v>5</v>
      </c>
      <c r="D5" s="923" t="s">
        <v>53</v>
      </c>
      <c r="E5" s="923" t="s">
        <v>54</v>
      </c>
    </row>
    <row r="6" customHeight="1" spans="1:5">
      <c r="A6" s="924" t="s">
        <v>55</v>
      </c>
      <c r="B6" s="925" t="s">
        <v>56</v>
      </c>
      <c r="C6" s="926"/>
      <c r="D6" s="927"/>
      <c r="E6" s="928"/>
    </row>
    <row r="7" customHeight="1" spans="1:5">
      <c r="A7" s="924" t="s">
        <v>57</v>
      </c>
      <c r="B7" s="929"/>
      <c r="C7" s="930"/>
      <c r="D7" s="931"/>
      <c r="E7" s="928"/>
    </row>
    <row r="8" customHeight="1" spans="1:5">
      <c r="A8" s="924" t="s">
        <v>58</v>
      </c>
      <c r="B8" s="932">
        <f>经济指标!I6</f>
        <v>56.161401</v>
      </c>
      <c r="C8" s="930" t="s">
        <v>59</v>
      </c>
      <c r="D8" s="931"/>
      <c r="E8" s="933">
        <f>B8-[2]经济指标!G6</f>
        <v>2.023011</v>
      </c>
    </row>
    <row r="9" customHeight="1" spans="1:5">
      <c r="A9" s="924" t="s">
        <v>60</v>
      </c>
      <c r="B9" s="929"/>
      <c r="C9" s="930" t="s">
        <v>61</v>
      </c>
      <c r="D9" s="931"/>
      <c r="E9" s="933">
        <f>B9-[2]经济指标!G8</f>
        <v>-2.30000005541354</v>
      </c>
    </row>
    <row r="10" customHeight="1" spans="1:5">
      <c r="A10" s="924" t="s">
        <v>62</v>
      </c>
      <c r="B10" s="929"/>
      <c r="C10" s="930" t="s">
        <v>63</v>
      </c>
      <c r="D10" s="934"/>
      <c r="E10" s="935"/>
    </row>
    <row r="11" customHeight="1" spans="1:5">
      <c r="A11" s="924" t="s">
        <v>64</v>
      </c>
      <c r="B11" s="936">
        <v>380.2</v>
      </c>
      <c r="C11" s="930" t="s">
        <v>65</v>
      </c>
      <c r="D11" s="937"/>
      <c r="E11" s="928"/>
    </row>
    <row r="12" customHeight="1" spans="1:5">
      <c r="A12" s="924" t="s">
        <v>66</v>
      </c>
      <c r="B12" s="938">
        <f>B8*B11</f>
        <v>21352.5646602</v>
      </c>
      <c r="C12" s="930" t="s">
        <v>67</v>
      </c>
      <c r="D12" s="939">
        <f>B12*0.2</f>
        <v>4270.51293204</v>
      </c>
      <c r="E12" s="928"/>
    </row>
    <row r="13" ht="190.5" customHeight="1" spans="1:5">
      <c r="A13" s="940" t="s">
        <v>68</v>
      </c>
      <c r="B13" s="937"/>
      <c r="C13" s="929"/>
      <c r="D13" s="929"/>
      <c r="E13" s="937"/>
    </row>
    <row r="14" ht="141.75" customHeight="1" spans="1:5">
      <c r="A14" s="940" t="s">
        <v>69</v>
      </c>
      <c r="B14" s="937"/>
      <c r="C14" s="929"/>
      <c r="D14" s="929"/>
      <c r="E14" s="937"/>
    </row>
    <row r="15" ht="172.5" customHeight="1" spans="1:5">
      <c r="A15" s="940" t="s">
        <v>70</v>
      </c>
      <c r="B15" s="941"/>
      <c r="C15" s="929"/>
      <c r="D15" s="929"/>
      <c r="E15" s="937"/>
    </row>
    <row r="16" ht="41.1" customHeight="1" spans="1:5">
      <c r="A16" s="940" t="s">
        <v>71</v>
      </c>
      <c r="B16" s="942"/>
      <c r="C16" s="943"/>
      <c r="D16" s="943"/>
      <c r="E16" s="944"/>
    </row>
    <row r="17" ht="16.5" customHeight="1" spans="1:5">
      <c r="A17" s="924" t="s">
        <v>72</v>
      </c>
      <c r="B17" s="945"/>
      <c r="C17" s="945"/>
      <c r="D17" s="945"/>
      <c r="E17" s="945"/>
    </row>
    <row r="18" ht="37.9" customHeight="1" spans="1:5">
      <c r="A18" s="924" t="s">
        <v>73</v>
      </c>
      <c r="B18" s="929"/>
      <c r="C18" s="929"/>
      <c r="D18" s="929"/>
      <c r="E18" s="929"/>
    </row>
  </sheetData>
  <mergeCells count="8">
    <mergeCell ref="A4:E4"/>
    <mergeCell ref="C13:D13"/>
    <mergeCell ref="C14:D14"/>
    <mergeCell ref="C15:D15"/>
    <mergeCell ref="B17:E17"/>
    <mergeCell ref="B18:E18"/>
    <mergeCell ref="C1:C3"/>
    <mergeCell ref="D6:D10"/>
  </mergeCells>
  <hyperlinks>
    <hyperlink ref="C1:C3" location="目录!A1" display="返回目录"/>
  </hyperlinks>
  <pageMargins left="0.699305555555556" right="0.699305555555556" top="0.75" bottom="0.75" header="0.3" footer="0.3"/>
  <pageSetup paperSize="9" orientation="portrait"/>
  <headerFooter/>
  <drawing r:id="rId1"/>
  <legacyDrawing r:id="rId2"/>
  <mc:AlternateContent xmlns:mc="http://schemas.openxmlformats.org/markup-compatibility/2006">
    <mc:Choice Requires="x14">
      <controls>
        <mc:AlternateContent xmlns:mc="http://schemas.openxmlformats.org/markup-compatibility/2006">
          <mc:Choice Requires="x14">
            <control shapeId="4097" name="Scroll Bar 1" r:id="rId3">
              <controlPr defaultSize="0">
                <anchor moveWithCells="1">
                  <from>
                    <xdr:col>3</xdr:col>
                    <xdr:colOff>114300</xdr:colOff>
                    <xdr:row>10</xdr:row>
                    <xdr:rowOff>57150</xdr:rowOff>
                  </from>
                  <to>
                    <xdr:col>3</xdr:col>
                    <xdr:colOff>2219325</xdr:colOff>
                    <xdr:row>11</xdr:row>
                    <xdr:rowOff>0</xdr:rowOff>
                  </to>
                </anchor>
              </controlPr>
            </control>
          </mc:Choice>
        </mc:AlternateContent>
        <mc:AlternateContent xmlns:mc="http://schemas.openxmlformats.org/markup-compatibility/2006">
          <mc:Choice Requires="x14">
            <control shapeId="4099" name="Scroll Bar 3" r:id="rId4">
              <controlPr defaultSize="0">
                <anchor moveWithCells="1">
                  <from>
                    <xdr:col>3</xdr:col>
                    <xdr:colOff>114300</xdr:colOff>
                    <xdr:row>10</xdr:row>
                    <xdr:rowOff>57150</xdr:rowOff>
                  </from>
                  <to>
                    <xdr:col>4</xdr:col>
                    <xdr:colOff>571500</xdr:colOff>
                    <xdr:row>11</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8"/>
  <sheetViews>
    <sheetView zoomScale="85" zoomScaleNormal="85" topLeftCell="A6" workbookViewId="0">
      <selection activeCell="K25" sqref="K25"/>
    </sheetView>
  </sheetViews>
  <sheetFormatPr defaultColWidth="9" defaultRowHeight="30.75" customHeight="1"/>
  <cols>
    <col min="1" max="1" width="6.875" style="844" customWidth="1"/>
    <col min="2" max="2" width="15.5" style="844" customWidth="1"/>
    <col min="3" max="3" width="17.75" style="844" customWidth="1"/>
    <col min="4" max="4" width="9.75" style="844" customWidth="1"/>
    <col min="5" max="5" width="21.125" style="844" customWidth="1"/>
    <col min="6" max="6" width="22.875" style="844" customWidth="1"/>
    <col min="7" max="7" width="23.375" style="844" customWidth="1"/>
    <col min="8" max="8" width="10.125" style="844" customWidth="1"/>
    <col min="9" max="9" width="16.25" style="844" customWidth="1"/>
    <col min="10" max="10" width="36.125" style="844" customWidth="1"/>
    <col min="11" max="11" width="13.6666666666667" style="844" customWidth="1"/>
    <col min="12" max="12" width="18.925" style="844" customWidth="1"/>
    <col min="13" max="13" width="16.0666666666667" style="844" customWidth="1"/>
    <col min="14" max="14" width="13" style="844" customWidth="1"/>
    <col min="15" max="15" width="12.25" style="844" customWidth="1"/>
    <col min="16" max="16" width="22.0833333333333" style="844" customWidth="1"/>
    <col min="17" max="17" width="12.25" style="844" customWidth="1"/>
    <col min="18" max="16384" width="9" style="844"/>
  </cols>
  <sheetData>
    <row r="1" ht="24" customHeight="1" spans="1:3">
      <c r="A1" s="845" t="s">
        <v>49</v>
      </c>
      <c r="B1" s="846" t="str">
        <f>目录!C4</f>
        <v>设计研发中心</v>
      </c>
      <c r="C1" s="847" t="s">
        <v>50</v>
      </c>
    </row>
    <row r="2" ht="24" customHeight="1" spans="1:3">
      <c r="A2" s="845" t="s">
        <v>3</v>
      </c>
      <c r="B2" s="846" t="str">
        <f>目录!D4</f>
        <v>王振</v>
      </c>
      <c r="C2" s="847"/>
    </row>
    <row r="3" ht="25.5" customHeight="1" spans="1:12">
      <c r="A3" s="845" t="s">
        <v>4</v>
      </c>
      <c r="B3" s="848" t="str">
        <f>目录!E4</f>
        <v>2022.10.31</v>
      </c>
      <c r="C3" s="847"/>
      <c r="L3" s="844">
        <f>+E16+E17+E18+E19</f>
        <v>807.42</v>
      </c>
    </row>
    <row r="4" customHeight="1" spans="1:10">
      <c r="A4" s="849" t="str">
        <f>项目概况!B6&amp;"项目经济技术指标"</f>
        <v>洛龙区八里堂地块（挂牌）项目经济技术指标</v>
      </c>
      <c r="B4" s="849"/>
      <c r="C4" s="849"/>
      <c r="D4" s="849"/>
      <c r="E4" s="849"/>
      <c r="F4" s="849"/>
      <c r="G4" s="849"/>
      <c r="H4" s="849"/>
      <c r="I4" s="849"/>
      <c r="J4" s="849"/>
    </row>
    <row r="5" customHeight="1" spans="1:10">
      <c r="A5" s="850" t="s">
        <v>0</v>
      </c>
      <c r="B5" s="850" t="s">
        <v>74</v>
      </c>
      <c r="C5" s="850" t="s">
        <v>75</v>
      </c>
      <c r="D5" s="850" t="s">
        <v>76</v>
      </c>
      <c r="E5" s="850" t="s">
        <v>77</v>
      </c>
      <c r="F5" s="850" t="s">
        <v>78</v>
      </c>
      <c r="G5" s="850" t="s">
        <v>79</v>
      </c>
      <c r="H5" s="850" t="s">
        <v>76</v>
      </c>
      <c r="I5" s="850" t="s">
        <v>80</v>
      </c>
      <c r="J5" s="850" t="s">
        <v>5</v>
      </c>
    </row>
    <row r="6" ht="30" customHeight="1" spans="1:15">
      <c r="A6" s="851">
        <v>1</v>
      </c>
      <c r="B6" s="852" t="s">
        <v>81</v>
      </c>
      <c r="C6" s="853"/>
      <c r="D6" s="854" t="s">
        <v>82</v>
      </c>
      <c r="E6" s="855">
        <v>37440.934</v>
      </c>
      <c r="F6" s="856"/>
      <c r="G6" s="857"/>
      <c r="H6" s="858" t="s">
        <v>59</v>
      </c>
      <c r="I6" s="858">
        <f>E6*15/10000</f>
        <v>56.161401</v>
      </c>
      <c r="J6" s="888" t="s">
        <v>83</v>
      </c>
      <c r="N6" s="855">
        <v>37440.934</v>
      </c>
      <c r="O6" s="844">
        <f>E6-N6</f>
        <v>0</v>
      </c>
    </row>
    <row r="7" ht="30" customHeight="1" spans="1:16">
      <c r="A7" s="850">
        <v>2</v>
      </c>
      <c r="B7" s="852" t="s">
        <v>84</v>
      </c>
      <c r="C7" s="853"/>
      <c r="D7" s="854" t="s">
        <v>82</v>
      </c>
      <c r="E7" s="859">
        <f>E8+E20</f>
        <v>71378.25</v>
      </c>
      <c r="F7" s="856">
        <f>F8+F20</f>
        <v>807.42</v>
      </c>
      <c r="G7" s="858">
        <f>G8+G20</f>
        <v>70570.83</v>
      </c>
      <c r="H7" s="858"/>
      <c r="I7" s="858"/>
      <c r="J7" s="867"/>
      <c r="K7" s="889">
        <f>K8-G8</f>
        <v>19058.3612</v>
      </c>
      <c r="N7" s="859">
        <f>N8+N20</f>
        <v>70247.86</v>
      </c>
      <c r="O7" s="844">
        <f t="shared" ref="O7:O23" si="0">E7-N7</f>
        <v>1130.39</v>
      </c>
      <c r="P7" s="889"/>
    </row>
    <row r="8" ht="30" customHeight="1" spans="1:16">
      <c r="A8" s="850">
        <v>3</v>
      </c>
      <c r="B8" s="860" t="s">
        <v>85</v>
      </c>
      <c r="C8" s="861"/>
      <c r="D8" s="854" t="s">
        <v>82</v>
      </c>
      <c r="E8" s="858">
        <f>SUM(E9:E19)</f>
        <v>49142.74</v>
      </c>
      <c r="F8" s="856">
        <f>SUM(F9:F19)</f>
        <v>807.42</v>
      </c>
      <c r="G8" s="858">
        <f>SUM(G9:G19)</f>
        <v>48335.32</v>
      </c>
      <c r="H8" s="858" t="s">
        <v>86</v>
      </c>
      <c r="I8" s="858">
        <f>(G8+F18)/E6</f>
        <v>1.29298377011642</v>
      </c>
      <c r="J8" s="890" t="s">
        <v>87</v>
      </c>
      <c r="K8" s="889">
        <f>E6*1.8</f>
        <v>67393.6812</v>
      </c>
      <c r="N8" s="858">
        <f>SUM(N9:N19)</f>
        <v>49185</v>
      </c>
      <c r="O8" s="844">
        <f t="shared" si="0"/>
        <v>-42.2600000000093</v>
      </c>
      <c r="P8" s="889" t="s">
        <v>88</v>
      </c>
    </row>
    <row r="9" ht="30" customHeight="1" spans="1:16">
      <c r="A9" s="851">
        <v>4</v>
      </c>
      <c r="B9" s="854" t="s">
        <v>89</v>
      </c>
      <c r="C9" s="854" t="s">
        <v>90</v>
      </c>
      <c r="D9" s="854" t="s">
        <v>82</v>
      </c>
      <c r="E9" s="862">
        <v>31642.84</v>
      </c>
      <c r="F9" s="863"/>
      <c r="G9" s="855">
        <f>E9-F9</f>
        <v>31642.84</v>
      </c>
      <c r="H9" s="864" t="s">
        <v>91</v>
      </c>
      <c r="I9" s="891">
        <v>184</v>
      </c>
      <c r="J9" s="892" t="s">
        <v>92</v>
      </c>
      <c r="K9" s="893">
        <f>G9/I9</f>
        <v>171.971956521739</v>
      </c>
      <c r="L9" s="140" t="s">
        <v>93</v>
      </c>
      <c r="M9" s="894" t="s">
        <v>94</v>
      </c>
      <c r="N9" s="855">
        <v>32384</v>
      </c>
      <c r="O9" s="844">
        <f t="shared" si="0"/>
        <v>-741.16</v>
      </c>
      <c r="P9" s="889" t="s">
        <v>95</v>
      </c>
    </row>
    <row r="10" ht="30" customHeight="1" spans="1:16">
      <c r="A10" s="850">
        <v>5</v>
      </c>
      <c r="B10" s="854" t="s">
        <v>96</v>
      </c>
      <c r="C10" s="854" t="s">
        <v>97</v>
      </c>
      <c r="D10" s="854" t="s">
        <v>82</v>
      </c>
      <c r="E10" s="862">
        <v>16692.48</v>
      </c>
      <c r="F10" s="863"/>
      <c r="G10" s="855">
        <f t="shared" ref="G10:G19" si="1">E10-F10</f>
        <v>16692.48</v>
      </c>
      <c r="H10" s="865" t="s">
        <v>91</v>
      </c>
      <c r="I10" s="891">
        <v>66</v>
      </c>
      <c r="J10" s="892" t="s">
        <v>98</v>
      </c>
      <c r="K10" s="893">
        <f>G10/I10</f>
        <v>252.916363636364</v>
      </c>
      <c r="L10" s="144" t="s">
        <v>99</v>
      </c>
      <c r="M10" s="895" t="s">
        <v>100</v>
      </c>
      <c r="N10" s="855">
        <v>16016</v>
      </c>
      <c r="O10" s="844">
        <f t="shared" si="0"/>
        <v>676.48</v>
      </c>
      <c r="P10" s="844" t="s">
        <v>101</v>
      </c>
    </row>
    <row r="11" ht="30" customHeight="1" spans="1:15">
      <c r="A11" s="850">
        <v>6</v>
      </c>
      <c r="B11" s="854" t="s">
        <v>102</v>
      </c>
      <c r="C11" s="854" t="s">
        <v>103</v>
      </c>
      <c r="D11" s="854" t="s">
        <v>82</v>
      </c>
      <c r="E11" s="866"/>
      <c r="F11" s="863"/>
      <c r="G11" s="866">
        <f t="shared" si="1"/>
        <v>0</v>
      </c>
      <c r="H11" s="864" t="s">
        <v>91</v>
      </c>
      <c r="I11" s="896"/>
      <c r="J11" s="866"/>
      <c r="L11" s="144" t="s">
        <v>90</v>
      </c>
      <c r="M11" s="145" t="s">
        <v>104</v>
      </c>
      <c r="N11" s="866"/>
      <c r="O11" s="844">
        <f t="shared" si="0"/>
        <v>0</v>
      </c>
    </row>
    <row r="12" ht="30" customHeight="1" spans="1:15">
      <c r="A12" s="851">
        <v>7</v>
      </c>
      <c r="B12" s="854" t="s">
        <v>105</v>
      </c>
      <c r="C12" s="854" t="s">
        <v>106</v>
      </c>
      <c r="D12" s="854" t="s">
        <v>82</v>
      </c>
      <c r="E12" s="866"/>
      <c r="F12" s="863"/>
      <c r="G12" s="866">
        <f t="shared" si="1"/>
        <v>0</v>
      </c>
      <c r="H12" s="864" t="s">
        <v>91</v>
      </c>
      <c r="I12" s="866"/>
      <c r="J12" s="896"/>
      <c r="L12" s="140" t="s">
        <v>97</v>
      </c>
      <c r="M12" s="145" t="s">
        <v>107</v>
      </c>
      <c r="N12" s="866"/>
      <c r="O12" s="844">
        <f t="shared" si="0"/>
        <v>0</v>
      </c>
    </row>
    <row r="13" ht="30" customHeight="1" spans="1:15">
      <c r="A13" s="850">
        <v>8</v>
      </c>
      <c r="B13" s="854" t="s">
        <v>108</v>
      </c>
      <c r="C13" s="854" t="s">
        <v>109</v>
      </c>
      <c r="D13" s="854" t="s">
        <v>82</v>
      </c>
      <c r="E13" s="866">
        <v>0</v>
      </c>
      <c r="F13" s="863"/>
      <c r="G13" s="866">
        <f t="shared" si="1"/>
        <v>0</v>
      </c>
      <c r="H13" s="864" t="s">
        <v>91</v>
      </c>
      <c r="I13" s="866">
        <v>0</v>
      </c>
      <c r="J13" s="896"/>
      <c r="K13" s="897"/>
      <c r="L13" s="140" t="s">
        <v>109</v>
      </c>
      <c r="M13" s="145"/>
      <c r="N13" s="866">
        <v>0</v>
      </c>
      <c r="O13" s="844">
        <f t="shared" si="0"/>
        <v>0</v>
      </c>
    </row>
    <row r="14" ht="30" customHeight="1" spans="1:15">
      <c r="A14" s="850">
        <v>9</v>
      </c>
      <c r="B14" s="854" t="s">
        <v>110</v>
      </c>
      <c r="C14" s="854" t="s">
        <v>111</v>
      </c>
      <c r="D14" s="854" t="s">
        <v>82</v>
      </c>
      <c r="E14" s="866"/>
      <c r="F14" s="863"/>
      <c r="G14" s="866">
        <f t="shared" si="1"/>
        <v>0</v>
      </c>
      <c r="H14" s="864" t="s">
        <v>91</v>
      </c>
      <c r="I14" s="866">
        <v>0</v>
      </c>
      <c r="J14" s="896"/>
      <c r="L14" s="898" t="s">
        <v>106</v>
      </c>
      <c r="M14" s="899"/>
      <c r="N14" s="866"/>
      <c r="O14" s="844">
        <f t="shared" si="0"/>
        <v>0</v>
      </c>
    </row>
    <row r="15" ht="30" customHeight="1" spans="1:15">
      <c r="A15" s="851">
        <v>10</v>
      </c>
      <c r="B15" s="854" t="s">
        <v>112</v>
      </c>
      <c r="C15" s="854" t="s">
        <v>113</v>
      </c>
      <c r="D15" s="854" t="s">
        <v>82</v>
      </c>
      <c r="E15" s="866">
        <v>0</v>
      </c>
      <c r="F15" s="863"/>
      <c r="G15" s="866">
        <f>E15</f>
        <v>0</v>
      </c>
      <c r="H15" s="864" t="s">
        <v>91</v>
      </c>
      <c r="I15" s="900"/>
      <c r="J15" s="900"/>
      <c r="K15" s="901"/>
      <c r="L15" s="902" t="s">
        <v>111</v>
      </c>
      <c r="M15" s="145"/>
      <c r="N15" s="866">
        <v>0</v>
      </c>
      <c r="O15" s="844">
        <f t="shared" si="0"/>
        <v>0</v>
      </c>
    </row>
    <row r="16" ht="32" customHeight="1" spans="1:15">
      <c r="A16" s="850">
        <v>11</v>
      </c>
      <c r="B16" s="854" t="s">
        <v>114</v>
      </c>
      <c r="C16" s="867" t="s">
        <v>115</v>
      </c>
      <c r="D16" s="854" t="s">
        <v>82</v>
      </c>
      <c r="E16" s="862">
        <f>332.64</f>
        <v>332.64</v>
      </c>
      <c r="F16" s="863">
        <f>E16</f>
        <v>332.64</v>
      </c>
      <c r="G16" s="866">
        <f t="shared" si="1"/>
        <v>0</v>
      </c>
      <c r="H16" s="864" t="s">
        <v>91</v>
      </c>
      <c r="I16" s="903"/>
      <c r="J16" s="896"/>
      <c r="L16" s="904" t="s">
        <v>103</v>
      </c>
      <c r="M16" s="905"/>
      <c r="N16" s="855">
        <v>220</v>
      </c>
      <c r="O16" s="844">
        <f t="shared" si="0"/>
        <v>112.64</v>
      </c>
    </row>
    <row r="17" ht="30" customHeight="1" spans="1:15">
      <c r="A17" s="850">
        <v>12</v>
      </c>
      <c r="B17" s="854" t="s">
        <v>116</v>
      </c>
      <c r="C17" s="868" t="s">
        <v>117</v>
      </c>
      <c r="D17" s="854" t="s">
        <v>82</v>
      </c>
      <c r="E17" s="862">
        <f>30.94+167.55</f>
        <v>198.49</v>
      </c>
      <c r="F17" s="863">
        <f>E17</f>
        <v>198.49</v>
      </c>
      <c r="G17" s="866"/>
      <c r="H17" s="864" t="s">
        <v>91</v>
      </c>
      <c r="I17" s="866"/>
      <c r="J17" s="896"/>
      <c r="L17" s="144" t="s">
        <v>118</v>
      </c>
      <c r="M17" s="145"/>
      <c r="N17" s="855">
        <v>80</v>
      </c>
      <c r="O17" s="844">
        <f t="shared" si="0"/>
        <v>118.49</v>
      </c>
    </row>
    <row r="18" ht="30" customHeight="1" spans="1:15">
      <c r="A18" s="851">
        <v>13</v>
      </c>
      <c r="B18" s="854" t="s">
        <v>119</v>
      </c>
      <c r="C18" s="868" t="s">
        <v>120</v>
      </c>
      <c r="D18" s="854" t="s">
        <v>82</v>
      </c>
      <c r="E18" s="862">
        <f>75.2</f>
        <v>75.2</v>
      </c>
      <c r="F18" s="863">
        <f>E18</f>
        <v>75.2</v>
      </c>
      <c r="G18" s="866"/>
      <c r="H18" s="864" t="s">
        <v>91</v>
      </c>
      <c r="I18" s="866"/>
      <c r="J18" s="906" t="s">
        <v>121</v>
      </c>
      <c r="L18" s="144" t="s">
        <v>122</v>
      </c>
      <c r="M18" s="145"/>
      <c r="N18" s="855">
        <v>285</v>
      </c>
      <c r="O18" s="844">
        <f t="shared" si="0"/>
        <v>-209.8</v>
      </c>
    </row>
    <row r="19" ht="30" customHeight="1" spans="1:15">
      <c r="A19" s="850">
        <v>14</v>
      </c>
      <c r="B19" s="854" t="s">
        <v>123</v>
      </c>
      <c r="C19" s="868" t="s">
        <v>124</v>
      </c>
      <c r="D19" s="854" t="s">
        <v>82</v>
      </c>
      <c r="E19" s="862">
        <v>201.09</v>
      </c>
      <c r="F19" s="863">
        <f>E19</f>
        <v>201.09</v>
      </c>
      <c r="G19" s="866">
        <f t="shared" si="1"/>
        <v>0</v>
      </c>
      <c r="H19" s="864" t="s">
        <v>91</v>
      </c>
      <c r="I19" s="866"/>
      <c r="J19" s="906"/>
      <c r="L19" s="140" t="s">
        <v>125</v>
      </c>
      <c r="M19" s="145"/>
      <c r="N19" s="855">
        <v>200</v>
      </c>
      <c r="O19" s="844">
        <f t="shared" si="0"/>
        <v>1.09</v>
      </c>
    </row>
    <row r="20" ht="43" customHeight="1" spans="1:15">
      <c r="A20" s="850">
        <v>11</v>
      </c>
      <c r="B20" s="869" t="s">
        <v>32</v>
      </c>
      <c r="C20" s="870"/>
      <c r="D20" s="854" t="s">
        <v>82</v>
      </c>
      <c r="E20" s="871">
        <f>E21+E22+E23</f>
        <v>22235.51</v>
      </c>
      <c r="F20" s="863">
        <f>F21+F22+F23</f>
        <v>0</v>
      </c>
      <c r="G20" s="871">
        <f>G21+G22+G23</f>
        <v>22235.51</v>
      </c>
      <c r="H20" s="864" t="s">
        <v>91</v>
      </c>
      <c r="I20" s="907">
        <f>I22+I23</f>
        <v>400</v>
      </c>
      <c r="J20" s="906" t="s">
        <v>126</v>
      </c>
      <c r="K20" s="908">
        <f>G20/I20</f>
        <v>55.588775</v>
      </c>
      <c r="L20" s="140" t="s">
        <v>127</v>
      </c>
      <c r="M20" s="145"/>
      <c r="N20" s="871">
        <v>21062.86</v>
      </c>
      <c r="O20" s="844">
        <f t="shared" si="0"/>
        <v>1172.65</v>
      </c>
    </row>
    <row r="21" ht="30" customHeight="1" spans="1:15">
      <c r="A21" s="850">
        <v>12</v>
      </c>
      <c r="B21" s="872" t="s">
        <v>128</v>
      </c>
      <c r="C21" s="854" t="s">
        <v>100</v>
      </c>
      <c r="D21" s="854" t="s">
        <v>82</v>
      </c>
      <c r="E21" s="873">
        <v>0</v>
      </c>
      <c r="F21" s="863"/>
      <c r="G21" s="855">
        <f>E21-F21</f>
        <v>0</v>
      </c>
      <c r="H21" s="858" t="s">
        <v>91</v>
      </c>
      <c r="I21" s="866">
        <f>G21/190</f>
        <v>0</v>
      </c>
      <c r="J21" s="909"/>
      <c r="K21" s="908"/>
      <c r="L21" s="140" t="s">
        <v>129</v>
      </c>
      <c r="M21" s="145"/>
      <c r="N21" s="871">
        <v>0</v>
      </c>
      <c r="O21" s="844">
        <f t="shared" si="0"/>
        <v>0</v>
      </c>
    </row>
    <row r="22" ht="30" customHeight="1" spans="1:15">
      <c r="A22" s="851">
        <v>13</v>
      </c>
      <c r="B22" s="872" t="s">
        <v>130</v>
      </c>
      <c r="C22" s="854" t="s">
        <v>104</v>
      </c>
      <c r="D22" s="854" t="s">
        <v>82</v>
      </c>
      <c r="E22" s="862">
        <v>3945.11</v>
      </c>
      <c r="F22" s="874">
        <v>0</v>
      </c>
      <c r="G22" s="855">
        <f>E22-F22</f>
        <v>3945.11</v>
      </c>
      <c r="H22" s="858" t="s">
        <v>131</v>
      </c>
      <c r="I22" s="907">
        <v>99</v>
      </c>
      <c r="J22" s="906" t="s">
        <v>132</v>
      </c>
      <c r="K22" s="908">
        <f>G22/I22</f>
        <v>39.849595959596</v>
      </c>
      <c r="L22" s="140" t="s">
        <v>133</v>
      </c>
      <c r="M22" s="145"/>
      <c r="N22" s="855">
        <v>3893.84</v>
      </c>
      <c r="O22" s="844">
        <f t="shared" si="0"/>
        <v>51.27</v>
      </c>
    </row>
    <row r="23" ht="30" customHeight="1" spans="1:15">
      <c r="A23" s="850">
        <v>14</v>
      </c>
      <c r="B23" s="872" t="s">
        <v>134</v>
      </c>
      <c r="C23" s="854" t="s">
        <v>107</v>
      </c>
      <c r="D23" s="854" t="s">
        <v>82</v>
      </c>
      <c r="E23" s="862">
        <v>18290.4</v>
      </c>
      <c r="F23" s="874">
        <v>0</v>
      </c>
      <c r="G23" s="855">
        <f>E23-F23</f>
        <v>18290.4</v>
      </c>
      <c r="H23" s="858" t="s">
        <v>131</v>
      </c>
      <c r="I23" s="907">
        <f>392-91</f>
        <v>301</v>
      </c>
      <c r="J23" s="906"/>
      <c r="K23" s="908">
        <f>G23/I23</f>
        <v>60.7654485049834</v>
      </c>
      <c r="N23" s="855">
        <f>N20-N22</f>
        <v>17169.02</v>
      </c>
      <c r="O23" s="844">
        <f t="shared" si="0"/>
        <v>1121.38</v>
      </c>
    </row>
    <row r="24" ht="30" customHeight="1" spans="1:10">
      <c r="A24" s="851">
        <v>16</v>
      </c>
      <c r="B24" s="860" t="s">
        <v>135</v>
      </c>
      <c r="C24" s="861"/>
      <c r="D24" s="854" t="s">
        <v>136</v>
      </c>
      <c r="E24" s="875">
        <f>J25/E6</f>
        <v>0.261316130628579</v>
      </c>
      <c r="F24" s="854"/>
      <c r="G24" s="876"/>
      <c r="H24" s="858"/>
      <c r="I24" s="910"/>
      <c r="J24" s="911"/>
    </row>
    <row r="25" ht="30" customHeight="1" spans="1:14">
      <c r="A25" s="850">
        <v>17</v>
      </c>
      <c r="B25" s="860" t="s">
        <v>137</v>
      </c>
      <c r="C25" s="861"/>
      <c r="D25" s="854" t="s">
        <v>136</v>
      </c>
      <c r="E25" s="877">
        <v>0.3001</v>
      </c>
      <c r="F25" s="854"/>
      <c r="G25" s="878"/>
      <c r="H25" s="858"/>
      <c r="I25" s="912" t="s">
        <v>138</v>
      </c>
      <c r="J25" s="913">
        <f>SUM(J26:J37)</f>
        <v>9783.92</v>
      </c>
      <c r="K25" s="844">
        <f>E6-J25</f>
        <v>27657.014</v>
      </c>
      <c r="M25" s="844">
        <f>G8-[5]经济指标!$G$8</f>
        <v>-64.6800000000003</v>
      </c>
      <c r="N25" s="889"/>
    </row>
    <row r="26" s="302" customFormat="1" ht="30" customHeight="1" spans="1:13">
      <c r="A26" s="879">
        <v>17</v>
      </c>
      <c r="B26" s="880" t="s">
        <v>90</v>
      </c>
      <c r="C26" s="880" t="s">
        <v>139</v>
      </c>
      <c r="D26" s="307" t="s">
        <v>131</v>
      </c>
      <c r="E26" s="881">
        <v>15</v>
      </c>
      <c r="F26" s="307"/>
      <c r="G26" s="882"/>
      <c r="H26" s="883" t="s">
        <v>140</v>
      </c>
      <c r="I26" s="886" t="s">
        <v>82</v>
      </c>
      <c r="J26" s="866">
        <v>5267.79</v>
      </c>
      <c r="K26" s="302">
        <v>8762.5</v>
      </c>
      <c r="M26" s="302">
        <f>G20-[5]经济指标!$G$20</f>
        <v>1172.65</v>
      </c>
    </row>
    <row r="27" s="302" customFormat="1" ht="30" customHeight="1" spans="1:11">
      <c r="A27" s="884">
        <v>18</v>
      </c>
      <c r="B27" s="880" t="s">
        <v>97</v>
      </c>
      <c r="C27" s="880" t="s">
        <v>139</v>
      </c>
      <c r="D27" s="307" t="s">
        <v>131</v>
      </c>
      <c r="E27" s="881">
        <v>11</v>
      </c>
      <c r="F27" s="307"/>
      <c r="G27" s="882"/>
      <c r="H27" s="885"/>
      <c r="I27" s="886" t="s">
        <v>82</v>
      </c>
      <c r="J27" s="866">
        <v>4183.49</v>
      </c>
      <c r="K27" s="914">
        <f>K26-J26</f>
        <v>3494.71</v>
      </c>
    </row>
    <row r="28" s="302" customFormat="1" ht="30" customHeight="1" spans="1:11">
      <c r="A28" s="884"/>
      <c r="B28" s="880" t="s">
        <v>141</v>
      </c>
      <c r="C28" s="880" t="s">
        <v>139</v>
      </c>
      <c r="D28" s="307" t="s">
        <v>131</v>
      </c>
      <c r="E28" s="307"/>
      <c r="F28" s="307"/>
      <c r="G28" s="882"/>
      <c r="H28" s="885"/>
      <c r="I28" s="886" t="s">
        <v>82</v>
      </c>
      <c r="J28" s="857"/>
      <c r="K28" s="914">
        <f>K26-J26-J27</f>
        <v>-688.78</v>
      </c>
    </row>
    <row r="29" s="302" customFormat="1" ht="30" customHeight="1" spans="1:10">
      <c r="A29" s="879">
        <v>19</v>
      </c>
      <c r="B29" s="880" t="s">
        <v>142</v>
      </c>
      <c r="C29" s="880" t="s">
        <v>139</v>
      </c>
      <c r="D29" s="307" t="s">
        <v>131</v>
      </c>
      <c r="E29" s="307"/>
      <c r="F29" s="307"/>
      <c r="G29" s="882"/>
      <c r="H29" s="885"/>
      <c r="I29" s="886" t="s">
        <v>82</v>
      </c>
      <c r="J29" s="857"/>
    </row>
    <row r="30" s="302" customFormat="1" ht="30" customHeight="1" spans="1:10">
      <c r="A30" s="884"/>
      <c r="B30" s="880" t="str">
        <f t="shared" ref="B30:B31" si="2">C5</f>
        <v>业态</v>
      </c>
      <c r="C30" s="880" t="s">
        <v>139</v>
      </c>
      <c r="D30" s="307" t="s">
        <v>131</v>
      </c>
      <c r="E30" s="307"/>
      <c r="F30" s="307"/>
      <c r="G30" s="882"/>
      <c r="H30" s="885"/>
      <c r="I30" s="307" t="s">
        <v>82</v>
      </c>
      <c r="J30" s="857"/>
    </row>
    <row r="31" s="302" customFormat="1" ht="30" customHeight="1" spans="1:10">
      <c r="A31" s="884">
        <v>20</v>
      </c>
      <c r="B31" s="880">
        <f t="shared" si="2"/>
        <v>0</v>
      </c>
      <c r="C31" s="880" t="s">
        <v>139</v>
      </c>
      <c r="D31" s="307" t="s">
        <v>131</v>
      </c>
      <c r="E31" s="307"/>
      <c r="F31" s="307"/>
      <c r="G31" s="882"/>
      <c r="H31" s="885"/>
      <c r="I31" s="307" t="s">
        <v>82</v>
      </c>
      <c r="J31" s="857"/>
    </row>
    <row r="32" s="302" customFormat="1" ht="30" customHeight="1" spans="1:10">
      <c r="A32" s="879">
        <v>21</v>
      </c>
      <c r="B32" s="880" t="s">
        <v>106</v>
      </c>
      <c r="C32" s="880" t="s">
        <v>139</v>
      </c>
      <c r="D32" s="307" t="s">
        <v>131</v>
      </c>
      <c r="E32" s="307"/>
      <c r="F32" s="307"/>
      <c r="G32" s="882"/>
      <c r="H32" s="885"/>
      <c r="I32" s="307" t="s">
        <v>82</v>
      </c>
      <c r="J32" s="857">
        <f>E12/13</f>
        <v>0</v>
      </c>
    </row>
    <row r="33" s="302" customFormat="1" ht="30" customHeight="1" spans="1:10">
      <c r="A33" s="884">
        <v>22</v>
      </c>
      <c r="B33" s="880">
        <f>C7</f>
        <v>0</v>
      </c>
      <c r="C33" s="880" t="s">
        <v>139</v>
      </c>
      <c r="D33" s="307" t="s">
        <v>131</v>
      </c>
      <c r="E33" s="307"/>
      <c r="F33" s="307"/>
      <c r="G33" s="882"/>
      <c r="H33" s="885"/>
      <c r="I33" s="307" t="s">
        <v>82</v>
      </c>
      <c r="J33" s="857">
        <f>270*G33</f>
        <v>0</v>
      </c>
    </row>
    <row r="34" s="302" customFormat="1" ht="30" customHeight="1" spans="1:10">
      <c r="A34" s="879">
        <v>23</v>
      </c>
      <c r="B34" s="880" t="str">
        <f>C11</f>
        <v>小高层</v>
      </c>
      <c r="C34" s="880" t="s">
        <v>139</v>
      </c>
      <c r="D34" s="307" t="s">
        <v>131</v>
      </c>
      <c r="E34" s="307"/>
      <c r="F34" s="307"/>
      <c r="G34" s="882"/>
      <c r="H34" s="885"/>
      <c r="I34" s="307" t="s">
        <v>82</v>
      </c>
      <c r="J34" s="857"/>
    </row>
    <row r="35" s="302" customFormat="1" ht="30" customHeight="1" spans="1:10">
      <c r="A35" s="884">
        <v>24</v>
      </c>
      <c r="B35" s="880" t="s">
        <v>109</v>
      </c>
      <c r="C35" s="880" t="s">
        <v>139</v>
      </c>
      <c r="D35" s="307" t="s">
        <v>131</v>
      </c>
      <c r="E35" s="307"/>
      <c r="F35" s="307"/>
      <c r="G35" s="882"/>
      <c r="H35" s="885"/>
      <c r="I35" s="307" t="s">
        <v>82</v>
      </c>
      <c r="J35" s="857"/>
    </row>
    <row r="36" s="302" customFormat="1" ht="30" customHeight="1" spans="1:10">
      <c r="A36" s="884"/>
      <c r="B36" s="886" t="s">
        <v>122</v>
      </c>
      <c r="C36" s="307"/>
      <c r="D36" s="307"/>
      <c r="E36" s="307"/>
      <c r="F36" s="307"/>
      <c r="G36" s="307"/>
      <c r="H36" s="885"/>
      <c r="I36" s="307" t="s">
        <v>82</v>
      </c>
      <c r="J36" s="857"/>
    </row>
    <row r="37" s="302" customFormat="1" ht="30" customHeight="1" spans="1:10">
      <c r="A37" s="879">
        <v>25</v>
      </c>
      <c r="B37" s="886" t="s">
        <v>143</v>
      </c>
      <c r="C37" s="307"/>
      <c r="D37" s="307"/>
      <c r="E37" s="307">
        <v>1</v>
      </c>
      <c r="F37" s="307"/>
      <c r="G37" s="307"/>
      <c r="H37" s="887"/>
      <c r="I37" s="307" t="s">
        <v>82</v>
      </c>
      <c r="J37" s="857">
        <v>332.64</v>
      </c>
    </row>
    <row r="58" ht="302.1" customHeight="1"/>
  </sheetData>
  <autoFilter ref="A1:Q37">
    <extLst/>
  </autoFilter>
  <mergeCells count="10">
    <mergeCell ref="A4:J4"/>
    <mergeCell ref="B6:C6"/>
    <mergeCell ref="B7:C7"/>
    <mergeCell ref="B8:C8"/>
    <mergeCell ref="B20:C20"/>
    <mergeCell ref="B24:C24"/>
    <mergeCell ref="B25:C25"/>
    <mergeCell ref="C1:C3"/>
    <mergeCell ref="H26:H37"/>
    <mergeCell ref="A38:J58"/>
  </mergeCells>
  <dataValidations count="3">
    <dataValidation type="list" allowBlank="1" showInputMessage="1" showErrorMessage="1" sqref="C15">
      <formula1>'数据源（不可删除）'!$A$2:$A$15</formula1>
    </dataValidation>
    <dataValidation type="list" allowBlank="1" showInputMessage="1" showErrorMessage="1" sqref="C9:C14">
      <formula1>$L$10:$L$22</formula1>
    </dataValidation>
    <dataValidation type="list" allowBlank="1" showInputMessage="1" showErrorMessage="1" sqref="C21:C23">
      <formula1>$M$10:$M$12</formula1>
    </dataValidation>
  </dataValidations>
  <hyperlinks>
    <hyperlink ref="C1:C3" location="目录!A1" display="返回目录"/>
  </hyperlinks>
  <printOptions horizontalCentered="1"/>
  <pageMargins left="0.275" right="0.15625" top="0.747916666666667" bottom="0.747916666666667" header="0.313888888888889" footer="0.313888888888889"/>
  <pageSetup paperSize="9" scale="7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BH260"/>
  <sheetViews>
    <sheetView tabSelected="1" view="pageBreakPreview" zoomScale="145" zoomScaleNormal="145" topLeftCell="A4" workbookViewId="0">
      <pane xSplit="2" ySplit="6" topLeftCell="C195" activePane="bottomRight" state="frozen"/>
      <selection/>
      <selection pane="topRight"/>
      <selection pane="bottomLeft"/>
      <selection pane="bottomRight" activeCell="AN239" sqref="AN239"/>
    </sheetView>
  </sheetViews>
  <sheetFormatPr defaultColWidth="9" defaultRowHeight="24" customHeight="1"/>
  <cols>
    <col min="1" max="1" width="8.25" style="769" customWidth="1"/>
    <col min="2" max="2" width="20.425" style="776" customWidth="1"/>
    <col min="3" max="3" width="11" style="769" customWidth="1"/>
    <col min="4" max="4" width="11.875" style="769" customWidth="1" collapsed="1"/>
    <col min="5" max="5" width="24.625" style="706" hidden="1" customWidth="1" outlineLevel="1"/>
    <col min="6" max="6" width="10.8666666666667" style="769" customWidth="1"/>
    <col min="7" max="7" width="9.625" style="769" customWidth="1" collapsed="1"/>
    <col min="8" max="8" width="8.375" style="769" hidden="1" customWidth="1" outlineLevel="1"/>
    <col min="9" max="9" width="9.625" style="769" hidden="1" customWidth="1" outlineLevel="1"/>
    <col min="10" max="10" width="11.125" style="769" hidden="1" customWidth="1" outlineLevel="1"/>
    <col min="11" max="11" width="11.125" style="769" hidden="1" customWidth="1" outlineLevel="1" collapsed="1"/>
    <col min="12" max="12" width="15.5" style="769" hidden="1" customWidth="1" outlineLevel="2"/>
    <col min="13" max="13" width="10.125" style="769" hidden="1" customWidth="1" outlineLevel="2"/>
    <col min="14" max="15" width="12.125" style="769" hidden="1" customWidth="1" outlineLevel="2"/>
    <col min="16" max="17" width="9.375" style="769" hidden="1" customWidth="1" outlineLevel="2"/>
    <col min="18" max="18" width="11.225" style="769" hidden="1" customWidth="1" outlineLevel="2"/>
    <col min="19" max="19" width="8.375" style="769" hidden="1" customWidth="1" outlineLevel="2"/>
    <col min="20" max="20" width="10.25" style="769" hidden="1" customWidth="1" outlineLevel="2"/>
    <col min="21" max="21" width="10.125" style="769" hidden="1" customWidth="1" outlineLevel="2"/>
    <col min="22" max="22" width="11.25" style="769" hidden="1" customWidth="1" outlineLevel="1"/>
    <col min="23" max="23" width="8.375" style="769" hidden="1" customWidth="1" outlineLevel="1" collapsed="1"/>
    <col min="24" max="24" width="9.75" style="769" hidden="1" customWidth="1" outlineLevel="2"/>
    <col min="25" max="25" width="8.375" style="769" hidden="1" customWidth="1" outlineLevel="2"/>
    <col min="26" max="26" width="17.125" style="777" hidden="1" customWidth="1" outlineLevel="2"/>
    <col min="27" max="27" width="8.375" style="777" hidden="1" customWidth="1" outlineLevel="2"/>
    <col min="28" max="29" width="8.5" style="769" hidden="1" customWidth="1" outlineLevel="2"/>
    <col min="30" max="30" width="9.88333333333333" style="769" customWidth="1"/>
    <col min="31" max="31" width="10.5" style="769" customWidth="1" collapsed="1"/>
    <col min="32" max="33" width="8.625" style="769" hidden="1" customWidth="1" outlineLevel="1"/>
    <col min="34" max="34" width="11.125" style="769" hidden="1" customWidth="1" outlineLevel="1"/>
    <col min="35" max="35" width="9.225" style="769" hidden="1" customWidth="1" outlineLevel="1"/>
    <col min="36" max="36" width="10.625" style="769" hidden="1" customWidth="1" outlineLevel="1"/>
    <col min="37" max="37" width="9.875" style="769" hidden="1" customWidth="1" outlineLevel="1"/>
    <col min="38" max="38" width="10.3833333333333" style="699" customWidth="1"/>
    <col min="39" max="39" width="8.875" style="699" customWidth="1"/>
    <col min="40" max="40" width="17.125" style="751" customWidth="1"/>
    <col min="41" max="41" width="8.875" style="699" customWidth="1"/>
    <col min="42" max="56" width="7.01666666666667" style="699" customWidth="1"/>
    <col min="57" max="57" width="11.5" style="769"/>
    <col min="58" max="58" width="10.375" style="769"/>
    <col min="59" max="59" width="9.375" style="769" customWidth="1"/>
    <col min="60" max="60" width="11.5" style="769" customWidth="1"/>
    <col min="61" max="16384" width="9" style="769"/>
  </cols>
  <sheetData>
    <row r="1" customHeight="1" spans="1:9">
      <c r="A1" s="778" t="s">
        <v>49</v>
      </c>
      <c r="B1" s="779" t="str">
        <f>目录!C5</f>
        <v>成本中心</v>
      </c>
      <c r="C1" s="780" t="s">
        <v>50</v>
      </c>
      <c r="D1" s="781"/>
      <c r="E1" s="736"/>
      <c r="F1" s="781"/>
      <c r="G1" s="781"/>
      <c r="H1" s="781"/>
      <c r="I1" s="781"/>
    </row>
    <row r="2" customHeight="1" spans="1:9">
      <c r="A2" s="778" t="s">
        <v>3</v>
      </c>
      <c r="B2" s="779" t="str">
        <f>目录!D5</f>
        <v>陈海民</v>
      </c>
      <c r="C2" s="780"/>
      <c r="D2" s="781"/>
      <c r="E2" s="736"/>
      <c r="F2" s="781"/>
      <c r="G2" s="781"/>
      <c r="H2" s="781"/>
      <c r="I2" s="785"/>
    </row>
    <row r="3" customHeight="1" spans="1:30">
      <c r="A3" s="782" t="s">
        <v>4</v>
      </c>
      <c r="B3" s="783" t="str">
        <f>目录!E5</f>
        <v>2022.10.31</v>
      </c>
      <c r="C3" s="784"/>
      <c r="D3" s="781">
        <f>F3+AD3</f>
        <v>7.057083</v>
      </c>
      <c r="E3" s="736"/>
      <c r="F3" s="781">
        <f>H8+J8+T8+Z8+AB8</f>
        <v>4.833532</v>
      </c>
      <c r="G3" s="781"/>
      <c r="H3" s="785">
        <f>D10+D19</f>
        <v>24608.4189248681</v>
      </c>
      <c r="I3" s="785"/>
      <c r="AD3" s="769">
        <f>AH8+AJ8</f>
        <v>2.223551</v>
      </c>
    </row>
    <row r="4" ht="21" customHeight="1" spans="1:45">
      <c r="A4" s="786" t="str">
        <f>项目概况!B6&amp;"项目成本测算明细表"</f>
        <v>洛龙区八里堂地块（挂牌）项目成本测算明细表</v>
      </c>
      <c r="B4" s="786"/>
      <c r="C4" s="786"/>
      <c r="D4" s="786"/>
      <c r="E4" s="543"/>
      <c r="F4" s="786"/>
      <c r="G4" s="786"/>
      <c r="H4" s="786"/>
      <c r="I4" s="786"/>
      <c r="J4" s="786"/>
      <c r="K4" s="786"/>
      <c r="L4" s="786"/>
      <c r="M4" s="786"/>
      <c r="N4" s="786"/>
      <c r="O4" s="786"/>
      <c r="P4" s="786"/>
      <c r="Q4" s="786"/>
      <c r="R4" s="786"/>
      <c r="S4" s="786"/>
      <c r="T4" s="786"/>
      <c r="U4" s="786"/>
      <c r="V4" s="786"/>
      <c r="W4" s="786"/>
      <c r="X4" s="786"/>
      <c r="Y4" s="786"/>
      <c r="Z4" s="786"/>
      <c r="AA4" s="786"/>
      <c r="AB4" s="786"/>
      <c r="AC4" s="786"/>
      <c r="AD4" s="786"/>
      <c r="AE4" s="786"/>
      <c r="AF4" s="786"/>
      <c r="AG4" s="786"/>
      <c r="AH4" s="786"/>
      <c r="AI4" s="786"/>
      <c r="AJ4" s="786"/>
      <c r="AK4" s="786"/>
      <c r="AL4" s="803"/>
      <c r="AN4" s="751">
        <v>111</v>
      </c>
      <c r="AP4" s="750"/>
      <c r="AQ4" s="750"/>
      <c r="AR4" s="750"/>
      <c r="AS4" s="750"/>
    </row>
    <row r="5" s="769" customFormat="1" ht="19" customHeight="1" spans="1:56">
      <c r="A5" s="787" t="s">
        <v>0</v>
      </c>
      <c r="B5" s="787" t="s">
        <v>144</v>
      </c>
      <c r="C5" s="787" t="s">
        <v>145</v>
      </c>
      <c r="D5" s="787"/>
      <c r="E5" s="742"/>
      <c r="F5" s="788" t="s">
        <v>85</v>
      </c>
      <c r="G5" s="788"/>
      <c r="H5" s="788"/>
      <c r="I5" s="788"/>
      <c r="J5" s="788"/>
      <c r="K5" s="788"/>
      <c r="L5" s="788"/>
      <c r="M5" s="788"/>
      <c r="N5" s="788"/>
      <c r="O5" s="788"/>
      <c r="P5" s="788"/>
      <c r="Q5" s="788"/>
      <c r="R5" s="788"/>
      <c r="S5" s="788"/>
      <c r="T5" s="788"/>
      <c r="U5" s="788"/>
      <c r="V5" s="788"/>
      <c r="W5" s="788"/>
      <c r="X5" s="788"/>
      <c r="Y5" s="788"/>
      <c r="Z5" s="788"/>
      <c r="AA5" s="788"/>
      <c r="AB5" s="788"/>
      <c r="AC5" s="788"/>
      <c r="AD5" s="801" t="s">
        <v>32</v>
      </c>
      <c r="AE5" s="801"/>
      <c r="AF5" s="801"/>
      <c r="AG5" s="801"/>
      <c r="AH5" s="801"/>
      <c r="AI5" s="801"/>
      <c r="AJ5" s="801"/>
      <c r="AK5" s="801"/>
      <c r="AL5" s="724" t="s">
        <v>146</v>
      </c>
      <c r="AM5" s="699"/>
      <c r="AN5" s="751"/>
      <c r="AO5" s="699"/>
      <c r="AP5" s="750"/>
      <c r="AQ5" s="750"/>
      <c r="AR5" s="750"/>
      <c r="AS5" s="750"/>
      <c r="AT5" s="699"/>
      <c r="AU5" s="699"/>
      <c r="AV5" s="699"/>
      <c r="AW5" s="699"/>
      <c r="AX5" s="699"/>
      <c r="AY5" s="699"/>
      <c r="AZ5" s="699"/>
      <c r="BA5" s="699"/>
      <c r="BB5" s="699"/>
      <c r="BC5" s="699"/>
      <c r="BD5" s="699"/>
    </row>
    <row r="6" s="770" customFormat="1" ht="19" customHeight="1" spans="1:56">
      <c r="A6" s="787"/>
      <c r="B6" s="787" t="s">
        <v>147</v>
      </c>
      <c r="C6" s="787"/>
      <c r="D6" s="787"/>
      <c r="E6" s="742"/>
      <c r="F6" s="787" t="str">
        <f>经济指标!B8</f>
        <v>地上建筑面积</v>
      </c>
      <c r="G6" s="787"/>
      <c r="H6" s="787" t="str">
        <f>经济指标!B9</f>
        <v>地上部分1</v>
      </c>
      <c r="I6" s="787"/>
      <c r="J6" s="787" t="str">
        <f>经济指标!B10</f>
        <v>地上部分2</v>
      </c>
      <c r="K6" s="787"/>
      <c r="L6" s="787" t="str">
        <f>经济指标!B11</f>
        <v>地上部分3</v>
      </c>
      <c r="M6" s="787"/>
      <c r="N6" s="787" t="str">
        <f>经济指标!B12</f>
        <v>地上部分4</v>
      </c>
      <c r="O6" s="787"/>
      <c r="P6" s="787" t="str">
        <f>经济指标!B13</f>
        <v>地上部分5</v>
      </c>
      <c r="Q6" s="787"/>
      <c r="R6" s="787" t="str">
        <f>经济指标!B14</f>
        <v>地上部分6</v>
      </c>
      <c r="S6" s="787"/>
      <c r="T6" s="787" t="str">
        <f>经济指标!B15</f>
        <v>地上部分7</v>
      </c>
      <c r="U6" s="787"/>
      <c r="V6" s="787" t="str">
        <f>经济指标!B16</f>
        <v>地上部分8</v>
      </c>
      <c r="W6" s="787"/>
      <c r="X6" s="787" t="str">
        <f>经济指标!B17</f>
        <v>地上部分9</v>
      </c>
      <c r="Y6" s="787"/>
      <c r="Z6" s="787" t="str">
        <f>经济指标!B18</f>
        <v>地上部分10</v>
      </c>
      <c r="AA6" s="787"/>
      <c r="AB6" s="787" t="str">
        <f>经济指标!B19</f>
        <v>地上部分11</v>
      </c>
      <c r="AC6" s="787"/>
      <c r="AD6" s="787" t="str">
        <f>经济指标!B20</f>
        <v>地下建筑面积</v>
      </c>
      <c r="AE6" s="787"/>
      <c r="AF6" s="787" t="str">
        <f>经济指标!B21</f>
        <v>地下部分1</v>
      </c>
      <c r="AG6" s="787"/>
      <c r="AH6" s="787" t="str">
        <f>经济指标!B22</f>
        <v>地下部分2</v>
      </c>
      <c r="AI6" s="787"/>
      <c r="AJ6" s="787" t="str">
        <f>经济指标!B23</f>
        <v>地下部分3</v>
      </c>
      <c r="AK6" s="787"/>
      <c r="AL6" s="724"/>
      <c r="AM6" s="804"/>
      <c r="AN6" s="751"/>
      <c r="AO6" s="804"/>
      <c r="AP6" s="750"/>
      <c r="AQ6" s="750"/>
      <c r="AR6" s="750"/>
      <c r="AS6" s="750"/>
      <c r="AT6" s="804"/>
      <c r="AU6" s="804"/>
      <c r="AV6" s="804"/>
      <c r="AW6" s="804"/>
      <c r="AX6" s="804"/>
      <c r="AY6" s="804"/>
      <c r="AZ6" s="804"/>
      <c r="BA6" s="804"/>
      <c r="BB6" s="804"/>
      <c r="BC6" s="804"/>
      <c r="BD6" s="804"/>
    </row>
    <row r="7" s="771" customFormat="1" ht="21" customHeight="1" spans="1:56">
      <c r="A7" s="787"/>
      <c r="B7" s="787" t="s">
        <v>148</v>
      </c>
      <c r="C7" s="787"/>
      <c r="D7" s="787"/>
      <c r="E7" s="724"/>
      <c r="F7" s="787" t="str">
        <f>F6</f>
        <v>地上建筑面积</v>
      </c>
      <c r="G7" s="787"/>
      <c r="H7" s="789" t="str">
        <f>经济指标!C9</f>
        <v>洋房</v>
      </c>
      <c r="I7" s="789"/>
      <c r="J7" s="789" t="str">
        <f>经济指标!C10</f>
        <v>别墅</v>
      </c>
      <c r="K7" s="789"/>
      <c r="L7" s="789" t="str">
        <f>经济指标!C11</f>
        <v>小高层</v>
      </c>
      <c r="M7" s="789"/>
      <c r="N7" s="789" t="str">
        <f>经济指标!C12</f>
        <v>公寓</v>
      </c>
      <c r="O7" s="789"/>
      <c r="P7" s="787" t="str">
        <f>经济指标!C13</f>
        <v>商业</v>
      </c>
      <c r="Q7" s="787"/>
      <c r="R7" s="787" t="str">
        <f>经济指标!C14</f>
        <v>办公</v>
      </c>
      <c r="S7" s="787"/>
      <c r="T7" s="787" t="str">
        <f>经济指标!C15</f>
        <v>装配式</v>
      </c>
      <c r="U7" s="787"/>
      <c r="V7" s="787" t="str">
        <f>经济指标!C16</f>
        <v>物业用房及消防控制室</v>
      </c>
      <c r="W7" s="787"/>
      <c r="X7" s="787" t="str">
        <f>经济指标!C17</f>
        <v>公共厕所及开闭所</v>
      </c>
      <c r="Y7" s="787"/>
      <c r="Z7" s="787" t="str">
        <f>经济指标!C18</f>
        <v>社区服务站</v>
      </c>
      <c r="AA7" s="787"/>
      <c r="AB7" s="787" t="str">
        <f>经济指标!C19</f>
        <v>老年日间照料</v>
      </c>
      <c r="AC7" s="787"/>
      <c r="AD7" s="787" t="str">
        <f>AD6</f>
        <v>地下建筑面积</v>
      </c>
      <c r="AE7" s="787"/>
      <c r="AF7" s="787" t="str">
        <f>经济指标!C21</f>
        <v>储藏室</v>
      </c>
      <c r="AG7" s="787"/>
      <c r="AH7" s="787" t="str">
        <f>经济指标!C22</f>
        <v>人防车位</v>
      </c>
      <c r="AI7" s="787"/>
      <c r="AJ7" s="787" t="str">
        <f>经济指标!C23</f>
        <v>非人防车位</v>
      </c>
      <c r="AK7" s="787"/>
      <c r="AL7" s="724"/>
      <c r="AM7" s="751"/>
      <c r="AN7" s="751"/>
      <c r="AO7" s="751"/>
      <c r="AP7" s="750"/>
      <c r="AQ7" s="750"/>
      <c r="AR7" s="750"/>
      <c r="AS7" s="750"/>
      <c r="AT7" s="751"/>
      <c r="AU7" s="751"/>
      <c r="AV7" s="751"/>
      <c r="AW7" s="751"/>
      <c r="AX7" s="751"/>
      <c r="AY7" s="751"/>
      <c r="AZ7" s="751"/>
      <c r="BA7" s="751"/>
      <c r="BB7" s="751"/>
      <c r="BC7" s="751"/>
      <c r="BD7" s="751"/>
    </row>
    <row r="8" customHeight="1" spans="1:45">
      <c r="A8" s="790"/>
      <c r="B8" s="790" t="s">
        <v>77</v>
      </c>
      <c r="C8" s="791">
        <f>经济指标!E7/10000</f>
        <v>7.137825</v>
      </c>
      <c r="D8" s="787" t="s">
        <v>149</v>
      </c>
      <c r="E8" s="742"/>
      <c r="F8" s="792">
        <f>经济指标!E8/10000</f>
        <v>4.914274</v>
      </c>
      <c r="G8" s="787" t="s">
        <v>150</v>
      </c>
      <c r="H8" s="792">
        <f>经济指标!E9/10000</f>
        <v>3.164284</v>
      </c>
      <c r="I8" s="787" t="s">
        <v>149</v>
      </c>
      <c r="J8" s="792">
        <f>经济指标!E10/10000</f>
        <v>1.669248</v>
      </c>
      <c r="K8" s="787" t="s">
        <v>151</v>
      </c>
      <c r="L8" s="724">
        <f>经济指标!G11/10000</f>
        <v>0</v>
      </c>
      <c r="M8" s="787" t="s">
        <v>152</v>
      </c>
      <c r="N8" s="792">
        <f>经济指标!G12/10000</f>
        <v>0</v>
      </c>
      <c r="O8" s="787" t="s">
        <v>153</v>
      </c>
      <c r="P8" s="792">
        <f>经济指标!E13/10000</f>
        <v>0</v>
      </c>
      <c r="Q8" s="787" t="s">
        <v>154</v>
      </c>
      <c r="R8" s="724">
        <f>经济指标!G14/10000</f>
        <v>0</v>
      </c>
      <c r="S8" s="787" t="s">
        <v>155</v>
      </c>
      <c r="T8" s="792">
        <f>经济指标!E15/10000</f>
        <v>0</v>
      </c>
      <c r="U8" s="787" t="s">
        <v>156</v>
      </c>
      <c r="V8" s="792">
        <f>经济指标!L3/10000</f>
        <v>0.080742</v>
      </c>
      <c r="W8" s="787" t="s">
        <v>153</v>
      </c>
      <c r="X8" s="792">
        <v>0</v>
      </c>
      <c r="Y8" s="787" t="s">
        <v>154</v>
      </c>
      <c r="Z8" s="792">
        <v>0</v>
      </c>
      <c r="AA8" s="787" t="s">
        <v>155</v>
      </c>
      <c r="AB8" s="792">
        <v>0</v>
      </c>
      <c r="AC8" s="787" t="s">
        <v>156</v>
      </c>
      <c r="AD8" s="802">
        <f>经济指标!E20/10000</f>
        <v>2.223551</v>
      </c>
      <c r="AE8" s="787" t="s">
        <v>150</v>
      </c>
      <c r="AF8" s="802">
        <f>经济指标!E21/10000</f>
        <v>0</v>
      </c>
      <c r="AG8" s="787" t="s">
        <v>149</v>
      </c>
      <c r="AH8" s="802">
        <f>经济指标!E22/10000</f>
        <v>0.394511</v>
      </c>
      <c r="AI8" s="787" t="s">
        <v>151</v>
      </c>
      <c r="AJ8" s="802">
        <f>(经济指标!E23)/10000</f>
        <v>1.82904</v>
      </c>
      <c r="AK8" s="787" t="s">
        <v>152</v>
      </c>
      <c r="AL8" s="793"/>
      <c r="AP8" s="750"/>
      <c r="AQ8" s="750"/>
      <c r="AR8" s="750"/>
      <c r="AS8" s="750"/>
    </row>
    <row r="9" ht="28" customHeight="1" spans="1:45">
      <c r="A9" s="790"/>
      <c r="B9" s="790" t="s">
        <v>157</v>
      </c>
      <c r="C9" s="790" t="s">
        <v>158</v>
      </c>
      <c r="D9" s="790" t="s">
        <v>159</v>
      </c>
      <c r="E9" s="793" t="s">
        <v>160</v>
      </c>
      <c r="F9" s="790" t="s">
        <v>161</v>
      </c>
      <c r="G9" s="790" t="s">
        <v>162</v>
      </c>
      <c r="H9" s="790" t="s">
        <v>158</v>
      </c>
      <c r="I9" s="790" t="s">
        <v>162</v>
      </c>
      <c r="J9" s="790" t="s">
        <v>158</v>
      </c>
      <c r="K9" s="790" t="s">
        <v>162</v>
      </c>
      <c r="L9" s="790" t="s">
        <v>158</v>
      </c>
      <c r="M9" s="790" t="s">
        <v>162</v>
      </c>
      <c r="N9" s="790" t="s">
        <v>158</v>
      </c>
      <c r="O9" s="790" t="s">
        <v>162</v>
      </c>
      <c r="P9" s="790" t="s">
        <v>158</v>
      </c>
      <c r="Q9" s="790" t="s">
        <v>162</v>
      </c>
      <c r="R9" s="790" t="s">
        <v>158</v>
      </c>
      <c r="S9" s="790" t="s">
        <v>162</v>
      </c>
      <c r="T9" s="790" t="s">
        <v>158</v>
      </c>
      <c r="U9" s="790" t="s">
        <v>162</v>
      </c>
      <c r="V9" s="790" t="s">
        <v>158</v>
      </c>
      <c r="W9" s="790" t="s">
        <v>162</v>
      </c>
      <c r="X9" s="790" t="s">
        <v>158</v>
      </c>
      <c r="Y9" s="790" t="s">
        <v>162</v>
      </c>
      <c r="Z9" s="790" t="s">
        <v>158</v>
      </c>
      <c r="AA9" s="790" t="s">
        <v>162</v>
      </c>
      <c r="AB9" s="790" t="s">
        <v>158</v>
      </c>
      <c r="AC9" s="790" t="s">
        <v>162</v>
      </c>
      <c r="AD9" s="790" t="s">
        <v>158</v>
      </c>
      <c r="AE9" s="790" t="s">
        <v>162</v>
      </c>
      <c r="AF9" s="790" t="s">
        <v>161</v>
      </c>
      <c r="AG9" s="790" t="s">
        <v>162</v>
      </c>
      <c r="AH9" s="790" t="s">
        <v>161</v>
      </c>
      <c r="AI9" s="790" t="s">
        <v>162</v>
      </c>
      <c r="AJ9" s="790" t="s">
        <v>161</v>
      </c>
      <c r="AK9" s="790" t="s">
        <v>162</v>
      </c>
      <c r="AL9" s="793"/>
      <c r="AP9" s="750"/>
      <c r="AQ9" s="750"/>
      <c r="AR9" s="750"/>
      <c r="AS9" s="750"/>
    </row>
    <row r="10" s="772" customFormat="1" customHeight="1" collapsed="1" spans="1:56">
      <c r="A10" s="794">
        <v>1</v>
      </c>
      <c r="B10" s="795" t="s">
        <v>163</v>
      </c>
      <c r="C10" s="795">
        <f>SUM(C11:C18)</f>
        <v>3145.14257770933</v>
      </c>
      <c r="D10" s="795">
        <f>SUM(D11:D18)</f>
        <v>22449.4773197381</v>
      </c>
      <c r="E10" s="796"/>
      <c r="F10" s="795">
        <f>SUM(F11:F18)</f>
        <v>4644.52853932448</v>
      </c>
      <c r="G10" s="795">
        <f t="shared" ref="G10:AK10" si="0">SUM(G11:G18)</f>
        <v>22449.4773197381</v>
      </c>
      <c r="H10" s="795">
        <f t="shared" si="0"/>
        <v>4644.52853932448</v>
      </c>
      <c r="I10" s="795">
        <f t="shared" si="0"/>
        <v>14696.6073445278</v>
      </c>
      <c r="J10" s="795">
        <f t="shared" si="0"/>
        <v>4644.52853932448</v>
      </c>
      <c r="K10" s="795">
        <f t="shared" si="0"/>
        <v>7752.86997521031</v>
      </c>
      <c r="L10" s="795">
        <f t="shared" si="0"/>
        <v>4644.52853932448</v>
      </c>
      <c r="M10" s="795">
        <f t="shared" si="0"/>
        <v>0</v>
      </c>
      <c r="N10" s="795">
        <f t="shared" si="0"/>
        <v>4644.52853932448</v>
      </c>
      <c r="O10" s="795">
        <f t="shared" si="0"/>
        <v>0</v>
      </c>
      <c r="P10" s="795">
        <f t="shared" si="0"/>
        <v>4644.52853932448</v>
      </c>
      <c r="Q10" s="795">
        <f t="shared" si="0"/>
        <v>0</v>
      </c>
      <c r="R10" s="795">
        <f t="shared" si="0"/>
        <v>4644.52853932448</v>
      </c>
      <c r="S10" s="795">
        <f t="shared" si="0"/>
        <v>0</v>
      </c>
      <c r="T10" s="795">
        <f t="shared" si="0"/>
        <v>4644.52853932448</v>
      </c>
      <c r="U10" s="795">
        <f t="shared" si="0"/>
        <v>0</v>
      </c>
      <c r="V10" s="795">
        <f t="shared" si="0"/>
        <v>0</v>
      </c>
      <c r="W10" s="795">
        <f t="shared" si="0"/>
        <v>0</v>
      </c>
      <c r="X10" s="795"/>
      <c r="Y10" s="795"/>
      <c r="Z10" s="795"/>
      <c r="AA10" s="795"/>
      <c r="AB10" s="795"/>
      <c r="AC10" s="795"/>
      <c r="AD10" s="795">
        <f t="shared" si="0"/>
        <v>0</v>
      </c>
      <c r="AE10" s="795">
        <f t="shared" si="0"/>
        <v>0</v>
      </c>
      <c r="AF10" s="795">
        <f t="shared" si="0"/>
        <v>0</v>
      </c>
      <c r="AG10" s="795">
        <f t="shared" si="0"/>
        <v>0</v>
      </c>
      <c r="AH10" s="795">
        <f t="shared" si="0"/>
        <v>0</v>
      </c>
      <c r="AI10" s="795">
        <f t="shared" si="0"/>
        <v>0</v>
      </c>
      <c r="AJ10" s="795">
        <f t="shared" si="0"/>
        <v>0</v>
      </c>
      <c r="AK10" s="795">
        <f t="shared" si="0"/>
        <v>0</v>
      </c>
      <c r="AL10" s="796" t="s">
        <v>164</v>
      </c>
      <c r="AM10" s="805"/>
      <c r="AN10" s="806">
        <f>+D10*10000</f>
        <v>224494773.197381</v>
      </c>
      <c r="AO10" s="805"/>
      <c r="AP10" s="805"/>
      <c r="AQ10" s="805"/>
      <c r="AR10" s="805"/>
      <c r="AS10" s="805"/>
      <c r="AT10" s="805"/>
      <c r="AU10" s="805"/>
      <c r="AV10" s="805"/>
      <c r="AW10" s="805"/>
      <c r="AX10" s="805"/>
      <c r="AY10" s="805"/>
      <c r="AZ10" s="805"/>
      <c r="BA10" s="805"/>
      <c r="BB10" s="805"/>
      <c r="BC10" s="805"/>
      <c r="BD10" s="805"/>
    </row>
    <row r="11" s="699" customFormat="1" hidden="1" customHeight="1" outlineLevel="1" spans="1:40">
      <c r="A11" s="724">
        <v>1.1</v>
      </c>
      <c r="B11" s="724" t="s">
        <v>165</v>
      </c>
      <c r="C11" s="724">
        <f>D11/$C$8</f>
        <v>2991.46654060586</v>
      </c>
      <c r="D11" s="724">
        <f>项目概况!B12</f>
        <v>21352.5646602</v>
      </c>
      <c r="E11" s="742" t="s">
        <v>163</v>
      </c>
      <c r="F11" s="724">
        <f>G11/(J8+L8+P8+T8+H8)</f>
        <v>4417.59042046272</v>
      </c>
      <c r="G11" s="724">
        <f>D11</f>
        <v>21352.5646602</v>
      </c>
      <c r="H11" s="724">
        <f>$F11</f>
        <v>4417.59042046272</v>
      </c>
      <c r="I11" s="724">
        <f>H11*H$8</f>
        <v>13978.5106860234</v>
      </c>
      <c r="J11" s="724">
        <f t="shared" ref="J11:J18" si="1">$F11</f>
        <v>4417.59042046272</v>
      </c>
      <c r="K11" s="724">
        <f>J11*J$8</f>
        <v>7374.05397417656</v>
      </c>
      <c r="L11" s="724">
        <f t="shared" ref="L11:L18" si="2">$F11</f>
        <v>4417.59042046272</v>
      </c>
      <c r="M11" s="724">
        <f t="shared" ref="M11:M18" si="3">L11*L$8</f>
        <v>0</v>
      </c>
      <c r="N11" s="724">
        <f t="shared" ref="N11:N18" si="4">$F11</f>
        <v>4417.59042046272</v>
      </c>
      <c r="O11" s="724">
        <f t="shared" ref="O11:O18" si="5">N11*N$8</f>
        <v>0</v>
      </c>
      <c r="P11" s="724">
        <f t="shared" ref="P11:P18" si="6">$F11</f>
        <v>4417.59042046272</v>
      </c>
      <c r="Q11" s="724">
        <f>P11*P$8</f>
        <v>0</v>
      </c>
      <c r="R11" s="724">
        <f>$F11</f>
        <v>4417.59042046272</v>
      </c>
      <c r="S11" s="724">
        <f t="shared" ref="S11:S18" si="7">R11*R$8</f>
        <v>0</v>
      </c>
      <c r="T11" s="724">
        <f>F11</f>
        <v>4417.59042046272</v>
      </c>
      <c r="U11" s="724">
        <f>T11*T$8</f>
        <v>0</v>
      </c>
      <c r="V11" s="724">
        <v>0</v>
      </c>
      <c r="W11" s="724">
        <f>V11*V$8</f>
        <v>0</v>
      </c>
      <c r="X11" s="724"/>
      <c r="Y11" s="724"/>
      <c r="Z11" s="724"/>
      <c r="AA11" s="724"/>
      <c r="AB11" s="724"/>
      <c r="AC11" s="724"/>
      <c r="AD11" s="724">
        <f>AE11/$AD$8</f>
        <v>0</v>
      </c>
      <c r="AE11" s="724">
        <f>D11-G11</f>
        <v>0</v>
      </c>
      <c r="AF11" s="724">
        <f>AD11</f>
        <v>0</v>
      </c>
      <c r="AG11" s="724">
        <f>AF11*AF$8</f>
        <v>0</v>
      </c>
      <c r="AH11" s="724">
        <f>AD11</f>
        <v>0</v>
      </c>
      <c r="AI11" s="724">
        <f>AH11*AH$8</f>
        <v>0</v>
      </c>
      <c r="AJ11" s="724">
        <f>AD11</f>
        <v>0</v>
      </c>
      <c r="AK11" s="724">
        <f>AJ11*AJ$8</f>
        <v>0</v>
      </c>
      <c r="AL11" s="742"/>
      <c r="AN11" s="806">
        <f t="shared" ref="AN11:AN74" si="8">+D11*10000</f>
        <v>213525646.602</v>
      </c>
    </row>
    <row r="12" s="699" customFormat="1" hidden="1" customHeight="1" outlineLevel="1" spans="1:40">
      <c r="A12" s="724">
        <v>1.2</v>
      </c>
      <c r="B12" s="724" t="s">
        <v>166</v>
      </c>
      <c r="C12" s="724">
        <f t="shared" ref="C12:C18" si="9">D12/$C$8</f>
        <v>119.658661624234</v>
      </c>
      <c r="D12" s="724">
        <f>D11*0.04</f>
        <v>854.102586408</v>
      </c>
      <c r="E12" s="742" t="s">
        <v>167</v>
      </c>
      <c r="F12" s="724">
        <f>G12/(J8+L8+P8+T8+H8)</f>
        <v>176.703616818509</v>
      </c>
      <c r="G12" s="724">
        <f t="shared" ref="G12:G18" si="10">D12</f>
        <v>854.102586408</v>
      </c>
      <c r="H12" s="724">
        <f t="shared" ref="H12:H18" si="11">$F12</f>
        <v>176.703616818509</v>
      </c>
      <c r="I12" s="724">
        <f>H12*H$8</f>
        <v>559.140427440938</v>
      </c>
      <c r="J12" s="724">
        <f t="shared" si="1"/>
        <v>176.703616818509</v>
      </c>
      <c r="K12" s="724">
        <f t="shared" ref="K12:K18" si="12">J12*J$8</f>
        <v>294.962158967062</v>
      </c>
      <c r="L12" s="724">
        <f t="shared" si="2"/>
        <v>176.703616818509</v>
      </c>
      <c r="M12" s="724">
        <f t="shared" si="3"/>
        <v>0</v>
      </c>
      <c r="N12" s="724">
        <f t="shared" si="4"/>
        <v>176.703616818509</v>
      </c>
      <c r="O12" s="724">
        <f t="shared" si="5"/>
        <v>0</v>
      </c>
      <c r="P12" s="724">
        <f t="shared" si="6"/>
        <v>176.703616818509</v>
      </c>
      <c r="Q12" s="724">
        <f t="shared" ref="Q12:Q18" si="13">P12*P$8</f>
        <v>0</v>
      </c>
      <c r="R12" s="724">
        <f t="shared" ref="R12:R18" si="14">$F12</f>
        <v>176.703616818509</v>
      </c>
      <c r="S12" s="724">
        <f t="shared" si="7"/>
        <v>0</v>
      </c>
      <c r="T12" s="724">
        <f>F12</f>
        <v>176.703616818509</v>
      </c>
      <c r="U12" s="724">
        <f t="shared" ref="U12:U18" si="15">T12*T$8</f>
        <v>0</v>
      </c>
      <c r="V12" s="724">
        <v>0</v>
      </c>
      <c r="W12" s="724">
        <f t="shared" ref="W12:W18" si="16">V12*V$8</f>
        <v>0</v>
      </c>
      <c r="X12" s="724"/>
      <c r="Y12" s="724"/>
      <c r="Z12" s="724"/>
      <c r="AA12" s="724"/>
      <c r="AB12" s="724"/>
      <c r="AC12" s="724"/>
      <c r="AD12" s="724">
        <f t="shared" ref="AD12:AD18" si="17">AE12/$AD$8</f>
        <v>0</v>
      </c>
      <c r="AE12" s="724">
        <f t="shared" ref="AE12:AE18" si="18">D12-G12</f>
        <v>0</v>
      </c>
      <c r="AF12" s="724">
        <f t="shared" ref="AF12:AF18" si="19">AD12</f>
        <v>0</v>
      </c>
      <c r="AG12" s="724">
        <f t="shared" ref="AG12:AI18" si="20">AF12*AF$8</f>
        <v>0</v>
      </c>
      <c r="AH12" s="724">
        <f t="shared" ref="AH12:AH18" si="21">AD12</f>
        <v>0</v>
      </c>
      <c r="AI12" s="724">
        <f t="shared" si="20"/>
        <v>0</v>
      </c>
      <c r="AJ12" s="724">
        <f t="shared" ref="AJ12:AJ18" si="22">AD12</f>
        <v>0</v>
      </c>
      <c r="AK12" s="724">
        <f t="shared" ref="AK12" si="23">AJ12*AJ$8</f>
        <v>0</v>
      </c>
      <c r="AL12" s="742"/>
      <c r="AN12" s="806">
        <f t="shared" si="8"/>
        <v>8541025.86408</v>
      </c>
    </row>
    <row r="13" s="699" customFormat="1" hidden="1" customHeight="1" outlineLevel="1" spans="1:40">
      <c r="A13" s="724">
        <v>1.3</v>
      </c>
      <c r="B13" s="724" t="s">
        <v>168</v>
      </c>
      <c r="C13" s="724">
        <f t="shared" si="9"/>
        <v>0</v>
      </c>
      <c r="D13" s="724">
        <v>0</v>
      </c>
      <c r="E13" s="742"/>
      <c r="F13" s="724">
        <f>G13/$F$8</f>
        <v>0</v>
      </c>
      <c r="G13" s="724">
        <f t="shared" si="10"/>
        <v>0</v>
      </c>
      <c r="H13" s="724">
        <f t="shared" si="11"/>
        <v>0</v>
      </c>
      <c r="I13" s="724">
        <f t="shared" ref="I13:I18" si="24">H13*H$8</f>
        <v>0</v>
      </c>
      <c r="J13" s="724">
        <f t="shared" si="1"/>
        <v>0</v>
      </c>
      <c r="K13" s="724">
        <f t="shared" si="12"/>
        <v>0</v>
      </c>
      <c r="L13" s="724">
        <f t="shared" si="2"/>
        <v>0</v>
      </c>
      <c r="M13" s="724">
        <f t="shared" si="3"/>
        <v>0</v>
      </c>
      <c r="N13" s="724">
        <f t="shared" si="4"/>
        <v>0</v>
      </c>
      <c r="O13" s="724">
        <f t="shared" si="5"/>
        <v>0</v>
      </c>
      <c r="P13" s="724">
        <f t="shared" si="6"/>
        <v>0</v>
      </c>
      <c r="Q13" s="724">
        <f t="shared" si="13"/>
        <v>0</v>
      </c>
      <c r="R13" s="724">
        <f t="shared" si="14"/>
        <v>0</v>
      </c>
      <c r="S13" s="724">
        <f t="shared" si="7"/>
        <v>0</v>
      </c>
      <c r="T13" s="724">
        <f>F13</f>
        <v>0</v>
      </c>
      <c r="U13" s="724">
        <f t="shared" si="15"/>
        <v>0</v>
      </c>
      <c r="V13" s="724">
        <f t="shared" ref="V13:V17" si="25">$F13</f>
        <v>0</v>
      </c>
      <c r="W13" s="724">
        <f t="shared" si="16"/>
        <v>0</v>
      </c>
      <c r="X13" s="724"/>
      <c r="Y13" s="724"/>
      <c r="Z13" s="724"/>
      <c r="AA13" s="724"/>
      <c r="AB13" s="724"/>
      <c r="AC13" s="724"/>
      <c r="AD13" s="724">
        <f t="shared" si="17"/>
        <v>0</v>
      </c>
      <c r="AE13" s="724">
        <f t="shared" si="18"/>
        <v>0</v>
      </c>
      <c r="AF13" s="724">
        <f t="shared" si="19"/>
        <v>0</v>
      </c>
      <c r="AG13" s="724">
        <f t="shared" si="20"/>
        <v>0</v>
      </c>
      <c r="AH13" s="724">
        <f t="shared" si="21"/>
        <v>0</v>
      </c>
      <c r="AI13" s="724">
        <f t="shared" si="20"/>
        <v>0</v>
      </c>
      <c r="AJ13" s="724">
        <f t="shared" si="22"/>
        <v>0</v>
      </c>
      <c r="AK13" s="724">
        <f t="shared" ref="AK13" si="26">AJ13*AJ$8</f>
        <v>0</v>
      </c>
      <c r="AL13" s="742"/>
      <c r="AN13" s="806">
        <f t="shared" si="8"/>
        <v>0</v>
      </c>
    </row>
    <row r="14" s="699" customFormat="1" hidden="1" customHeight="1" outlineLevel="1" spans="1:40">
      <c r="A14" s="724">
        <v>1.4</v>
      </c>
      <c r="B14" s="724" t="s">
        <v>169</v>
      </c>
      <c r="C14" s="724">
        <f t="shared" si="9"/>
        <v>0</v>
      </c>
      <c r="D14" s="724">
        <v>0</v>
      </c>
      <c r="E14" s="742"/>
      <c r="F14" s="724">
        <f t="shared" ref="F14:F17" si="27">G14/$F$8</f>
        <v>0</v>
      </c>
      <c r="G14" s="724">
        <f t="shared" si="10"/>
        <v>0</v>
      </c>
      <c r="H14" s="724">
        <f t="shared" si="11"/>
        <v>0</v>
      </c>
      <c r="I14" s="724">
        <f t="shared" si="24"/>
        <v>0</v>
      </c>
      <c r="J14" s="724">
        <f t="shared" si="1"/>
        <v>0</v>
      </c>
      <c r="K14" s="724">
        <f t="shared" si="12"/>
        <v>0</v>
      </c>
      <c r="L14" s="724">
        <f t="shared" si="2"/>
        <v>0</v>
      </c>
      <c r="M14" s="724">
        <f t="shared" si="3"/>
        <v>0</v>
      </c>
      <c r="N14" s="724">
        <f t="shared" si="4"/>
        <v>0</v>
      </c>
      <c r="O14" s="724">
        <f t="shared" si="5"/>
        <v>0</v>
      </c>
      <c r="P14" s="724">
        <f t="shared" si="6"/>
        <v>0</v>
      </c>
      <c r="Q14" s="724">
        <f t="shared" si="13"/>
        <v>0</v>
      </c>
      <c r="R14" s="724">
        <f t="shared" si="14"/>
        <v>0</v>
      </c>
      <c r="S14" s="724">
        <f t="shared" si="7"/>
        <v>0</v>
      </c>
      <c r="T14" s="724">
        <v>0</v>
      </c>
      <c r="U14" s="724">
        <f t="shared" si="15"/>
        <v>0</v>
      </c>
      <c r="V14" s="724">
        <f t="shared" si="25"/>
        <v>0</v>
      </c>
      <c r="W14" s="724">
        <f t="shared" si="16"/>
        <v>0</v>
      </c>
      <c r="X14" s="724"/>
      <c r="Y14" s="724"/>
      <c r="Z14" s="724"/>
      <c r="AA14" s="724"/>
      <c r="AB14" s="724"/>
      <c r="AC14" s="724"/>
      <c r="AD14" s="724">
        <f t="shared" si="17"/>
        <v>0</v>
      </c>
      <c r="AE14" s="724">
        <f t="shared" si="18"/>
        <v>0</v>
      </c>
      <c r="AF14" s="724">
        <f t="shared" si="19"/>
        <v>0</v>
      </c>
      <c r="AG14" s="724">
        <f t="shared" si="20"/>
        <v>0</v>
      </c>
      <c r="AH14" s="724">
        <f t="shared" si="21"/>
        <v>0</v>
      </c>
      <c r="AI14" s="724">
        <f t="shared" si="20"/>
        <v>0</v>
      </c>
      <c r="AJ14" s="724">
        <f t="shared" si="22"/>
        <v>0</v>
      </c>
      <c r="AK14" s="724">
        <f t="shared" ref="AK14" si="28">AJ14*AJ$8</f>
        <v>0</v>
      </c>
      <c r="AL14" s="742"/>
      <c r="AN14" s="806">
        <f t="shared" si="8"/>
        <v>0</v>
      </c>
    </row>
    <row r="15" s="699" customFormat="1" ht="27" hidden="1" customHeight="1" outlineLevel="1" spans="1:40">
      <c r="A15" s="724">
        <v>1.5</v>
      </c>
      <c r="B15" s="724" t="s">
        <v>170</v>
      </c>
      <c r="C15" s="724">
        <f t="shared" si="9"/>
        <v>0</v>
      </c>
      <c r="D15" s="724">
        <v>0</v>
      </c>
      <c r="E15" s="742"/>
      <c r="F15" s="724">
        <f t="shared" si="27"/>
        <v>0</v>
      </c>
      <c r="G15" s="724">
        <f t="shared" si="10"/>
        <v>0</v>
      </c>
      <c r="H15" s="724">
        <f t="shared" si="11"/>
        <v>0</v>
      </c>
      <c r="I15" s="724">
        <f t="shared" si="24"/>
        <v>0</v>
      </c>
      <c r="J15" s="724">
        <f t="shared" si="1"/>
        <v>0</v>
      </c>
      <c r="K15" s="724">
        <f t="shared" si="12"/>
        <v>0</v>
      </c>
      <c r="L15" s="724">
        <f t="shared" si="2"/>
        <v>0</v>
      </c>
      <c r="M15" s="724">
        <f t="shared" si="3"/>
        <v>0</v>
      </c>
      <c r="N15" s="724">
        <f t="shared" si="4"/>
        <v>0</v>
      </c>
      <c r="O15" s="724">
        <f t="shared" si="5"/>
        <v>0</v>
      </c>
      <c r="P15" s="724">
        <f t="shared" si="6"/>
        <v>0</v>
      </c>
      <c r="Q15" s="724">
        <f t="shared" si="13"/>
        <v>0</v>
      </c>
      <c r="R15" s="724">
        <f t="shared" si="14"/>
        <v>0</v>
      </c>
      <c r="S15" s="724">
        <f t="shared" si="7"/>
        <v>0</v>
      </c>
      <c r="T15" s="724">
        <v>0</v>
      </c>
      <c r="U15" s="724">
        <f t="shared" si="15"/>
        <v>0</v>
      </c>
      <c r="V15" s="724">
        <f t="shared" si="25"/>
        <v>0</v>
      </c>
      <c r="W15" s="724">
        <f t="shared" si="16"/>
        <v>0</v>
      </c>
      <c r="X15" s="724"/>
      <c r="Y15" s="724"/>
      <c r="Z15" s="724"/>
      <c r="AA15" s="724"/>
      <c r="AB15" s="724"/>
      <c r="AC15" s="724"/>
      <c r="AD15" s="724">
        <f t="shared" si="17"/>
        <v>0</v>
      </c>
      <c r="AE15" s="724">
        <f t="shared" si="18"/>
        <v>0</v>
      </c>
      <c r="AF15" s="724">
        <f t="shared" si="19"/>
        <v>0</v>
      </c>
      <c r="AG15" s="724">
        <f t="shared" si="20"/>
        <v>0</v>
      </c>
      <c r="AH15" s="724">
        <f t="shared" si="21"/>
        <v>0</v>
      </c>
      <c r="AI15" s="724">
        <f t="shared" si="20"/>
        <v>0</v>
      </c>
      <c r="AJ15" s="724">
        <f t="shared" si="22"/>
        <v>0</v>
      </c>
      <c r="AK15" s="724">
        <f t="shared" ref="AK15" si="29">AJ15*AJ$8</f>
        <v>0</v>
      </c>
      <c r="AL15" s="742"/>
      <c r="AN15" s="806">
        <f t="shared" si="8"/>
        <v>0</v>
      </c>
    </row>
    <row r="16" s="699" customFormat="1" hidden="1" customHeight="1" outlineLevel="1" spans="1:40">
      <c r="A16" s="724">
        <v>1.6</v>
      </c>
      <c r="B16" s="724" t="s">
        <v>171</v>
      </c>
      <c r="C16" s="724">
        <f t="shared" si="9"/>
        <v>19.9326194183802</v>
      </c>
      <c r="D16" s="724">
        <f>经济指标!E6*38/10000</f>
        <v>142.2755492</v>
      </c>
      <c r="E16" s="742" t="s">
        <v>172</v>
      </c>
      <c r="F16" s="724">
        <f>G16/(J8+L8+P8+T8+H8)</f>
        <v>29.4351106395903</v>
      </c>
      <c r="G16" s="724">
        <f t="shared" si="10"/>
        <v>142.2755492</v>
      </c>
      <c r="H16" s="724">
        <f t="shared" si="11"/>
        <v>29.4351106395903</v>
      </c>
      <c r="I16" s="724">
        <f t="shared" si="24"/>
        <v>93.1410496350852</v>
      </c>
      <c r="J16" s="724">
        <f t="shared" si="1"/>
        <v>29.4351106395903</v>
      </c>
      <c r="K16" s="724">
        <f t="shared" si="12"/>
        <v>49.1344995649148</v>
      </c>
      <c r="L16" s="724">
        <f t="shared" si="2"/>
        <v>29.4351106395903</v>
      </c>
      <c r="M16" s="724">
        <f t="shared" si="3"/>
        <v>0</v>
      </c>
      <c r="N16" s="724">
        <f t="shared" si="4"/>
        <v>29.4351106395903</v>
      </c>
      <c r="O16" s="724">
        <f t="shared" si="5"/>
        <v>0</v>
      </c>
      <c r="P16" s="724">
        <f t="shared" si="6"/>
        <v>29.4351106395903</v>
      </c>
      <c r="Q16" s="724">
        <f t="shared" si="13"/>
        <v>0</v>
      </c>
      <c r="R16" s="724">
        <f t="shared" si="14"/>
        <v>29.4351106395903</v>
      </c>
      <c r="S16" s="724">
        <f t="shared" si="7"/>
        <v>0</v>
      </c>
      <c r="T16" s="724">
        <f>F16</f>
        <v>29.4351106395903</v>
      </c>
      <c r="U16" s="724">
        <f t="shared" si="15"/>
        <v>0</v>
      </c>
      <c r="V16" s="724">
        <v>0</v>
      </c>
      <c r="W16" s="724">
        <f t="shared" si="16"/>
        <v>0</v>
      </c>
      <c r="X16" s="724"/>
      <c r="Y16" s="724"/>
      <c r="Z16" s="724"/>
      <c r="AA16" s="724"/>
      <c r="AB16" s="724"/>
      <c r="AC16" s="724"/>
      <c r="AD16" s="724">
        <f t="shared" si="17"/>
        <v>0</v>
      </c>
      <c r="AE16" s="724">
        <f t="shared" si="18"/>
        <v>0</v>
      </c>
      <c r="AF16" s="724">
        <f t="shared" si="19"/>
        <v>0</v>
      </c>
      <c r="AG16" s="724">
        <f t="shared" si="20"/>
        <v>0</v>
      </c>
      <c r="AH16" s="724">
        <f t="shared" si="21"/>
        <v>0</v>
      </c>
      <c r="AI16" s="724">
        <f t="shared" si="20"/>
        <v>0</v>
      </c>
      <c r="AJ16" s="724">
        <f t="shared" si="22"/>
        <v>0</v>
      </c>
      <c r="AK16" s="724">
        <f t="shared" ref="AK16" si="30">AJ16*AJ$8</f>
        <v>0</v>
      </c>
      <c r="AL16" s="742"/>
      <c r="AN16" s="806">
        <f t="shared" si="8"/>
        <v>1422755.492</v>
      </c>
    </row>
    <row r="17" s="699" customFormat="1" ht="36" hidden="1" customHeight="1" outlineLevel="1" spans="1:40">
      <c r="A17" s="724">
        <v>1.7</v>
      </c>
      <c r="B17" s="724" t="s">
        <v>173</v>
      </c>
      <c r="C17" s="724">
        <f t="shared" si="9"/>
        <v>12.5890227905559</v>
      </c>
      <c r="D17" s="724">
        <f>3*8*经济指标!E6/10000</f>
        <v>89.8582416</v>
      </c>
      <c r="E17" s="742" t="s">
        <v>174</v>
      </c>
      <c r="F17" s="724">
        <f>G17/(H8+J8)</f>
        <v>18.5905961934254</v>
      </c>
      <c r="G17" s="724">
        <f t="shared" si="10"/>
        <v>89.8582416</v>
      </c>
      <c r="H17" s="724">
        <f t="shared" si="11"/>
        <v>18.5905961934254</v>
      </c>
      <c r="I17" s="724">
        <f t="shared" si="24"/>
        <v>58.825926085317</v>
      </c>
      <c r="J17" s="724">
        <f t="shared" si="1"/>
        <v>18.5905961934254</v>
      </c>
      <c r="K17" s="724">
        <f t="shared" si="12"/>
        <v>31.032315514683</v>
      </c>
      <c r="L17" s="724">
        <f t="shared" si="2"/>
        <v>18.5905961934254</v>
      </c>
      <c r="M17" s="724">
        <f t="shared" si="3"/>
        <v>0</v>
      </c>
      <c r="N17" s="724">
        <f t="shared" si="4"/>
        <v>18.5905961934254</v>
      </c>
      <c r="O17" s="724">
        <f t="shared" si="5"/>
        <v>0</v>
      </c>
      <c r="P17" s="724">
        <f t="shared" si="6"/>
        <v>18.5905961934254</v>
      </c>
      <c r="Q17" s="724">
        <f t="shared" si="13"/>
        <v>0</v>
      </c>
      <c r="R17" s="724">
        <f t="shared" si="14"/>
        <v>18.5905961934254</v>
      </c>
      <c r="S17" s="724">
        <f t="shared" si="7"/>
        <v>0</v>
      </c>
      <c r="T17" s="724">
        <f>F17</f>
        <v>18.5905961934254</v>
      </c>
      <c r="U17" s="724">
        <f t="shared" si="15"/>
        <v>0</v>
      </c>
      <c r="V17" s="724">
        <v>0</v>
      </c>
      <c r="W17" s="724">
        <f t="shared" si="16"/>
        <v>0</v>
      </c>
      <c r="X17" s="724"/>
      <c r="Y17" s="724"/>
      <c r="Z17" s="724"/>
      <c r="AA17" s="724"/>
      <c r="AB17" s="724"/>
      <c r="AC17" s="724"/>
      <c r="AD17" s="724">
        <f t="shared" si="17"/>
        <v>0</v>
      </c>
      <c r="AE17" s="724">
        <f t="shared" si="18"/>
        <v>0</v>
      </c>
      <c r="AF17" s="724">
        <f t="shared" si="19"/>
        <v>0</v>
      </c>
      <c r="AG17" s="724">
        <f t="shared" si="20"/>
        <v>0</v>
      </c>
      <c r="AH17" s="724">
        <f t="shared" si="21"/>
        <v>0</v>
      </c>
      <c r="AI17" s="724">
        <f t="shared" si="20"/>
        <v>0</v>
      </c>
      <c r="AJ17" s="724">
        <f t="shared" si="22"/>
        <v>0</v>
      </c>
      <c r="AK17" s="724">
        <f t="shared" ref="AK17" si="31">AJ17*AJ$8</f>
        <v>0</v>
      </c>
      <c r="AL17" s="742"/>
      <c r="AN17" s="806">
        <f t="shared" si="8"/>
        <v>898582.416</v>
      </c>
    </row>
    <row r="18" s="699" customFormat="1" hidden="1" customHeight="1" outlineLevel="1" spans="1:40">
      <c r="A18" s="724">
        <v>1.8</v>
      </c>
      <c r="B18" s="724" t="s">
        <v>175</v>
      </c>
      <c r="C18" s="724">
        <f t="shared" si="9"/>
        <v>1.49573327030293</v>
      </c>
      <c r="D18" s="724">
        <f>D11*0.05%</f>
        <v>10.6762823301</v>
      </c>
      <c r="E18" s="742" t="s">
        <v>176</v>
      </c>
      <c r="F18" s="724">
        <f>G18/(J8+L8+P8+T8+H8)</f>
        <v>2.20879521023136</v>
      </c>
      <c r="G18" s="724">
        <f t="shared" si="10"/>
        <v>10.6762823301</v>
      </c>
      <c r="H18" s="724">
        <f t="shared" si="11"/>
        <v>2.20879521023136</v>
      </c>
      <c r="I18" s="724">
        <f t="shared" si="24"/>
        <v>6.98925534301172</v>
      </c>
      <c r="J18" s="724">
        <f t="shared" si="1"/>
        <v>2.20879521023136</v>
      </c>
      <c r="K18" s="724">
        <f t="shared" si="12"/>
        <v>3.68702698708828</v>
      </c>
      <c r="L18" s="724">
        <f t="shared" si="2"/>
        <v>2.20879521023136</v>
      </c>
      <c r="M18" s="724">
        <f t="shared" si="3"/>
        <v>0</v>
      </c>
      <c r="N18" s="724">
        <f t="shared" si="4"/>
        <v>2.20879521023136</v>
      </c>
      <c r="O18" s="724">
        <f t="shared" si="5"/>
        <v>0</v>
      </c>
      <c r="P18" s="724">
        <f t="shared" si="6"/>
        <v>2.20879521023136</v>
      </c>
      <c r="Q18" s="724">
        <f t="shared" si="13"/>
        <v>0</v>
      </c>
      <c r="R18" s="724">
        <f t="shared" si="14"/>
        <v>2.20879521023136</v>
      </c>
      <c r="S18" s="724">
        <f t="shared" si="7"/>
        <v>0</v>
      </c>
      <c r="T18" s="724">
        <f>F18</f>
        <v>2.20879521023136</v>
      </c>
      <c r="U18" s="724">
        <f t="shared" si="15"/>
        <v>0</v>
      </c>
      <c r="V18" s="724">
        <v>0</v>
      </c>
      <c r="W18" s="724">
        <f t="shared" si="16"/>
        <v>0</v>
      </c>
      <c r="X18" s="724"/>
      <c r="Y18" s="724"/>
      <c r="Z18" s="724"/>
      <c r="AA18" s="724"/>
      <c r="AB18" s="724"/>
      <c r="AC18" s="724"/>
      <c r="AD18" s="724">
        <f t="shared" si="17"/>
        <v>0</v>
      </c>
      <c r="AE18" s="724">
        <f t="shared" si="18"/>
        <v>0</v>
      </c>
      <c r="AF18" s="724">
        <f t="shared" si="19"/>
        <v>0</v>
      </c>
      <c r="AG18" s="724">
        <f t="shared" si="20"/>
        <v>0</v>
      </c>
      <c r="AH18" s="724">
        <f t="shared" si="21"/>
        <v>0</v>
      </c>
      <c r="AI18" s="724">
        <f t="shared" si="20"/>
        <v>0</v>
      </c>
      <c r="AJ18" s="724">
        <f t="shared" si="22"/>
        <v>0</v>
      </c>
      <c r="AK18" s="724">
        <f t="shared" ref="AK18" si="32">AJ18*AJ$8</f>
        <v>0</v>
      </c>
      <c r="AL18" s="742"/>
      <c r="AN18" s="806">
        <f t="shared" si="8"/>
        <v>106762.823301</v>
      </c>
    </row>
    <row r="19" s="772" customFormat="1" customHeight="1" collapsed="1" spans="1:56">
      <c r="A19" s="794">
        <v>2</v>
      </c>
      <c r="B19" s="795" t="s">
        <v>177</v>
      </c>
      <c r="C19" s="795">
        <f>+C20+C25+C29+C32+C57+C118</f>
        <v>302.464911248174</v>
      </c>
      <c r="D19" s="795">
        <f>+D20+D25+D29+D32+D57+D118</f>
        <v>2158.94160513</v>
      </c>
      <c r="E19" s="796"/>
      <c r="F19" s="795">
        <f>+F20+F25+F29+F32+F57+F118</f>
        <v>312.799934339516</v>
      </c>
      <c r="G19" s="795">
        <f t="shared" ref="G19:AK19" si="33">+G20+G25+G29+G32+G57+G118</f>
        <v>1537.18458452639</v>
      </c>
      <c r="H19" s="795">
        <f t="shared" si="33"/>
        <v>290.62345842466</v>
      </c>
      <c r="I19" s="795">
        <f t="shared" si="33"/>
        <v>919.615159517817</v>
      </c>
      <c r="J19" s="795">
        <f t="shared" si="33"/>
        <v>355.814367744305</v>
      </c>
      <c r="K19" s="795">
        <f t="shared" si="33"/>
        <v>593.942421728447</v>
      </c>
      <c r="L19" s="795">
        <f t="shared" si="33"/>
        <v>355.814367744305</v>
      </c>
      <c r="M19" s="795">
        <f t="shared" si="33"/>
        <v>0</v>
      </c>
      <c r="N19" s="795">
        <f t="shared" si="33"/>
        <v>355.814367744305</v>
      </c>
      <c r="O19" s="795">
        <f t="shared" si="33"/>
        <v>0</v>
      </c>
      <c r="P19" s="795">
        <f t="shared" si="33"/>
        <v>355.814367744305</v>
      </c>
      <c r="Q19" s="795">
        <f t="shared" si="33"/>
        <v>0</v>
      </c>
      <c r="R19" s="795">
        <f t="shared" si="33"/>
        <v>355.814367744305</v>
      </c>
      <c r="S19" s="795">
        <f t="shared" si="33"/>
        <v>0</v>
      </c>
      <c r="T19" s="795">
        <f t="shared" si="33"/>
        <v>355.814367744305</v>
      </c>
      <c r="U19" s="795">
        <f t="shared" si="33"/>
        <v>0</v>
      </c>
      <c r="V19" s="795">
        <f t="shared" si="33"/>
        <v>292.62345842466</v>
      </c>
      <c r="W19" s="795">
        <f t="shared" si="33"/>
        <v>23.6270032801239</v>
      </c>
      <c r="X19" s="795"/>
      <c r="Y19" s="795"/>
      <c r="Z19" s="795"/>
      <c r="AA19" s="795"/>
      <c r="AB19" s="795"/>
      <c r="AC19" s="795"/>
      <c r="AD19" s="795">
        <f t="shared" si="33"/>
        <v>279.62345842466</v>
      </c>
      <c r="AE19" s="795">
        <f t="shared" si="33"/>
        <v>621.757020603611</v>
      </c>
      <c r="AF19" s="795">
        <f t="shared" si="33"/>
        <v>271.62345842466</v>
      </c>
      <c r="AG19" s="795">
        <f t="shared" si="33"/>
        <v>0</v>
      </c>
      <c r="AH19" s="795">
        <f t="shared" si="33"/>
        <v>279.62345842466</v>
      </c>
      <c r="AI19" s="795">
        <f t="shared" si="33"/>
        <v>110.314530206571</v>
      </c>
      <c r="AJ19" s="795">
        <f t="shared" si="33"/>
        <v>279.62345842466</v>
      </c>
      <c r="AK19" s="795">
        <f t="shared" si="33"/>
        <v>511.44249039704</v>
      </c>
      <c r="AL19" s="796" t="s">
        <v>178</v>
      </c>
      <c r="AM19" s="805"/>
      <c r="AN19" s="806">
        <f t="shared" si="8"/>
        <v>21589416.0513</v>
      </c>
      <c r="AO19" s="805"/>
      <c r="AP19" s="805"/>
      <c r="AQ19" s="805"/>
      <c r="AR19" s="805"/>
      <c r="AS19" s="805"/>
      <c r="AT19" s="805"/>
      <c r="AU19" s="805"/>
      <c r="AV19" s="805"/>
      <c r="AW19" s="805"/>
      <c r="AX19" s="805"/>
      <c r="AY19" s="805"/>
      <c r="AZ19" s="805"/>
      <c r="BA19" s="805"/>
      <c r="BB19" s="805"/>
      <c r="BC19" s="805"/>
      <c r="BD19" s="805"/>
    </row>
    <row r="20" s="773" customFormat="1" hidden="1" customHeight="1" outlineLevel="1" collapsed="1" spans="1:56">
      <c r="A20" s="797">
        <v>2.1</v>
      </c>
      <c r="B20" s="797" t="s">
        <v>179</v>
      </c>
      <c r="C20" s="797">
        <f>SUM(C21:C24)</f>
        <v>22.3378688536074</v>
      </c>
      <c r="D20" s="797">
        <f>SUM(D21:D24)</f>
        <v>159.44379875</v>
      </c>
      <c r="E20" s="742"/>
      <c r="F20" s="797">
        <f t="shared" ref="F20:AK20" si="34">SUM(F21:F24)</f>
        <v>22.3378688536074</v>
      </c>
      <c r="G20" s="797">
        <f t="shared" si="34"/>
        <v>109.774408122693</v>
      </c>
      <c r="H20" s="797">
        <f t="shared" si="34"/>
        <v>22.3378688536073</v>
      </c>
      <c r="I20" s="797">
        <f t="shared" si="34"/>
        <v>70.6833610075682</v>
      </c>
      <c r="J20" s="797">
        <f t="shared" si="34"/>
        <v>22.3378688536073</v>
      </c>
      <c r="K20" s="797">
        <f t="shared" si="34"/>
        <v>37.2874429081464</v>
      </c>
      <c r="L20" s="797">
        <f t="shared" si="34"/>
        <v>22.3378688536073</v>
      </c>
      <c r="M20" s="797">
        <f t="shared" si="34"/>
        <v>0</v>
      </c>
      <c r="N20" s="797">
        <f t="shared" si="34"/>
        <v>22.3378688536073</v>
      </c>
      <c r="O20" s="797">
        <f t="shared" si="34"/>
        <v>0</v>
      </c>
      <c r="P20" s="797">
        <f t="shared" si="34"/>
        <v>22.3378688536073</v>
      </c>
      <c r="Q20" s="797">
        <f t="shared" si="34"/>
        <v>0</v>
      </c>
      <c r="R20" s="797">
        <f t="shared" si="34"/>
        <v>22.3378688536073</v>
      </c>
      <c r="S20" s="797">
        <f t="shared" si="34"/>
        <v>0</v>
      </c>
      <c r="T20" s="797">
        <f t="shared" si="34"/>
        <v>22.3378688536073</v>
      </c>
      <c r="U20" s="797">
        <f t="shared" si="34"/>
        <v>0</v>
      </c>
      <c r="V20" s="797">
        <f t="shared" si="34"/>
        <v>22.3378688536073</v>
      </c>
      <c r="W20" s="797">
        <f t="shared" si="34"/>
        <v>1.80360420697796</v>
      </c>
      <c r="X20" s="797"/>
      <c r="Y20" s="797"/>
      <c r="Z20" s="797"/>
      <c r="AA20" s="797"/>
      <c r="AB20" s="797"/>
      <c r="AC20" s="797"/>
      <c r="AD20" s="797">
        <f t="shared" si="34"/>
        <v>22.3378688536073</v>
      </c>
      <c r="AE20" s="797">
        <f t="shared" si="34"/>
        <v>49.6693906273075</v>
      </c>
      <c r="AF20" s="797">
        <f t="shared" si="34"/>
        <v>22.3378688536073</v>
      </c>
      <c r="AG20" s="797">
        <f t="shared" si="34"/>
        <v>0</v>
      </c>
      <c r="AH20" s="797">
        <f t="shared" si="34"/>
        <v>22.3378688536073</v>
      </c>
      <c r="AI20" s="797">
        <f t="shared" si="34"/>
        <v>8.81253497930549</v>
      </c>
      <c r="AJ20" s="797">
        <f t="shared" si="34"/>
        <v>22.3378688536073</v>
      </c>
      <c r="AK20" s="797">
        <f t="shared" si="34"/>
        <v>40.856855648002</v>
      </c>
      <c r="AL20" s="724"/>
      <c r="AM20" s="699"/>
      <c r="AN20" s="806">
        <f t="shared" si="8"/>
        <v>1594437.9875</v>
      </c>
      <c r="AO20" s="699"/>
      <c r="AP20" s="699"/>
      <c r="AQ20" s="699"/>
      <c r="AR20" s="699"/>
      <c r="AS20" s="699"/>
      <c r="AT20" s="699"/>
      <c r="AU20" s="699"/>
      <c r="AV20" s="699"/>
      <c r="AW20" s="699"/>
      <c r="AX20" s="699"/>
      <c r="AY20" s="699"/>
      <c r="AZ20" s="699"/>
      <c r="BA20" s="699"/>
      <c r="BB20" s="699"/>
      <c r="BC20" s="699"/>
      <c r="BD20" s="699"/>
    </row>
    <row r="21" s="699" customFormat="1" ht="37" hidden="1" customHeight="1" outlineLevel="2" spans="1:40">
      <c r="A21" s="724" t="s">
        <v>180</v>
      </c>
      <c r="B21" s="728" t="s">
        <v>181</v>
      </c>
      <c r="C21" s="724">
        <f>D21/$C$8</f>
        <v>5.02169778609031</v>
      </c>
      <c r="D21" s="724">
        <f>G21+AE21</f>
        <v>35.844</v>
      </c>
      <c r="E21" s="742" t="s">
        <v>182</v>
      </c>
      <c r="F21" s="724">
        <f>G21/$F$8</f>
        <v>5.02169778609031</v>
      </c>
      <c r="G21" s="724">
        <f t="shared" ref="G21:G26" si="35">I21+K21+M21+O21+Q21+S21+U21+W21</f>
        <v>24.6779988660412</v>
      </c>
      <c r="H21" s="724">
        <f>34.8/C8*1.03</f>
        <v>5.0216977860903</v>
      </c>
      <c r="I21" s="724">
        <f>H21*H$8</f>
        <v>15.890077957361</v>
      </c>
      <c r="J21" s="724">
        <f>+H21</f>
        <v>5.0216977860903</v>
      </c>
      <c r="K21" s="724">
        <f>J21*J$8</f>
        <v>8.38245898603566</v>
      </c>
      <c r="L21" s="724">
        <f>+H21</f>
        <v>5.0216977860903</v>
      </c>
      <c r="M21" s="724">
        <f>L21*L$8</f>
        <v>0</v>
      </c>
      <c r="N21" s="724">
        <f>+L21</f>
        <v>5.0216977860903</v>
      </c>
      <c r="O21" s="724">
        <f t="shared" ref="O21:O24" si="36">N21*N$8</f>
        <v>0</v>
      </c>
      <c r="P21" s="724">
        <f>+N21</f>
        <v>5.0216977860903</v>
      </c>
      <c r="Q21" s="724">
        <f>P21*P$8</f>
        <v>0</v>
      </c>
      <c r="R21" s="724">
        <f>+P21</f>
        <v>5.0216977860903</v>
      </c>
      <c r="S21" s="724">
        <f>R21*R$8</f>
        <v>0</v>
      </c>
      <c r="T21" s="724">
        <f>+P21</f>
        <v>5.0216977860903</v>
      </c>
      <c r="U21" s="724">
        <f>T21*T$8</f>
        <v>0</v>
      </c>
      <c r="V21" s="724">
        <f>+P21</f>
        <v>5.0216977860903</v>
      </c>
      <c r="W21" s="724">
        <f>V21*V$8</f>
        <v>0.405461922644503</v>
      </c>
      <c r="X21" s="724"/>
      <c r="Y21" s="724"/>
      <c r="Z21" s="724"/>
      <c r="AA21" s="724"/>
      <c r="AB21" s="724"/>
      <c r="AC21" s="724"/>
      <c r="AD21" s="724">
        <f t="shared" ref="AD21:AD27" si="37">AE21/AD$8</f>
        <v>5.0216977860903</v>
      </c>
      <c r="AE21" s="724">
        <f>AG21*0+AI21+AK21</f>
        <v>11.1660011339589</v>
      </c>
      <c r="AF21" s="724">
        <f>+V21</f>
        <v>5.0216977860903</v>
      </c>
      <c r="AG21" s="724">
        <f>AF21*AF$8</f>
        <v>0</v>
      </c>
      <c r="AH21" s="724">
        <f>+AF21</f>
        <v>5.0216977860903</v>
      </c>
      <c r="AI21" s="724">
        <f>AH21*AH$8</f>
        <v>1.98111501528827</v>
      </c>
      <c r="AJ21" s="724">
        <f>+AH21</f>
        <v>5.0216977860903</v>
      </c>
      <c r="AK21" s="724">
        <f>AJ21*AJ$8</f>
        <v>9.1848861186706</v>
      </c>
      <c r="AL21" s="724"/>
      <c r="AN21" s="806">
        <f t="shared" si="8"/>
        <v>358440</v>
      </c>
    </row>
    <row r="22" s="699" customFormat="1" ht="45" hidden="1" outlineLevel="2" spans="1:40">
      <c r="A22" s="724" t="s">
        <v>183</v>
      </c>
      <c r="B22" s="728" t="s">
        <v>184</v>
      </c>
      <c r="C22" s="724">
        <f>D22/$C$8</f>
        <v>5.15</v>
      </c>
      <c r="D22" s="724">
        <f>G22+AE22</f>
        <v>36.75979875</v>
      </c>
      <c r="E22" s="742" t="s">
        <v>185</v>
      </c>
      <c r="F22" s="724">
        <f>G22/$F$8</f>
        <v>5.15</v>
      </c>
      <c r="G22" s="724">
        <f t="shared" si="35"/>
        <v>25.3085111</v>
      </c>
      <c r="H22" s="724">
        <f>5*1.03</f>
        <v>5.15</v>
      </c>
      <c r="I22" s="724">
        <f>H22*H$8</f>
        <v>16.2960626</v>
      </c>
      <c r="J22" s="724">
        <f>H22</f>
        <v>5.15</v>
      </c>
      <c r="K22" s="724">
        <f t="shared" ref="K21:K24" si="38">J22*J$8</f>
        <v>8.5966272</v>
      </c>
      <c r="L22" s="724">
        <f>+H22</f>
        <v>5.15</v>
      </c>
      <c r="M22" s="724">
        <f>L22*L$8</f>
        <v>0</v>
      </c>
      <c r="N22" s="724">
        <f>+L22</f>
        <v>5.15</v>
      </c>
      <c r="O22" s="724">
        <f t="shared" si="36"/>
        <v>0</v>
      </c>
      <c r="P22" s="724">
        <f>+N22</f>
        <v>5.15</v>
      </c>
      <c r="Q22" s="724">
        <f>P22*P$8</f>
        <v>0</v>
      </c>
      <c r="R22" s="724">
        <f>+P22</f>
        <v>5.15</v>
      </c>
      <c r="S22" s="724">
        <f t="shared" ref="S21:S24" si="39">R22*R$8</f>
        <v>0</v>
      </c>
      <c r="T22" s="724">
        <f>+R22</f>
        <v>5.15</v>
      </c>
      <c r="U22" s="724">
        <f>T22*T$8</f>
        <v>0</v>
      </c>
      <c r="V22" s="724">
        <f>H22</f>
        <v>5.15</v>
      </c>
      <c r="W22" s="724">
        <f t="shared" ref="W21:W24" si="40">V22*V$8</f>
        <v>0.4158213</v>
      </c>
      <c r="X22" s="724"/>
      <c r="Y22" s="724"/>
      <c r="Z22" s="724"/>
      <c r="AA22" s="724"/>
      <c r="AB22" s="724"/>
      <c r="AC22" s="724"/>
      <c r="AD22" s="724">
        <f t="shared" si="37"/>
        <v>5.15</v>
      </c>
      <c r="AE22" s="724">
        <f>AG22*0+AI22+AK22</f>
        <v>11.45128765</v>
      </c>
      <c r="AF22" s="724">
        <f>+V22</f>
        <v>5.15</v>
      </c>
      <c r="AG22" s="724">
        <f t="shared" ref="AG22" si="41">AF22*AF$8</f>
        <v>0</v>
      </c>
      <c r="AH22" s="724">
        <f>+AF22</f>
        <v>5.15</v>
      </c>
      <c r="AI22" s="724">
        <f t="shared" ref="AI21:AI24" si="42">AH22*AH$8</f>
        <v>2.03173165</v>
      </c>
      <c r="AJ22" s="724">
        <f>+AH22</f>
        <v>5.15</v>
      </c>
      <c r="AK22" s="724">
        <f t="shared" ref="AK21:AK24" si="43">AJ22*AJ$8</f>
        <v>9.419556</v>
      </c>
      <c r="AL22" s="724"/>
      <c r="AN22" s="806">
        <f t="shared" si="8"/>
        <v>367597.9875</v>
      </c>
    </row>
    <row r="23" s="699" customFormat="1" ht="59" hidden="1" customHeight="1" outlineLevel="2" spans="1:40">
      <c r="A23" s="724" t="s">
        <v>186</v>
      </c>
      <c r="B23" s="728" t="s">
        <v>187</v>
      </c>
      <c r="C23" s="724">
        <f>D23/$C$8</f>
        <v>11.2555295205472</v>
      </c>
      <c r="D23" s="724">
        <f>G23+AE23</f>
        <v>80.34</v>
      </c>
      <c r="E23" s="742" t="s">
        <v>188</v>
      </c>
      <c r="F23" s="724">
        <f>G23/$F$8</f>
        <v>11.2555295205472</v>
      </c>
      <c r="G23" s="724">
        <f t="shared" si="35"/>
        <v>55.3127560790577</v>
      </c>
      <c r="H23" s="724">
        <f>+(23+55)/C8*1.03</f>
        <v>11.2555295205472</v>
      </c>
      <c r="I23" s="724">
        <f>H23*H$8</f>
        <v>35.6156919733953</v>
      </c>
      <c r="J23" s="724">
        <f>H23</f>
        <v>11.2555295205472</v>
      </c>
      <c r="K23" s="724">
        <f t="shared" si="38"/>
        <v>18.7882701411144</v>
      </c>
      <c r="L23" s="724">
        <f>+J23</f>
        <v>11.2555295205472</v>
      </c>
      <c r="M23" s="724">
        <f t="shared" ref="M23" si="44">L23*L$8</f>
        <v>0</v>
      </c>
      <c r="N23" s="724">
        <f>+L23</f>
        <v>11.2555295205472</v>
      </c>
      <c r="O23" s="724">
        <f t="shared" si="36"/>
        <v>0</v>
      </c>
      <c r="P23" s="724">
        <f>+N23</f>
        <v>11.2555295205472</v>
      </c>
      <c r="Q23" s="724">
        <f>P23*P$8</f>
        <v>0</v>
      </c>
      <c r="R23" s="724">
        <f>+P23</f>
        <v>11.2555295205472</v>
      </c>
      <c r="S23" s="724">
        <f t="shared" si="39"/>
        <v>0</v>
      </c>
      <c r="T23" s="724">
        <f>+R23</f>
        <v>11.2555295205472</v>
      </c>
      <c r="U23" s="724">
        <f>T23*T$8</f>
        <v>0</v>
      </c>
      <c r="V23" s="724">
        <f>H23</f>
        <v>11.2555295205472</v>
      </c>
      <c r="W23" s="724">
        <f t="shared" si="40"/>
        <v>0.908793964548022</v>
      </c>
      <c r="X23" s="724"/>
      <c r="Y23" s="724"/>
      <c r="Z23" s="724"/>
      <c r="AA23" s="724"/>
      <c r="AB23" s="724"/>
      <c r="AC23" s="724"/>
      <c r="AD23" s="724">
        <f t="shared" si="37"/>
        <v>11.2555295205472</v>
      </c>
      <c r="AE23" s="724">
        <f>AG23*0+AI23+AK23</f>
        <v>25.0272439209422</v>
      </c>
      <c r="AF23" s="724">
        <f>+V23</f>
        <v>11.2555295205472</v>
      </c>
      <c r="AG23" s="724">
        <f t="shared" ref="AG23" si="45">AF23*AF$8</f>
        <v>0</v>
      </c>
      <c r="AH23" s="724">
        <f>AF23</f>
        <v>11.2555295205472</v>
      </c>
      <c r="AI23" s="724">
        <f t="shared" si="42"/>
        <v>4.4404302066806</v>
      </c>
      <c r="AJ23" s="724">
        <f>AF23</f>
        <v>11.2555295205472</v>
      </c>
      <c r="AK23" s="724">
        <f t="shared" si="43"/>
        <v>20.5868137142616</v>
      </c>
      <c r="AL23" s="724"/>
      <c r="AN23" s="806">
        <f t="shared" si="8"/>
        <v>803400</v>
      </c>
    </row>
    <row r="24" s="699" customFormat="1" ht="33" hidden="1" customHeight="1" outlineLevel="2" spans="1:40">
      <c r="A24" s="724" t="s">
        <v>189</v>
      </c>
      <c r="B24" s="729" t="s">
        <v>190</v>
      </c>
      <c r="C24" s="724">
        <f>D24/$C$8</f>
        <v>0.910641546969839</v>
      </c>
      <c r="D24" s="724">
        <f>G24+AE24</f>
        <v>6.49999999999999</v>
      </c>
      <c r="E24" s="742" t="s">
        <v>191</v>
      </c>
      <c r="F24" s="724">
        <f>G24/$F$8</f>
        <v>0.910641546969839</v>
      </c>
      <c r="G24" s="724">
        <f t="shared" si="35"/>
        <v>4.47514207759366</v>
      </c>
      <c r="H24" s="724">
        <f>6.5/C8</f>
        <v>0.91064154696984</v>
      </c>
      <c r="I24" s="724">
        <f>H24*H$8</f>
        <v>2.88152847681191</v>
      </c>
      <c r="J24" s="724">
        <f>+H24</f>
        <v>0.91064154696984</v>
      </c>
      <c r="K24" s="724">
        <f t="shared" si="38"/>
        <v>1.52008658099631</v>
      </c>
      <c r="L24" s="724">
        <f>+J24</f>
        <v>0.91064154696984</v>
      </c>
      <c r="M24" s="724">
        <f t="shared" ref="M24" si="46">L24*L$8</f>
        <v>0</v>
      </c>
      <c r="N24" s="724">
        <f>+L24</f>
        <v>0.91064154696984</v>
      </c>
      <c r="O24" s="724">
        <f t="shared" si="36"/>
        <v>0</v>
      </c>
      <c r="P24" s="724">
        <f>+N24</f>
        <v>0.91064154696984</v>
      </c>
      <c r="Q24" s="724">
        <f>P24*P$8</f>
        <v>0</v>
      </c>
      <c r="R24" s="724">
        <f>+P24</f>
        <v>0.91064154696984</v>
      </c>
      <c r="S24" s="724">
        <f t="shared" si="39"/>
        <v>0</v>
      </c>
      <c r="T24" s="724">
        <f>+R24</f>
        <v>0.91064154696984</v>
      </c>
      <c r="U24" s="724">
        <f>T24*T$8</f>
        <v>0</v>
      </c>
      <c r="V24" s="724">
        <f>+T24</f>
        <v>0.91064154696984</v>
      </c>
      <c r="W24" s="724">
        <f t="shared" si="40"/>
        <v>0.0735270197854388</v>
      </c>
      <c r="X24" s="724"/>
      <c r="Y24" s="724"/>
      <c r="Z24" s="724"/>
      <c r="AA24" s="724"/>
      <c r="AB24" s="724"/>
      <c r="AC24" s="724"/>
      <c r="AD24" s="724">
        <f t="shared" si="37"/>
        <v>0.91064154696984</v>
      </c>
      <c r="AE24" s="724">
        <f>AG24*0+AI24+AK24</f>
        <v>2.02485792240633</v>
      </c>
      <c r="AF24" s="724">
        <f>+V24</f>
        <v>0.91064154696984</v>
      </c>
      <c r="AG24" s="724">
        <f t="shared" ref="AG24" si="47">AF24*AF$8</f>
        <v>0</v>
      </c>
      <c r="AH24" s="724">
        <f>+AF24</f>
        <v>0.91064154696984</v>
      </c>
      <c r="AI24" s="724">
        <f t="shared" si="42"/>
        <v>0.359258107336619</v>
      </c>
      <c r="AJ24" s="724">
        <f>+AH24</f>
        <v>0.91064154696984</v>
      </c>
      <c r="AK24" s="724">
        <f t="shared" si="43"/>
        <v>1.66559981506972</v>
      </c>
      <c r="AL24" s="724"/>
      <c r="AN24" s="806">
        <f t="shared" si="8"/>
        <v>64999.9999999999</v>
      </c>
    </row>
    <row r="25" hidden="1" customHeight="1" outlineLevel="1" collapsed="1" spans="1:40">
      <c r="A25" s="797">
        <v>2.2</v>
      </c>
      <c r="B25" s="797" t="s">
        <v>192</v>
      </c>
      <c r="C25" s="797">
        <f>SUM(C26:C28)</f>
        <v>7.61572682574873</v>
      </c>
      <c r="D25" s="797">
        <f>SUM(D26:D28)</f>
        <v>54.35972533</v>
      </c>
      <c r="E25" s="742">
        <f>+D35-E29</f>
        <v>-2.38417410000007</v>
      </c>
      <c r="F25" s="797">
        <f t="shared" ref="F25:AK25" si="48">SUM(F26:F28)</f>
        <v>7.61572682574874</v>
      </c>
      <c r="G25" s="797">
        <f t="shared" si="48"/>
        <v>37.4257683308795</v>
      </c>
      <c r="H25" s="797">
        <f t="shared" si="48"/>
        <v>7.61572682574874</v>
      </c>
      <c r="I25" s="797">
        <f t="shared" si="48"/>
        <v>24.0983225430875</v>
      </c>
      <c r="J25" s="797">
        <f t="shared" si="48"/>
        <v>7.61572682574874</v>
      </c>
      <c r="K25" s="797">
        <f t="shared" si="48"/>
        <v>12.7125367724274</v>
      </c>
      <c r="L25" s="797">
        <f t="shared" si="48"/>
        <v>7.61572682574874</v>
      </c>
      <c r="M25" s="797">
        <f t="shared" si="48"/>
        <v>0</v>
      </c>
      <c r="N25" s="797">
        <f t="shared" si="48"/>
        <v>7.61572682574874</v>
      </c>
      <c r="O25" s="797">
        <f t="shared" si="48"/>
        <v>0</v>
      </c>
      <c r="P25" s="797">
        <f t="shared" si="48"/>
        <v>7.61572682574874</v>
      </c>
      <c r="Q25" s="797">
        <f t="shared" si="48"/>
        <v>0</v>
      </c>
      <c r="R25" s="797">
        <f t="shared" si="48"/>
        <v>7.61572682574874</v>
      </c>
      <c r="S25" s="797">
        <f t="shared" si="48"/>
        <v>0</v>
      </c>
      <c r="T25" s="797">
        <f t="shared" si="48"/>
        <v>7.61572682574874</v>
      </c>
      <c r="U25" s="797">
        <f t="shared" si="48"/>
        <v>0</v>
      </c>
      <c r="V25" s="797">
        <f t="shared" si="48"/>
        <v>7.61572682574874</v>
      </c>
      <c r="W25" s="797">
        <f t="shared" si="48"/>
        <v>0.614909015364604</v>
      </c>
      <c r="X25" s="797"/>
      <c r="Y25" s="797"/>
      <c r="Z25" s="797"/>
      <c r="AA25" s="797"/>
      <c r="AB25" s="797"/>
      <c r="AC25" s="797"/>
      <c r="AD25" s="797">
        <f t="shared" si="48"/>
        <v>7.61572682574874</v>
      </c>
      <c r="AE25" s="797">
        <f t="shared" si="48"/>
        <v>16.9339569991204</v>
      </c>
      <c r="AF25" s="797">
        <f t="shared" si="48"/>
        <v>7.61572682574874</v>
      </c>
      <c r="AG25" s="797">
        <f t="shared" si="48"/>
        <v>0</v>
      </c>
      <c r="AH25" s="797">
        <f t="shared" si="48"/>
        <v>7.61572682574874</v>
      </c>
      <c r="AI25" s="797">
        <f t="shared" si="48"/>
        <v>3.00448800575296</v>
      </c>
      <c r="AJ25" s="797">
        <f t="shared" si="48"/>
        <v>7.61572682574874</v>
      </c>
      <c r="AK25" s="797">
        <f t="shared" si="48"/>
        <v>13.9294689933675</v>
      </c>
      <c r="AL25" s="724"/>
      <c r="AN25" s="806">
        <f t="shared" si="8"/>
        <v>543597.2533</v>
      </c>
    </row>
    <row r="26" s="699" customFormat="1" ht="71" hidden="1" customHeight="1" outlineLevel="2" spans="1:40">
      <c r="A26" s="724" t="s">
        <v>193</v>
      </c>
      <c r="B26" s="728" t="s">
        <v>194</v>
      </c>
      <c r="C26" s="724">
        <f>D26/C8</f>
        <v>7.19543072714727</v>
      </c>
      <c r="D26" s="724">
        <f>G26+AE26</f>
        <v>51.35972533</v>
      </c>
      <c r="E26" s="744" t="s">
        <v>195</v>
      </c>
      <c r="F26" s="724">
        <f>G26/$F$8</f>
        <v>7.19543072714727</v>
      </c>
      <c r="G26" s="724">
        <f t="shared" si="35"/>
        <v>35.3603181412209</v>
      </c>
      <c r="H26" s="724">
        <f>(179.98*400+158.11*801+200*1500)*1.03/10000/C8</f>
        <v>7.19543072714727</v>
      </c>
      <c r="I26" s="724">
        <f>H26*H$8</f>
        <v>22.7683863230205</v>
      </c>
      <c r="J26" s="724">
        <f>+H26</f>
        <v>7.19543072714727</v>
      </c>
      <c r="K26" s="724">
        <f>J26*J$8</f>
        <v>12.0109583504291</v>
      </c>
      <c r="L26" s="724">
        <f>+H26</f>
        <v>7.19543072714727</v>
      </c>
      <c r="M26" s="724">
        <f t="shared" ref="M26:M27" si="49">L26*L$8</f>
        <v>0</v>
      </c>
      <c r="N26" s="724">
        <f>+L26</f>
        <v>7.19543072714727</v>
      </c>
      <c r="O26" s="724">
        <f t="shared" ref="O26:O28" si="50">N26*N$8</f>
        <v>0</v>
      </c>
      <c r="P26" s="724">
        <f>+N26</f>
        <v>7.19543072714727</v>
      </c>
      <c r="Q26" s="724">
        <f>P26*P$8</f>
        <v>0</v>
      </c>
      <c r="R26" s="724">
        <f>+P26</f>
        <v>7.19543072714727</v>
      </c>
      <c r="S26" s="724">
        <f t="shared" ref="S26:S28" si="51">R26*R$8</f>
        <v>0</v>
      </c>
      <c r="T26" s="724">
        <f>+R26</f>
        <v>7.19543072714727</v>
      </c>
      <c r="U26" s="724">
        <f>T26*T$8</f>
        <v>0</v>
      </c>
      <c r="V26" s="724">
        <f>+T26</f>
        <v>7.19543072714727</v>
      </c>
      <c r="W26" s="724">
        <f>V26*V$8</f>
        <v>0.580973467771325</v>
      </c>
      <c r="X26" s="724"/>
      <c r="Y26" s="724"/>
      <c r="Z26" s="724"/>
      <c r="AA26" s="724"/>
      <c r="AB26" s="724"/>
      <c r="AC26" s="724"/>
      <c r="AD26" s="724">
        <f t="shared" si="37"/>
        <v>7.19543072714727</v>
      </c>
      <c r="AE26" s="724">
        <f>AG26*0+AI26+AK26</f>
        <v>15.999407188779</v>
      </c>
      <c r="AF26" s="724">
        <f>+V26</f>
        <v>7.19543072714727</v>
      </c>
      <c r="AG26" s="724">
        <f>AF26*AF$8</f>
        <v>0</v>
      </c>
      <c r="AH26" s="724">
        <f>+AF26</f>
        <v>7.19543072714727</v>
      </c>
      <c r="AI26" s="724">
        <f>AH26*AH$8</f>
        <v>2.8386765715976</v>
      </c>
      <c r="AJ26" s="724">
        <f>+AH26</f>
        <v>7.19543072714727</v>
      </c>
      <c r="AK26" s="724">
        <f>AJ26*AJ$8</f>
        <v>13.1607306171814</v>
      </c>
      <c r="AL26" s="724"/>
      <c r="AN26" s="806">
        <f t="shared" si="8"/>
        <v>513597.2533</v>
      </c>
    </row>
    <row r="27" s="699" customFormat="1" ht="29" hidden="1" customHeight="1" outlineLevel="2" spans="1:40">
      <c r="A27" s="724" t="s">
        <v>196</v>
      </c>
      <c r="B27" s="729" t="s">
        <v>197</v>
      </c>
      <c r="C27" s="724">
        <f t="shared" ref="C27:C31" si="52">D27/$C$8</f>
        <v>0</v>
      </c>
      <c r="D27" s="724">
        <f>G27+AE27</f>
        <v>0</v>
      </c>
      <c r="E27" s="742"/>
      <c r="F27" s="724">
        <f>G27/$F$8</f>
        <v>0</v>
      </c>
      <c r="G27" s="724">
        <f t="shared" ref="G27:G31" si="53">I27+K27+M27+O27+Q27+S27+U27+W27</f>
        <v>0</v>
      </c>
      <c r="H27" s="724">
        <f>0/C8</f>
        <v>0</v>
      </c>
      <c r="I27" s="724">
        <f>H27*H$8</f>
        <v>0</v>
      </c>
      <c r="J27" s="724">
        <f>+H27</f>
        <v>0</v>
      </c>
      <c r="K27" s="724">
        <f>J27*J$8</f>
        <v>0</v>
      </c>
      <c r="L27" s="724">
        <f>+H27</f>
        <v>0</v>
      </c>
      <c r="M27" s="724">
        <f t="shared" si="49"/>
        <v>0</v>
      </c>
      <c r="N27" s="724">
        <f>+L27</f>
        <v>0</v>
      </c>
      <c r="O27" s="724">
        <f t="shared" si="50"/>
        <v>0</v>
      </c>
      <c r="P27" s="724">
        <f>+N27</f>
        <v>0</v>
      </c>
      <c r="Q27" s="724">
        <f>P27*P$8</f>
        <v>0</v>
      </c>
      <c r="R27" s="724">
        <f>+P27</f>
        <v>0</v>
      </c>
      <c r="S27" s="724">
        <f t="shared" si="51"/>
        <v>0</v>
      </c>
      <c r="T27" s="724">
        <f>+R27</f>
        <v>0</v>
      </c>
      <c r="U27" s="724">
        <f>T27*T$8</f>
        <v>0</v>
      </c>
      <c r="V27" s="724">
        <f>+T27</f>
        <v>0</v>
      </c>
      <c r="W27" s="724">
        <f>V27*V$8</f>
        <v>0</v>
      </c>
      <c r="X27" s="724"/>
      <c r="Y27" s="724"/>
      <c r="Z27" s="724"/>
      <c r="AA27" s="724"/>
      <c r="AB27" s="724"/>
      <c r="AC27" s="724"/>
      <c r="AD27" s="724">
        <f t="shared" si="37"/>
        <v>0</v>
      </c>
      <c r="AE27" s="724">
        <f>AG27*0+AI27+AK27</f>
        <v>0</v>
      </c>
      <c r="AF27" s="724">
        <f>+V27</f>
        <v>0</v>
      </c>
      <c r="AG27" s="724">
        <f t="shared" ref="AG27" si="54">AF27*AF$8</f>
        <v>0</v>
      </c>
      <c r="AH27" s="724">
        <f>+AF27</f>
        <v>0</v>
      </c>
      <c r="AI27" s="724">
        <f>AH27*AH$8</f>
        <v>0</v>
      </c>
      <c r="AJ27" s="724">
        <f>+AH27</f>
        <v>0</v>
      </c>
      <c r="AK27" s="724">
        <f>AJ27*AJ$8</f>
        <v>0</v>
      </c>
      <c r="AL27" s="724"/>
      <c r="AN27" s="806">
        <f t="shared" si="8"/>
        <v>0</v>
      </c>
    </row>
    <row r="28" s="699" customFormat="1" ht="33.75" hidden="1" outlineLevel="2" spans="1:40">
      <c r="A28" s="724" t="s">
        <v>198</v>
      </c>
      <c r="B28" s="729" t="s">
        <v>199</v>
      </c>
      <c r="C28" s="724">
        <f t="shared" si="52"/>
        <v>0.420296098601465</v>
      </c>
      <c r="D28" s="724">
        <f>G28+AE28</f>
        <v>3</v>
      </c>
      <c r="E28" s="742" t="s">
        <v>200</v>
      </c>
      <c r="F28" s="724">
        <f>G28/$F$8</f>
        <v>0.420296098601465</v>
      </c>
      <c r="G28" s="724">
        <f t="shared" si="53"/>
        <v>2.06545018965862</v>
      </c>
      <c r="H28" s="724">
        <f>5000*3*2/10000/C8</f>
        <v>0.420296098601465</v>
      </c>
      <c r="I28" s="724">
        <f>H28*H$8</f>
        <v>1.32993622006704</v>
      </c>
      <c r="J28" s="724">
        <f>+H28</f>
        <v>0.420296098601465</v>
      </c>
      <c r="K28" s="724">
        <f t="shared" ref="K28" si="55">J28*J$8</f>
        <v>0.701578421998298</v>
      </c>
      <c r="L28" s="724">
        <f>+H28</f>
        <v>0.420296098601465</v>
      </c>
      <c r="M28" s="724">
        <f t="shared" ref="M28" si="56">L28*L$8</f>
        <v>0</v>
      </c>
      <c r="N28" s="724">
        <f>+L28</f>
        <v>0.420296098601465</v>
      </c>
      <c r="O28" s="724">
        <f t="shared" si="50"/>
        <v>0</v>
      </c>
      <c r="P28" s="724">
        <f>+N28</f>
        <v>0.420296098601465</v>
      </c>
      <c r="Q28" s="724">
        <f t="shared" ref="Q28" si="57">P28*P$8</f>
        <v>0</v>
      </c>
      <c r="R28" s="724">
        <f>+P28</f>
        <v>0.420296098601465</v>
      </c>
      <c r="S28" s="724">
        <f t="shared" si="51"/>
        <v>0</v>
      </c>
      <c r="T28" s="724">
        <f>+R28</f>
        <v>0.420296098601465</v>
      </c>
      <c r="U28" s="724">
        <f t="shared" ref="U28" si="58">T28*T$8</f>
        <v>0</v>
      </c>
      <c r="V28" s="724">
        <f>+T28</f>
        <v>0.420296098601465</v>
      </c>
      <c r="W28" s="724">
        <f t="shared" ref="W28" si="59">V28*V$8</f>
        <v>0.0339355475932795</v>
      </c>
      <c r="X28" s="724"/>
      <c r="Y28" s="724"/>
      <c r="Z28" s="724"/>
      <c r="AA28" s="724"/>
      <c r="AB28" s="724"/>
      <c r="AC28" s="724"/>
      <c r="AD28" s="724">
        <f t="shared" ref="AD28:AD34" si="60">AE28/AD$8</f>
        <v>0.420296098601465</v>
      </c>
      <c r="AE28" s="724">
        <f>AG28*0+AI28+AK28</f>
        <v>0.934549810341386</v>
      </c>
      <c r="AF28" s="724">
        <f>+V28</f>
        <v>0.420296098601465</v>
      </c>
      <c r="AG28" s="724">
        <f t="shared" ref="AG28" si="61">AF28*AF$8</f>
        <v>0</v>
      </c>
      <c r="AH28" s="724">
        <f>+AF28</f>
        <v>0.420296098601465</v>
      </c>
      <c r="AI28" s="724">
        <f t="shared" ref="AI28" si="62">AH28*AH$8</f>
        <v>0.165811434155363</v>
      </c>
      <c r="AJ28" s="724">
        <f>+AH28</f>
        <v>0.420296098601465</v>
      </c>
      <c r="AK28" s="724">
        <f t="shared" ref="AK28" si="63">AJ28*AJ$8</f>
        <v>0.768738376186024</v>
      </c>
      <c r="AL28" s="724"/>
      <c r="AN28" s="806">
        <f t="shared" si="8"/>
        <v>30000</v>
      </c>
    </row>
    <row r="29" s="699" customFormat="1" hidden="1" customHeight="1" outlineLevel="1" collapsed="1" spans="1:40">
      <c r="A29" s="797">
        <v>2.3</v>
      </c>
      <c r="B29" s="797" t="s">
        <v>201</v>
      </c>
      <c r="C29" s="797">
        <f>SUM(C30:C31)</f>
        <v>13.4077061289679</v>
      </c>
      <c r="D29" s="797">
        <f>SUM(D30:D31)</f>
        <v>95.70186</v>
      </c>
      <c r="E29" s="742">
        <f>+D36-E32</f>
        <v>4.92021600000007</v>
      </c>
      <c r="F29" s="797">
        <f t="shared" ref="E29:AK29" si="64">SUM(F30:F31)</f>
        <v>13.4077061289679</v>
      </c>
      <c r="G29" s="797">
        <f t="shared" si="64"/>
        <v>65.8891416292274</v>
      </c>
      <c r="H29" s="797">
        <f t="shared" si="64"/>
        <v>13.4077061289678</v>
      </c>
      <c r="I29" s="797">
        <f t="shared" si="64"/>
        <v>42.4257899805949</v>
      </c>
      <c r="J29" s="797">
        <f t="shared" si="64"/>
        <v>13.4077061289678</v>
      </c>
      <c r="K29" s="797">
        <f t="shared" si="64"/>
        <v>22.3807866403674</v>
      </c>
      <c r="L29" s="797">
        <f t="shared" si="64"/>
        <v>13.4077061289678</v>
      </c>
      <c r="M29" s="797">
        <f t="shared" si="64"/>
        <v>0</v>
      </c>
      <c r="N29" s="797">
        <f t="shared" si="64"/>
        <v>13.4077061289678</v>
      </c>
      <c r="O29" s="797">
        <f t="shared" si="64"/>
        <v>0</v>
      </c>
      <c r="P29" s="797">
        <f t="shared" si="64"/>
        <v>13.4077061289678</v>
      </c>
      <c r="Q29" s="797">
        <f t="shared" si="64"/>
        <v>0</v>
      </c>
      <c r="R29" s="797">
        <f t="shared" si="64"/>
        <v>13.4077061289678</v>
      </c>
      <c r="S29" s="797">
        <f t="shared" si="64"/>
        <v>0</v>
      </c>
      <c r="T29" s="797">
        <f t="shared" si="64"/>
        <v>13.4077061289678</v>
      </c>
      <c r="U29" s="797">
        <f t="shared" si="64"/>
        <v>0</v>
      </c>
      <c r="V29" s="797">
        <f t="shared" si="64"/>
        <v>13.4077061289678</v>
      </c>
      <c r="W29" s="797">
        <f t="shared" si="64"/>
        <v>1.08256500826512</v>
      </c>
      <c r="X29" s="797"/>
      <c r="Y29" s="797"/>
      <c r="Z29" s="797"/>
      <c r="AA29" s="797"/>
      <c r="AB29" s="797"/>
      <c r="AC29" s="797"/>
      <c r="AD29" s="797">
        <f t="shared" si="64"/>
        <v>13.4077061289678</v>
      </c>
      <c r="AE29" s="797">
        <f t="shared" si="64"/>
        <v>29.8127183707726</v>
      </c>
      <c r="AF29" s="797">
        <f t="shared" si="64"/>
        <v>13.4077061289678</v>
      </c>
      <c r="AG29" s="797">
        <f t="shared" si="64"/>
        <v>0</v>
      </c>
      <c r="AH29" s="797">
        <f t="shared" si="64"/>
        <v>13.4077061289678</v>
      </c>
      <c r="AI29" s="797">
        <f t="shared" si="64"/>
        <v>5.28948755264524</v>
      </c>
      <c r="AJ29" s="797">
        <f t="shared" si="64"/>
        <v>13.4077061289678</v>
      </c>
      <c r="AK29" s="797">
        <f t="shared" si="64"/>
        <v>24.5232308181274</v>
      </c>
      <c r="AL29" s="724"/>
      <c r="AN29" s="806">
        <f t="shared" si="8"/>
        <v>957018.6</v>
      </c>
    </row>
    <row r="30" s="699" customFormat="1" ht="33" hidden="1" customHeight="1" outlineLevel="2" spans="1:40">
      <c r="A30" s="724" t="s">
        <v>193</v>
      </c>
      <c r="B30" s="728" t="s">
        <v>202</v>
      </c>
      <c r="C30" s="724">
        <f t="shared" si="52"/>
        <v>8.40592197202929</v>
      </c>
      <c r="D30" s="724">
        <f>G30+AE30</f>
        <v>60</v>
      </c>
      <c r="E30" s="744" t="s">
        <v>203</v>
      </c>
      <c r="F30" s="724">
        <f>G30/$F$8</f>
        <v>8.40592197202929</v>
      </c>
      <c r="G30" s="724">
        <f t="shared" si="53"/>
        <v>41.3090037931723</v>
      </c>
      <c r="H30" s="724">
        <f>60/C8</f>
        <v>8.40592197202929</v>
      </c>
      <c r="I30" s="724">
        <f>H30*H$8</f>
        <v>26.5987244013407</v>
      </c>
      <c r="J30" s="724">
        <f>+H30</f>
        <v>8.40592197202929</v>
      </c>
      <c r="K30" s="724">
        <f>J30*J$8</f>
        <v>14.031568439966</v>
      </c>
      <c r="L30" s="724">
        <f>+H30</f>
        <v>8.40592197202929</v>
      </c>
      <c r="M30" s="724">
        <f>L30*L$8</f>
        <v>0</v>
      </c>
      <c r="N30" s="724">
        <f>+L30</f>
        <v>8.40592197202929</v>
      </c>
      <c r="O30" s="724">
        <f>N30*N$8</f>
        <v>0</v>
      </c>
      <c r="P30" s="724">
        <f>+N30</f>
        <v>8.40592197202929</v>
      </c>
      <c r="Q30" s="724">
        <f>P30*P$8</f>
        <v>0</v>
      </c>
      <c r="R30" s="724">
        <f>+P30</f>
        <v>8.40592197202929</v>
      </c>
      <c r="S30" s="724">
        <f>R30*R$8</f>
        <v>0</v>
      </c>
      <c r="T30" s="724">
        <f>+R30</f>
        <v>8.40592197202929</v>
      </c>
      <c r="U30" s="724">
        <f>T30*T$8</f>
        <v>0</v>
      </c>
      <c r="V30" s="724">
        <f>+T30</f>
        <v>8.40592197202929</v>
      </c>
      <c r="W30" s="724">
        <f>V30*V$8</f>
        <v>0.678710951865589</v>
      </c>
      <c r="X30" s="724"/>
      <c r="Y30" s="724"/>
      <c r="Z30" s="724"/>
      <c r="AA30" s="724"/>
      <c r="AB30" s="724"/>
      <c r="AC30" s="724"/>
      <c r="AD30" s="724">
        <f t="shared" si="60"/>
        <v>8.40592197202929</v>
      </c>
      <c r="AE30" s="724">
        <f>AG30*0+AI30+AK30</f>
        <v>18.6909962068277</v>
      </c>
      <c r="AF30" s="724">
        <f>+V30</f>
        <v>8.40592197202929</v>
      </c>
      <c r="AG30" s="724">
        <f>AF30*AF$8</f>
        <v>0</v>
      </c>
      <c r="AH30" s="724">
        <f>+AF30</f>
        <v>8.40592197202929</v>
      </c>
      <c r="AI30" s="724">
        <f>AH30*AH$8</f>
        <v>3.31622868310725</v>
      </c>
      <c r="AJ30" s="724">
        <f>+AH30</f>
        <v>8.40592197202929</v>
      </c>
      <c r="AK30" s="724">
        <f>AJ30*AJ$8</f>
        <v>15.3747675237205</v>
      </c>
      <c r="AL30" s="724"/>
      <c r="AN30" s="806">
        <f t="shared" si="8"/>
        <v>600000</v>
      </c>
    </row>
    <row r="31" s="699" customFormat="1" ht="50" hidden="1" customHeight="1" outlineLevel="2" spans="1:40">
      <c r="A31" s="724" t="s">
        <v>196</v>
      </c>
      <c r="B31" s="728" t="s">
        <v>204</v>
      </c>
      <c r="C31" s="724">
        <f t="shared" si="52"/>
        <v>5.00178415693856</v>
      </c>
      <c r="D31" s="724">
        <f>G31+AE31</f>
        <v>35.70186</v>
      </c>
      <c r="E31" s="742" t="s">
        <v>205</v>
      </c>
      <c r="F31" s="724">
        <f>G31/$F$8</f>
        <v>5.00178415693857</v>
      </c>
      <c r="G31" s="724">
        <f t="shared" si="53"/>
        <v>24.5801378360551</v>
      </c>
      <c r="H31" s="724">
        <f>+(70*636+150*2014)*1.03/10000/C8</f>
        <v>5.00178415693856</v>
      </c>
      <c r="I31" s="724">
        <f>H31*H$8</f>
        <v>15.8270655792542</v>
      </c>
      <c r="J31" s="724">
        <f>+H31</f>
        <v>5.00178415693856</v>
      </c>
      <c r="K31" s="724">
        <f>J31*J$8</f>
        <v>8.34921820040138</v>
      </c>
      <c r="L31" s="724">
        <f>+H31</f>
        <v>5.00178415693856</v>
      </c>
      <c r="M31" s="724">
        <f>L31*L$8</f>
        <v>0</v>
      </c>
      <c r="N31" s="724">
        <f>+L31</f>
        <v>5.00178415693856</v>
      </c>
      <c r="O31" s="724">
        <f>N31*N$8</f>
        <v>0</v>
      </c>
      <c r="P31" s="724">
        <f>+N31</f>
        <v>5.00178415693856</v>
      </c>
      <c r="Q31" s="724">
        <f>P31*P$8</f>
        <v>0</v>
      </c>
      <c r="R31" s="724">
        <f>+P31</f>
        <v>5.00178415693856</v>
      </c>
      <c r="S31" s="724">
        <f>R31*R$8</f>
        <v>0</v>
      </c>
      <c r="T31" s="724">
        <f>+R31</f>
        <v>5.00178415693856</v>
      </c>
      <c r="U31" s="724">
        <f>T31*T$8</f>
        <v>0</v>
      </c>
      <c r="V31" s="724">
        <f>+T31</f>
        <v>5.00178415693856</v>
      </c>
      <c r="W31" s="724">
        <f>V31*V$8</f>
        <v>0.403854056399533</v>
      </c>
      <c r="X31" s="724"/>
      <c r="Y31" s="724"/>
      <c r="Z31" s="724"/>
      <c r="AA31" s="724"/>
      <c r="AB31" s="724"/>
      <c r="AC31" s="724"/>
      <c r="AD31" s="724">
        <f t="shared" si="60"/>
        <v>5.00178415693856</v>
      </c>
      <c r="AE31" s="724">
        <f>AG31*0+AI31+AK31</f>
        <v>11.1217221639449</v>
      </c>
      <c r="AF31" s="724">
        <f>+V31</f>
        <v>5.00178415693856</v>
      </c>
      <c r="AG31" s="724">
        <f>AF31*AF$8</f>
        <v>0</v>
      </c>
      <c r="AH31" s="724">
        <f>+AF31</f>
        <v>5.00178415693856</v>
      </c>
      <c r="AI31" s="724">
        <f>AH31*AH$8</f>
        <v>1.97325886953799</v>
      </c>
      <c r="AJ31" s="724">
        <f>+AH31</f>
        <v>5.00178415693856</v>
      </c>
      <c r="AK31" s="724">
        <f>AJ31*AJ$8</f>
        <v>9.1484632944069</v>
      </c>
      <c r="AL31" s="724"/>
      <c r="AN31" s="806">
        <f t="shared" si="8"/>
        <v>357018.6</v>
      </c>
    </row>
    <row r="32" hidden="1" customHeight="1" outlineLevel="1" collapsed="1" spans="1:40">
      <c r="A32" s="797">
        <v>2.3</v>
      </c>
      <c r="B32" s="797" t="s">
        <v>206</v>
      </c>
      <c r="C32" s="797">
        <f>SUM(C33:C39)</f>
        <v>68.601546031179</v>
      </c>
      <c r="D32" s="797">
        <f>SUM(D33:D39)</f>
        <v>489.6658303</v>
      </c>
      <c r="E32" s="742">
        <v>58.079784</v>
      </c>
      <c r="F32" s="797">
        <f t="shared" ref="E32:K32" si="65">SUM(F33:F39)</f>
        <v>78.9365691225202</v>
      </c>
      <c r="G32" s="797">
        <f t="shared" si="65"/>
        <v>387.915929288004</v>
      </c>
      <c r="H32" s="797">
        <f t="shared" si="65"/>
        <v>56.7600932076648</v>
      </c>
      <c r="I32" s="797">
        <f t="shared" si="65"/>
        <v>179.605054775522</v>
      </c>
      <c r="J32" s="797">
        <f t="shared" si="65"/>
        <v>121.95100252731</v>
      </c>
      <c r="K32" s="797">
        <f t="shared" si="65"/>
        <v>203.566467066708</v>
      </c>
      <c r="L32" s="797">
        <f t="shared" ref="L32:AK32" si="66">SUM(L33:L39)</f>
        <v>121.95100252731</v>
      </c>
      <c r="M32" s="797">
        <f t="shared" si="66"/>
        <v>0</v>
      </c>
      <c r="N32" s="797">
        <f t="shared" si="66"/>
        <v>121.95100252731</v>
      </c>
      <c r="O32" s="797">
        <f t="shared" si="66"/>
        <v>0</v>
      </c>
      <c r="P32" s="797">
        <f t="shared" si="66"/>
        <v>121.95100252731</v>
      </c>
      <c r="Q32" s="797">
        <f t="shared" si="66"/>
        <v>0</v>
      </c>
      <c r="R32" s="797">
        <f t="shared" si="66"/>
        <v>121.95100252731</v>
      </c>
      <c r="S32" s="797">
        <f t="shared" si="66"/>
        <v>0</v>
      </c>
      <c r="T32" s="797">
        <f t="shared" si="66"/>
        <v>121.95100252731</v>
      </c>
      <c r="U32" s="797">
        <f t="shared" si="66"/>
        <v>0</v>
      </c>
      <c r="V32" s="797">
        <f t="shared" si="66"/>
        <v>58.7600932076648</v>
      </c>
      <c r="W32" s="797">
        <f t="shared" si="66"/>
        <v>4.74440744577327</v>
      </c>
      <c r="X32" s="797"/>
      <c r="Y32" s="797"/>
      <c r="Z32" s="797"/>
      <c r="AA32" s="797"/>
      <c r="AB32" s="797"/>
      <c r="AC32" s="797"/>
      <c r="AD32" s="797">
        <f t="shared" si="66"/>
        <v>45.7600932076648</v>
      </c>
      <c r="AE32" s="797">
        <f t="shared" si="66"/>
        <v>101.749901011996</v>
      </c>
      <c r="AF32" s="797">
        <f t="shared" si="66"/>
        <v>37.7600932076648</v>
      </c>
      <c r="AG32" s="797">
        <f t="shared" si="66"/>
        <v>0</v>
      </c>
      <c r="AH32" s="797">
        <f t="shared" si="66"/>
        <v>45.7600932076648</v>
      </c>
      <c r="AI32" s="797">
        <f t="shared" si="66"/>
        <v>18.052860131449</v>
      </c>
      <c r="AJ32" s="797">
        <f t="shared" si="66"/>
        <v>45.7600932076648</v>
      </c>
      <c r="AK32" s="797">
        <f t="shared" si="66"/>
        <v>83.6970408805472</v>
      </c>
      <c r="AL32" s="724"/>
      <c r="AN32" s="806">
        <f t="shared" si="8"/>
        <v>4896658.303</v>
      </c>
    </row>
    <row r="33" s="699" customFormat="1" ht="29" hidden="1" customHeight="1" outlineLevel="2" spans="1:57">
      <c r="A33" s="724" t="s">
        <v>207</v>
      </c>
      <c r="B33" s="724" t="s">
        <v>208</v>
      </c>
      <c r="C33" s="724">
        <f t="shared" ref="C33:C37" si="67">D33/$C$8</f>
        <v>18.6134905240742</v>
      </c>
      <c r="D33" s="724">
        <f t="shared" ref="D33:D37" si="68">G33+AE33</f>
        <v>132.859838</v>
      </c>
      <c r="E33" s="742" t="s">
        <v>209</v>
      </c>
      <c r="F33" s="724">
        <f t="shared" ref="F33:F37" si="69">G33/$F$8</f>
        <v>23.4157537817387</v>
      </c>
      <c r="G33" s="724">
        <f>I33+K33+M33+O33+Q33+S33+U33+W33</f>
        <v>115.07143</v>
      </c>
      <c r="H33" s="724">
        <f>19</f>
        <v>19</v>
      </c>
      <c r="I33" s="724">
        <f>H33*H$8</f>
        <v>60.121396</v>
      </c>
      <c r="J33" s="724">
        <v>32</v>
      </c>
      <c r="K33" s="724">
        <f>J33*J$8</f>
        <v>53.415936</v>
      </c>
      <c r="L33" s="724">
        <f t="shared" ref="L33:L37" si="70">+J33</f>
        <v>32</v>
      </c>
      <c r="M33" s="724">
        <f t="shared" ref="M33" si="71">L33*L$8</f>
        <v>0</v>
      </c>
      <c r="N33" s="724">
        <f t="shared" ref="N33:N37" si="72">+L33</f>
        <v>32</v>
      </c>
      <c r="O33" s="724">
        <f t="shared" ref="O33:O37" si="73">N33*N$8</f>
        <v>0</v>
      </c>
      <c r="P33" s="724">
        <f t="shared" ref="P33:P37" si="74">+N33</f>
        <v>32</v>
      </c>
      <c r="Q33" s="724">
        <f t="shared" ref="Q33:Q37" si="75">P33*P$8</f>
        <v>0</v>
      </c>
      <c r="R33" s="724">
        <f t="shared" ref="R33:R37" si="76">+P33</f>
        <v>32</v>
      </c>
      <c r="S33" s="724">
        <f t="shared" ref="S33:S37" si="77">R33*R$8</f>
        <v>0</v>
      </c>
      <c r="T33" s="724">
        <f t="shared" ref="T33:T37" si="78">+R33</f>
        <v>32</v>
      </c>
      <c r="U33" s="724">
        <f t="shared" ref="U33:U37" si="79">T33*T$8</f>
        <v>0</v>
      </c>
      <c r="V33" s="724">
        <v>19</v>
      </c>
      <c r="W33" s="724">
        <f t="shared" ref="W33" si="80">V33*V$8</f>
        <v>1.534098</v>
      </c>
      <c r="X33" s="724"/>
      <c r="Y33" s="724"/>
      <c r="Z33" s="724"/>
      <c r="AA33" s="724"/>
      <c r="AB33" s="724"/>
      <c r="AC33" s="724"/>
      <c r="AD33" s="724">
        <f t="shared" si="60"/>
        <v>8</v>
      </c>
      <c r="AE33" s="724">
        <f t="shared" ref="AE33:AE37" si="81">AG33*0+AI33+AK33</f>
        <v>17.788408</v>
      </c>
      <c r="AF33" s="724">
        <v>0</v>
      </c>
      <c r="AG33" s="724">
        <f t="shared" ref="AG33:AG37" si="82">AF33*AF$8</f>
        <v>0</v>
      </c>
      <c r="AH33" s="724">
        <v>8</v>
      </c>
      <c r="AI33" s="724">
        <f t="shared" ref="AI33" si="83">AH33*AH$8</f>
        <v>3.156088</v>
      </c>
      <c r="AJ33" s="724">
        <f>+AH33</f>
        <v>8</v>
      </c>
      <c r="AK33" s="724">
        <f t="shared" ref="AK33:AK34" si="84">AJ33*AJ$8</f>
        <v>14.63232</v>
      </c>
      <c r="AL33" s="724"/>
      <c r="AN33" s="806">
        <f t="shared" si="8"/>
        <v>1328598.38</v>
      </c>
      <c r="BD33" s="751" t="s">
        <v>210</v>
      </c>
      <c r="BE33" s="751" t="s">
        <v>211</v>
      </c>
    </row>
    <row r="34" s="699" customFormat="1" ht="42" hidden="1" customHeight="1" outlineLevel="2" spans="1:57">
      <c r="A34" s="724" t="s">
        <v>212</v>
      </c>
      <c r="B34" s="724" t="s">
        <v>213</v>
      </c>
      <c r="C34" s="724">
        <f t="shared" si="67"/>
        <v>12.4903426463944</v>
      </c>
      <c r="D34" s="724">
        <f t="shared" si="68"/>
        <v>89.15388</v>
      </c>
      <c r="E34" s="742" t="s">
        <v>214</v>
      </c>
      <c r="F34" s="724">
        <f t="shared" si="69"/>
        <v>12.7122069302607</v>
      </c>
      <c r="G34" s="724">
        <f t="shared" ref="G34:G39" si="85">I34+K34+M34+O34+Q34+S34+U34+W34</f>
        <v>62.471268</v>
      </c>
      <c r="H34" s="798">
        <v>12</v>
      </c>
      <c r="I34" s="724">
        <f>H34*H$8</f>
        <v>37.971408</v>
      </c>
      <c r="J34" s="724">
        <v>14</v>
      </c>
      <c r="K34" s="724">
        <f>J34*J$8</f>
        <v>23.369472</v>
      </c>
      <c r="L34" s="724">
        <f t="shared" si="70"/>
        <v>14</v>
      </c>
      <c r="M34" s="724">
        <f t="shared" ref="M34:M37" si="86">L34*L$8</f>
        <v>0</v>
      </c>
      <c r="N34" s="724">
        <f t="shared" si="72"/>
        <v>14</v>
      </c>
      <c r="O34" s="724">
        <f t="shared" si="73"/>
        <v>0</v>
      </c>
      <c r="P34" s="724">
        <f t="shared" si="74"/>
        <v>14</v>
      </c>
      <c r="Q34" s="724">
        <f t="shared" si="75"/>
        <v>0</v>
      </c>
      <c r="R34" s="724">
        <f t="shared" si="76"/>
        <v>14</v>
      </c>
      <c r="S34" s="724">
        <f t="shared" si="77"/>
        <v>0</v>
      </c>
      <c r="T34" s="724">
        <f t="shared" si="78"/>
        <v>14</v>
      </c>
      <c r="U34" s="724">
        <f t="shared" si="79"/>
        <v>0</v>
      </c>
      <c r="V34" s="724">
        <f t="shared" ref="V33:V37" si="87">+T34</f>
        <v>14</v>
      </c>
      <c r="W34" s="724">
        <f t="shared" ref="W34:W37" si="88">V34*V$8</f>
        <v>1.130388</v>
      </c>
      <c r="X34" s="724"/>
      <c r="Y34" s="724"/>
      <c r="Z34" s="724"/>
      <c r="AA34" s="724"/>
      <c r="AB34" s="724"/>
      <c r="AC34" s="724"/>
      <c r="AD34" s="724">
        <f t="shared" si="60"/>
        <v>12</v>
      </c>
      <c r="AE34" s="724">
        <f t="shared" si="81"/>
        <v>26.682612</v>
      </c>
      <c r="AF34" s="724">
        <v>12</v>
      </c>
      <c r="AG34" s="724">
        <f t="shared" si="82"/>
        <v>0</v>
      </c>
      <c r="AH34" s="724">
        <f>+AF34</f>
        <v>12</v>
      </c>
      <c r="AI34" s="724">
        <f t="shared" ref="AI34:AI37" si="89">AH34*AH$8</f>
        <v>4.734132</v>
      </c>
      <c r="AJ34" s="724">
        <v>12</v>
      </c>
      <c r="AK34" s="724">
        <f t="shared" si="84"/>
        <v>21.94848</v>
      </c>
      <c r="AL34" s="724"/>
      <c r="AN34" s="806">
        <f t="shared" si="8"/>
        <v>891538.8</v>
      </c>
      <c r="BD34" s="751">
        <f>+经济指标!J26+经济指标!J27</f>
        <v>9451.28</v>
      </c>
      <c r="BE34" s="751">
        <f>+经济指标!E20</f>
        <v>22235.51</v>
      </c>
    </row>
    <row r="35" s="699" customFormat="1" ht="28" hidden="1" customHeight="1" outlineLevel="2" spans="1:40">
      <c r="A35" s="724" t="s">
        <v>215</v>
      </c>
      <c r="B35" s="724" t="s">
        <v>216</v>
      </c>
      <c r="C35" s="724">
        <f t="shared" si="67"/>
        <v>0.355296172153283</v>
      </c>
      <c r="D35" s="724">
        <f t="shared" si="68"/>
        <v>2.5360419</v>
      </c>
      <c r="E35" s="742" t="s">
        <v>217</v>
      </c>
      <c r="F35" s="724">
        <f t="shared" si="69"/>
        <v>0.355296172153283</v>
      </c>
      <c r="G35" s="724">
        <f t="shared" si="85"/>
        <v>1.7460227411124</v>
      </c>
      <c r="H35" s="798">
        <f>2.5360419/C8</f>
        <v>0.355296172153282</v>
      </c>
      <c r="I35" s="724">
        <f t="shared" ref="I33:I37" si="90">H35*H$8</f>
        <v>1.12425799280588</v>
      </c>
      <c r="J35" s="724">
        <f t="shared" ref="J33:J37" si="91">+H35</f>
        <v>0.355296172153282</v>
      </c>
      <c r="K35" s="724">
        <f t="shared" ref="K34:K37" si="92">J35*J$8</f>
        <v>0.593077424774522</v>
      </c>
      <c r="L35" s="724">
        <f t="shared" si="70"/>
        <v>0.355296172153282</v>
      </c>
      <c r="M35" s="724">
        <f t="shared" si="86"/>
        <v>0</v>
      </c>
      <c r="N35" s="724">
        <f t="shared" si="72"/>
        <v>0.355296172153282</v>
      </c>
      <c r="O35" s="724">
        <f t="shared" si="73"/>
        <v>0</v>
      </c>
      <c r="P35" s="724">
        <f t="shared" si="74"/>
        <v>0.355296172153282</v>
      </c>
      <c r="Q35" s="724">
        <f t="shared" si="75"/>
        <v>0</v>
      </c>
      <c r="R35" s="724">
        <f t="shared" si="76"/>
        <v>0.355296172153282</v>
      </c>
      <c r="S35" s="724">
        <f t="shared" si="77"/>
        <v>0</v>
      </c>
      <c r="T35" s="724">
        <f t="shared" si="78"/>
        <v>0.355296172153282</v>
      </c>
      <c r="U35" s="724">
        <f t="shared" si="79"/>
        <v>0</v>
      </c>
      <c r="V35" s="724">
        <f t="shared" si="87"/>
        <v>0.355296172153282</v>
      </c>
      <c r="W35" s="724">
        <f t="shared" si="88"/>
        <v>0.0286873235320003</v>
      </c>
      <c r="X35" s="724"/>
      <c r="Y35" s="724"/>
      <c r="Z35" s="724"/>
      <c r="AA35" s="724"/>
      <c r="AB35" s="724"/>
      <c r="AC35" s="724"/>
      <c r="AD35" s="724">
        <f t="shared" ref="AD34:AD37" si="93">AE35/AD$8</f>
        <v>0.355296172153282</v>
      </c>
      <c r="AE35" s="724">
        <f t="shared" si="81"/>
        <v>0.790019158887602</v>
      </c>
      <c r="AF35" s="724">
        <v>0.355296172153282</v>
      </c>
      <c r="AG35" s="724">
        <f t="shared" si="82"/>
        <v>0</v>
      </c>
      <c r="AH35" s="724">
        <f t="shared" ref="AH33:AH37" si="94">+AF35</f>
        <v>0.355296172153282</v>
      </c>
      <c r="AI35" s="724">
        <f t="shared" si="89"/>
        <v>0.140168248172363</v>
      </c>
      <c r="AJ35" s="724">
        <f t="shared" ref="AJ33:AJ37" si="95">+AH35</f>
        <v>0.355296172153282</v>
      </c>
      <c r="AK35" s="724">
        <f t="shared" ref="AK35:AK49" si="96">AJ35*AJ$8</f>
        <v>0.649850910715239</v>
      </c>
      <c r="AL35" s="724"/>
      <c r="AN35" s="806">
        <f t="shared" si="8"/>
        <v>25360.419</v>
      </c>
    </row>
    <row r="36" s="699" customFormat="1" ht="33.75" hidden="1" outlineLevel="2" spans="1:40">
      <c r="A36" s="724" t="s">
        <v>218</v>
      </c>
      <c r="B36" s="724" t="s">
        <v>219</v>
      </c>
      <c r="C36" s="724">
        <f t="shared" si="67"/>
        <v>8.82621807063077</v>
      </c>
      <c r="D36" s="724">
        <f t="shared" si="68"/>
        <v>63.0000000000001</v>
      </c>
      <c r="E36" s="742" t="s">
        <v>220</v>
      </c>
      <c r="F36" s="724">
        <f t="shared" si="69"/>
        <v>8.82621807063077</v>
      </c>
      <c r="G36" s="724">
        <f t="shared" si="85"/>
        <v>43.374453982831</v>
      </c>
      <c r="H36" s="798">
        <f>20*30000/10000/C8*1.05</f>
        <v>8.82621807063076</v>
      </c>
      <c r="I36" s="724">
        <f t="shared" si="90"/>
        <v>27.9286606214078</v>
      </c>
      <c r="J36" s="724">
        <f t="shared" si="91"/>
        <v>8.82621807063076</v>
      </c>
      <c r="K36" s="724">
        <f t="shared" si="92"/>
        <v>14.7331468619643</v>
      </c>
      <c r="L36" s="724">
        <f t="shared" si="70"/>
        <v>8.82621807063076</v>
      </c>
      <c r="M36" s="724">
        <f t="shared" si="86"/>
        <v>0</v>
      </c>
      <c r="N36" s="724">
        <f t="shared" si="72"/>
        <v>8.82621807063076</v>
      </c>
      <c r="O36" s="724">
        <f t="shared" si="73"/>
        <v>0</v>
      </c>
      <c r="P36" s="724">
        <f t="shared" si="74"/>
        <v>8.82621807063076</v>
      </c>
      <c r="Q36" s="724">
        <f t="shared" si="75"/>
        <v>0</v>
      </c>
      <c r="R36" s="724">
        <f t="shared" si="76"/>
        <v>8.82621807063076</v>
      </c>
      <c r="S36" s="724">
        <f t="shared" si="77"/>
        <v>0</v>
      </c>
      <c r="T36" s="724">
        <f t="shared" si="78"/>
        <v>8.82621807063076</v>
      </c>
      <c r="U36" s="724">
        <f t="shared" si="79"/>
        <v>0</v>
      </c>
      <c r="V36" s="724">
        <f t="shared" si="87"/>
        <v>8.82621807063076</v>
      </c>
      <c r="W36" s="724">
        <f t="shared" si="88"/>
        <v>0.712646499458869</v>
      </c>
      <c r="X36" s="724"/>
      <c r="Y36" s="724"/>
      <c r="Z36" s="724"/>
      <c r="AA36" s="724"/>
      <c r="AB36" s="724"/>
      <c r="AC36" s="724"/>
      <c r="AD36" s="724">
        <f t="shared" si="93"/>
        <v>8.82621807063076</v>
      </c>
      <c r="AE36" s="724">
        <f t="shared" si="81"/>
        <v>19.6255460171691</v>
      </c>
      <c r="AF36" s="724">
        <v>8.82621807063076</v>
      </c>
      <c r="AG36" s="724">
        <f t="shared" si="82"/>
        <v>0</v>
      </c>
      <c r="AH36" s="724">
        <f t="shared" si="94"/>
        <v>8.82621807063076</v>
      </c>
      <c r="AI36" s="724">
        <f t="shared" si="89"/>
        <v>3.48204011726261</v>
      </c>
      <c r="AJ36" s="724">
        <f t="shared" si="95"/>
        <v>8.82621807063076</v>
      </c>
      <c r="AK36" s="724">
        <f t="shared" si="96"/>
        <v>16.1435058999065</v>
      </c>
      <c r="AL36" s="724"/>
      <c r="AN36" s="806">
        <f t="shared" si="8"/>
        <v>630000.000000001</v>
      </c>
    </row>
    <row r="37" s="699" customFormat="1" ht="27" hidden="1" customHeight="1" outlineLevel="2" spans="1:40">
      <c r="A37" s="724" t="s">
        <v>221</v>
      </c>
      <c r="B37" s="729" t="s">
        <v>222</v>
      </c>
      <c r="C37" s="724">
        <f t="shared" si="67"/>
        <v>0</v>
      </c>
      <c r="D37" s="724">
        <f t="shared" si="68"/>
        <v>0</v>
      </c>
      <c r="E37" s="747" t="s">
        <v>223</v>
      </c>
      <c r="F37" s="724">
        <f t="shared" si="69"/>
        <v>0</v>
      </c>
      <c r="G37" s="724">
        <f t="shared" si="85"/>
        <v>0</v>
      </c>
      <c r="H37" s="798"/>
      <c r="I37" s="724">
        <f t="shared" si="90"/>
        <v>0</v>
      </c>
      <c r="J37" s="724">
        <f t="shared" si="91"/>
        <v>0</v>
      </c>
      <c r="K37" s="724">
        <f t="shared" si="92"/>
        <v>0</v>
      </c>
      <c r="L37" s="724">
        <f t="shared" si="70"/>
        <v>0</v>
      </c>
      <c r="M37" s="724">
        <f t="shared" si="86"/>
        <v>0</v>
      </c>
      <c r="N37" s="724">
        <f t="shared" si="72"/>
        <v>0</v>
      </c>
      <c r="O37" s="724">
        <f t="shared" si="73"/>
        <v>0</v>
      </c>
      <c r="P37" s="724">
        <f t="shared" si="74"/>
        <v>0</v>
      </c>
      <c r="Q37" s="724">
        <f t="shared" si="75"/>
        <v>0</v>
      </c>
      <c r="R37" s="724">
        <f t="shared" si="76"/>
        <v>0</v>
      </c>
      <c r="S37" s="724">
        <f t="shared" si="77"/>
        <v>0</v>
      </c>
      <c r="T37" s="724">
        <f t="shared" si="78"/>
        <v>0</v>
      </c>
      <c r="U37" s="724">
        <f t="shared" si="79"/>
        <v>0</v>
      </c>
      <c r="V37" s="724">
        <f t="shared" si="87"/>
        <v>0</v>
      </c>
      <c r="W37" s="724">
        <f t="shared" si="88"/>
        <v>0</v>
      </c>
      <c r="X37" s="724"/>
      <c r="Y37" s="724"/>
      <c r="Z37" s="724"/>
      <c r="AA37" s="724"/>
      <c r="AB37" s="724"/>
      <c r="AC37" s="724"/>
      <c r="AD37" s="724">
        <f t="shared" si="93"/>
        <v>0</v>
      </c>
      <c r="AE37" s="724">
        <f t="shared" si="81"/>
        <v>0</v>
      </c>
      <c r="AF37" s="724">
        <v>0</v>
      </c>
      <c r="AG37" s="724">
        <f t="shared" si="82"/>
        <v>0</v>
      </c>
      <c r="AH37" s="724">
        <f t="shared" si="94"/>
        <v>0</v>
      </c>
      <c r="AI37" s="724">
        <f t="shared" si="89"/>
        <v>0</v>
      </c>
      <c r="AJ37" s="724">
        <f t="shared" si="95"/>
        <v>0</v>
      </c>
      <c r="AK37" s="724">
        <f t="shared" si="96"/>
        <v>0</v>
      </c>
      <c r="AL37" s="724"/>
      <c r="AN37" s="806">
        <f t="shared" si="8"/>
        <v>0</v>
      </c>
    </row>
    <row r="38" s="699" customFormat="1" ht="27" hidden="1" customHeight="1" outlineLevel="2" spans="1:40">
      <c r="A38" s="724" t="s">
        <v>224</v>
      </c>
      <c r="B38" s="728" t="s">
        <v>225</v>
      </c>
      <c r="C38" s="724">
        <f t="shared" ref="C38:C42" si="97">D38/$C$8</f>
        <v>0</v>
      </c>
      <c r="D38" s="724">
        <f t="shared" ref="D38:D42" si="98">G38+AE38</f>
        <v>0</v>
      </c>
      <c r="E38" s="747" t="s">
        <v>223</v>
      </c>
      <c r="F38" s="724">
        <f t="shared" ref="F38:F42" si="99">G38/$F$8</f>
        <v>0</v>
      </c>
      <c r="G38" s="724">
        <f t="shared" si="85"/>
        <v>0</v>
      </c>
      <c r="H38" s="798"/>
      <c r="I38" s="724">
        <f t="shared" ref="I38:I42" si="100">H38*H$8</f>
        <v>0</v>
      </c>
      <c r="J38" s="724">
        <f t="shared" ref="J38:J42" si="101">+H38</f>
        <v>0</v>
      </c>
      <c r="K38" s="724">
        <f t="shared" ref="K38:K42" si="102">J38*J$8</f>
        <v>0</v>
      </c>
      <c r="L38" s="724">
        <f t="shared" ref="L38:L42" si="103">+J38</f>
        <v>0</v>
      </c>
      <c r="M38" s="724">
        <f t="shared" ref="M38:M42" si="104">L38*L$8</f>
        <v>0</v>
      </c>
      <c r="N38" s="724">
        <f t="shared" ref="N38:N42" si="105">+L38</f>
        <v>0</v>
      </c>
      <c r="O38" s="724">
        <f t="shared" ref="O38:O42" si="106">N38*N$8</f>
        <v>0</v>
      </c>
      <c r="P38" s="724">
        <f t="shared" ref="P38:P42" si="107">+N38</f>
        <v>0</v>
      </c>
      <c r="Q38" s="724">
        <f t="shared" ref="Q38:Q42" si="108">P38*P$8</f>
        <v>0</v>
      </c>
      <c r="R38" s="724">
        <f t="shared" ref="R38:R42" si="109">+P38</f>
        <v>0</v>
      </c>
      <c r="S38" s="724">
        <f t="shared" ref="S38:S42" si="110">R38*R$8</f>
        <v>0</v>
      </c>
      <c r="T38" s="724">
        <f t="shared" ref="T38:T42" si="111">+R38</f>
        <v>0</v>
      </c>
      <c r="U38" s="724">
        <f t="shared" ref="U38:U42" si="112">T38*T$8</f>
        <v>0</v>
      </c>
      <c r="V38" s="724">
        <f t="shared" ref="V38:V42" si="113">+T38</f>
        <v>0</v>
      </c>
      <c r="W38" s="724">
        <f t="shared" ref="W38:W42" si="114">V38*V$8</f>
        <v>0</v>
      </c>
      <c r="X38" s="724"/>
      <c r="Y38" s="724"/>
      <c r="Z38" s="724"/>
      <c r="AA38" s="724"/>
      <c r="AB38" s="724"/>
      <c r="AC38" s="724"/>
      <c r="AD38" s="724">
        <f t="shared" ref="AD38:AD42" si="115">AE38/AD$8</f>
        <v>0</v>
      </c>
      <c r="AE38" s="724">
        <f t="shared" ref="AE38:AE42" si="116">AG38*0+AI38+AK38</f>
        <v>0</v>
      </c>
      <c r="AF38" s="724">
        <v>0</v>
      </c>
      <c r="AG38" s="724">
        <f t="shared" ref="AG38:AG42" si="117">AF38*AF$8</f>
        <v>0</v>
      </c>
      <c r="AH38" s="724">
        <f t="shared" ref="AH38:AH42" si="118">+AF38</f>
        <v>0</v>
      </c>
      <c r="AI38" s="724">
        <f t="shared" ref="AI38:AI42" si="119">AH38*AH$8</f>
        <v>0</v>
      </c>
      <c r="AJ38" s="724">
        <f t="shared" ref="AJ38:AJ42" si="120">+AH38</f>
        <v>0</v>
      </c>
      <c r="AK38" s="724">
        <f t="shared" si="96"/>
        <v>0</v>
      </c>
      <c r="AL38" s="724"/>
      <c r="AN38" s="806">
        <f t="shared" si="8"/>
        <v>0</v>
      </c>
    </row>
    <row r="39" s="699" customFormat="1" ht="27" hidden="1" customHeight="1" outlineLevel="2" spans="1:40">
      <c r="A39" s="724" t="s">
        <v>226</v>
      </c>
      <c r="B39" s="724" t="s">
        <v>227</v>
      </c>
      <c r="C39" s="724">
        <f t="shared" si="97"/>
        <v>28.3161986179263</v>
      </c>
      <c r="D39" s="724">
        <f>SUM(D40:D56)</f>
        <v>202.1160704</v>
      </c>
      <c r="E39" s="748"/>
      <c r="F39" s="724">
        <f>SUM(F40:F56)</f>
        <v>33.6270941677367</v>
      </c>
      <c r="G39" s="724">
        <f t="shared" si="85"/>
        <v>165.25275456406</v>
      </c>
      <c r="H39" s="724">
        <f t="shared" ref="G39:AK39" si="121">SUM(H40:H56)</f>
        <v>16.5785789648808</v>
      </c>
      <c r="I39" s="724">
        <f t="shared" si="121"/>
        <v>52.4593321613087</v>
      </c>
      <c r="J39" s="724">
        <f t="shared" si="121"/>
        <v>66.7694882845265</v>
      </c>
      <c r="K39" s="724">
        <f t="shared" si="121"/>
        <v>111.454834779969</v>
      </c>
      <c r="L39" s="724">
        <f t="shared" si="121"/>
        <v>66.7694882845265</v>
      </c>
      <c r="M39" s="724">
        <f t="shared" si="121"/>
        <v>0</v>
      </c>
      <c r="N39" s="724">
        <f t="shared" si="121"/>
        <v>66.7694882845265</v>
      </c>
      <c r="O39" s="724">
        <f t="shared" si="121"/>
        <v>0</v>
      </c>
      <c r="P39" s="724">
        <f t="shared" si="121"/>
        <v>66.7694882845265</v>
      </c>
      <c r="Q39" s="724">
        <f t="shared" si="121"/>
        <v>0</v>
      </c>
      <c r="R39" s="724">
        <f t="shared" si="121"/>
        <v>66.7694882845265</v>
      </c>
      <c r="S39" s="724">
        <f t="shared" si="121"/>
        <v>0</v>
      </c>
      <c r="T39" s="724">
        <f t="shared" si="121"/>
        <v>66.7694882845265</v>
      </c>
      <c r="U39" s="724">
        <f t="shared" si="121"/>
        <v>0</v>
      </c>
      <c r="V39" s="724">
        <f t="shared" si="121"/>
        <v>16.5785789648808</v>
      </c>
      <c r="W39" s="724">
        <f t="shared" si="121"/>
        <v>1.3385876227824</v>
      </c>
      <c r="X39" s="724"/>
      <c r="Y39" s="724"/>
      <c r="Z39" s="724"/>
      <c r="AA39" s="724"/>
      <c r="AB39" s="724"/>
      <c r="AC39" s="724"/>
      <c r="AD39" s="724">
        <f t="shared" si="121"/>
        <v>16.5785789648808</v>
      </c>
      <c r="AE39" s="724">
        <f t="shared" si="121"/>
        <v>36.8633158359396</v>
      </c>
      <c r="AF39" s="724">
        <v>16.5785789648808</v>
      </c>
      <c r="AG39" s="724">
        <f t="shared" si="121"/>
        <v>0</v>
      </c>
      <c r="AH39" s="724">
        <f t="shared" si="121"/>
        <v>16.5785789648808</v>
      </c>
      <c r="AI39" s="724">
        <f t="shared" si="121"/>
        <v>6.54043176601407</v>
      </c>
      <c r="AJ39" s="724">
        <f t="shared" si="121"/>
        <v>16.5785789648808</v>
      </c>
      <c r="AK39" s="724">
        <f t="shared" si="121"/>
        <v>30.3228840699255</v>
      </c>
      <c r="AL39" s="724"/>
      <c r="AN39" s="806">
        <f t="shared" si="8"/>
        <v>2021160.704</v>
      </c>
    </row>
    <row r="40" s="699" customFormat="1" ht="36" hidden="1" customHeight="1" outlineLevel="2" spans="1:40">
      <c r="A40" s="724" t="s">
        <v>228</v>
      </c>
      <c r="B40" s="730" t="s">
        <v>229</v>
      </c>
      <c r="C40" s="724">
        <f t="shared" si="97"/>
        <v>11.7376196530456</v>
      </c>
      <c r="D40" s="724">
        <f t="shared" si="98"/>
        <v>83.7810749999999</v>
      </c>
      <c r="E40" s="742" t="s">
        <v>230</v>
      </c>
      <c r="F40" s="724">
        <f t="shared" si="99"/>
        <v>17.048515202856</v>
      </c>
      <c r="G40" s="724">
        <f t="shared" ref="G40:G56" si="122">I40+K40+M40+O40+Q40+S40+U40+W40</f>
        <v>83.7810749999999</v>
      </c>
      <c r="H40" s="798">
        <v>0</v>
      </c>
      <c r="I40" s="724">
        <f t="shared" si="100"/>
        <v>0</v>
      </c>
      <c r="J40" s="724">
        <f>797915*1.05/J8/10000</f>
        <v>50.1909093196457</v>
      </c>
      <c r="K40" s="724">
        <f>J40*J$8</f>
        <v>83.7810749999999</v>
      </c>
      <c r="L40" s="724">
        <f t="shared" si="103"/>
        <v>50.1909093196457</v>
      </c>
      <c r="M40" s="724">
        <f t="shared" si="104"/>
        <v>0</v>
      </c>
      <c r="N40" s="724">
        <f t="shared" si="105"/>
        <v>50.1909093196457</v>
      </c>
      <c r="O40" s="724">
        <f t="shared" si="106"/>
        <v>0</v>
      </c>
      <c r="P40" s="724">
        <f t="shared" si="107"/>
        <v>50.1909093196457</v>
      </c>
      <c r="Q40" s="724">
        <f t="shared" si="108"/>
        <v>0</v>
      </c>
      <c r="R40" s="724">
        <f t="shared" si="109"/>
        <v>50.1909093196457</v>
      </c>
      <c r="S40" s="724">
        <f t="shared" si="110"/>
        <v>0</v>
      </c>
      <c r="T40" s="724">
        <f t="shared" si="111"/>
        <v>50.1909093196457</v>
      </c>
      <c r="U40" s="724">
        <f t="shared" si="112"/>
        <v>0</v>
      </c>
      <c r="V40" s="724">
        <v>0</v>
      </c>
      <c r="W40" s="724">
        <f t="shared" si="114"/>
        <v>0</v>
      </c>
      <c r="X40" s="724"/>
      <c r="Y40" s="724"/>
      <c r="Z40" s="724"/>
      <c r="AA40" s="724"/>
      <c r="AB40" s="724"/>
      <c r="AC40" s="724"/>
      <c r="AD40" s="724">
        <f t="shared" si="115"/>
        <v>0</v>
      </c>
      <c r="AE40" s="724">
        <f t="shared" si="116"/>
        <v>0</v>
      </c>
      <c r="AF40" s="724">
        <v>0</v>
      </c>
      <c r="AG40" s="724">
        <f t="shared" si="117"/>
        <v>0</v>
      </c>
      <c r="AH40" s="724">
        <f t="shared" si="118"/>
        <v>0</v>
      </c>
      <c r="AI40" s="724">
        <f t="shared" si="119"/>
        <v>0</v>
      </c>
      <c r="AJ40" s="724">
        <f t="shared" si="120"/>
        <v>0</v>
      </c>
      <c r="AK40" s="724">
        <f t="shared" si="96"/>
        <v>0</v>
      </c>
      <c r="AL40" s="724"/>
      <c r="AN40" s="806">
        <f t="shared" si="8"/>
        <v>837810.749999999</v>
      </c>
    </row>
    <row r="41" s="699" customFormat="1" ht="60" hidden="1" customHeight="1" outlineLevel="2" spans="1:40">
      <c r="A41" s="724" t="s">
        <v>231</v>
      </c>
      <c r="B41" s="730" t="s">
        <v>232</v>
      </c>
      <c r="C41" s="724">
        <f t="shared" si="97"/>
        <v>2.40623018916827</v>
      </c>
      <c r="D41" s="724">
        <f t="shared" si="98"/>
        <v>17.17525</v>
      </c>
      <c r="E41" s="748" t="s">
        <v>233</v>
      </c>
      <c r="F41" s="724">
        <f t="shared" si="99"/>
        <v>2.40623018916827</v>
      </c>
      <c r="G41" s="724">
        <f t="shared" si="122"/>
        <v>11.8248744566447</v>
      </c>
      <c r="H41" s="798">
        <f>+(200*380+150*605)/C8/10000*1.03</f>
        <v>2.40623018916827</v>
      </c>
      <c r="I41" s="724">
        <f t="shared" si="100"/>
        <v>7.61399568790213</v>
      </c>
      <c r="J41" s="724">
        <f t="shared" si="101"/>
        <v>2.40623018916827</v>
      </c>
      <c r="K41" s="724">
        <f t="shared" si="102"/>
        <v>4.01659493080876</v>
      </c>
      <c r="L41" s="724">
        <f t="shared" si="103"/>
        <v>2.40623018916827</v>
      </c>
      <c r="M41" s="724">
        <f t="shared" si="104"/>
        <v>0</v>
      </c>
      <c r="N41" s="724">
        <f t="shared" si="105"/>
        <v>2.40623018916827</v>
      </c>
      <c r="O41" s="724">
        <f t="shared" si="106"/>
        <v>0</v>
      </c>
      <c r="P41" s="724">
        <f t="shared" si="107"/>
        <v>2.40623018916827</v>
      </c>
      <c r="Q41" s="724">
        <f t="shared" si="108"/>
        <v>0</v>
      </c>
      <c r="R41" s="724">
        <f t="shared" si="109"/>
        <v>2.40623018916827</v>
      </c>
      <c r="S41" s="724">
        <f t="shared" si="110"/>
        <v>0</v>
      </c>
      <c r="T41" s="724">
        <f t="shared" si="111"/>
        <v>2.40623018916827</v>
      </c>
      <c r="U41" s="724">
        <f t="shared" si="112"/>
        <v>0</v>
      </c>
      <c r="V41" s="724">
        <f t="shared" si="113"/>
        <v>2.40623018916827</v>
      </c>
      <c r="W41" s="724">
        <f t="shared" si="114"/>
        <v>0.194283837933824</v>
      </c>
      <c r="X41" s="724"/>
      <c r="Y41" s="724"/>
      <c r="Z41" s="724"/>
      <c r="AA41" s="724"/>
      <c r="AB41" s="724"/>
      <c r="AC41" s="724"/>
      <c r="AD41" s="724">
        <f t="shared" si="115"/>
        <v>2.40623018916827</v>
      </c>
      <c r="AE41" s="724">
        <f t="shared" si="116"/>
        <v>5.3503755433553</v>
      </c>
      <c r="AF41" s="724">
        <v>2.40623018916827</v>
      </c>
      <c r="AG41" s="724">
        <f t="shared" si="117"/>
        <v>0</v>
      </c>
      <c r="AH41" s="724">
        <f t="shared" si="118"/>
        <v>2.40623018916827</v>
      </c>
      <c r="AI41" s="724">
        <f t="shared" si="119"/>
        <v>0.949284278158963</v>
      </c>
      <c r="AJ41" s="724">
        <f t="shared" si="120"/>
        <v>2.40623018916827</v>
      </c>
      <c r="AK41" s="724">
        <f t="shared" si="96"/>
        <v>4.40109126519633</v>
      </c>
      <c r="AL41" s="724"/>
      <c r="AN41" s="806">
        <f t="shared" si="8"/>
        <v>171752.5</v>
      </c>
    </row>
    <row r="42" s="699" customFormat="1" ht="30" hidden="1" customHeight="1" outlineLevel="2" spans="1:40">
      <c r="A42" s="724" t="s">
        <v>234</v>
      </c>
      <c r="B42" s="730" t="s">
        <v>235</v>
      </c>
      <c r="C42" s="724">
        <f t="shared" si="97"/>
        <v>0.224157919254115</v>
      </c>
      <c r="D42" s="724">
        <f t="shared" si="98"/>
        <v>1.6</v>
      </c>
      <c r="E42" s="748" t="s">
        <v>236</v>
      </c>
      <c r="F42" s="724">
        <f t="shared" si="99"/>
        <v>0.224157919254114</v>
      </c>
      <c r="G42" s="724">
        <f t="shared" si="122"/>
        <v>1.10157343448459</v>
      </c>
      <c r="H42" s="798">
        <f>1.6/C8</f>
        <v>0.224157919254115</v>
      </c>
      <c r="I42" s="724">
        <f t="shared" si="100"/>
        <v>0.709299317369086</v>
      </c>
      <c r="J42" s="724">
        <f t="shared" si="101"/>
        <v>0.224157919254115</v>
      </c>
      <c r="K42" s="724">
        <f t="shared" si="102"/>
        <v>0.374175158399092</v>
      </c>
      <c r="L42" s="724">
        <f t="shared" si="103"/>
        <v>0.224157919254115</v>
      </c>
      <c r="M42" s="724">
        <f t="shared" si="104"/>
        <v>0</v>
      </c>
      <c r="N42" s="724">
        <f t="shared" si="105"/>
        <v>0.224157919254115</v>
      </c>
      <c r="O42" s="724">
        <f t="shared" si="106"/>
        <v>0</v>
      </c>
      <c r="P42" s="724">
        <f t="shared" si="107"/>
        <v>0.224157919254115</v>
      </c>
      <c r="Q42" s="724">
        <f t="shared" si="108"/>
        <v>0</v>
      </c>
      <c r="R42" s="724">
        <f t="shared" si="109"/>
        <v>0.224157919254115</v>
      </c>
      <c r="S42" s="724">
        <f t="shared" si="110"/>
        <v>0</v>
      </c>
      <c r="T42" s="724">
        <f t="shared" si="111"/>
        <v>0.224157919254115</v>
      </c>
      <c r="U42" s="724">
        <f t="shared" si="112"/>
        <v>0</v>
      </c>
      <c r="V42" s="724">
        <f t="shared" si="113"/>
        <v>0.224157919254115</v>
      </c>
      <c r="W42" s="724">
        <f t="shared" si="114"/>
        <v>0.0180989587164158</v>
      </c>
      <c r="X42" s="724"/>
      <c r="Y42" s="724"/>
      <c r="Z42" s="724"/>
      <c r="AA42" s="724"/>
      <c r="AB42" s="724"/>
      <c r="AC42" s="724"/>
      <c r="AD42" s="724">
        <f t="shared" si="115"/>
        <v>0.224157919254115</v>
      </c>
      <c r="AE42" s="724">
        <f t="shared" si="116"/>
        <v>0.498426565515407</v>
      </c>
      <c r="AF42" s="724">
        <v>0.224157919254115</v>
      </c>
      <c r="AG42" s="724">
        <f t="shared" si="117"/>
        <v>0</v>
      </c>
      <c r="AH42" s="724">
        <f t="shared" si="118"/>
        <v>0.224157919254115</v>
      </c>
      <c r="AI42" s="724">
        <f t="shared" si="119"/>
        <v>0.0884327648828602</v>
      </c>
      <c r="AJ42" s="724">
        <f t="shared" si="120"/>
        <v>0.224157919254115</v>
      </c>
      <c r="AK42" s="724">
        <f t="shared" si="96"/>
        <v>0.409993800632546</v>
      </c>
      <c r="AL42" s="724"/>
      <c r="AN42" s="806">
        <f t="shared" si="8"/>
        <v>16000</v>
      </c>
    </row>
    <row r="43" s="699" customFormat="1" ht="39" hidden="1" customHeight="1" outlineLevel="2" spans="1:40">
      <c r="A43" s="724" t="s">
        <v>237</v>
      </c>
      <c r="B43" s="730" t="s">
        <v>238</v>
      </c>
      <c r="C43" s="724">
        <f t="shared" ref="C43:C47" si="123">D43/$C$8</f>
        <v>1.69589475785691</v>
      </c>
      <c r="D43" s="724">
        <f t="shared" ref="D43:D47" si="124">G43+AE43</f>
        <v>12.105</v>
      </c>
      <c r="E43" s="742" t="s">
        <v>239</v>
      </c>
      <c r="F43" s="724">
        <f t="shared" ref="F43:F47" si="125">G43/$F$8</f>
        <v>1.69589475785691</v>
      </c>
      <c r="G43" s="724">
        <f t="shared" si="122"/>
        <v>8.3340915152725</v>
      </c>
      <c r="H43" s="798">
        <f>150*807/10000/C8</f>
        <v>1.69589475785691</v>
      </c>
      <c r="I43" s="724">
        <f t="shared" ref="I43:I47" si="126">H43*H$8</f>
        <v>5.36629264797049</v>
      </c>
      <c r="J43" s="724">
        <f t="shared" ref="J43:J47" si="127">+H43</f>
        <v>1.69589475785691</v>
      </c>
      <c r="K43" s="724">
        <f t="shared" ref="K43:K47" si="128">J43*J$8</f>
        <v>2.83086893276313</v>
      </c>
      <c r="L43" s="724">
        <f t="shared" ref="L43:L47" si="129">+J43</f>
        <v>1.69589475785691</v>
      </c>
      <c r="M43" s="724">
        <f t="shared" ref="M43:M47" si="130">L43*L$8</f>
        <v>0</v>
      </c>
      <c r="N43" s="724">
        <f t="shared" ref="N43:N47" si="131">+L43</f>
        <v>1.69589475785691</v>
      </c>
      <c r="O43" s="724">
        <f t="shared" ref="O43:O47" si="132">N43*N$8</f>
        <v>0</v>
      </c>
      <c r="P43" s="724">
        <f t="shared" ref="P43:P47" si="133">+N43</f>
        <v>1.69589475785691</v>
      </c>
      <c r="Q43" s="724">
        <f t="shared" ref="Q43:Q47" si="134">P43*P$8</f>
        <v>0</v>
      </c>
      <c r="R43" s="724">
        <f t="shared" ref="R43:R47" si="135">+P43</f>
        <v>1.69589475785691</v>
      </c>
      <c r="S43" s="724">
        <f t="shared" ref="S43:S47" si="136">R43*R$8</f>
        <v>0</v>
      </c>
      <c r="T43" s="724">
        <f t="shared" ref="T43:T47" si="137">+R43</f>
        <v>1.69589475785691</v>
      </c>
      <c r="U43" s="724">
        <f t="shared" ref="U43:U47" si="138">T43*T$8</f>
        <v>0</v>
      </c>
      <c r="V43" s="724">
        <f t="shared" ref="V43:V47" si="139">+T43</f>
        <v>1.69589475785691</v>
      </c>
      <c r="W43" s="724">
        <f t="shared" ref="W43:W47" si="140">V43*V$8</f>
        <v>0.136929934538883</v>
      </c>
      <c r="X43" s="724"/>
      <c r="Y43" s="724"/>
      <c r="Z43" s="724"/>
      <c r="AA43" s="724"/>
      <c r="AB43" s="724"/>
      <c r="AC43" s="724"/>
      <c r="AD43" s="724">
        <f t="shared" ref="AD43:AD47" si="141">AE43/AD$8</f>
        <v>1.69589475785691</v>
      </c>
      <c r="AE43" s="724">
        <f t="shared" ref="AE43:AE47" si="142">AG43*0+AI43+AK43</f>
        <v>3.77090848472749</v>
      </c>
      <c r="AF43" s="724">
        <v>1.69589475785691</v>
      </c>
      <c r="AG43" s="724">
        <f t="shared" ref="AG43:AG47" si="143">AF43*AF$8</f>
        <v>0</v>
      </c>
      <c r="AH43" s="724">
        <f t="shared" ref="AH43:AH47" si="144">+AF43</f>
        <v>1.69589475785691</v>
      </c>
      <c r="AI43" s="724">
        <f t="shared" ref="AI43:AI47" si="145">AH43*AH$8</f>
        <v>0.669049136816887</v>
      </c>
      <c r="AJ43" s="724">
        <f t="shared" ref="AJ43:AJ47" si="146">+AH43</f>
        <v>1.69589475785691</v>
      </c>
      <c r="AK43" s="724">
        <f t="shared" si="96"/>
        <v>3.1018593479106</v>
      </c>
      <c r="AL43" s="724"/>
      <c r="AN43" s="806">
        <f t="shared" si="8"/>
        <v>121050</v>
      </c>
    </row>
    <row r="44" s="699" customFormat="1" ht="33.75" hidden="1" outlineLevel="2" spans="1:40">
      <c r="A44" s="724" t="s">
        <v>240</v>
      </c>
      <c r="B44" s="728" t="s">
        <v>241</v>
      </c>
      <c r="C44" s="724">
        <f t="shared" si="123"/>
        <v>0.740098699533821</v>
      </c>
      <c r="D44" s="724">
        <f t="shared" si="124"/>
        <v>5.282695</v>
      </c>
      <c r="E44" s="742" t="s">
        <v>242</v>
      </c>
      <c r="F44" s="724">
        <f t="shared" si="125"/>
        <v>0.740098699533821</v>
      </c>
      <c r="G44" s="724">
        <f t="shared" si="122"/>
        <v>3.63704779655287</v>
      </c>
      <c r="H44" s="798">
        <f>0.6+1/C8</f>
        <v>0.740098699533822</v>
      </c>
      <c r="I44" s="724">
        <f t="shared" si="126"/>
        <v>2.34188247335568</v>
      </c>
      <c r="J44" s="724">
        <f t="shared" si="127"/>
        <v>0.740098699533822</v>
      </c>
      <c r="K44" s="724">
        <f t="shared" si="128"/>
        <v>1.23540827399943</v>
      </c>
      <c r="L44" s="724">
        <f t="shared" si="129"/>
        <v>0.740098699533822</v>
      </c>
      <c r="M44" s="724">
        <f t="shared" si="130"/>
        <v>0</v>
      </c>
      <c r="N44" s="724">
        <f t="shared" si="131"/>
        <v>0.740098699533822</v>
      </c>
      <c r="O44" s="724">
        <f t="shared" si="132"/>
        <v>0</v>
      </c>
      <c r="P44" s="724">
        <f t="shared" si="133"/>
        <v>0.740098699533822</v>
      </c>
      <c r="Q44" s="724">
        <f t="shared" si="134"/>
        <v>0</v>
      </c>
      <c r="R44" s="724">
        <f t="shared" si="135"/>
        <v>0.740098699533822</v>
      </c>
      <c r="S44" s="724">
        <f t="shared" si="136"/>
        <v>0</v>
      </c>
      <c r="T44" s="724">
        <f t="shared" si="137"/>
        <v>0.740098699533822</v>
      </c>
      <c r="U44" s="724">
        <f t="shared" si="138"/>
        <v>0</v>
      </c>
      <c r="V44" s="724">
        <f t="shared" si="139"/>
        <v>0.740098699533822</v>
      </c>
      <c r="W44" s="724">
        <f t="shared" si="140"/>
        <v>0.0597570491977599</v>
      </c>
      <c r="X44" s="724"/>
      <c r="Y44" s="724"/>
      <c r="Z44" s="724"/>
      <c r="AA44" s="724"/>
      <c r="AB44" s="724"/>
      <c r="AC44" s="724"/>
      <c r="AD44" s="724">
        <f t="shared" si="141"/>
        <v>0.740098699533822</v>
      </c>
      <c r="AE44" s="724">
        <f t="shared" si="142"/>
        <v>1.64564720344713</v>
      </c>
      <c r="AF44" s="724">
        <v>0.740098699533822</v>
      </c>
      <c r="AG44" s="724">
        <f t="shared" si="143"/>
        <v>0</v>
      </c>
      <c r="AH44" s="724">
        <f t="shared" si="144"/>
        <v>0.740098699533822</v>
      </c>
      <c r="AI44" s="724">
        <f t="shared" si="145"/>
        <v>0.291977078051788</v>
      </c>
      <c r="AJ44" s="724">
        <f t="shared" si="146"/>
        <v>0.740098699533822</v>
      </c>
      <c r="AK44" s="724">
        <f t="shared" si="96"/>
        <v>1.35367012539534</v>
      </c>
      <c r="AL44" s="724"/>
      <c r="AN44" s="806">
        <f t="shared" si="8"/>
        <v>52826.95</v>
      </c>
    </row>
    <row r="45" s="699" customFormat="1" ht="27" hidden="1" customHeight="1" outlineLevel="2" spans="1:40">
      <c r="A45" s="724" t="s">
        <v>243</v>
      </c>
      <c r="B45" s="728" t="s">
        <v>244</v>
      </c>
      <c r="C45" s="724">
        <f t="shared" si="123"/>
        <v>0.412</v>
      </c>
      <c r="D45" s="724">
        <f t="shared" si="124"/>
        <v>2.9407839</v>
      </c>
      <c r="E45" s="742" t="s">
        <v>245</v>
      </c>
      <c r="F45" s="724">
        <f t="shared" si="125"/>
        <v>0.412</v>
      </c>
      <c r="G45" s="724">
        <f t="shared" si="122"/>
        <v>2.024680888</v>
      </c>
      <c r="H45" s="798">
        <f>0.4*1.03</f>
        <v>0.412</v>
      </c>
      <c r="I45" s="724">
        <f t="shared" si="126"/>
        <v>1.303685008</v>
      </c>
      <c r="J45" s="724">
        <f t="shared" si="127"/>
        <v>0.412</v>
      </c>
      <c r="K45" s="724">
        <f t="shared" si="128"/>
        <v>0.687730176</v>
      </c>
      <c r="L45" s="724">
        <f t="shared" si="129"/>
        <v>0.412</v>
      </c>
      <c r="M45" s="724">
        <f t="shared" si="130"/>
        <v>0</v>
      </c>
      <c r="N45" s="724">
        <f t="shared" si="131"/>
        <v>0.412</v>
      </c>
      <c r="O45" s="724">
        <f t="shared" si="132"/>
        <v>0</v>
      </c>
      <c r="P45" s="724">
        <f t="shared" si="133"/>
        <v>0.412</v>
      </c>
      <c r="Q45" s="724">
        <f t="shared" si="134"/>
        <v>0</v>
      </c>
      <c r="R45" s="724">
        <f t="shared" si="135"/>
        <v>0.412</v>
      </c>
      <c r="S45" s="724">
        <f t="shared" si="136"/>
        <v>0</v>
      </c>
      <c r="T45" s="724">
        <f t="shared" si="137"/>
        <v>0.412</v>
      </c>
      <c r="U45" s="724">
        <f t="shared" si="138"/>
        <v>0</v>
      </c>
      <c r="V45" s="724">
        <f t="shared" si="139"/>
        <v>0.412</v>
      </c>
      <c r="W45" s="724">
        <f t="shared" si="140"/>
        <v>0.033265704</v>
      </c>
      <c r="X45" s="724"/>
      <c r="Y45" s="724"/>
      <c r="Z45" s="724"/>
      <c r="AA45" s="724"/>
      <c r="AB45" s="724"/>
      <c r="AC45" s="724"/>
      <c r="AD45" s="724">
        <f t="shared" si="141"/>
        <v>0.412</v>
      </c>
      <c r="AE45" s="724">
        <f t="shared" si="142"/>
        <v>0.916103012</v>
      </c>
      <c r="AF45" s="724">
        <v>0.412</v>
      </c>
      <c r="AG45" s="724">
        <f t="shared" si="143"/>
        <v>0</v>
      </c>
      <c r="AH45" s="724">
        <f t="shared" si="144"/>
        <v>0.412</v>
      </c>
      <c r="AI45" s="724">
        <f t="shared" si="145"/>
        <v>0.162538532</v>
      </c>
      <c r="AJ45" s="724">
        <f t="shared" si="146"/>
        <v>0.412</v>
      </c>
      <c r="AK45" s="724">
        <f t="shared" si="96"/>
        <v>0.75356448</v>
      </c>
      <c r="AL45" s="724"/>
      <c r="AN45" s="806">
        <f t="shared" si="8"/>
        <v>29407.839</v>
      </c>
    </row>
    <row r="46" s="699" customFormat="1" ht="27" hidden="1" customHeight="1" outlineLevel="2" spans="1:40">
      <c r="A46" s="724" t="s">
        <v>246</v>
      </c>
      <c r="B46" s="728" t="s">
        <v>247</v>
      </c>
      <c r="C46" s="724">
        <f t="shared" si="123"/>
        <v>2</v>
      </c>
      <c r="D46" s="724">
        <f t="shared" si="124"/>
        <v>14.27565</v>
      </c>
      <c r="E46" s="742" t="s">
        <v>248</v>
      </c>
      <c r="F46" s="724">
        <f t="shared" si="125"/>
        <v>2</v>
      </c>
      <c r="G46" s="724">
        <f t="shared" si="122"/>
        <v>9.828548</v>
      </c>
      <c r="H46" s="798">
        <v>2</v>
      </c>
      <c r="I46" s="724">
        <f t="shared" si="126"/>
        <v>6.328568</v>
      </c>
      <c r="J46" s="724">
        <f t="shared" si="127"/>
        <v>2</v>
      </c>
      <c r="K46" s="724">
        <f t="shared" si="128"/>
        <v>3.338496</v>
      </c>
      <c r="L46" s="724">
        <f t="shared" si="129"/>
        <v>2</v>
      </c>
      <c r="M46" s="724">
        <f t="shared" si="130"/>
        <v>0</v>
      </c>
      <c r="N46" s="724">
        <f t="shared" si="131"/>
        <v>2</v>
      </c>
      <c r="O46" s="724">
        <f t="shared" si="132"/>
        <v>0</v>
      </c>
      <c r="P46" s="724">
        <f t="shared" si="133"/>
        <v>2</v>
      </c>
      <c r="Q46" s="724">
        <f t="shared" si="134"/>
        <v>0</v>
      </c>
      <c r="R46" s="724">
        <f t="shared" si="135"/>
        <v>2</v>
      </c>
      <c r="S46" s="724">
        <f t="shared" si="136"/>
        <v>0</v>
      </c>
      <c r="T46" s="724">
        <f t="shared" si="137"/>
        <v>2</v>
      </c>
      <c r="U46" s="724">
        <f t="shared" si="138"/>
        <v>0</v>
      </c>
      <c r="V46" s="724">
        <f t="shared" si="139"/>
        <v>2</v>
      </c>
      <c r="W46" s="724">
        <f t="shared" si="140"/>
        <v>0.161484</v>
      </c>
      <c r="X46" s="724"/>
      <c r="Y46" s="724"/>
      <c r="Z46" s="724"/>
      <c r="AA46" s="724"/>
      <c r="AB46" s="724"/>
      <c r="AC46" s="724"/>
      <c r="AD46" s="724">
        <f t="shared" si="141"/>
        <v>2</v>
      </c>
      <c r="AE46" s="724">
        <f t="shared" si="142"/>
        <v>4.447102</v>
      </c>
      <c r="AF46" s="724">
        <v>2</v>
      </c>
      <c r="AG46" s="724">
        <f t="shared" si="143"/>
        <v>0</v>
      </c>
      <c r="AH46" s="724">
        <f t="shared" si="144"/>
        <v>2</v>
      </c>
      <c r="AI46" s="724">
        <f t="shared" si="145"/>
        <v>0.789022</v>
      </c>
      <c r="AJ46" s="724">
        <f t="shared" si="146"/>
        <v>2</v>
      </c>
      <c r="AK46" s="724">
        <f t="shared" si="96"/>
        <v>3.65808</v>
      </c>
      <c r="AL46" s="724"/>
      <c r="AN46" s="806">
        <f t="shared" si="8"/>
        <v>142756.5</v>
      </c>
    </row>
    <row r="47" s="699" customFormat="1" ht="27" hidden="1" customHeight="1" outlineLevel="2" spans="1:40">
      <c r="A47" s="724" t="s">
        <v>249</v>
      </c>
      <c r="B47" s="729" t="s">
        <v>250</v>
      </c>
      <c r="C47" s="724">
        <f t="shared" si="123"/>
        <v>0</v>
      </c>
      <c r="D47" s="724">
        <f t="shared" si="124"/>
        <v>0</v>
      </c>
      <c r="E47" s="742" t="s">
        <v>223</v>
      </c>
      <c r="F47" s="724">
        <f t="shared" si="125"/>
        <v>0</v>
      </c>
      <c r="G47" s="724">
        <f t="shared" si="122"/>
        <v>0</v>
      </c>
      <c r="H47" s="798"/>
      <c r="I47" s="724">
        <f t="shared" si="126"/>
        <v>0</v>
      </c>
      <c r="J47" s="724">
        <f t="shared" si="127"/>
        <v>0</v>
      </c>
      <c r="K47" s="724">
        <f t="shared" si="128"/>
        <v>0</v>
      </c>
      <c r="L47" s="724">
        <f t="shared" si="129"/>
        <v>0</v>
      </c>
      <c r="M47" s="724">
        <f t="shared" si="130"/>
        <v>0</v>
      </c>
      <c r="N47" s="724">
        <f t="shared" si="131"/>
        <v>0</v>
      </c>
      <c r="O47" s="724">
        <f t="shared" si="132"/>
        <v>0</v>
      </c>
      <c r="P47" s="724">
        <f t="shared" si="133"/>
        <v>0</v>
      </c>
      <c r="Q47" s="724">
        <f t="shared" si="134"/>
        <v>0</v>
      </c>
      <c r="R47" s="724">
        <f t="shared" si="135"/>
        <v>0</v>
      </c>
      <c r="S47" s="724">
        <f t="shared" si="136"/>
        <v>0</v>
      </c>
      <c r="T47" s="724">
        <f t="shared" si="137"/>
        <v>0</v>
      </c>
      <c r="U47" s="724">
        <f t="shared" si="138"/>
        <v>0</v>
      </c>
      <c r="V47" s="724">
        <f t="shared" si="139"/>
        <v>0</v>
      </c>
      <c r="W47" s="724">
        <f t="shared" si="140"/>
        <v>0</v>
      </c>
      <c r="X47" s="724"/>
      <c r="Y47" s="724"/>
      <c r="Z47" s="724"/>
      <c r="AA47" s="724"/>
      <c r="AB47" s="724"/>
      <c r="AC47" s="724"/>
      <c r="AD47" s="724">
        <f t="shared" si="141"/>
        <v>0</v>
      </c>
      <c r="AE47" s="724">
        <f t="shared" si="142"/>
        <v>0</v>
      </c>
      <c r="AF47" s="724">
        <v>0</v>
      </c>
      <c r="AG47" s="724">
        <f t="shared" si="143"/>
        <v>0</v>
      </c>
      <c r="AH47" s="724">
        <f t="shared" si="144"/>
        <v>0</v>
      </c>
      <c r="AI47" s="724">
        <f t="shared" si="145"/>
        <v>0</v>
      </c>
      <c r="AJ47" s="724">
        <f t="shared" si="146"/>
        <v>0</v>
      </c>
      <c r="AK47" s="724">
        <f t="shared" si="96"/>
        <v>0</v>
      </c>
      <c r="AL47" s="724"/>
      <c r="AN47" s="806">
        <f t="shared" si="8"/>
        <v>0</v>
      </c>
    </row>
    <row r="48" s="699" customFormat="1" ht="27" hidden="1" customHeight="1" outlineLevel="2" spans="1:40">
      <c r="A48" s="724" t="s">
        <v>251</v>
      </c>
      <c r="B48" s="729" t="s">
        <v>252</v>
      </c>
      <c r="C48" s="724">
        <f t="shared" ref="C48:C53" si="147">D48/$C$8</f>
        <v>0</v>
      </c>
      <c r="D48" s="724">
        <f t="shared" ref="D48:D53" si="148">G48+AE48</f>
        <v>0</v>
      </c>
      <c r="E48" s="742" t="s">
        <v>223</v>
      </c>
      <c r="F48" s="724">
        <f t="shared" ref="F48:F53" si="149">G48/$F$8</f>
        <v>0</v>
      </c>
      <c r="G48" s="724">
        <f t="shared" si="122"/>
        <v>0</v>
      </c>
      <c r="H48" s="798"/>
      <c r="I48" s="724">
        <f t="shared" ref="I48:I53" si="150">H48*H$8</f>
        <v>0</v>
      </c>
      <c r="J48" s="724">
        <f t="shared" ref="J48:J53" si="151">+H48</f>
        <v>0</v>
      </c>
      <c r="K48" s="724">
        <f t="shared" ref="K48:K53" si="152">J48*J$8</f>
        <v>0</v>
      </c>
      <c r="L48" s="724">
        <f t="shared" ref="L48:L56" si="153">+J48</f>
        <v>0</v>
      </c>
      <c r="M48" s="724">
        <f t="shared" ref="M48:M53" si="154">L48*L$8</f>
        <v>0</v>
      </c>
      <c r="N48" s="724">
        <f t="shared" ref="N48:N53" si="155">+L48</f>
        <v>0</v>
      </c>
      <c r="O48" s="724">
        <f t="shared" ref="O48:O53" si="156">N48*N$8</f>
        <v>0</v>
      </c>
      <c r="P48" s="724">
        <f t="shared" ref="P48:P53" si="157">+N48</f>
        <v>0</v>
      </c>
      <c r="Q48" s="724">
        <f t="shared" ref="Q48:Q53" si="158">P48*P$8</f>
        <v>0</v>
      </c>
      <c r="R48" s="724">
        <f t="shared" ref="R48:R53" si="159">+P48</f>
        <v>0</v>
      </c>
      <c r="S48" s="724">
        <f t="shared" ref="S48:S53" si="160">R48*R$8</f>
        <v>0</v>
      </c>
      <c r="T48" s="724">
        <f t="shared" ref="T48:T53" si="161">+R48</f>
        <v>0</v>
      </c>
      <c r="U48" s="724">
        <f t="shared" ref="U48:U53" si="162">T48*T$8</f>
        <v>0</v>
      </c>
      <c r="V48" s="724">
        <f t="shared" ref="V48:V53" si="163">+T48</f>
        <v>0</v>
      </c>
      <c r="W48" s="724">
        <f t="shared" ref="W48:W53" si="164">V48*V$8</f>
        <v>0</v>
      </c>
      <c r="X48" s="724"/>
      <c r="Y48" s="724"/>
      <c r="Z48" s="724"/>
      <c r="AA48" s="724"/>
      <c r="AB48" s="724"/>
      <c r="AC48" s="724"/>
      <c r="AD48" s="724">
        <f t="shared" ref="AD48:AD53" si="165">AE48/AD$8</f>
        <v>0</v>
      </c>
      <c r="AE48" s="724">
        <f t="shared" ref="AE48:AE53" si="166">AG48*0+AI48+AK48</f>
        <v>0</v>
      </c>
      <c r="AF48" s="724">
        <v>0</v>
      </c>
      <c r="AG48" s="724">
        <f t="shared" ref="AG48:AG53" si="167">AF48*AF$8</f>
        <v>0</v>
      </c>
      <c r="AH48" s="724">
        <f t="shared" ref="AH48:AH53" si="168">+AF48</f>
        <v>0</v>
      </c>
      <c r="AI48" s="724">
        <f t="shared" ref="AI48:AI53" si="169">AH48*AH$8</f>
        <v>0</v>
      </c>
      <c r="AJ48" s="724">
        <f t="shared" ref="AJ48:AJ53" si="170">+AH48</f>
        <v>0</v>
      </c>
      <c r="AK48" s="724">
        <f t="shared" ref="AK48:AK53" si="171">AJ48*AJ$8</f>
        <v>0</v>
      </c>
      <c r="AL48" s="724"/>
      <c r="AN48" s="806">
        <f t="shared" si="8"/>
        <v>0</v>
      </c>
    </row>
    <row r="49" s="699" customFormat="1" ht="27" hidden="1" customHeight="1" outlineLevel="2" spans="1:40">
      <c r="A49" s="724" t="s">
        <v>253</v>
      </c>
      <c r="B49" s="729" t="s">
        <v>254</v>
      </c>
      <c r="C49" s="724">
        <f t="shared" si="147"/>
        <v>0.280197399067643</v>
      </c>
      <c r="D49" s="724">
        <f t="shared" si="148"/>
        <v>2</v>
      </c>
      <c r="E49" s="742" t="s">
        <v>255</v>
      </c>
      <c r="F49" s="724">
        <f t="shared" si="149"/>
        <v>0.280197399067643</v>
      </c>
      <c r="G49" s="724">
        <f t="shared" si="122"/>
        <v>1.37696679310574</v>
      </c>
      <c r="H49" s="798">
        <f>2/C8</f>
        <v>0.280197399067643</v>
      </c>
      <c r="I49" s="724">
        <f t="shared" si="150"/>
        <v>0.886624146711358</v>
      </c>
      <c r="J49" s="724">
        <f t="shared" si="151"/>
        <v>0.280197399067643</v>
      </c>
      <c r="K49" s="724">
        <f t="shared" si="152"/>
        <v>0.467718947998865</v>
      </c>
      <c r="L49" s="724">
        <f t="shared" si="153"/>
        <v>0.280197399067643</v>
      </c>
      <c r="M49" s="724">
        <f t="shared" si="154"/>
        <v>0</v>
      </c>
      <c r="N49" s="724">
        <f t="shared" si="155"/>
        <v>0.280197399067643</v>
      </c>
      <c r="O49" s="724">
        <f t="shared" si="156"/>
        <v>0</v>
      </c>
      <c r="P49" s="724">
        <f t="shared" si="157"/>
        <v>0.280197399067643</v>
      </c>
      <c r="Q49" s="724">
        <f t="shared" si="158"/>
        <v>0</v>
      </c>
      <c r="R49" s="724">
        <f t="shared" si="159"/>
        <v>0.280197399067643</v>
      </c>
      <c r="S49" s="724">
        <f t="shared" si="160"/>
        <v>0</v>
      </c>
      <c r="T49" s="724">
        <f t="shared" si="161"/>
        <v>0.280197399067643</v>
      </c>
      <c r="U49" s="724">
        <f t="shared" si="162"/>
        <v>0</v>
      </c>
      <c r="V49" s="724">
        <f t="shared" si="163"/>
        <v>0.280197399067643</v>
      </c>
      <c r="W49" s="724">
        <f t="shared" si="164"/>
        <v>0.0226236983955196</v>
      </c>
      <c r="X49" s="724"/>
      <c r="Y49" s="724"/>
      <c r="Z49" s="724"/>
      <c r="AA49" s="724"/>
      <c r="AB49" s="724"/>
      <c r="AC49" s="724"/>
      <c r="AD49" s="724">
        <f t="shared" si="165"/>
        <v>0.280197399067643</v>
      </c>
      <c r="AE49" s="724">
        <f t="shared" si="166"/>
        <v>0.623033206894257</v>
      </c>
      <c r="AF49" s="724">
        <v>0.280197399067643</v>
      </c>
      <c r="AG49" s="724">
        <f t="shared" si="167"/>
        <v>0</v>
      </c>
      <c r="AH49" s="724">
        <f t="shared" si="168"/>
        <v>0.280197399067643</v>
      </c>
      <c r="AI49" s="724">
        <f t="shared" si="169"/>
        <v>0.110540956103575</v>
      </c>
      <c r="AJ49" s="724">
        <f t="shared" si="170"/>
        <v>0.280197399067643</v>
      </c>
      <c r="AK49" s="724">
        <f t="shared" si="171"/>
        <v>0.512492250790682</v>
      </c>
      <c r="AL49" s="724"/>
      <c r="AN49" s="806">
        <f t="shared" si="8"/>
        <v>20000</v>
      </c>
    </row>
    <row r="50" s="699" customFormat="1" ht="27" hidden="1" customHeight="1" outlineLevel="2" spans="1:40">
      <c r="A50" s="724" t="s">
        <v>256</v>
      </c>
      <c r="B50" s="728" t="s">
        <v>257</v>
      </c>
      <c r="C50" s="724">
        <f t="shared" si="147"/>
        <v>0</v>
      </c>
      <c r="D50" s="724">
        <f t="shared" si="148"/>
        <v>0</v>
      </c>
      <c r="E50" s="742" t="s">
        <v>258</v>
      </c>
      <c r="F50" s="724">
        <f t="shared" si="149"/>
        <v>0</v>
      </c>
      <c r="G50" s="724">
        <f t="shared" si="122"/>
        <v>0</v>
      </c>
      <c r="H50" s="798">
        <f>0/C8</f>
        <v>0</v>
      </c>
      <c r="I50" s="724">
        <f t="shared" si="150"/>
        <v>0</v>
      </c>
      <c r="J50" s="724">
        <f t="shared" si="151"/>
        <v>0</v>
      </c>
      <c r="K50" s="724">
        <f t="shared" si="152"/>
        <v>0</v>
      </c>
      <c r="L50" s="724">
        <f t="shared" si="153"/>
        <v>0</v>
      </c>
      <c r="M50" s="724">
        <f t="shared" si="154"/>
        <v>0</v>
      </c>
      <c r="N50" s="724">
        <f t="shared" si="155"/>
        <v>0</v>
      </c>
      <c r="O50" s="724">
        <f t="shared" si="156"/>
        <v>0</v>
      </c>
      <c r="P50" s="724">
        <f t="shared" si="157"/>
        <v>0</v>
      </c>
      <c r="Q50" s="724">
        <f t="shared" si="158"/>
        <v>0</v>
      </c>
      <c r="R50" s="724">
        <f t="shared" si="159"/>
        <v>0</v>
      </c>
      <c r="S50" s="724">
        <f t="shared" si="160"/>
        <v>0</v>
      </c>
      <c r="T50" s="724">
        <f t="shared" si="161"/>
        <v>0</v>
      </c>
      <c r="U50" s="724">
        <f t="shared" si="162"/>
        <v>0</v>
      </c>
      <c r="V50" s="724">
        <f t="shared" si="163"/>
        <v>0</v>
      </c>
      <c r="W50" s="724">
        <f t="shared" si="164"/>
        <v>0</v>
      </c>
      <c r="X50" s="724"/>
      <c r="Y50" s="724"/>
      <c r="Z50" s="724"/>
      <c r="AA50" s="724"/>
      <c r="AB50" s="724"/>
      <c r="AC50" s="724"/>
      <c r="AD50" s="724">
        <f t="shared" si="165"/>
        <v>0</v>
      </c>
      <c r="AE50" s="724">
        <f t="shared" si="166"/>
        <v>0</v>
      </c>
      <c r="AF50" s="724">
        <v>0</v>
      </c>
      <c r="AG50" s="724">
        <f t="shared" si="167"/>
        <v>0</v>
      </c>
      <c r="AH50" s="724">
        <f t="shared" si="168"/>
        <v>0</v>
      </c>
      <c r="AI50" s="724">
        <f t="shared" si="169"/>
        <v>0</v>
      </c>
      <c r="AJ50" s="724">
        <f t="shared" si="170"/>
        <v>0</v>
      </c>
      <c r="AK50" s="724">
        <f t="shared" si="171"/>
        <v>0</v>
      </c>
      <c r="AL50" s="724"/>
      <c r="AN50" s="806">
        <f t="shared" si="8"/>
        <v>0</v>
      </c>
    </row>
    <row r="51" s="699" customFormat="1" ht="27" hidden="1" customHeight="1" outlineLevel="2" spans="1:40">
      <c r="A51" s="724" t="s">
        <v>259</v>
      </c>
      <c r="B51" s="728" t="s">
        <v>260</v>
      </c>
      <c r="C51" s="724">
        <f t="shared" si="147"/>
        <v>0.5</v>
      </c>
      <c r="D51" s="724">
        <f t="shared" si="148"/>
        <v>3.5689125</v>
      </c>
      <c r="E51" s="742" t="s">
        <v>261</v>
      </c>
      <c r="F51" s="724">
        <f t="shared" si="149"/>
        <v>0.5</v>
      </c>
      <c r="G51" s="724">
        <f t="shared" si="122"/>
        <v>2.457137</v>
      </c>
      <c r="H51" s="798">
        <v>0.5</v>
      </c>
      <c r="I51" s="724">
        <f t="shared" si="150"/>
        <v>1.582142</v>
      </c>
      <c r="J51" s="724">
        <f t="shared" si="151"/>
        <v>0.5</v>
      </c>
      <c r="K51" s="724">
        <f t="shared" si="152"/>
        <v>0.834624</v>
      </c>
      <c r="L51" s="724">
        <f t="shared" si="153"/>
        <v>0.5</v>
      </c>
      <c r="M51" s="724">
        <f t="shared" si="154"/>
        <v>0</v>
      </c>
      <c r="N51" s="724">
        <f t="shared" si="155"/>
        <v>0.5</v>
      </c>
      <c r="O51" s="724">
        <f t="shared" si="156"/>
        <v>0</v>
      </c>
      <c r="P51" s="724">
        <f t="shared" si="157"/>
        <v>0.5</v>
      </c>
      <c r="Q51" s="724">
        <f t="shared" si="158"/>
        <v>0</v>
      </c>
      <c r="R51" s="724">
        <f t="shared" si="159"/>
        <v>0.5</v>
      </c>
      <c r="S51" s="724">
        <f t="shared" si="160"/>
        <v>0</v>
      </c>
      <c r="T51" s="724">
        <f t="shared" si="161"/>
        <v>0.5</v>
      </c>
      <c r="U51" s="724">
        <f t="shared" si="162"/>
        <v>0</v>
      </c>
      <c r="V51" s="724">
        <f t="shared" si="163"/>
        <v>0.5</v>
      </c>
      <c r="W51" s="724">
        <f t="shared" si="164"/>
        <v>0.040371</v>
      </c>
      <c r="X51" s="724"/>
      <c r="Y51" s="724"/>
      <c r="Z51" s="724"/>
      <c r="AA51" s="724"/>
      <c r="AB51" s="724"/>
      <c r="AC51" s="724"/>
      <c r="AD51" s="724">
        <f t="shared" si="165"/>
        <v>0.5</v>
      </c>
      <c r="AE51" s="724">
        <f t="shared" si="166"/>
        <v>1.1117755</v>
      </c>
      <c r="AF51" s="724">
        <v>0.5</v>
      </c>
      <c r="AG51" s="724">
        <f t="shared" si="167"/>
        <v>0</v>
      </c>
      <c r="AH51" s="724">
        <f t="shared" si="168"/>
        <v>0.5</v>
      </c>
      <c r="AI51" s="724">
        <f t="shared" si="169"/>
        <v>0.1972555</v>
      </c>
      <c r="AJ51" s="724">
        <f t="shared" si="170"/>
        <v>0.5</v>
      </c>
      <c r="AK51" s="724">
        <f t="shared" si="171"/>
        <v>0.91452</v>
      </c>
      <c r="AL51" s="724"/>
      <c r="AN51" s="806">
        <f t="shared" si="8"/>
        <v>35689.125</v>
      </c>
    </row>
    <row r="52" s="699" customFormat="1" ht="27" hidden="1" customHeight="1" outlineLevel="2" spans="1:40">
      <c r="A52" s="724" t="s">
        <v>262</v>
      </c>
      <c r="B52" s="728" t="s">
        <v>263</v>
      </c>
      <c r="C52" s="724">
        <f t="shared" si="147"/>
        <v>0.5</v>
      </c>
      <c r="D52" s="724">
        <f t="shared" si="148"/>
        <v>3.5689125</v>
      </c>
      <c r="E52" s="742" t="s">
        <v>264</v>
      </c>
      <c r="F52" s="724">
        <f t="shared" si="149"/>
        <v>0.5</v>
      </c>
      <c r="G52" s="724">
        <f t="shared" si="122"/>
        <v>2.457137</v>
      </c>
      <c r="H52" s="798">
        <f>0.5</f>
        <v>0.5</v>
      </c>
      <c r="I52" s="724">
        <f t="shared" si="150"/>
        <v>1.582142</v>
      </c>
      <c r="J52" s="724">
        <f t="shared" si="151"/>
        <v>0.5</v>
      </c>
      <c r="K52" s="724">
        <f t="shared" si="152"/>
        <v>0.834624</v>
      </c>
      <c r="L52" s="724">
        <f t="shared" si="153"/>
        <v>0.5</v>
      </c>
      <c r="M52" s="724">
        <f t="shared" si="154"/>
        <v>0</v>
      </c>
      <c r="N52" s="724">
        <f t="shared" si="155"/>
        <v>0.5</v>
      </c>
      <c r="O52" s="724">
        <f t="shared" si="156"/>
        <v>0</v>
      </c>
      <c r="P52" s="724">
        <f t="shared" si="157"/>
        <v>0.5</v>
      </c>
      <c r="Q52" s="724">
        <f t="shared" si="158"/>
        <v>0</v>
      </c>
      <c r="R52" s="724">
        <f t="shared" si="159"/>
        <v>0.5</v>
      </c>
      <c r="S52" s="724">
        <f t="shared" si="160"/>
        <v>0</v>
      </c>
      <c r="T52" s="724">
        <f t="shared" si="161"/>
        <v>0.5</v>
      </c>
      <c r="U52" s="724">
        <f t="shared" si="162"/>
        <v>0</v>
      </c>
      <c r="V52" s="724">
        <f t="shared" si="163"/>
        <v>0.5</v>
      </c>
      <c r="W52" s="724">
        <f t="shared" si="164"/>
        <v>0.040371</v>
      </c>
      <c r="X52" s="724"/>
      <c r="Y52" s="724"/>
      <c r="Z52" s="724"/>
      <c r="AA52" s="724"/>
      <c r="AB52" s="724"/>
      <c r="AC52" s="724"/>
      <c r="AD52" s="724">
        <f t="shared" si="165"/>
        <v>0.5</v>
      </c>
      <c r="AE52" s="724">
        <f t="shared" si="166"/>
        <v>1.1117755</v>
      </c>
      <c r="AF52" s="724">
        <v>0.5</v>
      </c>
      <c r="AG52" s="724">
        <f t="shared" si="167"/>
        <v>0</v>
      </c>
      <c r="AH52" s="724">
        <f t="shared" si="168"/>
        <v>0.5</v>
      </c>
      <c r="AI52" s="724">
        <f t="shared" si="169"/>
        <v>0.1972555</v>
      </c>
      <c r="AJ52" s="724">
        <f t="shared" si="170"/>
        <v>0.5</v>
      </c>
      <c r="AK52" s="724">
        <f t="shared" si="171"/>
        <v>0.91452</v>
      </c>
      <c r="AL52" s="724"/>
      <c r="AN52" s="806">
        <f t="shared" si="8"/>
        <v>35689.125</v>
      </c>
    </row>
    <row r="53" s="699" customFormat="1" ht="78.75" hidden="1" outlineLevel="2" spans="1:40">
      <c r="A53" s="724" t="s">
        <v>265</v>
      </c>
      <c r="B53" s="729" t="s">
        <v>266</v>
      </c>
      <c r="C53" s="724">
        <f t="shared" si="147"/>
        <v>1.82</v>
      </c>
      <c r="D53" s="724">
        <f t="shared" si="148"/>
        <v>12.9908415</v>
      </c>
      <c r="E53" s="748" t="s">
        <v>267</v>
      </c>
      <c r="F53" s="724">
        <f t="shared" si="149"/>
        <v>1.82</v>
      </c>
      <c r="G53" s="724">
        <f t="shared" si="122"/>
        <v>8.94397868</v>
      </c>
      <c r="H53" s="798">
        <v>1.82</v>
      </c>
      <c r="I53" s="724">
        <f t="shared" si="150"/>
        <v>5.75899688</v>
      </c>
      <c r="J53" s="724">
        <f t="shared" si="151"/>
        <v>1.82</v>
      </c>
      <c r="K53" s="724">
        <f t="shared" si="152"/>
        <v>3.03803136</v>
      </c>
      <c r="L53" s="724">
        <f t="shared" si="153"/>
        <v>1.82</v>
      </c>
      <c r="M53" s="724">
        <f t="shared" si="154"/>
        <v>0</v>
      </c>
      <c r="N53" s="724">
        <f t="shared" si="155"/>
        <v>1.82</v>
      </c>
      <c r="O53" s="724">
        <f t="shared" si="156"/>
        <v>0</v>
      </c>
      <c r="P53" s="724">
        <f t="shared" si="157"/>
        <v>1.82</v>
      </c>
      <c r="Q53" s="724">
        <f t="shared" si="158"/>
        <v>0</v>
      </c>
      <c r="R53" s="724">
        <f t="shared" si="159"/>
        <v>1.82</v>
      </c>
      <c r="S53" s="724">
        <f t="shared" si="160"/>
        <v>0</v>
      </c>
      <c r="T53" s="724">
        <f t="shared" si="161"/>
        <v>1.82</v>
      </c>
      <c r="U53" s="724">
        <f t="shared" si="162"/>
        <v>0</v>
      </c>
      <c r="V53" s="724">
        <f t="shared" si="163"/>
        <v>1.82</v>
      </c>
      <c r="W53" s="724">
        <f t="shared" si="164"/>
        <v>0.14695044</v>
      </c>
      <c r="X53" s="724"/>
      <c r="Y53" s="724"/>
      <c r="Z53" s="724"/>
      <c r="AA53" s="724"/>
      <c r="AB53" s="724"/>
      <c r="AC53" s="724"/>
      <c r="AD53" s="724">
        <f t="shared" si="165"/>
        <v>1.82</v>
      </c>
      <c r="AE53" s="724">
        <f t="shared" si="166"/>
        <v>4.04686282</v>
      </c>
      <c r="AF53" s="724">
        <v>1.82</v>
      </c>
      <c r="AG53" s="724">
        <f t="shared" si="167"/>
        <v>0</v>
      </c>
      <c r="AH53" s="724">
        <f t="shared" si="168"/>
        <v>1.82</v>
      </c>
      <c r="AI53" s="724">
        <f t="shared" si="169"/>
        <v>0.71801002</v>
      </c>
      <c r="AJ53" s="724">
        <f t="shared" si="170"/>
        <v>1.82</v>
      </c>
      <c r="AK53" s="724">
        <f t="shared" si="171"/>
        <v>3.3288528</v>
      </c>
      <c r="AL53" s="724"/>
      <c r="AN53" s="806">
        <f t="shared" si="8"/>
        <v>129908.415</v>
      </c>
    </row>
    <row r="54" s="699" customFormat="1" ht="32" hidden="1" customHeight="1" outlineLevel="2" spans="1:40">
      <c r="A54" s="724" t="s">
        <v>268</v>
      </c>
      <c r="B54" s="729" t="s">
        <v>269</v>
      </c>
      <c r="C54" s="724">
        <f t="shared" ref="C54:C59" si="172">D54/$C$8</f>
        <v>0</v>
      </c>
      <c r="D54" s="724">
        <f t="shared" ref="D54:D59" si="173">G54+AE54</f>
        <v>0</v>
      </c>
      <c r="E54" s="742" t="s">
        <v>270</v>
      </c>
      <c r="F54" s="724">
        <f t="shared" ref="F54:F59" si="174">G54/$F$8</f>
        <v>0</v>
      </c>
      <c r="G54" s="724">
        <f t="shared" si="122"/>
        <v>0</v>
      </c>
      <c r="H54" s="724">
        <v>0</v>
      </c>
      <c r="I54" s="724">
        <f t="shared" ref="I54:I59" si="175">H54*H$8</f>
        <v>0</v>
      </c>
      <c r="J54" s="724">
        <f t="shared" ref="J54:J59" si="176">+H54</f>
        <v>0</v>
      </c>
      <c r="K54" s="724">
        <f t="shared" ref="K54:K59" si="177">J54*J$8</f>
        <v>0</v>
      </c>
      <c r="L54" s="724">
        <f t="shared" si="153"/>
        <v>0</v>
      </c>
      <c r="M54" s="724">
        <f t="shared" ref="M54:M59" si="178">L54*L$8</f>
        <v>0</v>
      </c>
      <c r="N54" s="724">
        <f t="shared" ref="N54:N59" si="179">+L54</f>
        <v>0</v>
      </c>
      <c r="O54" s="724">
        <f t="shared" ref="O54:O59" si="180">N54*N$8</f>
        <v>0</v>
      </c>
      <c r="P54" s="724">
        <f t="shared" ref="P54:P59" si="181">+N54</f>
        <v>0</v>
      </c>
      <c r="Q54" s="724">
        <f t="shared" ref="Q54:Q59" si="182">P54*P$8</f>
        <v>0</v>
      </c>
      <c r="R54" s="724">
        <f t="shared" ref="R54:R59" si="183">+P54</f>
        <v>0</v>
      </c>
      <c r="S54" s="724">
        <f t="shared" ref="S54:S59" si="184">R54*R$8</f>
        <v>0</v>
      </c>
      <c r="T54" s="724">
        <f t="shared" ref="T54:T59" si="185">+R54</f>
        <v>0</v>
      </c>
      <c r="U54" s="724">
        <f t="shared" ref="U54:U59" si="186">T54*T$8</f>
        <v>0</v>
      </c>
      <c r="V54" s="724">
        <f t="shared" ref="V54:V59" si="187">+T54</f>
        <v>0</v>
      </c>
      <c r="W54" s="724">
        <f t="shared" ref="W54:W59" si="188">V54*V$8</f>
        <v>0</v>
      </c>
      <c r="X54" s="724"/>
      <c r="Y54" s="724"/>
      <c r="Z54" s="724"/>
      <c r="AA54" s="724"/>
      <c r="AB54" s="724"/>
      <c r="AC54" s="724"/>
      <c r="AD54" s="724">
        <f t="shared" ref="AD54:AD59" si="189">AE54/AD$8</f>
        <v>0</v>
      </c>
      <c r="AE54" s="724">
        <f t="shared" ref="AE54:AE59" si="190">AG54*0+AI54+AK54</f>
        <v>0</v>
      </c>
      <c r="AF54" s="724">
        <v>0</v>
      </c>
      <c r="AG54" s="724">
        <f t="shared" ref="AG54:AG59" si="191">AF54*AF$8</f>
        <v>0</v>
      </c>
      <c r="AH54" s="724">
        <f t="shared" ref="AH54:AH59" si="192">+AF54</f>
        <v>0</v>
      </c>
      <c r="AI54" s="724">
        <f t="shared" ref="AI54:AI59" si="193">AH54*AH$8</f>
        <v>0</v>
      </c>
      <c r="AJ54" s="724">
        <f t="shared" ref="AJ54:AJ59" si="194">+AH54</f>
        <v>0</v>
      </c>
      <c r="AK54" s="724">
        <f t="shared" ref="AK54:AK59" si="195">AJ54*AJ$8</f>
        <v>0</v>
      </c>
      <c r="AL54" s="724"/>
      <c r="AN54" s="806">
        <f t="shared" si="8"/>
        <v>0</v>
      </c>
    </row>
    <row r="55" s="699" customFormat="1" ht="31" hidden="1" customHeight="1" outlineLevel="2" spans="1:40">
      <c r="A55" s="724" t="s">
        <v>271</v>
      </c>
      <c r="B55" s="728" t="s">
        <v>272</v>
      </c>
      <c r="C55" s="724">
        <f t="shared" si="172"/>
        <v>4.5</v>
      </c>
      <c r="D55" s="724">
        <f t="shared" si="173"/>
        <v>32.1202125</v>
      </c>
      <c r="E55" s="742" t="s">
        <v>273</v>
      </c>
      <c r="F55" s="724">
        <f t="shared" si="174"/>
        <v>4.5</v>
      </c>
      <c r="G55" s="724">
        <f t="shared" si="122"/>
        <v>22.114233</v>
      </c>
      <c r="H55" s="724">
        <v>4.5</v>
      </c>
      <c r="I55" s="724">
        <f t="shared" si="175"/>
        <v>14.239278</v>
      </c>
      <c r="J55" s="724">
        <f t="shared" si="176"/>
        <v>4.5</v>
      </c>
      <c r="K55" s="724">
        <f t="shared" si="177"/>
        <v>7.511616</v>
      </c>
      <c r="L55" s="724">
        <f t="shared" si="153"/>
        <v>4.5</v>
      </c>
      <c r="M55" s="724">
        <f t="shared" si="178"/>
        <v>0</v>
      </c>
      <c r="N55" s="724">
        <f t="shared" si="179"/>
        <v>4.5</v>
      </c>
      <c r="O55" s="724">
        <f t="shared" si="180"/>
        <v>0</v>
      </c>
      <c r="P55" s="724">
        <f t="shared" si="181"/>
        <v>4.5</v>
      </c>
      <c r="Q55" s="724">
        <f t="shared" si="182"/>
        <v>0</v>
      </c>
      <c r="R55" s="724">
        <f t="shared" si="183"/>
        <v>4.5</v>
      </c>
      <c r="S55" s="724">
        <f t="shared" si="184"/>
        <v>0</v>
      </c>
      <c r="T55" s="724">
        <f t="shared" si="185"/>
        <v>4.5</v>
      </c>
      <c r="U55" s="724">
        <f t="shared" si="186"/>
        <v>0</v>
      </c>
      <c r="V55" s="724">
        <f t="shared" si="187"/>
        <v>4.5</v>
      </c>
      <c r="W55" s="724">
        <f t="shared" si="188"/>
        <v>0.363339</v>
      </c>
      <c r="X55" s="724"/>
      <c r="Y55" s="724"/>
      <c r="Z55" s="724"/>
      <c r="AA55" s="724"/>
      <c r="AB55" s="724"/>
      <c r="AC55" s="724"/>
      <c r="AD55" s="724">
        <f t="shared" si="189"/>
        <v>4.5</v>
      </c>
      <c r="AE55" s="724">
        <f t="shared" si="190"/>
        <v>10.0059795</v>
      </c>
      <c r="AF55" s="724">
        <v>4.5</v>
      </c>
      <c r="AG55" s="724">
        <f t="shared" si="191"/>
        <v>0</v>
      </c>
      <c r="AH55" s="724">
        <f t="shared" si="192"/>
        <v>4.5</v>
      </c>
      <c r="AI55" s="724">
        <f t="shared" si="193"/>
        <v>1.7752995</v>
      </c>
      <c r="AJ55" s="724">
        <f t="shared" si="194"/>
        <v>4.5</v>
      </c>
      <c r="AK55" s="724">
        <f t="shared" si="195"/>
        <v>8.23068</v>
      </c>
      <c r="AL55" s="724"/>
      <c r="AN55" s="806">
        <f t="shared" si="8"/>
        <v>321202.125</v>
      </c>
    </row>
    <row r="56" s="699" customFormat="1" ht="31" hidden="1" customHeight="1" outlineLevel="2" spans="1:40">
      <c r="A56" s="724" t="s">
        <v>274</v>
      </c>
      <c r="B56" s="724" t="s">
        <v>275</v>
      </c>
      <c r="C56" s="724">
        <f t="shared" si="172"/>
        <v>1.5</v>
      </c>
      <c r="D56" s="724">
        <f t="shared" si="173"/>
        <v>10.7067375</v>
      </c>
      <c r="E56" s="742" t="s">
        <v>276</v>
      </c>
      <c r="F56" s="724">
        <f t="shared" si="174"/>
        <v>1.5</v>
      </c>
      <c r="G56" s="724">
        <f t="shared" si="122"/>
        <v>7.371411</v>
      </c>
      <c r="H56" s="724">
        <v>1.5</v>
      </c>
      <c r="I56" s="724">
        <f t="shared" si="175"/>
        <v>4.746426</v>
      </c>
      <c r="J56" s="724">
        <f t="shared" si="176"/>
        <v>1.5</v>
      </c>
      <c r="K56" s="724">
        <f t="shared" si="177"/>
        <v>2.503872</v>
      </c>
      <c r="L56" s="724">
        <f t="shared" si="153"/>
        <v>1.5</v>
      </c>
      <c r="M56" s="724">
        <f t="shared" si="178"/>
        <v>0</v>
      </c>
      <c r="N56" s="724">
        <f t="shared" si="179"/>
        <v>1.5</v>
      </c>
      <c r="O56" s="724">
        <f t="shared" si="180"/>
        <v>0</v>
      </c>
      <c r="P56" s="724">
        <f t="shared" si="181"/>
        <v>1.5</v>
      </c>
      <c r="Q56" s="724">
        <f t="shared" si="182"/>
        <v>0</v>
      </c>
      <c r="R56" s="724">
        <f t="shared" si="183"/>
        <v>1.5</v>
      </c>
      <c r="S56" s="724">
        <f t="shared" si="184"/>
        <v>0</v>
      </c>
      <c r="T56" s="724">
        <f t="shared" si="185"/>
        <v>1.5</v>
      </c>
      <c r="U56" s="724">
        <f t="shared" si="186"/>
        <v>0</v>
      </c>
      <c r="V56" s="724">
        <f t="shared" si="187"/>
        <v>1.5</v>
      </c>
      <c r="W56" s="724">
        <f t="shared" si="188"/>
        <v>0.121113</v>
      </c>
      <c r="X56" s="724"/>
      <c r="Y56" s="724"/>
      <c r="Z56" s="724"/>
      <c r="AA56" s="724"/>
      <c r="AB56" s="724"/>
      <c r="AC56" s="724"/>
      <c r="AD56" s="724">
        <f t="shared" si="189"/>
        <v>1.5</v>
      </c>
      <c r="AE56" s="724">
        <f t="shared" si="190"/>
        <v>3.3353265</v>
      </c>
      <c r="AF56" s="724">
        <v>1.5</v>
      </c>
      <c r="AG56" s="724">
        <f t="shared" si="191"/>
        <v>0</v>
      </c>
      <c r="AH56" s="724">
        <f t="shared" si="192"/>
        <v>1.5</v>
      </c>
      <c r="AI56" s="724">
        <f t="shared" si="193"/>
        <v>0.5917665</v>
      </c>
      <c r="AJ56" s="724">
        <f t="shared" si="194"/>
        <v>1.5</v>
      </c>
      <c r="AK56" s="724">
        <f t="shared" si="195"/>
        <v>2.74356</v>
      </c>
      <c r="AL56" s="724"/>
      <c r="AN56" s="806">
        <f t="shared" si="8"/>
        <v>107067.375</v>
      </c>
    </row>
    <row r="57" hidden="1" customHeight="1" outlineLevel="1" collapsed="1" spans="1:40">
      <c r="A57" s="797">
        <v>2.4</v>
      </c>
      <c r="B57" s="797" t="s">
        <v>277</v>
      </c>
      <c r="C57" s="797">
        <f t="shared" ref="C57:F57" si="196">SUM(C58:C117)</f>
        <v>176.161471211468</v>
      </c>
      <c r="D57" s="797">
        <f t="shared" si="196"/>
        <v>1257.40975325</v>
      </c>
      <c r="E57" s="742"/>
      <c r="F57" s="797">
        <f t="shared" ref="E57:AK57" si="197">SUM(F58:F117)</f>
        <v>176.161471211468</v>
      </c>
      <c r="G57" s="797">
        <f t="shared" si="197"/>
        <v>865.705737776268</v>
      </c>
      <c r="H57" s="797">
        <f t="shared" si="197"/>
        <v>176.161471211468</v>
      </c>
      <c r="I57" s="797">
        <f t="shared" si="197"/>
        <v>557.42492477091</v>
      </c>
      <c r="J57" s="797">
        <f t="shared" si="197"/>
        <v>176.161471211468</v>
      </c>
      <c r="K57" s="797">
        <f t="shared" si="197"/>
        <v>294.057183496801</v>
      </c>
      <c r="L57" s="797">
        <f t="shared" si="197"/>
        <v>176.161471211468</v>
      </c>
      <c r="M57" s="797">
        <f t="shared" si="197"/>
        <v>0</v>
      </c>
      <c r="N57" s="797">
        <f t="shared" si="197"/>
        <v>176.161471211468</v>
      </c>
      <c r="O57" s="797">
        <f t="shared" si="197"/>
        <v>0</v>
      </c>
      <c r="P57" s="797">
        <f t="shared" si="197"/>
        <v>176.161471211468</v>
      </c>
      <c r="Q57" s="797">
        <f t="shared" si="197"/>
        <v>0</v>
      </c>
      <c r="R57" s="797">
        <f t="shared" si="197"/>
        <v>176.161471211468</v>
      </c>
      <c r="S57" s="797">
        <f t="shared" si="197"/>
        <v>0</v>
      </c>
      <c r="T57" s="797">
        <f t="shared" si="197"/>
        <v>176.161471211468</v>
      </c>
      <c r="U57" s="797">
        <f t="shared" si="197"/>
        <v>0</v>
      </c>
      <c r="V57" s="797">
        <f t="shared" si="197"/>
        <v>176.161471211468</v>
      </c>
      <c r="W57" s="797">
        <f t="shared" si="197"/>
        <v>14.2236295085564</v>
      </c>
      <c r="X57" s="797"/>
      <c r="Y57" s="797"/>
      <c r="Z57" s="797"/>
      <c r="AA57" s="797"/>
      <c r="AB57" s="797"/>
      <c r="AC57" s="797"/>
      <c r="AD57" s="797">
        <f t="shared" si="197"/>
        <v>176.161471211468</v>
      </c>
      <c r="AE57" s="797">
        <f t="shared" si="197"/>
        <v>391.704015473732</v>
      </c>
      <c r="AF57" s="797">
        <f t="shared" si="197"/>
        <v>176.161471211468</v>
      </c>
      <c r="AG57" s="797">
        <f t="shared" si="197"/>
        <v>0</v>
      </c>
      <c r="AH57" s="797">
        <f t="shared" si="197"/>
        <v>176.161471211468</v>
      </c>
      <c r="AI57" s="797">
        <f t="shared" si="197"/>
        <v>69.4976381691077</v>
      </c>
      <c r="AJ57" s="797">
        <f t="shared" si="197"/>
        <v>176.161471211468</v>
      </c>
      <c r="AK57" s="797">
        <f t="shared" si="197"/>
        <v>322.206377304624</v>
      </c>
      <c r="AL57" s="724"/>
      <c r="AN57" s="806">
        <f t="shared" si="8"/>
        <v>12574097.5325</v>
      </c>
    </row>
    <row r="58" s="700" customFormat="1" hidden="1" customHeight="1" outlineLevel="2" collapsed="1" spans="1:56">
      <c r="A58" s="726" t="s">
        <v>278</v>
      </c>
      <c r="B58" s="799" t="s">
        <v>279</v>
      </c>
      <c r="C58" s="726"/>
      <c r="D58" s="726"/>
      <c r="E58" s="743"/>
      <c r="F58" s="726"/>
      <c r="G58" s="726"/>
      <c r="H58" s="800"/>
      <c r="I58" s="726"/>
      <c r="J58" s="800"/>
      <c r="K58" s="726"/>
      <c r="L58" s="800"/>
      <c r="M58" s="726"/>
      <c r="N58" s="800"/>
      <c r="O58" s="726"/>
      <c r="P58" s="800"/>
      <c r="Q58" s="726"/>
      <c r="R58" s="800"/>
      <c r="S58" s="726"/>
      <c r="T58" s="800"/>
      <c r="U58" s="726"/>
      <c r="V58" s="800"/>
      <c r="W58" s="726"/>
      <c r="X58" s="800"/>
      <c r="Y58" s="726"/>
      <c r="Z58" s="800"/>
      <c r="AA58" s="726"/>
      <c r="AB58" s="800"/>
      <c r="AC58" s="726"/>
      <c r="AD58" s="726"/>
      <c r="AE58" s="726"/>
      <c r="AF58" s="800"/>
      <c r="AG58" s="726"/>
      <c r="AH58" s="800"/>
      <c r="AI58" s="726"/>
      <c r="AJ58" s="800"/>
      <c r="AK58" s="726"/>
      <c r="AL58" s="724"/>
      <c r="AM58" s="699"/>
      <c r="AN58" s="806">
        <f t="shared" si="8"/>
        <v>0</v>
      </c>
      <c r="AO58" s="699"/>
      <c r="AP58" s="699"/>
      <c r="AQ58" s="699"/>
      <c r="AR58" s="699"/>
      <c r="AS58" s="699"/>
      <c r="AT58" s="699"/>
      <c r="AU58" s="699"/>
      <c r="AV58" s="699"/>
      <c r="AW58" s="699"/>
      <c r="AX58" s="699"/>
      <c r="AY58" s="699"/>
      <c r="AZ58" s="699"/>
      <c r="BA58" s="699"/>
      <c r="BB58" s="699"/>
      <c r="BC58" s="699"/>
      <c r="BD58" s="699"/>
    </row>
    <row r="59" s="699" customFormat="1" hidden="1" customHeight="1" outlineLevel="3" spans="1:40">
      <c r="A59" s="724" t="s">
        <v>280</v>
      </c>
      <c r="B59" s="734" t="s">
        <v>281</v>
      </c>
      <c r="C59" s="724">
        <f t="shared" si="172"/>
        <v>0.280197399067643</v>
      </c>
      <c r="D59" s="724">
        <f t="shared" si="173"/>
        <v>2</v>
      </c>
      <c r="E59" s="742" t="s">
        <v>282</v>
      </c>
      <c r="F59" s="724">
        <f t="shared" si="174"/>
        <v>0.280197399067643</v>
      </c>
      <c r="G59" s="724">
        <f t="shared" ref="G59:G61" si="198">I59+K59+M59+O59+Q59+S59+U59+W59</f>
        <v>1.37696679310574</v>
      </c>
      <c r="H59" s="798">
        <f>2/C8</f>
        <v>0.280197399067643</v>
      </c>
      <c r="I59" s="724">
        <f t="shared" si="175"/>
        <v>0.886624146711358</v>
      </c>
      <c r="J59" s="798">
        <f t="shared" si="176"/>
        <v>0.280197399067643</v>
      </c>
      <c r="K59" s="724">
        <f t="shared" si="177"/>
        <v>0.467718947998865</v>
      </c>
      <c r="L59" s="798">
        <f t="shared" ref="L59:L76" si="199">+H59</f>
        <v>0.280197399067643</v>
      </c>
      <c r="M59" s="724">
        <f t="shared" si="178"/>
        <v>0</v>
      </c>
      <c r="N59" s="798">
        <f t="shared" si="179"/>
        <v>0.280197399067643</v>
      </c>
      <c r="O59" s="724">
        <f t="shared" si="180"/>
        <v>0</v>
      </c>
      <c r="P59" s="798">
        <f t="shared" si="181"/>
        <v>0.280197399067643</v>
      </c>
      <c r="Q59" s="724">
        <f t="shared" si="182"/>
        <v>0</v>
      </c>
      <c r="R59" s="798">
        <f t="shared" si="183"/>
        <v>0.280197399067643</v>
      </c>
      <c r="S59" s="724">
        <f t="shared" si="184"/>
        <v>0</v>
      </c>
      <c r="T59" s="798">
        <f t="shared" si="185"/>
        <v>0.280197399067643</v>
      </c>
      <c r="U59" s="724">
        <f t="shared" si="186"/>
        <v>0</v>
      </c>
      <c r="V59" s="798">
        <f t="shared" si="187"/>
        <v>0.280197399067643</v>
      </c>
      <c r="W59" s="724">
        <f t="shared" si="188"/>
        <v>0.0226236983955196</v>
      </c>
      <c r="X59" s="798"/>
      <c r="Y59" s="724"/>
      <c r="Z59" s="798"/>
      <c r="AA59" s="724"/>
      <c r="AB59" s="798"/>
      <c r="AC59" s="724"/>
      <c r="AD59" s="724">
        <f t="shared" si="189"/>
        <v>0.280197399067643</v>
      </c>
      <c r="AE59" s="724">
        <f t="shared" si="190"/>
        <v>0.623033206894257</v>
      </c>
      <c r="AF59" s="798">
        <f t="shared" ref="AF59:AF72" si="200">+V59</f>
        <v>0.280197399067643</v>
      </c>
      <c r="AG59" s="724">
        <f t="shared" si="191"/>
        <v>0</v>
      </c>
      <c r="AH59" s="798">
        <f t="shared" si="192"/>
        <v>0.280197399067643</v>
      </c>
      <c r="AI59" s="724">
        <f t="shared" si="193"/>
        <v>0.110540956103575</v>
      </c>
      <c r="AJ59" s="798">
        <f t="shared" si="194"/>
        <v>0.280197399067643</v>
      </c>
      <c r="AK59" s="724">
        <f t="shared" si="195"/>
        <v>0.512492250790682</v>
      </c>
      <c r="AL59" s="724"/>
      <c r="AN59" s="806">
        <f t="shared" si="8"/>
        <v>20000</v>
      </c>
    </row>
    <row r="60" s="699" customFormat="1" hidden="1" customHeight="1" outlineLevel="3" spans="1:40">
      <c r="A60" s="724" t="s">
        <v>283</v>
      </c>
      <c r="B60" s="734" t="s">
        <v>284</v>
      </c>
      <c r="C60" s="724">
        <f t="shared" ref="C60:C76" si="201">D60/$C$8</f>
        <v>0.185967013761195</v>
      </c>
      <c r="D60" s="724">
        <f t="shared" ref="D60:D76" si="202">G60+AE60</f>
        <v>1.3274</v>
      </c>
      <c r="E60" s="742" t="s">
        <v>285</v>
      </c>
      <c r="F60" s="724">
        <f t="shared" ref="F60:F76" si="203">G60/$F$8</f>
        <v>0.185967013761195</v>
      </c>
      <c r="G60" s="724">
        <f t="shared" si="198"/>
        <v>0.913892860584281</v>
      </c>
      <c r="H60" s="798">
        <f>13274/C8/10000</f>
        <v>0.185967013761195</v>
      </c>
      <c r="I60" s="724">
        <f t="shared" ref="I60:I76" si="204">H60*H$8</f>
        <v>0.588452446172328</v>
      </c>
      <c r="J60" s="798">
        <f t="shared" ref="J60:J76" si="205">+H60</f>
        <v>0.185967013761195</v>
      </c>
      <c r="K60" s="724">
        <f t="shared" ref="K60:K76" si="206">J60*J$8</f>
        <v>0.310425065786847</v>
      </c>
      <c r="L60" s="798">
        <f t="shared" si="199"/>
        <v>0.185967013761195</v>
      </c>
      <c r="M60" s="724">
        <f t="shared" ref="M60:M76" si="207">L60*L$8</f>
        <v>0</v>
      </c>
      <c r="N60" s="798">
        <f t="shared" ref="N60:N76" si="208">+L60</f>
        <v>0.185967013761195</v>
      </c>
      <c r="O60" s="724">
        <f t="shared" ref="O60:O76" si="209">N60*N$8</f>
        <v>0</v>
      </c>
      <c r="P60" s="798">
        <f t="shared" ref="P60:P76" si="210">+N60</f>
        <v>0.185967013761195</v>
      </c>
      <c r="Q60" s="724">
        <f t="shared" ref="Q60:Q76" si="211">P60*P$8</f>
        <v>0</v>
      </c>
      <c r="R60" s="798">
        <f t="shared" ref="R60:R76" si="212">+P60</f>
        <v>0.185967013761195</v>
      </c>
      <c r="S60" s="724">
        <f t="shared" ref="S60:S76" si="213">R60*R$8</f>
        <v>0</v>
      </c>
      <c r="T60" s="798">
        <f t="shared" ref="T60:T76" si="214">+R60</f>
        <v>0.185967013761195</v>
      </c>
      <c r="U60" s="724">
        <f t="shared" ref="U60:U76" si="215">T60*T$8</f>
        <v>0</v>
      </c>
      <c r="V60" s="798">
        <f t="shared" ref="V60:V76" si="216">+T60</f>
        <v>0.185967013761195</v>
      </c>
      <c r="W60" s="724">
        <f t="shared" ref="W60:W76" si="217">V60*V$8</f>
        <v>0.0150153486251064</v>
      </c>
      <c r="X60" s="798"/>
      <c r="Y60" s="724"/>
      <c r="Z60" s="798"/>
      <c r="AA60" s="724"/>
      <c r="AB60" s="798"/>
      <c r="AC60" s="724"/>
      <c r="AD60" s="724">
        <f t="shared" ref="AD60:AD76" si="218">AE60/AD$8</f>
        <v>0.185967013761195</v>
      </c>
      <c r="AE60" s="724">
        <f t="shared" ref="AE60:AE76" si="219">AG60*0+AI60+AK60</f>
        <v>0.413507139415719</v>
      </c>
      <c r="AF60" s="798">
        <f t="shared" si="200"/>
        <v>0.185967013761195</v>
      </c>
      <c r="AG60" s="724">
        <f t="shared" ref="AG60:AG76" si="220">AF60*AF$8</f>
        <v>0</v>
      </c>
      <c r="AH60" s="798">
        <f t="shared" ref="AH60:AH76" si="221">+AF60</f>
        <v>0.185967013761195</v>
      </c>
      <c r="AI60" s="724">
        <f t="shared" ref="AI60:AI76" si="222">AH60*AH$8</f>
        <v>0.0733660325659428</v>
      </c>
      <c r="AJ60" s="798">
        <f t="shared" ref="AJ60:AJ76" si="223">+AH60</f>
        <v>0.185967013761195</v>
      </c>
      <c r="AK60" s="724">
        <f t="shared" ref="AK60:AK76" si="224">AJ60*AJ$8</f>
        <v>0.340141106849776</v>
      </c>
      <c r="AL60" s="724"/>
      <c r="AN60" s="806">
        <f t="shared" si="8"/>
        <v>13274</v>
      </c>
    </row>
    <row r="61" s="699" customFormat="1" hidden="1" customHeight="1" outlineLevel="3" spans="1:40">
      <c r="A61" s="724" t="s">
        <v>286</v>
      </c>
      <c r="B61" s="734" t="s">
        <v>287</v>
      </c>
      <c r="C61" s="724">
        <f t="shared" si="201"/>
        <v>0.193336205356674</v>
      </c>
      <c r="D61" s="724">
        <f t="shared" si="202"/>
        <v>1.38</v>
      </c>
      <c r="E61" s="742" t="s">
        <v>288</v>
      </c>
      <c r="F61" s="724">
        <f t="shared" si="203"/>
        <v>0.193336205356674</v>
      </c>
      <c r="G61" s="724">
        <f t="shared" si="198"/>
        <v>0.950107087242963</v>
      </c>
      <c r="H61" s="798">
        <f>13800/10000/C8</f>
        <v>0.193336205356674</v>
      </c>
      <c r="I61" s="724">
        <f t="shared" si="204"/>
        <v>0.611770661230837</v>
      </c>
      <c r="J61" s="798">
        <f t="shared" si="205"/>
        <v>0.193336205356674</v>
      </c>
      <c r="K61" s="724">
        <f t="shared" si="206"/>
        <v>0.322726074119217</v>
      </c>
      <c r="L61" s="798">
        <f t="shared" si="199"/>
        <v>0.193336205356674</v>
      </c>
      <c r="M61" s="724">
        <f t="shared" si="207"/>
        <v>0</v>
      </c>
      <c r="N61" s="798">
        <f t="shared" si="208"/>
        <v>0.193336205356674</v>
      </c>
      <c r="O61" s="724">
        <f t="shared" si="209"/>
        <v>0</v>
      </c>
      <c r="P61" s="798">
        <f t="shared" si="210"/>
        <v>0.193336205356674</v>
      </c>
      <c r="Q61" s="724">
        <f t="shared" si="211"/>
        <v>0</v>
      </c>
      <c r="R61" s="798">
        <f t="shared" si="212"/>
        <v>0.193336205356674</v>
      </c>
      <c r="S61" s="724">
        <f t="shared" si="213"/>
        <v>0</v>
      </c>
      <c r="T61" s="798">
        <f t="shared" si="214"/>
        <v>0.193336205356674</v>
      </c>
      <c r="U61" s="724">
        <f t="shared" si="215"/>
        <v>0</v>
      </c>
      <c r="V61" s="798">
        <f t="shared" si="216"/>
        <v>0.193336205356674</v>
      </c>
      <c r="W61" s="724">
        <f t="shared" si="217"/>
        <v>0.0156103518929086</v>
      </c>
      <c r="X61" s="798"/>
      <c r="Y61" s="724"/>
      <c r="Z61" s="798"/>
      <c r="AA61" s="724"/>
      <c r="AB61" s="798"/>
      <c r="AC61" s="724"/>
      <c r="AD61" s="724">
        <f t="shared" si="218"/>
        <v>0.193336205356674</v>
      </c>
      <c r="AE61" s="724">
        <f t="shared" si="219"/>
        <v>0.429892912757038</v>
      </c>
      <c r="AF61" s="798">
        <f t="shared" si="200"/>
        <v>0.193336205356674</v>
      </c>
      <c r="AG61" s="724">
        <f t="shared" si="220"/>
        <v>0</v>
      </c>
      <c r="AH61" s="798">
        <f t="shared" si="221"/>
        <v>0.193336205356674</v>
      </c>
      <c r="AI61" s="724">
        <f t="shared" si="222"/>
        <v>0.0762732597114668</v>
      </c>
      <c r="AJ61" s="798">
        <f t="shared" si="223"/>
        <v>0.193336205356674</v>
      </c>
      <c r="AK61" s="724">
        <f t="shared" si="224"/>
        <v>0.353619653045571</v>
      </c>
      <c r="AL61" s="724"/>
      <c r="AN61" s="806">
        <f t="shared" si="8"/>
        <v>13800</v>
      </c>
    </row>
    <row r="62" s="700" customFormat="1" hidden="1" customHeight="1" outlineLevel="2" collapsed="1" spans="1:56">
      <c r="A62" s="726" t="s">
        <v>289</v>
      </c>
      <c r="B62" s="726" t="s">
        <v>290</v>
      </c>
      <c r="C62" s="799"/>
      <c r="D62" s="726"/>
      <c r="E62" s="726"/>
      <c r="F62" s="743"/>
      <c r="G62" s="726"/>
      <c r="H62" s="726"/>
      <c r="I62" s="800"/>
      <c r="J62" s="726"/>
      <c r="K62" s="800"/>
      <c r="L62" s="726"/>
      <c r="M62" s="800"/>
      <c r="N62" s="726"/>
      <c r="O62" s="800"/>
      <c r="P62" s="726"/>
      <c r="Q62" s="800"/>
      <c r="R62" s="726"/>
      <c r="S62" s="800"/>
      <c r="T62" s="726"/>
      <c r="U62" s="800"/>
      <c r="V62" s="726"/>
      <c r="W62" s="800"/>
      <c r="X62" s="726"/>
      <c r="Y62" s="800"/>
      <c r="Z62" s="726"/>
      <c r="AA62" s="800"/>
      <c r="AB62" s="726"/>
      <c r="AC62" s="800"/>
      <c r="AD62" s="726"/>
      <c r="AE62" s="726"/>
      <c r="AF62" s="726"/>
      <c r="AG62" s="800"/>
      <c r="AH62" s="726"/>
      <c r="AI62" s="800"/>
      <c r="AJ62" s="726"/>
      <c r="AK62" s="800"/>
      <c r="AL62" s="724"/>
      <c r="AM62" s="699"/>
      <c r="AN62" s="806">
        <f t="shared" si="8"/>
        <v>0</v>
      </c>
      <c r="AO62" s="699"/>
      <c r="AP62" s="699"/>
      <c r="AQ62" s="699"/>
      <c r="AR62" s="699"/>
      <c r="AS62" s="699"/>
      <c r="AT62" s="699"/>
      <c r="AU62" s="699"/>
      <c r="AV62" s="699"/>
      <c r="AW62" s="699"/>
      <c r="AX62" s="699"/>
      <c r="AY62" s="699"/>
      <c r="AZ62" s="699"/>
      <c r="BA62" s="699"/>
      <c r="BB62" s="699"/>
      <c r="BC62" s="699"/>
      <c r="BD62" s="699"/>
    </row>
    <row r="63" s="699" customFormat="1" hidden="1" customHeight="1" outlineLevel="3" spans="1:40">
      <c r="A63" s="724" t="s">
        <v>291</v>
      </c>
      <c r="B63" s="728" t="s">
        <v>292</v>
      </c>
      <c r="C63" s="724">
        <f t="shared" si="201"/>
        <v>1.5</v>
      </c>
      <c r="D63" s="724">
        <f t="shared" si="202"/>
        <v>10.7067375</v>
      </c>
      <c r="E63" s="742" t="s">
        <v>293</v>
      </c>
      <c r="F63" s="724">
        <f t="shared" si="203"/>
        <v>1.5</v>
      </c>
      <c r="G63" s="724">
        <f t="shared" ref="G63:G76" si="225">I63+K63+M63+O63+Q63+S63+U63+W63</f>
        <v>7.371411</v>
      </c>
      <c r="H63" s="798">
        <v>1.5</v>
      </c>
      <c r="I63" s="724">
        <f t="shared" si="204"/>
        <v>4.746426</v>
      </c>
      <c r="J63" s="798">
        <f t="shared" si="205"/>
        <v>1.5</v>
      </c>
      <c r="K63" s="724">
        <f t="shared" si="206"/>
        <v>2.503872</v>
      </c>
      <c r="L63" s="798">
        <f t="shared" si="199"/>
        <v>1.5</v>
      </c>
      <c r="M63" s="724">
        <f t="shared" si="207"/>
        <v>0</v>
      </c>
      <c r="N63" s="798">
        <f t="shared" si="208"/>
        <v>1.5</v>
      </c>
      <c r="O63" s="724">
        <f t="shared" si="209"/>
        <v>0</v>
      </c>
      <c r="P63" s="798">
        <f t="shared" si="210"/>
        <v>1.5</v>
      </c>
      <c r="Q63" s="724">
        <f t="shared" si="211"/>
        <v>0</v>
      </c>
      <c r="R63" s="798">
        <f t="shared" si="212"/>
        <v>1.5</v>
      </c>
      <c r="S63" s="724">
        <f t="shared" si="213"/>
        <v>0</v>
      </c>
      <c r="T63" s="798">
        <f t="shared" si="214"/>
        <v>1.5</v>
      </c>
      <c r="U63" s="724">
        <f t="shared" si="215"/>
        <v>0</v>
      </c>
      <c r="V63" s="798">
        <f t="shared" si="216"/>
        <v>1.5</v>
      </c>
      <c r="W63" s="724">
        <f t="shared" si="217"/>
        <v>0.121113</v>
      </c>
      <c r="X63" s="798"/>
      <c r="Y63" s="724"/>
      <c r="Z63" s="798"/>
      <c r="AA63" s="724"/>
      <c r="AB63" s="798"/>
      <c r="AC63" s="724"/>
      <c r="AD63" s="724">
        <f t="shared" si="218"/>
        <v>1.5</v>
      </c>
      <c r="AE63" s="724">
        <f t="shared" si="219"/>
        <v>3.3353265</v>
      </c>
      <c r="AF63" s="798">
        <f t="shared" si="200"/>
        <v>1.5</v>
      </c>
      <c r="AG63" s="724">
        <f t="shared" si="220"/>
        <v>0</v>
      </c>
      <c r="AH63" s="798">
        <f t="shared" si="221"/>
        <v>1.5</v>
      </c>
      <c r="AI63" s="724">
        <f t="shared" si="222"/>
        <v>0.5917665</v>
      </c>
      <c r="AJ63" s="798">
        <f t="shared" si="223"/>
        <v>1.5</v>
      </c>
      <c r="AK63" s="724">
        <f t="shared" si="224"/>
        <v>2.74356</v>
      </c>
      <c r="AL63" s="724"/>
      <c r="AN63" s="806">
        <f t="shared" si="8"/>
        <v>107067.375</v>
      </c>
    </row>
    <row r="64" s="699" customFormat="1" hidden="1" customHeight="1" outlineLevel="3" spans="1:40">
      <c r="A64" s="724" t="s">
        <v>294</v>
      </c>
      <c r="B64" s="728" t="s">
        <v>295</v>
      </c>
      <c r="C64" s="724">
        <f t="shared" si="201"/>
        <v>0</v>
      </c>
      <c r="D64" s="724">
        <f t="shared" si="202"/>
        <v>0</v>
      </c>
      <c r="E64" s="742" t="s">
        <v>223</v>
      </c>
      <c r="F64" s="724">
        <f t="shared" si="203"/>
        <v>0</v>
      </c>
      <c r="G64" s="724">
        <f t="shared" si="225"/>
        <v>0</v>
      </c>
      <c r="H64" s="798"/>
      <c r="I64" s="724">
        <f t="shared" si="204"/>
        <v>0</v>
      </c>
      <c r="J64" s="798">
        <f t="shared" si="205"/>
        <v>0</v>
      </c>
      <c r="K64" s="724">
        <f t="shared" si="206"/>
        <v>0</v>
      </c>
      <c r="L64" s="798">
        <f t="shared" si="199"/>
        <v>0</v>
      </c>
      <c r="M64" s="724">
        <f t="shared" si="207"/>
        <v>0</v>
      </c>
      <c r="N64" s="798">
        <f t="shared" si="208"/>
        <v>0</v>
      </c>
      <c r="O64" s="724">
        <f t="shared" si="209"/>
        <v>0</v>
      </c>
      <c r="P64" s="798">
        <f t="shared" si="210"/>
        <v>0</v>
      </c>
      <c r="Q64" s="724">
        <f t="shared" si="211"/>
        <v>0</v>
      </c>
      <c r="R64" s="798">
        <f t="shared" si="212"/>
        <v>0</v>
      </c>
      <c r="S64" s="724">
        <f t="shared" si="213"/>
        <v>0</v>
      </c>
      <c r="T64" s="798">
        <f t="shared" si="214"/>
        <v>0</v>
      </c>
      <c r="U64" s="724">
        <f t="shared" si="215"/>
        <v>0</v>
      </c>
      <c r="V64" s="798">
        <f t="shared" si="216"/>
        <v>0</v>
      </c>
      <c r="W64" s="724">
        <f t="shared" si="217"/>
        <v>0</v>
      </c>
      <c r="X64" s="798"/>
      <c r="Y64" s="724"/>
      <c r="Z64" s="798"/>
      <c r="AA64" s="724"/>
      <c r="AB64" s="798"/>
      <c r="AC64" s="724"/>
      <c r="AD64" s="724">
        <f t="shared" si="218"/>
        <v>0</v>
      </c>
      <c r="AE64" s="724">
        <f t="shared" si="219"/>
        <v>0</v>
      </c>
      <c r="AF64" s="798">
        <f t="shared" si="200"/>
        <v>0</v>
      </c>
      <c r="AG64" s="724">
        <f t="shared" si="220"/>
        <v>0</v>
      </c>
      <c r="AH64" s="798">
        <f t="shared" si="221"/>
        <v>0</v>
      </c>
      <c r="AI64" s="724">
        <f t="shared" si="222"/>
        <v>0</v>
      </c>
      <c r="AJ64" s="798">
        <f t="shared" si="223"/>
        <v>0</v>
      </c>
      <c r="AK64" s="724">
        <f t="shared" si="224"/>
        <v>0</v>
      </c>
      <c r="AL64" s="724"/>
      <c r="AN64" s="806">
        <f t="shared" si="8"/>
        <v>0</v>
      </c>
    </row>
    <row r="65" s="699" customFormat="1" hidden="1" customHeight="1" outlineLevel="3" spans="1:40">
      <c r="A65" s="724" t="s">
        <v>296</v>
      </c>
      <c r="B65" s="728" t="s">
        <v>297</v>
      </c>
      <c r="C65" s="724">
        <f t="shared" si="201"/>
        <v>0</v>
      </c>
      <c r="D65" s="724">
        <f t="shared" si="202"/>
        <v>0</v>
      </c>
      <c r="E65" s="742" t="s">
        <v>223</v>
      </c>
      <c r="F65" s="724">
        <f t="shared" si="203"/>
        <v>0</v>
      </c>
      <c r="G65" s="724">
        <f t="shared" si="225"/>
        <v>0</v>
      </c>
      <c r="H65" s="798"/>
      <c r="I65" s="724">
        <f t="shared" si="204"/>
        <v>0</v>
      </c>
      <c r="J65" s="798">
        <f t="shared" si="205"/>
        <v>0</v>
      </c>
      <c r="K65" s="724">
        <f t="shared" si="206"/>
        <v>0</v>
      </c>
      <c r="L65" s="798">
        <f t="shared" si="199"/>
        <v>0</v>
      </c>
      <c r="M65" s="724">
        <f t="shared" si="207"/>
        <v>0</v>
      </c>
      <c r="N65" s="798">
        <f t="shared" si="208"/>
        <v>0</v>
      </c>
      <c r="O65" s="724">
        <f t="shared" si="209"/>
        <v>0</v>
      </c>
      <c r="P65" s="798">
        <f t="shared" si="210"/>
        <v>0</v>
      </c>
      <c r="Q65" s="724">
        <f t="shared" si="211"/>
        <v>0</v>
      </c>
      <c r="R65" s="798">
        <f t="shared" si="212"/>
        <v>0</v>
      </c>
      <c r="S65" s="724">
        <f t="shared" si="213"/>
        <v>0</v>
      </c>
      <c r="T65" s="798">
        <f t="shared" si="214"/>
        <v>0</v>
      </c>
      <c r="U65" s="724">
        <f t="shared" si="215"/>
        <v>0</v>
      </c>
      <c r="V65" s="798">
        <f t="shared" si="216"/>
        <v>0</v>
      </c>
      <c r="W65" s="724">
        <f t="shared" si="217"/>
        <v>0</v>
      </c>
      <c r="X65" s="798"/>
      <c r="Y65" s="724"/>
      <c r="Z65" s="798"/>
      <c r="AA65" s="724"/>
      <c r="AB65" s="798"/>
      <c r="AC65" s="724"/>
      <c r="AD65" s="724">
        <f t="shared" si="218"/>
        <v>0</v>
      </c>
      <c r="AE65" s="724">
        <f t="shared" si="219"/>
        <v>0</v>
      </c>
      <c r="AF65" s="798">
        <f t="shared" si="200"/>
        <v>0</v>
      </c>
      <c r="AG65" s="724">
        <f t="shared" si="220"/>
        <v>0</v>
      </c>
      <c r="AH65" s="798">
        <f t="shared" si="221"/>
        <v>0</v>
      </c>
      <c r="AI65" s="724">
        <f t="shared" si="222"/>
        <v>0</v>
      </c>
      <c r="AJ65" s="798">
        <f t="shared" si="223"/>
        <v>0</v>
      </c>
      <c r="AK65" s="724">
        <f t="shared" si="224"/>
        <v>0</v>
      </c>
      <c r="AL65" s="724"/>
      <c r="AN65" s="806">
        <f t="shared" si="8"/>
        <v>0</v>
      </c>
    </row>
    <row r="66" s="699" customFormat="1" hidden="1" customHeight="1" outlineLevel="3" spans="1:40">
      <c r="A66" s="724" t="s">
        <v>298</v>
      </c>
      <c r="B66" s="734" t="s">
        <v>299</v>
      </c>
      <c r="C66" s="724">
        <f t="shared" si="201"/>
        <v>124.8</v>
      </c>
      <c r="D66" s="724">
        <f t="shared" si="202"/>
        <v>890.80056</v>
      </c>
      <c r="E66" s="742" t="s">
        <v>300</v>
      </c>
      <c r="F66" s="724">
        <f t="shared" si="203"/>
        <v>124.8</v>
      </c>
      <c r="G66" s="724">
        <f t="shared" si="225"/>
        <v>613.3013952</v>
      </c>
      <c r="H66" s="798">
        <f>120*1.04</f>
        <v>124.8</v>
      </c>
      <c r="I66" s="724">
        <f t="shared" si="204"/>
        <v>394.9026432</v>
      </c>
      <c r="J66" s="798">
        <f t="shared" si="205"/>
        <v>124.8</v>
      </c>
      <c r="K66" s="724">
        <f t="shared" si="206"/>
        <v>208.3221504</v>
      </c>
      <c r="L66" s="798">
        <f t="shared" si="199"/>
        <v>124.8</v>
      </c>
      <c r="M66" s="724">
        <f t="shared" si="207"/>
        <v>0</v>
      </c>
      <c r="N66" s="798">
        <f t="shared" si="208"/>
        <v>124.8</v>
      </c>
      <c r="O66" s="724">
        <f t="shared" si="209"/>
        <v>0</v>
      </c>
      <c r="P66" s="798">
        <f t="shared" si="210"/>
        <v>124.8</v>
      </c>
      <c r="Q66" s="724">
        <f t="shared" si="211"/>
        <v>0</v>
      </c>
      <c r="R66" s="798">
        <f t="shared" si="212"/>
        <v>124.8</v>
      </c>
      <c r="S66" s="724">
        <f t="shared" si="213"/>
        <v>0</v>
      </c>
      <c r="T66" s="798">
        <f t="shared" si="214"/>
        <v>124.8</v>
      </c>
      <c r="U66" s="724">
        <f t="shared" si="215"/>
        <v>0</v>
      </c>
      <c r="V66" s="798">
        <f t="shared" si="216"/>
        <v>124.8</v>
      </c>
      <c r="W66" s="724">
        <f t="shared" si="217"/>
        <v>10.0766016</v>
      </c>
      <c r="X66" s="798"/>
      <c r="Y66" s="724"/>
      <c r="Z66" s="798"/>
      <c r="AA66" s="724"/>
      <c r="AB66" s="798"/>
      <c r="AC66" s="724"/>
      <c r="AD66" s="724">
        <f t="shared" si="218"/>
        <v>124.8</v>
      </c>
      <c r="AE66" s="724">
        <f t="shared" si="219"/>
        <v>277.4991648</v>
      </c>
      <c r="AF66" s="798">
        <f t="shared" si="200"/>
        <v>124.8</v>
      </c>
      <c r="AG66" s="724">
        <f t="shared" si="220"/>
        <v>0</v>
      </c>
      <c r="AH66" s="798">
        <f t="shared" si="221"/>
        <v>124.8</v>
      </c>
      <c r="AI66" s="724">
        <f t="shared" si="222"/>
        <v>49.2349728</v>
      </c>
      <c r="AJ66" s="798">
        <f t="shared" si="223"/>
        <v>124.8</v>
      </c>
      <c r="AK66" s="724">
        <f t="shared" si="224"/>
        <v>228.264192</v>
      </c>
      <c r="AL66" s="724"/>
      <c r="AN66" s="806">
        <f t="shared" si="8"/>
        <v>8908005.6</v>
      </c>
    </row>
    <row r="67" s="699" customFormat="1" hidden="1" customHeight="1" outlineLevel="3" spans="1:40">
      <c r="A67" s="724" t="s">
        <v>301</v>
      </c>
      <c r="B67" s="734" t="s">
        <v>302</v>
      </c>
      <c r="C67" s="724">
        <f t="shared" si="201"/>
        <v>0</v>
      </c>
      <c r="D67" s="724">
        <f t="shared" si="202"/>
        <v>0</v>
      </c>
      <c r="E67" s="742" t="s">
        <v>223</v>
      </c>
      <c r="F67" s="724">
        <f t="shared" si="203"/>
        <v>0</v>
      </c>
      <c r="G67" s="724">
        <f t="shared" si="225"/>
        <v>0</v>
      </c>
      <c r="H67" s="798"/>
      <c r="I67" s="724">
        <f t="shared" si="204"/>
        <v>0</v>
      </c>
      <c r="J67" s="798">
        <f t="shared" si="205"/>
        <v>0</v>
      </c>
      <c r="K67" s="724">
        <f t="shared" si="206"/>
        <v>0</v>
      </c>
      <c r="L67" s="798">
        <f t="shared" si="199"/>
        <v>0</v>
      </c>
      <c r="M67" s="724">
        <f t="shared" si="207"/>
        <v>0</v>
      </c>
      <c r="N67" s="798">
        <f t="shared" si="208"/>
        <v>0</v>
      </c>
      <c r="O67" s="724">
        <f t="shared" si="209"/>
        <v>0</v>
      </c>
      <c r="P67" s="798">
        <f t="shared" si="210"/>
        <v>0</v>
      </c>
      <c r="Q67" s="724">
        <f t="shared" si="211"/>
        <v>0</v>
      </c>
      <c r="R67" s="798">
        <f t="shared" si="212"/>
        <v>0</v>
      </c>
      <c r="S67" s="724">
        <f t="shared" si="213"/>
        <v>0</v>
      </c>
      <c r="T67" s="798">
        <f t="shared" si="214"/>
        <v>0</v>
      </c>
      <c r="U67" s="724">
        <f t="shared" si="215"/>
        <v>0</v>
      </c>
      <c r="V67" s="798">
        <f t="shared" si="216"/>
        <v>0</v>
      </c>
      <c r="W67" s="724">
        <f t="shared" si="217"/>
        <v>0</v>
      </c>
      <c r="X67" s="798"/>
      <c r="Y67" s="724"/>
      <c r="Z67" s="798"/>
      <c r="AA67" s="724"/>
      <c r="AB67" s="798"/>
      <c r="AC67" s="724"/>
      <c r="AD67" s="724">
        <f t="shared" si="218"/>
        <v>0</v>
      </c>
      <c r="AE67" s="724">
        <f t="shared" si="219"/>
        <v>0</v>
      </c>
      <c r="AF67" s="798">
        <f t="shared" si="200"/>
        <v>0</v>
      </c>
      <c r="AG67" s="724">
        <f t="shared" si="220"/>
        <v>0</v>
      </c>
      <c r="AH67" s="798">
        <f t="shared" si="221"/>
        <v>0</v>
      </c>
      <c r="AI67" s="724">
        <f t="shared" si="222"/>
        <v>0</v>
      </c>
      <c r="AJ67" s="798">
        <f t="shared" si="223"/>
        <v>0</v>
      </c>
      <c r="AK67" s="724">
        <f t="shared" si="224"/>
        <v>0</v>
      </c>
      <c r="AL67" s="724"/>
      <c r="AN67" s="806">
        <f t="shared" si="8"/>
        <v>0</v>
      </c>
    </row>
    <row r="68" s="699" customFormat="1" hidden="1" customHeight="1" outlineLevel="3" spans="1:40">
      <c r="A68" s="724" t="s">
        <v>303</v>
      </c>
      <c r="B68" s="734" t="s">
        <v>304</v>
      </c>
      <c r="C68" s="724">
        <f t="shared" si="201"/>
        <v>0</v>
      </c>
      <c r="D68" s="724">
        <f t="shared" si="202"/>
        <v>0</v>
      </c>
      <c r="E68" s="742" t="s">
        <v>223</v>
      </c>
      <c r="F68" s="724">
        <f t="shared" si="203"/>
        <v>0</v>
      </c>
      <c r="G68" s="724">
        <f t="shared" si="225"/>
        <v>0</v>
      </c>
      <c r="H68" s="798"/>
      <c r="I68" s="724">
        <f t="shared" si="204"/>
        <v>0</v>
      </c>
      <c r="J68" s="798">
        <f t="shared" si="205"/>
        <v>0</v>
      </c>
      <c r="K68" s="724">
        <f t="shared" si="206"/>
        <v>0</v>
      </c>
      <c r="L68" s="798">
        <f t="shared" si="199"/>
        <v>0</v>
      </c>
      <c r="M68" s="724">
        <f t="shared" si="207"/>
        <v>0</v>
      </c>
      <c r="N68" s="798">
        <f t="shared" si="208"/>
        <v>0</v>
      </c>
      <c r="O68" s="724">
        <f t="shared" si="209"/>
        <v>0</v>
      </c>
      <c r="P68" s="798">
        <f t="shared" si="210"/>
        <v>0</v>
      </c>
      <c r="Q68" s="724">
        <f t="shared" si="211"/>
        <v>0</v>
      </c>
      <c r="R68" s="798">
        <f t="shared" si="212"/>
        <v>0</v>
      </c>
      <c r="S68" s="724">
        <f t="shared" si="213"/>
        <v>0</v>
      </c>
      <c r="T68" s="798">
        <f t="shared" si="214"/>
        <v>0</v>
      </c>
      <c r="U68" s="724">
        <f t="shared" si="215"/>
        <v>0</v>
      </c>
      <c r="V68" s="798">
        <f t="shared" si="216"/>
        <v>0</v>
      </c>
      <c r="W68" s="724">
        <f t="shared" si="217"/>
        <v>0</v>
      </c>
      <c r="X68" s="798"/>
      <c r="Y68" s="724"/>
      <c r="Z68" s="798"/>
      <c r="AA68" s="724"/>
      <c r="AB68" s="798"/>
      <c r="AC68" s="724"/>
      <c r="AD68" s="724">
        <f t="shared" si="218"/>
        <v>0</v>
      </c>
      <c r="AE68" s="724">
        <f t="shared" si="219"/>
        <v>0</v>
      </c>
      <c r="AF68" s="798">
        <f t="shared" si="200"/>
        <v>0</v>
      </c>
      <c r="AG68" s="724">
        <f t="shared" si="220"/>
        <v>0</v>
      </c>
      <c r="AH68" s="798">
        <f t="shared" si="221"/>
        <v>0</v>
      </c>
      <c r="AI68" s="724">
        <f t="shared" si="222"/>
        <v>0</v>
      </c>
      <c r="AJ68" s="798">
        <f t="shared" si="223"/>
        <v>0</v>
      </c>
      <c r="AK68" s="724">
        <f t="shared" si="224"/>
        <v>0</v>
      </c>
      <c r="AL68" s="724"/>
      <c r="AN68" s="806">
        <f t="shared" si="8"/>
        <v>0</v>
      </c>
    </row>
    <row r="69" s="699" customFormat="1" hidden="1" customHeight="1" outlineLevel="3" spans="1:40">
      <c r="A69" s="724" t="s">
        <v>305</v>
      </c>
      <c r="B69" s="734" t="s">
        <v>306</v>
      </c>
      <c r="C69" s="724">
        <f t="shared" si="201"/>
        <v>0.3</v>
      </c>
      <c r="D69" s="724">
        <f t="shared" si="202"/>
        <v>2.1413475</v>
      </c>
      <c r="E69" s="742" t="s">
        <v>307</v>
      </c>
      <c r="F69" s="724">
        <f t="shared" si="203"/>
        <v>0.3</v>
      </c>
      <c r="G69" s="724">
        <f t="shared" si="225"/>
        <v>1.4742822</v>
      </c>
      <c r="H69" s="798">
        <v>0.3</v>
      </c>
      <c r="I69" s="724">
        <f t="shared" si="204"/>
        <v>0.9492852</v>
      </c>
      <c r="J69" s="798">
        <f t="shared" si="205"/>
        <v>0.3</v>
      </c>
      <c r="K69" s="724">
        <f t="shared" si="206"/>
        <v>0.5007744</v>
      </c>
      <c r="L69" s="798">
        <f t="shared" si="199"/>
        <v>0.3</v>
      </c>
      <c r="M69" s="724">
        <f t="shared" si="207"/>
        <v>0</v>
      </c>
      <c r="N69" s="798">
        <f t="shared" si="208"/>
        <v>0.3</v>
      </c>
      <c r="O69" s="724">
        <f t="shared" si="209"/>
        <v>0</v>
      </c>
      <c r="P69" s="798">
        <f t="shared" si="210"/>
        <v>0.3</v>
      </c>
      <c r="Q69" s="724">
        <f t="shared" si="211"/>
        <v>0</v>
      </c>
      <c r="R69" s="798">
        <f t="shared" si="212"/>
        <v>0.3</v>
      </c>
      <c r="S69" s="724">
        <f t="shared" si="213"/>
        <v>0</v>
      </c>
      <c r="T69" s="798">
        <f t="shared" si="214"/>
        <v>0.3</v>
      </c>
      <c r="U69" s="724">
        <f t="shared" si="215"/>
        <v>0</v>
      </c>
      <c r="V69" s="798">
        <f t="shared" si="216"/>
        <v>0.3</v>
      </c>
      <c r="W69" s="724">
        <f t="shared" si="217"/>
        <v>0.0242226</v>
      </c>
      <c r="X69" s="798"/>
      <c r="Y69" s="724"/>
      <c r="Z69" s="798"/>
      <c r="AA69" s="724"/>
      <c r="AB69" s="798"/>
      <c r="AC69" s="724"/>
      <c r="AD69" s="724">
        <f t="shared" si="218"/>
        <v>0.3</v>
      </c>
      <c r="AE69" s="724">
        <f t="shared" si="219"/>
        <v>0.6670653</v>
      </c>
      <c r="AF69" s="798">
        <f t="shared" si="200"/>
        <v>0.3</v>
      </c>
      <c r="AG69" s="724">
        <f t="shared" si="220"/>
        <v>0</v>
      </c>
      <c r="AH69" s="798">
        <f t="shared" si="221"/>
        <v>0.3</v>
      </c>
      <c r="AI69" s="724">
        <f t="shared" si="222"/>
        <v>0.1183533</v>
      </c>
      <c r="AJ69" s="798">
        <f t="shared" si="223"/>
        <v>0.3</v>
      </c>
      <c r="AK69" s="724">
        <f t="shared" si="224"/>
        <v>0.548712</v>
      </c>
      <c r="AL69" s="724"/>
      <c r="AN69" s="806">
        <f t="shared" si="8"/>
        <v>21413.475</v>
      </c>
    </row>
    <row r="70" s="699" customFormat="1" hidden="1" customHeight="1" outlineLevel="3" spans="1:40">
      <c r="A70" s="724" t="s">
        <v>308</v>
      </c>
      <c r="B70" s="734" t="s">
        <v>309</v>
      </c>
      <c r="C70" s="724">
        <f t="shared" si="201"/>
        <v>0.98</v>
      </c>
      <c r="D70" s="724">
        <f t="shared" si="202"/>
        <v>6.9950685</v>
      </c>
      <c r="E70" s="742" t="s">
        <v>310</v>
      </c>
      <c r="F70" s="724">
        <f t="shared" si="203"/>
        <v>0.98</v>
      </c>
      <c r="G70" s="724">
        <f t="shared" si="225"/>
        <v>4.81598852</v>
      </c>
      <c r="H70" s="798">
        <v>0.98</v>
      </c>
      <c r="I70" s="724">
        <f t="shared" si="204"/>
        <v>3.10099832</v>
      </c>
      <c r="J70" s="798">
        <f t="shared" si="205"/>
        <v>0.98</v>
      </c>
      <c r="K70" s="724">
        <f t="shared" si="206"/>
        <v>1.63586304</v>
      </c>
      <c r="L70" s="798">
        <f t="shared" si="199"/>
        <v>0.98</v>
      </c>
      <c r="M70" s="724">
        <f t="shared" si="207"/>
        <v>0</v>
      </c>
      <c r="N70" s="798">
        <f t="shared" si="208"/>
        <v>0.98</v>
      </c>
      <c r="O70" s="724">
        <f t="shared" si="209"/>
        <v>0</v>
      </c>
      <c r="P70" s="798">
        <f t="shared" si="210"/>
        <v>0.98</v>
      </c>
      <c r="Q70" s="724">
        <f t="shared" si="211"/>
        <v>0</v>
      </c>
      <c r="R70" s="798">
        <f t="shared" si="212"/>
        <v>0.98</v>
      </c>
      <c r="S70" s="724">
        <f t="shared" si="213"/>
        <v>0</v>
      </c>
      <c r="T70" s="798">
        <f t="shared" si="214"/>
        <v>0.98</v>
      </c>
      <c r="U70" s="724">
        <f t="shared" si="215"/>
        <v>0</v>
      </c>
      <c r="V70" s="798">
        <f t="shared" si="216"/>
        <v>0.98</v>
      </c>
      <c r="W70" s="724">
        <f t="shared" si="217"/>
        <v>0.07912716</v>
      </c>
      <c r="X70" s="798"/>
      <c r="Y70" s="724"/>
      <c r="Z70" s="798"/>
      <c r="AA70" s="724"/>
      <c r="AB70" s="798"/>
      <c r="AC70" s="724"/>
      <c r="AD70" s="724">
        <f t="shared" si="218"/>
        <v>0.98</v>
      </c>
      <c r="AE70" s="724">
        <f t="shared" si="219"/>
        <v>2.17907998</v>
      </c>
      <c r="AF70" s="798">
        <f t="shared" si="200"/>
        <v>0.98</v>
      </c>
      <c r="AG70" s="724">
        <f t="shared" si="220"/>
        <v>0</v>
      </c>
      <c r="AH70" s="798">
        <f t="shared" si="221"/>
        <v>0.98</v>
      </c>
      <c r="AI70" s="724">
        <f t="shared" si="222"/>
        <v>0.38662078</v>
      </c>
      <c r="AJ70" s="798">
        <f t="shared" si="223"/>
        <v>0.98</v>
      </c>
      <c r="AK70" s="724">
        <f t="shared" si="224"/>
        <v>1.7924592</v>
      </c>
      <c r="AL70" s="724"/>
      <c r="AN70" s="806">
        <f t="shared" si="8"/>
        <v>69950.685</v>
      </c>
    </row>
    <row r="71" s="699" customFormat="1" hidden="1" customHeight="1" outlineLevel="3" spans="1:40">
      <c r="A71" s="724" t="s">
        <v>311</v>
      </c>
      <c r="B71" s="734" t="s">
        <v>312</v>
      </c>
      <c r="C71" s="724">
        <f t="shared" si="201"/>
        <v>0.630444147902198</v>
      </c>
      <c r="D71" s="724">
        <f t="shared" si="202"/>
        <v>4.50000000000001</v>
      </c>
      <c r="E71" s="742" t="s">
        <v>313</v>
      </c>
      <c r="F71" s="724">
        <f t="shared" si="203"/>
        <v>0.630444147902199</v>
      </c>
      <c r="G71" s="724">
        <f t="shared" si="225"/>
        <v>3.09817528448793</v>
      </c>
      <c r="H71" s="798">
        <f>4.5/C8</f>
        <v>0.630444147902197</v>
      </c>
      <c r="I71" s="724">
        <f t="shared" si="204"/>
        <v>1.99490433010056</v>
      </c>
      <c r="J71" s="798">
        <f t="shared" si="205"/>
        <v>0.630444147902197</v>
      </c>
      <c r="K71" s="724">
        <f t="shared" si="206"/>
        <v>1.05236763299745</v>
      </c>
      <c r="L71" s="798">
        <f t="shared" si="199"/>
        <v>0.630444147902197</v>
      </c>
      <c r="M71" s="724">
        <f t="shared" si="207"/>
        <v>0</v>
      </c>
      <c r="N71" s="798">
        <f t="shared" si="208"/>
        <v>0.630444147902197</v>
      </c>
      <c r="O71" s="724">
        <f t="shared" si="209"/>
        <v>0</v>
      </c>
      <c r="P71" s="798">
        <f t="shared" si="210"/>
        <v>0.630444147902197</v>
      </c>
      <c r="Q71" s="724">
        <f t="shared" si="211"/>
        <v>0</v>
      </c>
      <c r="R71" s="798">
        <f t="shared" si="212"/>
        <v>0.630444147902197</v>
      </c>
      <c r="S71" s="724">
        <f t="shared" si="213"/>
        <v>0</v>
      </c>
      <c r="T71" s="798">
        <f t="shared" si="214"/>
        <v>0.630444147902197</v>
      </c>
      <c r="U71" s="724">
        <f t="shared" si="215"/>
        <v>0</v>
      </c>
      <c r="V71" s="798">
        <f t="shared" si="216"/>
        <v>0.630444147902197</v>
      </c>
      <c r="W71" s="724">
        <f t="shared" si="217"/>
        <v>0.0509033213899192</v>
      </c>
      <c r="X71" s="798"/>
      <c r="Y71" s="724"/>
      <c r="Z71" s="798"/>
      <c r="AA71" s="724"/>
      <c r="AB71" s="798"/>
      <c r="AC71" s="724"/>
      <c r="AD71" s="724">
        <f t="shared" si="218"/>
        <v>0.630444147902197</v>
      </c>
      <c r="AE71" s="724">
        <f t="shared" si="219"/>
        <v>1.40182471551208</v>
      </c>
      <c r="AF71" s="798">
        <f t="shared" si="200"/>
        <v>0.630444147902197</v>
      </c>
      <c r="AG71" s="724">
        <f t="shared" si="220"/>
        <v>0</v>
      </c>
      <c r="AH71" s="798">
        <f t="shared" si="221"/>
        <v>0.630444147902197</v>
      </c>
      <c r="AI71" s="724">
        <f t="shared" si="222"/>
        <v>0.248717151233044</v>
      </c>
      <c r="AJ71" s="798">
        <f t="shared" si="223"/>
        <v>0.630444147902197</v>
      </c>
      <c r="AK71" s="724">
        <f t="shared" si="224"/>
        <v>1.15310756427903</v>
      </c>
      <c r="AL71" s="724"/>
      <c r="AN71" s="806">
        <f t="shared" si="8"/>
        <v>45000.0000000001</v>
      </c>
    </row>
    <row r="72" s="699" customFormat="1" hidden="1" customHeight="1" outlineLevel="3" spans="1:40">
      <c r="A72" s="724" t="s">
        <v>314</v>
      </c>
      <c r="B72" s="734" t="s">
        <v>315</v>
      </c>
      <c r="C72" s="724">
        <f t="shared" si="201"/>
        <v>0</v>
      </c>
      <c r="D72" s="724">
        <f t="shared" si="202"/>
        <v>0</v>
      </c>
      <c r="E72" s="742">
        <v>0</v>
      </c>
      <c r="F72" s="724">
        <f t="shared" si="203"/>
        <v>0</v>
      </c>
      <c r="G72" s="724">
        <f t="shared" si="225"/>
        <v>0</v>
      </c>
      <c r="H72" s="798">
        <v>0</v>
      </c>
      <c r="I72" s="724">
        <f t="shared" si="204"/>
        <v>0</v>
      </c>
      <c r="J72" s="798">
        <f t="shared" si="205"/>
        <v>0</v>
      </c>
      <c r="K72" s="724">
        <f t="shared" si="206"/>
        <v>0</v>
      </c>
      <c r="L72" s="798">
        <f t="shared" si="199"/>
        <v>0</v>
      </c>
      <c r="M72" s="724">
        <f t="shared" si="207"/>
        <v>0</v>
      </c>
      <c r="N72" s="798">
        <f t="shared" si="208"/>
        <v>0</v>
      </c>
      <c r="O72" s="724">
        <f t="shared" si="209"/>
        <v>0</v>
      </c>
      <c r="P72" s="798">
        <f t="shared" si="210"/>
        <v>0</v>
      </c>
      <c r="Q72" s="724">
        <f t="shared" si="211"/>
        <v>0</v>
      </c>
      <c r="R72" s="798">
        <f t="shared" si="212"/>
        <v>0</v>
      </c>
      <c r="S72" s="724">
        <f t="shared" si="213"/>
        <v>0</v>
      </c>
      <c r="T72" s="798">
        <f t="shared" si="214"/>
        <v>0</v>
      </c>
      <c r="U72" s="724">
        <f t="shared" si="215"/>
        <v>0</v>
      </c>
      <c r="V72" s="798">
        <f t="shared" si="216"/>
        <v>0</v>
      </c>
      <c r="W72" s="724">
        <f t="shared" si="217"/>
        <v>0</v>
      </c>
      <c r="X72" s="798"/>
      <c r="Y72" s="724"/>
      <c r="Z72" s="798"/>
      <c r="AA72" s="724"/>
      <c r="AB72" s="798"/>
      <c r="AC72" s="724"/>
      <c r="AD72" s="724">
        <f t="shared" si="218"/>
        <v>0</v>
      </c>
      <c r="AE72" s="724">
        <f t="shared" si="219"/>
        <v>0</v>
      </c>
      <c r="AF72" s="798">
        <f t="shared" si="200"/>
        <v>0</v>
      </c>
      <c r="AG72" s="724">
        <f t="shared" si="220"/>
        <v>0</v>
      </c>
      <c r="AH72" s="798">
        <f t="shared" si="221"/>
        <v>0</v>
      </c>
      <c r="AI72" s="724">
        <f t="shared" si="222"/>
        <v>0</v>
      </c>
      <c r="AJ72" s="798">
        <f t="shared" si="223"/>
        <v>0</v>
      </c>
      <c r="AK72" s="724">
        <f t="shared" si="224"/>
        <v>0</v>
      </c>
      <c r="AL72" s="724"/>
      <c r="AN72" s="806">
        <f t="shared" si="8"/>
        <v>0</v>
      </c>
    </row>
    <row r="73" s="699" customFormat="1" hidden="1" customHeight="1" outlineLevel="3" spans="1:40">
      <c r="A73" s="724" t="s">
        <v>316</v>
      </c>
      <c r="B73" s="729" t="s">
        <v>317</v>
      </c>
      <c r="C73" s="724">
        <f t="shared" si="201"/>
        <v>0</v>
      </c>
      <c r="D73" s="724">
        <f t="shared" si="202"/>
        <v>0</v>
      </c>
      <c r="E73" s="742" t="s">
        <v>223</v>
      </c>
      <c r="F73" s="724">
        <f t="shared" si="203"/>
        <v>0</v>
      </c>
      <c r="G73" s="724">
        <f t="shared" si="225"/>
        <v>0</v>
      </c>
      <c r="H73" s="798"/>
      <c r="I73" s="724">
        <f t="shared" si="204"/>
        <v>0</v>
      </c>
      <c r="J73" s="798">
        <f t="shared" si="205"/>
        <v>0</v>
      </c>
      <c r="K73" s="724">
        <f t="shared" si="206"/>
        <v>0</v>
      </c>
      <c r="L73" s="798">
        <f t="shared" si="199"/>
        <v>0</v>
      </c>
      <c r="M73" s="724">
        <f t="shared" si="207"/>
        <v>0</v>
      </c>
      <c r="N73" s="798">
        <f t="shared" si="208"/>
        <v>0</v>
      </c>
      <c r="O73" s="724">
        <f t="shared" si="209"/>
        <v>0</v>
      </c>
      <c r="P73" s="798">
        <f t="shared" si="210"/>
        <v>0</v>
      </c>
      <c r="Q73" s="724">
        <f t="shared" si="211"/>
        <v>0</v>
      </c>
      <c r="R73" s="798">
        <f t="shared" si="212"/>
        <v>0</v>
      </c>
      <c r="S73" s="724">
        <f t="shared" si="213"/>
        <v>0</v>
      </c>
      <c r="T73" s="798">
        <f t="shared" si="214"/>
        <v>0</v>
      </c>
      <c r="U73" s="724">
        <f t="shared" si="215"/>
        <v>0</v>
      </c>
      <c r="V73" s="798">
        <f t="shared" si="216"/>
        <v>0</v>
      </c>
      <c r="W73" s="724">
        <f t="shared" si="217"/>
        <v>0</v>
      </c>
      <c r="X73" s="798"/>
      <c r="Y73" s="724"/>
      <c r="Z73" s="798"/>
      <c r="AA73" s="724"/>
      <c r="AB73" s="798"/>
      <c r="AC73" s="724"/>
      <c r="AD73" s="724">
        <f t="shared" si="218"/>
        <v>0</v>
      </c>
      <c r="AE73" s="724">
        <f t="shared" si="219"/>
        <v>0</v>
      </c>
      <c r="AF73" s="798">
        <f t="shared" ref="AF73:AF91" si="226">+V73</f>
        <v>0</v>
      </c>
      <c r="AG73" s="724">
        <f t="shared" si="220"/>
        <v>0</v>
      </c>
      <c r="AH73" s="798">
        <f t="shared" si="221"/>
        <v>0</v>
      </c>
      <c r="AI73" s="724">
        <f t="shared" si="222"/>
        <v>0</v>
      </c>
      <c r="AJ73" s="798">
        <f t="shared" si="223"/>
        <v>0</v>
      </c>
      <c r="AK73" s="724">
        <f t="shared" si="224"/>
        <v>0</v>
      </c>
      <c r="AL73" s="724"/>
      <c r="AN73" s="806">
        <f t="shared" si="8"/>
        <v>0</v>
      </c>
    </row>
    <row r="74" s="699" customFormat="1" hidden="1" customHeight="1" outlineLevel="3" spans="1:40">
      <c r="A74" s="724" t="s">
        <v>318</v>
      </c>
      <c r="B74" s="729" t="s">
        <v>319</v>
      </c>
      <c r="C74" s="724">
        <f t="shared" si="201"/>
        <v>0</v>
      </c>
      <c r="D74" s="724">
        <f t="shared" si="202"/>
        <v>0</v>
      </c>
      <c r="E74" s="742" t="s">
        <v>223</v>
      </c>
      <c r="F74" s="724">
        <f t="shared" si="203"/>
        <v>0</v>
      </c>
      <c r="G74" s="724">
        <f t="shared" si="225"/>
        <v>0</v>
      </c>
      <c r="H74" s="798"/>
      <c r="I74" s="724">
        <f t="shared" si="204"/>
        <v>0</v>
      </c>
      <c r="J74" s="798">
        <f t="shared" si="205"/>
        <v>0</v>
      </c>
      <c r="K74" s="724">
        <f t="shared" si="206"/>
        <v>0</v>
      </c>
      <c r="L74" s="798">
        <f t="shared" si="199"/>
        <v>0</v>
      </c>
      <c r="M74" s="724">
        <f t="shared" si="207"/>
        <v>0</v>
      </c>
      <c r="N74" s="798">
        <f t="shared" si="208"/>
        <v>0</v>
      </c>
      <c r="O74" s="724">
        <f t="shared" si="209"/>
        <v>0</v>
      </c>
      <c r="P74" s="798">
        <f t="shared" si="210"/>
        <v>0</v>
      </c>
      <c r="Q74" s="724">
        <f t="shared" si="211"/>
        <v>0</v>
      </c>
      <c r="R74" s="798">
        <f t="shared" si="212"/>
        <v>0</v>
      </c>
      <c r="S74" s="724">
        <f t="shared" si="213"/>
        <v>0</v>
      </c>
      <c r="T74" s="798">
        <f t="shared" si="214"/>
        <v>0</v>
      </c>
      <c r="U74" s="724">
        <f t="shared" si="215"/>
        <v>0</v>
      </c>
      <c r="V74" s="798">
        <f t="shared" si="216"/>
        <v>0</v>
      </c>
      <c r="W74" s="724">
        <f t="shared" si="217"/>
        <v>0</v>
      </c>
      <c r="X74" s="798"/>
      <c r="Y74" s="724"/>
      <c r="Z74" s="798"/>
      <c r="AA74" s="724"/>
      <c r="AB74" s="798"/>
      <c r="AC74" s="724"/>
      <c r="AD74" s="724">
        <f t="shared" si="218"/>
        <v>0</v>
      </c>
      <c r="AE74" s="724">
        <f t="shared" si="219"/>
        <v>0</v>
      </c>
      <c r="AF74" s="798">
        <f t="shared" si="226"/>
        <v>0</v>
      </c>
      <c r="AG74" s="724">
        <f t="shared" si="220"/>
        <v>0</v>
      </c>
      <c r="AH74" s="798">
        <f t="shared" si="221"/>
        <v>0</v>
      </c>
      <c r="AI74" s="724">
        <f t="shared" si="222"/>
        <v>0</v>
      </c>
      <c r="AJ74" s="798">
        <f t="shared" si="223"/>
        <v>0</v>
      </c>
      <c r="AK74" s="724">
        <f t="shared" si="224"/>
        <v>0</v>
      </c>
      <c r="AL74" s="724"/>
      <c r="AN74" s="806">
        <f t="shared" si="8"/>
        <v>0</v>
      </c>
    </row>
    <row r="75" s="699" customFormat="1" hidden="1" customHeight="1" outlineLevel="3" spans="1:40">
      <c r="A75" s="724" t="s">
        <v>320</v>
      </c>
      <c r="B75" s="734" t="s">
        <v>321</v>
      </c>
      <c r="C75" s="724">
        <f t="shared" si="201"/>
        <v>0</v>
      </c>
      <c r="D75" s="724">
        <f t="shared" si="202"/>
        <v>0</v>
      </c>
      <c r="E75" s="742"/>
      <c r="F75" s="724">
        <f t="shared" si="203"/>
        <v>0</v>
      </c>
      <c r="G75" s="724">
        <f t="shared" si="225"/>
        <v>0</v>
      </c>
      <c r="H75" s="798">
        <f>0*经济指标!K25/10000/C8</f>
        <v>0</v>
      </c>
      <c r="I75" s="724">
        <f t="shared" si="204"/>
        <v>0</v>
      </c>
      <c r="J75" s="798">
        <f t="shared" si="205"/>
        <v>0</v>
      </c>
      <c r="K75" s="724">
        <f t="shared" si="206"/>
        <v>0</v>
      </c>
      <c r="L75" s="798">
        <f t="shared" si="199"/>
        <v>0</v>
      </c>
      <c r="M75" s="724">
        <f t="shared" si="207"/>
        <v>0</v>
      </c>
      <c r="N75" s="798">
        <f t="shared" si="208"/>
        <v>0</v>
      </c>
      <c r="O75" s="724">
        <f t="shared" si="209"/>
        <v>0</v>
      </c>
      <c r="P75" s="798">
        <f t="shared" si="210"/>
        <v>0</v>
      </c>
      <c r="Q75" s="724">
        <f t="shared" si="211"/>
        <v>0</v>
      </c>
      <c r="R75" s="798">
        <f t="shared" si="212"/>
        <v>0</v>
      </c>
      <c r="S75" s="724">
        <f t="shared" si="213"/>
        <v>0</v>
      </c>
      <c r="T75" s="798">
        <f t="shared" si="214"/>
        <v>0</v>
      </c>
      <c r="U75" s="724">
        <f t="shared" si="215"/>
        <v>0</v>
      </c>
      <c r="V75" s="798">
        <f t="shared" si="216"/>
        <v>0</v>
      </c>
      <c r="W75" s="724">
        <f t="shared" si="217"/>
        <v>0</v>
      </c>
      <c r="X75" s="798"/>
      <c r="Y75" s="724"/>
      <c r="Z75" s="798"/>
      <c r="AA75" s="724"/>
      <c r="AB75" s="798"/>
      <c r="AC75" s="724"/>
      <c r="AD75" s="724">
        <f t="shared" si="218"/>
        <v>0</v>
      </c>
      <c r="AE75" s="724">
        <f t="shared" si="219"/>
        <v>0</v>
      </c>
      <c r="AF75" s="798">
        <f t="shared" si="226"/>
        <v>0</v>
      </c>
      <c r="AG75" s="724">
        <f t="shared" si="220"/>
        <v>0</v>
      </c>
      <c r="AH75" s="798">
        <f t="shared" si="221"/>
        <v>0</v>
      </c>
      <c r="AI75" s="724">
        <f t="shared" si="222"/>
        <v>0</v>
      </c>
      <c r="AJ75" s="798">
        <f t="shared" si="223"/>
        <v>0</v>
      </c>
      <c r="AK75" s="724">
        <f t="shared" si="224"/>
        <v>0</v>
      </c>
      <c r="AL75" s="724"/>
      <c r="AN75" s="806">
        <f t="shared" ref="AN75:AN138" si="227">+D75*10000</f>
        <v>0</v>
      </c>
    </row>
    <row r="76" s="699" customFormat="1" hidden="1" customHeight="1" outlineLevel="3" spans="1:40">
      <c r="A76" s="724" t="s">
        <v>322</v>
      </c>
      <c r="B76" s="734" t="s">
        <v>323</v>
      </c>
      <c r="C76" s="724">
        <f t="shared" si="201"/>
        <v>0</v>
      </c>
      <c r="D76" s="724">
        <f t="shared" si="202"/>
        <v>0</v>
      </c>
      <c r="E76" s="742"/>
      <c r="F76" s="724">
        <f t="shared" si="203"/>
        <v>0</v>
      </c>
      <c r="G76" s="724">
        <f t="shared" si="225"/>
        <v>0</v>
      </c>
      <c r="H76" s="798">
        <v>0</v>
      </c>
      <c r="I76" s="724">
        <f t="shared" si="204"/>
        <v>0</v>
      </c>
      <c r="J76" s="798">
        <f t="shared" si="205"/>
        <v>0</v>
      </c>
      <c r="K76" s="724">
        <f t="shared" si="206"/>
        <v>0</v>
      </c>
      <c r="L76" s="798">
        <f t="shared" si="199"/>
        <v>0</v>
      </c>
      <c r="M76" s="724">
        <f t="shared" si="207"/>
        <v>0</v>
      </c>
      <c r="N76" s="798">
        <f t="shared" si="208"/>
        <v>0</v>
      </c>
      <c r="O76" s="724">
        <f t="shared" si="209"/>
        <v>0</v>
      </c>
      <c r="P76" s="798">
        <f t="shared" si="210"/>
        <v>0</v>
      </c>
      <c r="Q76" s="724">
        <f t="shared" si="211"/>
        <v>0</v>
      </c>
      <c r="R76" s="798">
        <f t="shared" si="212"/>
        <v>0</v>
      </c>
      <c r="S76" s="724">
        <f t="shared" si="213"/>
        <v>0</v>
      </c>
      <c r="T76" s="798">
        <f t="shared" si="214"/>
        <v>0</v>
      </c>
      <c r="U76" s="724">
        <f t="shared" si="215"/>
        <v>0</v>
      </c>
      <c r="V76" s="798">
        <f t="shared" si="216"/>
        <v>0</v>
      </c>
      <c r="W76" s="724">
        <f t="shared" si="217"/>
        <v>0</v>
      </c>
      <c r="X76" s="798"/>
      <c r="Y76" s="724"/>
      <c r="Z76" s="798"/>
      <c r="AA76" s="724"/>
      <c r="AB76" s="798"/>
      <c r="AC76" s="724"/>
      <c r="AD76" s="724">
        <f t="shared" si="218"/>
        <v>0</v>
      </c>
      <c r="AE76" s="724">
        <f t="shared" si="219"/>
        <v>0</v>
      </c>
      <c r="AF76" s="798">
        <f t="shared" si="226"/>
        <v>0</v>
      </c>
      <c r="AG76" s="724">
        <f t="shared" si="220"/>
        <v>0</v>
      </c>
      <c r="AH76" s="798">
        <f t="shared" si="221"/>
        <v>0</v>
      </c>
      <c r="AI76" s="724">
        <f t="shared" si="222"/>
        <v>0</v>
      </c>
      <c r="AJ76" s="798">
        <f t="shared" si="223"/>
        <v>0</v>
      </c>
      <c r="AK76" s="724">
        <f t="shared" si="224"/>
        <v>0</v>
      </c>
      <c r="AL76" s="724"/>
      <c r="AN76" s="806">
        <f t="shared" si="227"/>
        <v>0</v>
      </c>
    </row>
    <row r="77" s="700" customFormat="1" hidden="1" customHeight="1" outlineLevel="2" collapsed="1" spans="1:56">
      <c r="A77" s="726" t="s">
        <v>324</v>
      </c>
      <c r="B77" s="726" t="s">
        <v>325</v>
      </c>
      <c r="C77" s="799"/>
      <c r="D77" s="726"/>
      <c r="E77" s="726"/>
      <c r="F77" s="743"/>
      <c r="G77" s="726"/>
      <c r="H77" s="726"/>
      <c r="I77" s="800"/>
      <c r="J77" s="726"/>
      <c r="K77" s="800"/>
      <c r="L77" s="726"/>
      <c r="M77" s="800"/>
      <c r="N77" s="726"/>
      <c r="O77" s="800"/>
      <c r="P77" s="726"/>
      <c r="Q77" s="800"/>
      <c r="R77" s="726"/>
      <c r="S77" s="800"/>
      <c r="T77" s="726"/>
      <c r="U77" s="800"/>
      <c r="V77" s="726"/>
      <c r="W77" s="800"/>
      <c r="X77" s="726"/>
      <c r="Y77" s="800"/>
      <c r="Z77" s="726"/>
      <c r="AA77" s="800"/>
      <c r="AB77" s="726"/>
      <c r="AC77" s="800"/>
      <c r="AD77" s="726"/>
      <c r="AE77" s="726"/>
      <c r="AF77" s="726"/>
      <c r="AG77" s="800"/>
      <c r="AH77" s="726"/>
      <c r="AI77" s="800"/>
      <c r="AJ77" s="726"/>
      <c r="AK77" s="800"/>
      <c r="AL77" s="724"/>
      <c r="AM77" s="699"/>
      <c r="AN77" s="806">
        <f t="shared" si="227"/>
        <v>0</v>
      </c>
      <c r="AO77" s="699"/>
      <c r="AP77" s="699"/>
      <c r="AQ77" s="699"/>
      <c r="AR77" s="699"/>
      <c r="AS77" s="699"/>
      <c r="AT77" s="699"/>
      <c r="AU77" s="699"/>
      <c r="AV77" s="699"/>
      <c r="AW77" s="699"/>
      <c r="AX77" s="699"/>
      <c r="AY77" s="699"/>
      <c r="AZ77" s="699"/>
      <c r="BA77" s="699"/>
      <c r="BB77" s="699"/>
      <c r="BC77" s="699"/>
      <c r="BD77" s="699"/>
    </row>
    <row r="78" s="699" customFormat="1" hidden="1" customHeight="1" outlineLevel="3" spans="1:40">
      <c r="A78" s="724" t="s">
        <v>326</v>
      </c>
      <c r="B78" s="728" t="s">
        <v>327</v>
      </c>
      <c r="C78" s="724">
        <f t="shared" ref="C77:C86" si="228">D78/$C$8</f>
        <v>1</v>
      </c>
      <c r="D78" s="724">
        <f t="shared" ref="D77:D86" si="229">G78+AE78</f>
        <v>7.137825</v>
      </c>
      <c r="E78" s="742" t="s">
        <v>328</v>
      </c>
      <c r="F78" s="724">
        <f t="shared" ref="F77:F86" si="230">G78/$F$8</f>
        <v>1</v>
      </c>
      <c r="G78" s="724">
        <f t="shared" ref="G78:G91" si="231">I78+K78+M78+O78+Q78+S78+U78+W78</f>
        <v>4.914274</v>
      </c>
      <c r="H78" s="798">
        <v>1</v>
      </c>
      <c r="I78" s="724">
        <f t="shared" ref="I77:I86" si="232">H78*H$8</f>
        <v>3.164284</v>
      </c>
      <c r="J78" s="798">
        <f t="shared" ref="J77:J86" si="233">+H78</f>
        <v>1</v>
      </c>
      <c r="K78" s="724">
        <f t="shared" ref="K77:K86" si="234">J78*J$8</f>
        <v>1.669248</v>
      </c>
      <c r="L78" s="798">
        <f t="shared" ref="L77:L86" si="235">+H78</f>
        <v>1</v>
      </c>
      <c r="M78" s="724">
        <f t="shared" ref="M77:M86" si="236">L78*L$8</f>
        <v>0</v>
      </c>
      <c r="N78" s="798">
        <f t="shared" ref="N77:N86" si="237">+L78</f>
        <v>1</v>
      </c>
      <c r="O78" s="724">
        <f t="shared" ref="O77:O86" si="238">N78*N$8</f>
        <v>0</v>
      </c>
      <c r="P78" s="798">
        <f t="shared" ref="P77:P86" si="239">+N78</f>
        <v>1</v>
      </c>
      <c r="Q78" s="724">
        <f t="shared" ref="Q77:Q86" si="240">P78*P$8</f>
        <v>0</v>
      </c>
      <c r="R78" s="798">
        <f t="shared" ref="R77:R86" si="241">+P78</f>
        <v>1</v>
      </c>
      <c r="S78" s="724">
        <f t="shared" ref="S77:S86" si="242">R78*R$8</f>
        <v>0</v>
      </c>
      <c r="T78" s="798">
        <f t="shared" ref="T77:T86" si="243">+R78</f>
        <v>1</v>
      </c>
      <c r="U78" s="724">
        <f t="shared" ref="U77:U86" si="244">T78*T$8</f>
        <v>0</v>
      </c>
      <c r="V78" s="798">
        <f t="shared" ref="V77:V86" si="245">+T78</f>
        <v>1</v>
      </c>
      <c r="W78" s="724">
        <f t="shared" ref="W77:W86" si="246">V78*V$8</f>
        <v>0.080742</v>
      </c>
      <c r="X78" s="798"/>
      <c r="Y78" s="724"/>
      <c r="Z78" s="798"/>
      <c r="AA78" s="724"/>
      <c r="AB78" s="798"/>
      <c r="AC78" s="724"/>
      <c r="AD78" s="724">
        <f t="shared" ref="AD77:AD86" si="247">AE78/AD$8</f>
        <v>1</v>
      </c>
      <c r="AE78" s="724">
        <f t="shared" ref="AE77:AE86" si="248">AG78*0+AI78+AK78</f>
        <v>2.223551</v>
      </c>
      <c r="AF78" s="798">
        <f t="shared" si="226"/>
        <v>1</v>
      </c>
      <c r="AG78" s="724">
        <f t="shared" ref="AG77:AG86" si="249">AF78*AF$8</f>
        <v>0</v>
      </c>
      <c r="AH78" s="798">
        <f t="shared" ref="AH77:AH86" si="250">+AF78</f>
        <v>1</v>
      </c>
      <c r="AI78" s="724">
        <f t="shared" ref="AI77:AI86" si="251">AH78*AH$8</f>
        <v>0.394511</v>
      </c>
      <c r="AJ78" s="798">
        <f t="shared" ref="AJ77:AJ86" si="252">+AH78</f>
        <v>1</v>
      </c>
      <c r="AK78" s="724">
        <f t="shared" ref="AK77:AK86" si="253">AJ78*AJ$8</f>
        <v>1.82904</v>
      </c>
      <c r="AL78" s="724"/>
      <c r="AN78" s="806">
        <f t="shared" si="227"/>
        <v>71378.25</v>
      </c>
    </row>
    <row r="79" s="699" customFormat="1" hidden="1" customHeight="1" outlineLevel="3" spans="1:40">
      <c r="A79" s="724" t="s">
        <v>329</v>
      </c>
      <c r="B79" s="729" t="s">
        <v>330</v>
      </c>
      <c r="C79" s="724">
        <f t="shared" si="228"/>
        <v>0</v>
      </c>
      <c r="D79" s="724">
        <f t="shared" si="229"/>
        <v>0</v>
      </c>
      <c r="E79" s="742" t="s">
        <v>331</v>
      </c>
      <c r="F79" s="724">
        <f t="shared" si="230"/>
        <v>0</v>
      </c>
      <c r="G79" s="724">
        <f t="shared" si="231"/>
        <v>0</v>
      </c>
      <c r="H79" s="798"/>
      <c r="I79" s="724">
        <f t="shared" si="232"/>
        <v>0</v>
      </c>
      <c r="J79" s="798">
        <f t="shared" si="233"/>
        <v>0</v>
      </c>
      <c r="K79" s="724">
        <f t="shared" si="234"/>
        <v>0</v>
      </c>
      <c r="L79" s="798">
        <f t="shared" si="235"/>
        <v>0</v>
      </c>
      <c r="M79" s="724">
        <f t="shared" si="236"/>
        <v>0</v>
      </c>
      <c r="N79" s="798">
        <f t="shared" si="237"/>
        <v>0</v>
      </c>
      <c r="O79" s="724">
        <f t="shared" si="238"/>
        <v>0</v>
      </c>
      <c r="P79" s="798">
        <f t="shared" si="239"/>
        <v>0</v>
      </c>
      <c r="Q79" s="724">
        <f t="shared" si="240"/>
        <v>0</v>
      </c>
      <c r="R79" s="798">
        <f t="shared" si="241"/>
        <v>0</v>
      </c>
      <c r="S79" s="724">
        <f t="shared" si="242"/>
        <v>0</v>
      </c>
      <c r="T79" s="798">
        <f t="shared" si="243"/>
        <v>0</v>
      </c>
      <c r="U79" s="724">
        <f t="shared" si="244"/>
        <v>0</v>
      </c>
      <c r="V79" s="798">
        <f t="shared" si="245"/>
        <v>0</v>
      </c>
      <c r="W79" s="724">
        <f t="shared" si="246"/>
        <v>0</v>
      </c>
      <c r="X79" s="798"/>
      <c r="Y79" s="724"/>
      <c r="Z79" s="798"/>
      <c r="AA79" s="724"/>
      <c r="AB79" s="798"/>
      <c r="AC79" s="724"/>
      <c r="AD79" s="724">
        <f t="shared" si="247"/>
        <v>0</v>
      </c>
      <c r="AE79" s="724">
        <f t="shared" si="248"/>
        <v>0</v>
      </c>
      <c r="AF79" s="798">
        <f t="shared" si="226"/>
        <v>0</v>
      </c>
      <c r="AG79" s="724">
        <f t="shared" si="249"/>
        <v>0</v>
      </c>
      <c r="AH79" s="798">
        <f t="shared" si="250"/>
        <v>0</v>
      </c>
      <c r="AI79" s="724">
        <f t="shared" si="251"/>
        <v>0</v>
      </c>
      <c r="AJ79" s="798">
        <f t="shared" si="252"/>
        <v>0</v>
      </c>
      <c r="AK79" s="724">
        <f t="shared" si="253"/>
        <v>0</v>
      </c>
      <c r="AL79" s="724"/>
      <c r="AN79" s="806">
        <f t="shared" si="227"/>
        <v>0</v>
      </c>
    </row>
    <row r="80" s="699" customFormat="1" hidden="1" customHeight="1" outlineLevel="3" spans="1:40">
      <c r="A80" s="724" t="s">
        <v>332</v>
      </c>
      <c r="B80" s="729" t="s">
        <v>333</v>
      </c>
      <c r="C80" s="724">
        <f t="shared" si="228"/>
        <v>0</v>
      </c>
      <c r="D80" s="724">
        <f t="shared" si="229"/>
        <v>0</v>
      </c>
      <c r="E80" s="742" t="s">
        <v>223</v>
      </c>
      <c r="F80" s="724">
        <f t="shared" si="230"/>
        <v>0</v>
      </c>
      <c r="G80" s="724">
        <f t="shared" si="231"/>
        <v>0</v>
      </c>
      <c r="H80" s="798"/>
      <c r="I80" s="724">
        <f t="shared" si="232"/>
        <v>0</v>
      </c>
      <c r="J80" s="798">
        <f t="shared" si="233"/>
        <v>0</v>
      </c>
      <c r="K80" s="724">
        <f t="shared" si="234"/>
        <v>0</v>
      </c>
      <c r="L80" s="798">
        <f t="shared" si="235"/>
        <v>0</v>
      </c>
      <c r="M80" s="724">
        <f t="shared" si="236"/>
        <v>0</v>
      </c>
      <c r="N80" s="798">
        <f t="shared" si="237"/>
        <v>0</v>
      </c>
      <c r="O80" s="724">
        <f t="shared" si="238"/>
        <v>0</v>
      </c>
      <c r="P80" s="798">
        <f t="shared" si="239"/>
        <v>0</v>
      </c>
      <c r="Q80" s="724">
        <f t="shared" si="240"/>
        <v>0</v>
      </c>
      <c r="R80" s="798">
        <f t="shared" si="241"/>
        <v>0</v>
      </c>
      <c r="S80" s="724">
        <f t="shared" si="242"/>
        <v>0</v>
      </c>
      <c r="T80" s="798">
        <f t="shared" si="243"/>
        <v>0</v>
      </c>
      <c r="U80" s="724">
        <f t="shared" si="244"/>
        <v>0</v>
      </c>
      <c r="V80" s="798">
        <f t="shared" si="245"/>
        <v>0</v>
      </c>
      <c r="W80" s="724">
        <f t="shared" si="246"/>
        <v>0</v>
      </c>
      <c r="X80" s="798"/>
      <c r="Y80" s="724"/>
      <c r="Z80" s="798"/>
      <c r="AA80" s="724"/>
      <c r="AB80" s="798"/>
      <c r="AC80" s="724"/>
      <c r="AD80" s="724">
        <f t="shared" si="247"/>
        <v>0</v>
      </c>
      <c r="AE80" s="724">
        <f t="shared" si="248"/>
        <v>0</v>
      </c>
      <c r="AF80" s="798">
        <f t="shared" si="226"/>
        <v>0</v>
      </c>
      <c r="AG80" s="724">
        <f t="shared" si="249"/>
        <v>0</v>
      </c>
      <c r="AH80" s="798">
        <f t="shared" si="250"/>
        <v>0</v>
      </c>
      <c r="AI80" s="724">
        <f t="shared" si="251"/>
        <v>0</v>
      </c>
      <c r="AJ80" s="798">
        <f t="shared" si="252"/>
        <v>0</v>
      </c>
      <c r="AK80" s="724">
        <f t="shared" si="253"/>
        <v>0</v>
      </c>
      <c r="AL80" s="724"/>
      <c r="AN80" s="806">
        <f t="shared" si="227"/>
        <v>0</v>
      </c>
    </row>
    <row r="81" s="699" customFormat="1" hidden="1" customHeight="1" outlineLevel="3" spans="1:40">
      <c r="A81" s="724" t="s">
        <v>334</v>
      </c>
      <c r="B81" s="729" t="s">
        <v>335</v>
      </c>
      <c r="C81" s="724">
        <f t="shared" si="228"/>
        <v>0</v>
      </c>
      <c r="D81" s="724">
        <f t="shared" si="229"/>
        <v>0</v>
      </c>
      <c r="E81" s="742" t="s">
        <v>223</v>
      </c>
      <c r="F81" s="724">
        <f t="shared" si="230"/>
        <v>0</v>
      </c>
      <c r="G81" s="724">
        <f t="shared" si="231"/>
        <v>0</v>
      </c>
      <c r="H81" s="798"/>
      <c r="I81" s="724">
        <f t="shared" si="232"/>
        <v>0</v>
      </c>
      <c r="J81" s="798">
        <f t="shared" si="233"/>
        <v>0</v>
      </c>
      <c r="K81" s="724">
        <f t="shared" si="234"/>
        <v>0</v>
      </c>
      <c r="L81" s="798">
        <f t="shared" si="235"/>
        <v>0</v>
      </c>
      <c r="M81" s="724">
        <f t="shared" si="236"/>
        <v>0</v>
      </c>
      <c r="N81" s="798">
        <f t="shared" si="237"/>
        <v>0</v>
      </c>
      <c r="O81" s="724">
        <f t="shared" si="238"/>
        <v>0</v>
      </c>
      <c r="P81" s="798">
        <f t="shared" si="239"/>
        <v>0</v>
      </c>
      <c r="Q81" s="724">
        <f t="shared" si="240"/>
        <v>0</v>
      </c>
      <c r="R81" s="798">
        <f t="shared" si="241"/>
        <v>0</v>
      </c>
      <c r="S81" s="724">
        <f t="shared" si="242"/>
        <v>0</v>
      </c>
      <c r="T81" s="798">
        <f t="shared" si="243"/>
        <v>0</v>
      </c>
      <c r="U81" s="724">
        <f t="shared" si="244"/>
        <v>0</v>
      </c>
      <c r="V81" s="798">
        <f t="shared" si="245"/>
        <v>0</v>
      </c>
      <c r="W81" s="724">
        <f t="shared" si="246"/>
        <v>0</v>
      </c>
      <c r="X81" s="798"/>
      <c r="Y81" s="724"/>
      <c r="Z81" s="798"/>
      <c r="AA81" s="724"/>
      <c r="AB81" s="798"/>
      <c r="AC81" s="724"/>
      <c r="AD81" s="724">
        <f t="shared" si="247"/>
        <v>0</v>
      </c>
      <c r="AE81" s="724">
        <f t="shared" si="248"/>
        <v>0</v>
      </c>
      <c r="AF81" s="798">
        <f t="shared" si="226"/>
        <v>0</v>
      </c>
      <c r="AG81" s="724">
        <f t="shared" si="249"/>
        <v>0</v>
      </c>
      <c r="AH81" s="798">
        <f t="shared" si="250"/>
        <v>0</v>
      </c>
      <c r="AI81" s="724">
        <f t="shared" si="251"/>
        <v>0</v>
      </c>
      <c r="AJ81" s="798">
        <f t="shared" si="252"/>
        <v>0</v>
      </c>
      <c r="AK81" s="724">
        <f t="shared" si="253"/>
        <v>0</v>
      </c>
      <c r="AL81" s="724"/>
      <c r="AN81" s="806">
        <f t="shared" si="227"/>
        <v>0</v>
      </c>
    </row>
    <row r="82" s="699" customFormat="1" hidden="1" customHeight="1" outlineLevel="3" spans="1:40">
      <c r="A82" s="724" t="s">
        <v>336</v>
      </c>
      <c r="B82" s="729" t="s">
        <v>337</v>
      </c>
      <c r="C82" s="724">
        <f t="shared" si="228"/>
        <v>0.3</v>
      </c>
      <c r="D82" s="724">
        <f t="shared" si="229"/>
        <v>2.1413475</v>
      </c>
      <c r="E82" s="742" t="s">
        <v>338</v>
      </c>
      <c r="F82" s="724">
        <f t="shared" si="230"/>
        <v>0.3</v>
      </c>
      <c r="G82" s="724">
        <f t="shared" si="231"/>
        <v>1.4742822</v>
      </c>
      <c r="H82" s="798">
        <v>0.3</v>
      </c>
      <c r="I82" s="724">
        <f t="shared" si="232"/>
        <v>0.9492852</v>
      </c>
      <c r="J82" s="798">
        <f t="shared" si="233"/>
        <v>0.3</v>
      </c>
      <c r="K82" s="724">
        <f t="shared" si="234"/>
        <v>0.5007744</v>
      </c>
      <c r="L82" s="798">
        <f t="shared" si="235"/>
        <v>0.3</v>
      </c>
      <c r="M82" s="724">
        <f t="shared" si="236"/>
        <v>0</v>
      </c>
      <c r="N82" s="798">
        <f t="shared" si="237"/>
        <v>0.3</v>
      </c>
      <c r="O82" s="724">
        <f t="shared" si="238"/>
        <v>0</v>
      </c>
      <c r="P82" s="798">
        <f t="shared" si="239"/>
        <v>0.3</v>
      </c>
      <c r="Q82" s="724">
        <f t="shared" si="240"/>
        <v>0</v>
      </c>
      <c r="R82" s="798">
        <f t="shared" si="241"/>
        <v>0.3</v>
      </c>
      <c r="S82" s="724">
        <f t="shared" si="242"/>
        <v>0</v>
      </c>
      <c r="T82" s="798">
        <f t="shared" si="243"/>
        <v>0.3</v>
      </c>
      <c r="U82" s="724">
        <f t="shared" si="244"/>
        <v>0</v>
      </c>
      <c r="V82" s="798">
        <f t="shared" si="245"/>
        <v>0.3</v>
      </c>
      <c r="W82" s="724">
        <f t="shared" si="246"/>
        <v>0.0242226</v>
      </c>
      <c r="X82" s="798"/>
      <c r="Y82" s="724"/>
      <c r="Z82" s="798"/>
      <c r="AA82" s="724"/>
      <c r="AB82" s="798"/>
      <c r="AC82" s="724"/>
      <c r="AD82" s="724">
        <f t="shared" si="247"/>
        <v>0.3</v>
      </c>
      <c r="AE82" s="724">
        <f t="shared" si="248"/>
        <v>0.6670653</v>
      </c>
      <c r="AF82" s="798">
        <f t="shared" si="226"/>
        <v>0.3</v>
      </c>
      <c r="AG82" s="724">
        <f t="shared" si="249"/>
        <v>0</v>
      </c>
      <c r="AH82" s="798">
        <f t="shared" si="250"/>
        <v>0.3</v>
      </c>
      <c r="AI82" s="724">
        <f t="shared" si="251"/>
        <v>0.1183533</v>
      </c>
      <c r="AJ82" s="798">
        <f t="shared" si="252"/>
        <v>0.3</v>
      </c>
      <c r="AK82" s="724">
        <f t="shared" si="253"/>
        <v>0.548712</v>
      </c>
      <c r="AL82" s="724"/>
      <c r="AN82" s="806">
        <f t="shared" si="227"/>
        <v>21413.475</v>
      </c>
    </row>
    <row r="83" s="699" customFormat="1" hidden="1" customHeight="1" outlineLevel="3" spans="1:40">
      <c r="A83" s="724" t="s">
        <v>339</v>
      </c>
      <c r="B83" s="728" t="s">
        <v>340</v>
      </c>
      <c r="C83" s="724">
        <f t="shared" si="228"/>
        <v>1.65</v>
      </c>
      <c r="D83" s="724">
        <f t="shared" si="229"/>
        <v>11.77741125</v>
      </c>
      <c r="E83" s="742" t="s">
        <v>341</v>
      </c>
      <c r="F83" s="724">
        <f t="shared" si="230"/>
        <v>1.65</v>
      </c>
      <c r="G83" s="724">
        <f t="shared" si="231"/>
        <v>8.1085521</v>
      </c>
      <c r="H83" s="798">
        <v>1.65</v>
      </c>
      <c r="I83" s="724">
        <f t="shared" si="232"/>
        <v>5.2210686</v>
      </c>
      <c r="J83" s="798">
        <f t="shared" si="233"/>
        <v>1.65</v>
      </c>
      <c r="K83" s="724">
        <f t="shared" si="234"/>
        <v>2.7542592</v>
      </c>
      <c r="L83" s="798">
        <f t="shared" si="235"/>
        <v>1.65</v>
      </c>
      <c r="M83" s="724">
        <f t="shared" si="236"/>
        <v>0</v>
      </c>
      <c r="N83" s="798">
        <f t="shared" si="237"/>
        <v>1.65</v>
      </c>
      <c r="O83" s="724">
        <f t="shared" si="238"/>
        <v>0</v>
      </c>
      <c r="P83" s="798">
        <f t="shared" si="239"/>
        <v>1.65</v>
      </c>
      <c r="Q83" s="724">
        <f t="shared" si="240"/>
        <v>0</v>
      </c>
      <c r="R83" s="798">
        <f t="shared" si="241"/>
        <v>1.65</v>
      </c>
      <c r="S83" s="724">
        <f t="shared" si="242"/>
        <v>0</v>
      </c>
      <c r="T83" s="798">
        <f t="shared" si="243"/>
        <v>1.65</v>
      </c>
      <c r="U83" s="724">
        <f t="shared" si="244"/>
        <v>0</v>
      </c>
      <c r="V83" s="798">
        <f t="shared" si="245"/>
        <v>1.65</v>
      </c>
      <c r="W83" s="724">
        <f t="shared" si="246"/>
        <v>0.1332243</v>
      </c>
      <c r="X83" s="798"/>
      <c r="Y83" s="724"/>
      <c r="Z83" s="798"/>
      <c r="AA83" s="724"/>
      <c r="AB83" s="798"/>
      <c r="AC83" s="724"/>
      <c r="AD83" s="724">
        <f t="shared" si="247"/>
        <v>1.65</v>
      </c>
      <c r="AE83" s="724">
        <f t="shared" si="248"/>
        <v>3.66885915</v>
      </c>
      <c r="AF83" s="798">
        <f t="shared" si="226"/>
        <v>1.65</v>
      </c>
      <c r="AG83" s="724">
        <f t="shared" si="249"/>
        <v>0</v>
      </c>
      <c r="AH83" s="798">
        <f t="shared" si="250"/>
        <v>1.65</v>
      </c>
      <c r="AI83" s="724">
        <f t="shared" si="251"/>
        <v>0.65094315</v>
      </c>
      <c r="AJ83" s="798">
        <f t="shared" si="252"/>
        <v>1.65</v>
      </c>
      <c r="AK83" s="724">
        <f t="shared" si="253"/>
        <v>3.017916</v>
      </c>
      <c r="AL83" s="724"/>
      <c r="AN83" s="806">
        <f t="shared" si="227"/>
        <v>117774.1125</v>
      </c>
    </row>
    <row r="84" s="699" customFormat="1" hidden="1" customHeight="1" outlineLevel="3" spans="1:40">
      <c r="A84" s="724" t="s">
        <v>342</v>
      </c>
      <c r="B84" s="728" t="s">
        <v>343</v>
      </c>
      <c r="C84" s="724">
        <f t="shared" si="228"/>
        <v>0</v>
      </c>
      <c r="D84" s="724">
        <f t="shared" si="229"/>
        <v>0</v>
      </c>
      <c r="E84" s="742" t="s">
        <v>223</v>
      </c>
      <c r="F84" s="724">
        <f t="shared" si="230"/>
        <v>0</v>
      </c>
      <c r="G84" s="724">
        <f t="shared" si="231"/>
        <v>0</v>
      </c>
      <c r="H84" s="798"/>
      <c r="I84" s="724">
        <f t="shared" si="232"/>
        <v>0</v>
      </c>
      <c r="J84" s="798">
        <f t="shared" si="233"/>
        <v>0</v>
      </c>
      <c r="K84" s="724">
        <f t="shared" si="234"/>
        <v>0</v>
      </c>
      <c r="L84" s="798">
        <f t="shared" si="235"/>
        <v>0</v>
      </c>
      <c r="M84" s="724">
        <f t="shared" si="236"/>
        <v>0</v>
      </c>
      <c r="N84" s="798">
        <f t="shared" si="237"/>
        <v>0</v>
      </c>
      <c r="O84" s="724">
        <f t="shared" si="238"/>
        <v>0</v>
      </c>
      <c r="P84" s="798">
        <f t="shared" si="239"/>
        <v>0</v>
      </c>
      <c r="Q84" s="724">
        <f t="shared" si="240"/>
        <v>0</v>
      </c>
      <c r="R84" s="798">
        <f t="shared" si="241"/>
        <v>0</v>
      </c>
      <c r="S84" s="724">
        <f t="shared" si="242"/>
        <v>0</v>
      </c>
      <c r="T84" s="798">
        <f t="shared" si="243"/>
        <v>0</v>
      </c>
      <c r="U84" s="724">
        <f t="shared" si="244"/>
        <v>0</v>
      </c>
      <c r="V84" s="798">
        <f t="shared" si="245"/>
        <v>0</v>
      </c>
      <c r="W84" s="724">
        <f t="shared" si="246"/>
        <v>0</v>
      </c>
      <c r="X84" s="798"/>
      <c r="Y84" s="724"/>
      <c r="Z84" s="798"/>
      <c r="AA84" s="724"/>
      <c r="AB84" s="798"/>
      <c r="AC84" s="724"/>
      <c r="AD84" s="724">
        <f t="shared" si="247"/>
        <v>0</v>
      </c>
      <c r="AE84" s="724">
        <f t="shared" si="248"/>
        <v>0</v>
      </c>
      <c r="AF84" s="798">
        <f t="shared" si="226"/>
        <v>0</v>
      </c>
      <c r="AG84" s="724">
        <f t="shared" si="249"/>
        <v>0</v>
      </c>
      <c r="AH84" s="798">
        <f t="shared" si="250"/>
        <v>0</v>
      </c>
      <c r="AI84" s="724">
        <f t="shared" si="251"/>
        <v>0</v>
      </c>
      <c r="AJ84" s="798">
        <f t="shared" si="252"/>
        <v>0</v>
      </c>
      <c r="AK84" s="724">
        <f t="shared" si="253"/>
        <v>0</v>
      </c>
      <c r="AL84" s="724"/>
      <c r="AN84" s="806">
        <f t="shared" si="227"/>
        <v>0</v>
      </c>
    </row>
    <row r="85" s="699" customFormat="1" hidden="1" customHeight="1" outlineLevel="3" spans="1:40">
      <c r="A85" s="724" t="s">
        <v>344</v>
      </c>
      <c r="B85" s="728" t="s">
        <v>345</v>
      </c>
      <c r="C85" s="724">
        <f t="shared" si="228"/>
        <v>0</v>
      </c>
      <c r="D85" s="724">
        <f t="shared" si="229"/>
        <v>0</v>
      </c>
      <c r="E85" s="742" t="s">
        <v>223</v>
      </c>
      <c r="F85" s="724">
        <f t="shared" si="230"/>
        <v>0</v>
      </c>
      <c r="G85" s="724">
        <f t="shared" si="231"/>
        <v>0</v>
      </c>
      <c r="H85" s="798"/>
      <c r="I85" s="724">
        <f t="shared" si="232"/>
        <v>0</v>
      </c>
      <c r="J85" s="798">
        <f t="shared" si="233"/>
        <v>0</v>
      </c>
      <c r="K85" s="724">
        <f t="shared" si="234"/>
        <v>0</v>
      </c>
      <c r="L85" s="798">
        <f t="shared" si="235"/>
        <v>0</v>
      </c>
      <c r="M85" s="724">
        <f t="shared" si="236"/>
        <v>0</v>
      </c>
      <c r="N85" s="798">
        <f t="shared" si="237"/>
        <v>0</v>
      </c>
      <c r="O85" s="724">
        <f t="shared" si="238"/>
        <v>0</v>
      </c>
      <c r="P85" s="798">
        <f t="shared" si="239"/>
        <v>0</v>
      </c>
      <c r="Q85" s="724">
        <f t="shared" si="240"/>
        <v>0</v>
      </c>
      <c r="R85" s="798">
        <f t="shared" si="241"/>
        <v>0</v>
      </c>
      <c r="S85" s="724">
        <f t="shared" si="242"/>
        <v>0</v>
      </c>
      <c r="T85" s="798">
        <f t="shared" si="243"/>
        <v>0</v>
      </c>
      <c r="U85" s="724">
        <f t="shared" si="244"/>
        <v>0</v>
      </c>
      <c r="V85" s="798">
        <f t="shared" si="245"/>
        <v>0</v>
      </c>
      <c r="W85" s="724">
        <f t="shared" si="246"/>
        <v>0</v>
      </c>
      <c r="X85" s="798"/>
      <c r="Y85" s="724"/>
      <c r="Z85" s="798"/>
      <c r="AA85" s="724"/>
      <c r="AB85" s="798"/>
      <c r="AC85" s="724"/>
      <c r="AD85" s="724">
        <f t="shared" si="247"/>
        <v>0</v>
      </c>
      <c r="AE85" s="724">
        <f t="shared" si="248"/>
        <v>0</v>
      </c>
      <c r="AF85" s="798">
        <f t="shared" si="226"/>
        <v>0</v>
      </c>
      <c r="AG85" s="724">
        <f t="shared" si="249"/>
        <v>0</v>
      </c>
      <c r="AH85" s="798">
        <f t="shared" si="250"/>
        <v>0</v>
      </c>
      <c r="AI85" s="724">
        <f t="shared" si="251"/>
        <v>0</v>
      </c>
      <c r="AJ85" s="798">
        <f t="shared" si="252"/>
        <v>0</v>
      </c>
      <c r="AK85" s="724">
        <f t="shared" si="253"/>
        <v>0</v>
      </c>
      <c r="AL85" s="724"/>
      <c r="AN85" s="806">
        <f t="shared" si="227"/>
        <v>0</v>
      </c>
    </row>
    <row r="86" s="699" customFormat="1" hidden="1" customHeight="1" outlineLevel="3" spans="1:40">
      <c r="A86" s="724" t="s">
        <v>346</v>
      </c>
      <c r="B86" s="734" t="s">
        <v>347</v>
      </c>
      <c r="C86" s="724">
        <f t="shared" si="228"/>
        <v>0</v>
      </c>
      <c r="D86" s="724">
        <f t="shared" si="229"/>
        <v>0</v>
      </c>
      <c r="E86" s="742" t="s">
        <v>223</v>
      </c>
      <c r="F86" s="724">
        <f t="shared" si="230"/>
        <v>0</v>
      </c>
      <c r="G86" s="724">
        <f t="shared" si="231"/>
        <v>0</v>
      </c>
      <c r="H86" s="798"/>
      <c r="I86" s="724">
        <f t="shared" si="232"/>
        <v>0</v>
      </c>
      <c r="J86" s="798">
        <f t="shared" si="233"/>
        <v>0</v>
      </c>
      <c r="K86" s="724">
        <f t="shared" si="234"/>
        <v>0</v>
      </c>
      <c r="L86" s="798">
        <f t="shared" si="235"/>
        <v>0</v>
      </c>
      <c r="M86" s="724">
        <f t="shared" si="236"/>
        <v>0</v>
      </c>
      <c r="N86" s="798">
        <f t="shared" si="237"/>
        <v>0</v>
      </c>
      <c r="O86" s="724">
        <f t="shared" si="238"/>
        <v>0</v>
      </c>
      <c r="P86" s="798">
        <f t="shared" si="239"/>
        <v>0</v>
      </c>
      <c r="Q86" s="724">
        <f t="shared" si="240"/>
        <v>0</v>
      </c>
      <c r="R86" s="798">
        <f t="shared" si="241"/>
        <v>0</v>
      </c>
      <c r="S86" s="724">
        <f t="shared" si="242"/>
        <v>0</v>
      </c>
      <c r="T86" s="798">
        <f t="shared" si="243"/>
        <v>0</v>
      </c>
      <c r="U86" s="724">
        <f t="shared" si="244"/>
        <v>0</v>
      </c>
      <c r="V86" s="798">
        <f t="shared" si="245"/>
        <v>0</v>
      </c>
      <c r="W86" s="724">
        <f t="shared" si="246"/>
        <v>0</v>
      </c>
      <c r="X86" s="798"/>
      <c r="Y86" s="724"/>
      <c r="Z86" s="798"/>
      <c r="AA86" s="724"/>
      <c r="AB86" s="798"/>
      <c r="AC86" s="724"/>
      <c r="AD86" s="724">
        <f t="shared" si="247"/>
        <v>0</v>
      </c>
      <c r="AE86" s="724">
        <f t="shared" si="248"/>
        <v>0</v>
      </c>
      <c r="AF86" s="798">
        <f t="shared" si="226"/>
        <v>0</v>
      </c>
      <c r="AG86" s="724">
        <f t="shared" si="249"/>
        <v>0</v>
      </c>
      <c r="AH86" s="798">
        <f t="shared" si="250"/>
        <v>0</v>
      </c>
      <c r="AI86" s="724">
        <f t="shared" si="251"/>
        <v>0</v>
      </c>
      <c r="AJ86" s="798">
        <f t="shared" si="252"/>
        <v>0</v>
      </c>
      <c r="AK86" s="724">
        <f t="shared" si="253"/>
        <v>0</v>
      </c>
      <c r="AL86" s="724"/>
      <c r="AN86" s="806">
        <f t="shared" si="227"/>
        <v>0</v>
      </c>
    </row>
    <row r="87" s="699" customFormat="1" hidden="1" customHeight="1" outlineLevel="3" spans="1:40">
      <c r="A87" s="724" t="s">
        <v>348</v>
      </c>
      <c r="B87" s="728" t="s">
        <v>349</v>
      </c>
      <c r="C87" s="724">
        <f t="shared" ref="C87:C90" si="254">D87/$C$8</f>
        <v>0</v>
      </c>
      <c r="D87" s="724">
        <f t="shared" ref="D87:D90" si="255">G87+AE87</f>
        <v>0</v>
      </c>
      <c r="E87" s="742" t="s">
        <v>223</v>
      </c>
      <c r="F87" s="724">
        <f t="shared" ref="F87:F90" si="256">G87/$F$8</f>
        <v>0</v>
      </c>
      <c r="G87" s="724">
        <f t="shared" si="231"/>
        <v>0</v>
      </c>
      <c r="H87" s="798"/>
      <c r="I87" s="724">
        <f t="shared" ref="I87:I90" si="257">H87*H$8</f>
        <v>0</v>
      </c>
      <c r="J87" s="798">
        <f t="shared" ref="J87:J90" si="258">+H87</f>
        <v>0</v>
      </c>
      <c r="K87" s="724">
        <f t="shared" ref="K87:K90" si="259">J87*J$8</f>
        <v>0</v>
      </c>
      <c r="L87" s="798">
        <f t="shared" ref="L87:L90" si="260">+H87</f>
        <v>0</v>
      </c>
      <c r="M87" s="724">
        <f t="shared" ref="M87:M90" si="261">L87*L$8</f>
        <v>0</v>
      </c>
      <c r="N87" s="798">
        <f t="shared" ref="N87:N90" si="262">+L87</f>
        <v>0</v>
      </c>
      <c r="O87" s="724">
        <f t="shared" ref="O87:O90" si="263">N87*N$8</f>
        <v>0</v>
      </c>
      <c r="P87" s="798">
        <f t="shared" ref="P87:P90" si="264">+N87</f>
        <v>0</v>
      </c>
      <c r="Q87" s="724">
        <f t="shared" ref="Q87:Q90" si="265">P87*P$8</f>
        <v>0</v>
      </c>
      <c r="R87" s="798">
        <f t="shared" ref="R87:R90" si="266">+P87</f>
        <v>0</v>
      </c>
      <c r="S87" s="724">
        <f t="shared" ref="S87:S90" si="267">R87*R$8</f>
        <v>0</v>
      </c>
      <c r="T87" s="798">
        <f t="shared" ref="T87:T90" si="268">+R87</f>
        <v>0</v>
      </c>
      <c r="U87" s="724">
        <f t="shared" ref="U87:U90" si="269">T87*T$8</f>
        <v>0</v>
      </c>
      <c r="V87" s="798">
        <f t="shared" ref="V87:V90" si="270">+T87</f>
        <v>0</v>
      </c>
      <c r="W87" s="724">
        <f t="shared" ref="W87:W90" si="271">V87*V$8</f>
        <v>0</v>
      </c>
      <c r="X87" s="798"/>
      <c r="Y87" s="724"/>
      <c r="Z87" s="798"/>
      <c r="AA87" s="724"/>
      <c r="AB87" s="798"/>
      <c r="AC87" s="724"/>
      <c r="AD87" s="724">
        <f t="shared" ref="AD87:AD90" si="272">AE87/AD$8</f>
        <v>0</v>
      </c>
      <c r="AE87" s="724">
        <f t="shared" ref="AE87:AE90" si="273">AG87*0+AI87+AK87</f>
        <v>0</v>
      </c>
      <c r="AF87" s="798">
        <f t="shared" si="226"/>
        <v>0</v>
      </c>
      <c r="AG87" s="724">
        <f t="shared" ref="AG87:AG90" si="274">AF87*AF$8</f>
        <v>0</v>
      </c>
      <c r="AH87" s="798">
        <f t="shared" ref="AH87:AH90" si="275">+AF87</f>
        <v>0</v>
      </c>
      <c r="AI87" s="724">
        <f t="shared" ref="AI87:AI90" si="276">AH87*AH$8</f>
        <v>0</v>
      </c>
      <c r="AJ87" s="798">
        <f t="shared" ref="AJ87:AJ90" si="277">+AH87</f>
        <v>0</v>
      </c>
      <c r="AK87" s="724">
        <f t="shared" ref="AK87:AK90" si="278">AJ87*AJ$8</f>
        <v>0</v>
      </c>
      <c r="AL87" s="724"/>
      <c r="AN87" s="806">
        <f t="shared" si="227"/>
        <v>0</v>
      </c>
    </row>
    <row r="88" s="699" customFormat="1" hidden="1" customHeight="1" outlineLevel="3" spans="1:40">
      <c r="A88" s="724" t="s">
        <v>350</v>
      </c>
      <c r="B88" s="728" t="s">
        <v>351</v>
      </c>
      <c r="C88" s="724">
        <f t="shared" si="254"/>
        <v>11.3479946622395</v>
      </c>
      <c r="D88" s="724">
        <f t="shared" si="255"/>
        <v>80.9999999999998</v>
      </c>
      <c r="E88" s="742" t="s">
        <v>352</v>
      </c>
      <c r="F88" s="724">
        <f t="shared" si="256"/>
        <v>11.3479946622395</v>
      </c>
      <c r="G88" s="724">
        <f t="shared" si="231"/>
        <v>55.7671551207825</v>
      </c>
      <c r="H88" s="798">
        <f>81/C8</f>
        <v>11.3479946622395</v>
      </c>
      <c r="I88" s="724">
        <f t="shared" si="257"/>
        <v>35.90827794181</v>
      </c>
      <c r="J88" s="798">
        <f t="shared" si="258"/>
        <v>11.3479946622395</v>
      </c>
      <c r="K88" s="724">
        <f t="shared" si="259"/>
        <v>18.942617393954</v>
      </c>
      <c r="L88" s="798">
        <f t="shared" si="260"/>
        <v>11.3479946622395</v>
      </c>
      <c r="M88" s="724">
        <f t="shared" si="261"/>
        <v>0</v>
      </c>
      <c r="N88" s="798">
        <f t="shared" si="262"/>
        <v>11.3479946622395</v>
      </c>
      <c r="O88" s="724">
        <f t="shared" si="263"/>
        <v>0</v>
      </c>
      <c r="P88" s="798">
        <f t="shared" si="264"/>
        <v>11.3479946622395</v>
      </c>
      <c r="Q88" s="724">
        <f t="shared" si="265"/>
        <v>0</v>
      </c>
      <c r="R88" s="798">
        <f t="shared" si="266"/>
        <v>11.3479946622395</v>
      </c>
      <c r="S88" s="724">
        <f t="shared" si="267"/>
        <v>0</v>
      </c>
      <c r="T88" s="798">
        <f t="shared" si="268"/>
        <v>11.3479946622395</v>
      </c>
      <c r="U88" s="724">
        <f t="shared" si="269"/>
        <v>0</v>
      </c>
      <c r="V88" s="798">
        <f t="shared" si="270"/>
        <v>11.3479946622395</v>
      </c>
      <c r="W88" s="724">
        <f t="shared" si="271"/>
        <v>0.916259785018542</v>
      </c>
      <c r="X88" s="798"/>
      <c r="Y88" s="724"/>
      <c r="Z88" s="798"/>
      <c r="AA88" s="724"/>
      <c r="AB88" s="798"/>
      <c r="AC88" s="724"/>
      <c r="AD88" s="724">
        <f t="shared" si="272"/>
        <v>11.3479946622395</v>
      </c>
      <c r="AE88" s="724">
        <f t="shared" si="273"/>
        <v>25.2328448792173</v>
      </c>
      <c r="AF88" s="798">
        <f t="shared" si="226"/>
        <v>11.3479946622395</v>
      </c>
      <c r="AG88" s="724">
        <f t="shared" si="274"/>
        <v>0</v>
      </c>
      <c r="AH88" s="798">
        <f t="shared" si="275"/>
        <v>11.3479946622395</v>
      </c>
      <c r="AI88" s="724">
        <f t="shared" si="276"/>
        <v>4.47690872219477</v>
      </c>
      <c r="AJ88" s="798">
        <f t="shared" si="277"/>
        <v>11.3479946622395</v>
      </c>
      <c r="AK88" s="724">
        <f t="shared" si="278"/>
        <v>20.7559361570225</v>
      </c>
      <c r="AL88" s="724"/>
      <c r="AN88" s="806">
        <f t="shared" si="227"/>
        <v>809999.999999998</v>
      </c>
    </row>
    <row r="89" s="699" customFormat="1" hidden="1" customHeight="1" outlineLevel="3" spans="1:40">
      <c r="A89" s="724" t="s">
        <v>353</v>
      </c>
      <c r="B89" s="734" t="s">
        <v>354</v>
      </c>
      <c r="C89" s="724">
        <f t="shared" si="254"/>
        <v>1.40098699533822</v>
      </c>
      <c r="D89" s="724">
        <f t="shared" si="255"/>
        <v>10</v>
      </c>
      <c r="E89" s="742" t="s">
        <v>355</v>
      </c>
      <c r="F89" s="724">
        <f t="shared" si="256"/>
        <v>1.40098699533822</v>
      </c>
      <c r="G89" s="724">
        <f t="shared" si="231"/>
        <v>6.88483396552872</v>
      </c>
      <c r="H89" s="798">
        <f>10/C8</f>
        <v>1.40098699533822</v>
      </c>
      <c r="I89" s="724">
        <f t="shared" si="257"/>
        <v>4.43312073355679</v>
      </c>
      <c r="J89" s="798">
        <f t="shared" si="258"/>
        <v>1.40098699533822</v>
      </c>
      <c r="K89" s="724">
        <f t="shared" si="259"/>
        <v>2.33859473999433</v>
      </c>
      <c r="L89" s="798">
        <f t="shared" si="260"/>
        <v>1.40098699533822</v>
      </c>
      <c r="M89" s="724">
        <f t="shared" si="261"/>
        <v>0</v>
      </c>
      <c r="N89" s="798">
        <f t="shared" si="262"/>
        <v>1.40098699533822</v>
      </c>
      <c r="O89" s="724">
        <f t="shared" si="263"/>
        <v>0</v>
      </c>
      <c r="P89" s="798">
        <f t="shared" si="264"/>
        <v>1.40098699533822</v>
      </c>
      <c r="Q89" s="724">
        <f t="shared" si="265"/>
        <v>0</v>
      </c>
      <c r="R89" s="798">
        <f t="shared" si="266"/>
        <v>1.40098699533822</v>
      </c>
      <c r="S89" s="724">
        <f t="shared" si="267"/>
        <v>0</v>
      </c>
      <c r="T89" s="798">
        <f t="shared" si="268"/>
        <v>1.40098699533822</v>
      </c>
      <c r="U89" s="724">
        <f t="shared" si="269"/>
        <v>0</v>
      </c>
      <c r="V89" s="798">
        <f t="shared" si="270"/>
        <v>1.40098699533822</v>
      </c>
      <c r="W89" s="724">
        <f t="shared" si="271"/>
        <v>0.113118491977599</v>
      </c>
      <c r="X89" s="798"/>
      <c r="Y89" s="724"/>
      <c r="Z89" s="798"/>
      <c r="AA89" s="724"/>
      <c r="AB89" s="798"/>
      <c r="AC89" s="724"/>
      <c r="AD89" s="724">
        <f t="shared" si="272"/>
        <v>1.40098699533822</v>
      </c>
      <c r="AE89" s="724">
        <f t="shared" si="273"/>
        <v>3.11516603447129</v>
      </c>
      <c r="AF89" s="798">
        <f t="shared" si="226"/>
        <v>1.40098699533822</v>
      </c>
      <c r="AG89" s="724">
        <f t="shared" si="274"/>
        <v>0</v>
      </c>
      <c r="AH89" s="798">
        <f t="shared" si="275"/>
        <v>1.40098699533822</v>
      </c>
      <c r="AI89" s="724">
        <f t="shared" si="276"/>
        <v>0.552704780517877</v>
      </c>
      <c r="AJ89" s="798">
        <f t="shared" si="277"/>
        <v>1.40098699533822</v>
      </c>
      <c r="AK89" s="724">
        <f t="shared" si="278"/>
        <v>2.56246125395342</v>
      </c>
      <c r="AL89" s="724"/>
      <c r="AN89" s="806">
        <f t="shared" si="227"/>
        <v>100000</v>
      </c>
    </row>
    <row r="90" s="699" customFormat="1" hidden="1" customHeight="1" outlineLevel="3" spans="1:40">
      <c r="A90" s="724" t="s">
        <v>356</v>
      </c>
      <c r="B90" s="734" t="s">
        <v>357</v>
      </c>
      <c r="C90" s="724">
        <f t="shared" si="254"/>
        <v>0</v>
      </c>
      <c r="D90" s="724">
        <f t="shared" si="255"/>
        <v>0</v>
      </c>
      <c r="E90" s="742" t="s">
        <v>223</v>
      </c>
      <c r="F90" s="724">
        <f t="shared" si="256"/>
        <v>0</v>
      </c>
      <c r="G90" s="724">
        <f t="shared" si="231"/>
        <v>0</v>
      </c>
      <c r="H90" s="798"/>
      <c r="I90" s="724">
        <f t="shared" si="257"/>
        <v>0</v>
      </c>
      <c r="J90" s="798">
        <f t="shared" si="258"/>
        <v>0</v>
      </c>
      <c r="K90" s="724">
        <f t="shared" si="259"/>
        <v>0</v>
      </c>
      <c r="L90" s="798">
        <f t="shared" si="260"/>
        <v>0</v>
      </c>
      <c r="M90" s="724">
        <f t="shared" si="261"/>
        <v>0</v>
      </c>
      <c r="N90" s="798">
        <f t="shared" si="262"/>
        <v>0</v>
      </c>
      <c r="O90" s="724">
        <f t="shared" si="263"/>
        <v>0</v>
      </c>
      <c r="P90" s="798">
        <f t="shared" si="264"/>
        <v>0</v>
      </c>
      <c r="Q90" s="724">
        <f t="shared" si="265"/>
        <v>0</v>
      </c>
      <c r="R90" s="798">
        <f t="shared" si="266"/>
        <v>0</v>
      </c>
      <c r="S90" s="724">
        <f t="shared" si="267"/>
        <v>0</v>
      </c>
      <c r="T90" s="798">
        <f t="shared" si="268"/>
        <v>0</v>
      </c>
      <c r="U90" s="724">
        <f t="shared" si="269"/>
        <v>0</v>
      </c>
      <c r="V90" s="798">
        <f t="shared" si="270"/>
        <v>0</v>
      </c>
      <c r="W90" s="724">
        <f t="shared" si="271"/>
        <v>0</v>
      </c>
      <c r="X90" s="798"/>
      <c r="Y90" s="724"/>
      <c r="Z90" s="798"/>
      <c r="AA90" s="724"/>
      <c r="AB90" s="798"/>
      <c r="AC90" s="724"/>
      <c r="AD90" s="724">
        <f t="shared" si="272"/>
        <v>0</v>
      </c>
      <c r="AE90" s="724">
        <f t="shared" si="273"/>
        <v>0</v>
      </c>
      <c r="AF90" s="798">
        <f t="shared" si="226"/>
        <v>0</v>
      </c>
      <c r="AG90" s="724">
        <f t="shared" si="274"/>
        <v>0</v>
      </c>
      <c r="AH90" s="798">
        <f t="shared" si="275"/>
        <v>0</v>
      </c>
      <c r="AI90" s="724">
        <f t="shared" si="276"/>
        <v>0</v>
      </c>
      <c r="AJ90" s="798">
        <f t="shared" si="277"/>
        <v>0</v>
      </c>
      <c r="AK90" s="724">
        <f t="shared" si="278"/>
        <v>0</v>
      </c>
      <c r="AL90" s="724"/>
      <c r="AN90" s="806">
        <f t="shared" si="227"/>
        <v>0</v>
      </c>
    </row>
    <row r="91" s="699" customFormat="1" ht="22.5" hidden="1" outlineLevel="3" spans="1:40">
      <c r="A91" s="724" t="s">
        <v>358</v>
      </c>
      <c r="B91" s="734" t="s">
        <v>359</v>
      </c>
      <c r="C91" s="724">
        <f t="shared" ref="C91:C101" si="279">D91/$C$8</f>
        <v>0.72</v>
      </c>
      <c r="D91" s="724">
        <f t="shared" ref="D91:D101" si="280">G91+AE91</f>
        <v>5.139234</v>
      </c>
      <c r="E91" s="742" t="s">
        <v>360</v>
      </c>
      <c r="F91" s="724">
        <f t="shared" ref="F91:F101" si="281">G91/$F$8</f>
        <v>0.72</v>
      </c>
      <c r="G91" s="724">
        <f t="shared" si="231"/>
        <v>3.53827728</v>
      </c>
      <c r="H91" s="798">
        <f>0.72</f>
        <v>0.72</v>
      </c>
      <c r="I91" s="724">
        <f t="shared" ref="I91:I102" si="282">H91*H$8</f>
        <v>2.27828448</v>
      </c>
      <c r="J91" s="798">
        <f t="shared" ref="J91:J101" si="283">+H91</f>
        <v>0.72</v>
      </c>
      <c r="K91" s="724">
        <f t="shared" ref="K91:K102" si="284">J91*J$8</f>
        <v>1.20185856</v>
      </c>
      <c r="L91" s="798">
        <f t="shared" ref="L91:L101" si="285">+H91</f>
        <v>0.72</v>
      </c>
      <c r="M91" s="724">
        <f t="shared" ref="M91:M102" si="286">L91*L$8</f>
        <v>0</v>
      </c>
      <c r="N91" s="798">
        <f t="shared" ref="N91:N102" si="287">+L91</f>
        <v>0.72</v>
      </c>
      <c r="O91" s="724">
        <f t="shared" ref="O91:O102" si="288">N91*N$8</f>
        <v>0</v>
      </c>
      <c r="P91" s="798">
        <f t="shared" ref="P91:P102" si="289">+N91</f>
        <v>0.72</v>
      </c>
      <c r="Q91" s="724">
        <f t="shared" ref="Q91:Q102" si="290">P91*P$8</f>
        <v>0</v>
      </c>
      <c r="R91" s="798">
        <f t="shared" ref="R91:R102" si="291">+P91</f>
        <v>0.72</v>
      </c>
      <c r="S91" s="724">
        <f t="shared" ref="S91:S102" si="292">R91*R$8</f>
        <v>0</v>
      </c>
      <c r="T91" s="798">
        <f t="shared" ref="T91:T102" si="293">+R91</f>
        <v>0.72</v>
      </c>
      <c r="U91" s="724">
        <f t="shared" ref="U91:U102" si="294">T91*T$8</f>
        <v>0</v>
      </c>
      <c r="V91" s="798">
        <f t="shared" ref="V91:V102" si="295">+T91</f>
        <v>0.72</v>
      </c>
      <c r="W91" s="724">
        <f t="shared" ref="W91:W102" si="296">V91*V$8</f>
        <v>0.05813424</v>
      </c>
      <c r="X91" s="798"/>
      <c r="Y91" s="724"/>
      <c r="Z91" s="798"/>
      <c r="AA91" s="724"/>
      <c r="AB91" s="798"/>
      <c r="AC91" s="724"/>
      <c r="AD91" s="724">
        <f t="shared" ref="AD91:AD101" si="297">AE91/AD$8</f>
        <v>0.72</v>
      </c>
      <c r="AE91" s="724">
        <f t="shared" ref="AE91:AE101" si="298">AG91*0+AI91+AK91</f>
        <v>1.60095672</v>
      </c>
      <c r="AF91" s="798">
        <f t="shared" si="226"/>
        <v>0.72</v>
      </c>
      <c r="AG91" s="724">
        <f t="shared" ref="AG91:AG102" si="299">AF91*AF$8</f>
        <v>0</v>
      </c>
      <c r="AH91" s="798">
        <f t="shared" ref="AH91:AH101" si="300">+AF91</f>
        <v>0.72</v>
      </c>
      <c r="AI91" s="724">
        <f t="shared" ref="AI91:AI102" si="301">AH91*AH$8</f>
        <v>0.28404792</v>
      </c>
      <c r="AJ91" s="798">
        <f t="shared" ref="AJ91:AJ101" si="302">+AH91</f>
        <v>0.72</v>
      </c>
      <c r="AK91" s="724">
        <f t="shared" ref="AK91:AK102" si="303">AJ91*AJ$8</f>
        <v>1.3169088</v>
      </c>
      <c r="AL91" s="724"/>
      <c r="AN91" s="806">
        <f t="shared" si="227"/>
        <v>51392.34</v>
      </c>
    </row>
    <row r="92" s="700" customFormat="1" hidden="1" customHeight="1" outlineLevel="2" collapsed="1" spans="1:56">
      <c r="A92" s="726" t="s">
        <v>361</v>
      </c>
      <c r="B92" s="799" t="s">
        <v>362</v>
      </c>
      <c r="C92" s="726">
        <f t="shared" si="279"/>
        <v>0</v>
      </c>
      <c r="D92" s="726">
        <f t="shared" si="280"/>
        <v>0</v>
      </c>
      <c r="E92" s="743"/>
      <c r="F92" s="726">
        <f t="shared" si="281"/>
        <v>0</v>
      </c>
      <c r="G92" s="726">
        <f>I92+K92+M92+O92+Q92+S92+U92+W92+Y92+AA92+AC92</f>
        <v>0</v>
      </c>
      <c r="H92" s="800"/>
      <c r="I92" s="726">
        <f t="shared" si="282"/>
        <v>0</v>
      </c>
      <c r="J92" s="800">
        <f t="shared" si="283"/>
        <v>0</v>
      </c>
      <c r="K92" s="726">
        <f t="shared" si="284"/>
        <v>0</v>
      </c>
      <c r="L92" s="800">
        <f t="shared" si="285"/>
        <v>0</v>
      </c>
      <c r="M92" s="726">
        <f t="shared" si="286"/>
        <v>0</v>
      </c>
      <c r="N92" s="800">
        <f t="shared" si="287"/>
        <v>0</v>
      </c>
      <c r="O92" s="726">
        <f t="shared" si="288"/>
        <v>0</v>
      </c>
      <c r="P92" s="800">
        <f t="shared" si="289"/>
        <v>0</v>
      </c>
      <c r="Q92" s="726">
        <f t="shared" si="290"/>
        <v>0</v>
      </c>
      <c r="R92" s="800">
        <f t="shared" si="291"/>
        <v>0</v>
      </c>
      <c r="S92" s="726">
        <f t="shared" si="292"/>
        <v>0</v>
      </c>
      <c r="T92" s="800">
        <f t="shared" si="293"/>
        <v>0</v>
      </c>
      <c r="U92" s="726">
        <f t="shared" si="294"/>
        <v>0</v>
      </c>
      <c r="V92" s="800">
        <f t="shared" si="295"/>
        <v>0</v>
      </c>
      <c r="W92" s="726">
        <f t="shared" si="296"/>
        <v>0</v>
      </c>
      <c r="X92" s="800"/>
      <c r="Y92" s="726"/>
      <c r="Z92" s="800"/>
      <c r="AA92" s="726"/>
      <c r="AB92" s="800"/>
      <c r="AC92" s="726"/>
      <c r="AD92" s="726">
        <f t="shared" si="297"/>
        <v>0</v>
      </c>
      <c r="AE92" s="726">
        <f t="shared" si="298"/>
        <v>0</v>
      </c>
      <c r="AF92" s="800">
        <f>+AB92</f>
        <v>0</v>
      </c>
      <c r="AG92" s="726">
        <f t="shared" si="299"/>
        <v>0</v>
      </c>
      <c r="AH92" s="800">
        <f t="shared" si="300"/>
        <v>0</v>
      </c>
      <c r="AI92" s="726">
        <f t="shared" si="301"/>
        <v>0</v>
      </c>
      <c r="AJ92" s="800">
        <f t="shared" si="302"/>
        <v>0</v>
      </c>
      <c r="AK92" s="726">
        <f t="shared" si="303"/>
        <v>0</v>
      </c>
      <c r="AL92" s="724"/>
      <c r="AM92" s="699"/>
      <c r="AN92" s="806">
        <f t="shared" si="227"/>
        <v>0</v>
      </c>
      <c r="AO92" s="699"/>
      <c r="AP92" s="699"/>
      <c r="AQ92" s="699"/>
      <c r="AR92" s="699"/>
      <c r="AS92" s="699"/>
      <c r="AT92" s="699"/>
      <c r="AU92" s="699"/>
      <c r="AV92" s="699"/>
      <c r="AW92" s="699"/>
      <c r="AX92" s="699"/>
      <c r="AY92" s="699"/>
      <c r="AZ92" s="699"/>
      <c r="BA92" s="699"/>
      <c r="BB92" s="699"/>
      <c r="BC92" s="699"/>
      <c r="BD92" s="699"/>
    </row>
    <row r="93" s="699" customFormat="1" hidden="1" customHeight="1" outlineLevel="3" spans="1:40">
      <c r="A93" s="724" t="s">
        <v>363</v>
      </c>
      <c r="B93" s="728" t="s">
        <v>364</v>
      </c>
      <c r="C93" s="724">
        <f t="shared" si="279"/>
        <v>0</v>
      </c>
      <c r="D93" s="724">
        <f t="shared" si="280"/>
        <v>0</v>
      </c>
      <c r="E93" s="742" t="s">
        <v>223</v>
      </c>
      <c r="F93" s="724">
        <f t="shared" si="281"/>
        <v>0</v>
      </c>
      <c r="G93" s="724">
        <f t="shared" ref="G93:G96" si="304">I93+K93+M93+O93+Q93+S93+U93+W93</f>
        <v>0</v>
      </c>
      <c r="H93" s="798">
        <v>0</v>
      </c>
      <c r="I93" s="724">
        <f t="shared" si="282"/>
        <v>0</v>
      </c>
      <c r="J93" s="798">
        <f t="shared" si="283"/>
        <v>0</v>
      </c>
      <c r="K93" s="724">
        <f t="shared" si="284"/>
        <v>0</v>
      </c>
      <c r="L93" s="798">
        <f t="shared" si="285"/>
        <v>0</v>
      </c>
      <c r="M93" s="724">
        <f t="shared" si="286"/>
        <v>0</v>
      </c>
      <c r="N93" s="798">
        <f t="shared" si="287"/>
        <v>0</v>
      </c>
      <c r="O93" s="724">
        <f t="shared" si="288"/>
        <v>0</v>
      </c>
      <c r="P93" s="798">
        <f t="shared" si="289"/>
        <v>0</v>
      </c>
      <c r="Q93" s="724">
        <f t="shared" si="290"/>
        <v>0</v>
      </c>
      <c r="R93" s="798">
        <f t="shared" si="291"/>
        <v>0</v>
      </c>
      <c r="S93" s="724">
        <f t="shared" si="292"/>
        <v>0</v>
      </c>
      <c r="T93" s="798">
        <f t="shared" si="293"/>
        <v>0</v>
      </c>
      <c r="U93" s="724">
        <f t="shared" si="294"/>
        <v>0</v>
      </c>
      <c r="V93" s="798">
        <f t="shared" si="295"/>
        <v>0</v>
      </c>
      <c r="W93" s="724">
        <f t="shared" si="296"/>
        <v>0</v>
      </c>
      <c r="X93" s="798"/>
      <c r="Y93" s="724"/>
      <c r="Z93" s="798"/>
      <c r="AA93" s="724"/>
      <c r="AB93" s="798"/>
      <c r="AC93" s="724"/>
      <c r="AD93" s="724">
        <f t="shared" si="297"/>
        <v>0</v>
      </c>
      <c r="AE93" s="724">
        <f t="shared" si="298"/>
        <v>0</v>
      </c>
      <c r="AF93" s="798">
        <f t="shared" ref="AF93:AF96" si="305">+V93</f>
        <v>0</v>
      </c>
      <c r="AG93" s="724">
        <f t="shared" si="299"/>
        <v>0</v>
      </c>
      <c r="AH93" s="798">
        <f t="shared" si="300"/>
        <v>0</v>
      </c>
      <c r="AI93" s="724">
        <f t="shared" si="301"/>
        <v>0</v>
      </c>
      <c r="AJ93" s="798">
        <f t="shared" si="302"/>
        <v>0</v>
      </c>
      <c r="AK93" s="724">
        <f t="shared" si="303"/>
        <v>0</v>
      </c>
      <c r="AL93" s="724"/>
      <c r="AN93" s="806">
        <f t="shared" si="227"/>
        <v>0</v>
      </c>
    </row>
    <row r="94" s="699" customFormat="1" hidden="1" customHeight="1" outlineLevel="3" spans="1:40">
      <c r="A94" s="724" t="s">
        <v>365</v>
      </c>
      <c r="B94" s="728" t="s">
        <v>366</v>
      </c>
      <c r="C94" s="724">
        <f t="shared" si="279"/>
        <v>0.700493497669107</v>
      </c>
      <c r="D94" s="724">
        <f t="shared" si="280"/>
        <v>4.99999999999999</v>
      </c>
      <c r="E94" s="742" t="s">
        <v>367</v>
      </c>
      <c r="F94" s="724">
        <f t="shared" si="281"/>
        <v>0.700493497669106</v>
      </c>
      <c r="G94" s="724">
        <f t="shared" si="304"/>
        <v>3.44241698276435</v>
      </c>
      <c r="H94" s="798">
        <f>5/C8</f>
        <v>0.700493497669108</v>
      </c>
      <c r="I94" s="724">
        <f t="shared" si="282"/>
        <v>2.21656036677839</v>
      </c>
      <c r="J94" s="798">
        <f t="shared" si="283"/>
        <v>0.700493497669108</v>
      </c>
      <c r="K94" s="724">
        <f t="shared" si="284"/>
        <v>1.16929736999716</v>
      </c>
      <c r="L94" s="798">
        <f t="shared" si="285"/>
        <v>0.700493497669108</v>
      </c>
      <c r="M94" s="724">
        <f t="shared" si="286"/>
        <v>0</v>
      </c>
      <c r="N94" s="798">
        <f t="shared" si="287"/>
        <v>0.700493497669108</v>
      </c>
      <c r="O94" s="724">
        <f t="shared" si="288"/>
        <v>0</v>
      </c>
      <c r="P94" s="798">
        <f t="shared" si="289"/>
        <v>0.700493497669108</v>
      </c>
      <c r="Q94" s="724">
        <f t="shared" si="290"/>
        <v>0</v>
      </c>
      <c r="R94" s="798">
        <f t="shared" si="291"/>
        <v>0.700493497669108</v>
      </c>
      <c r="S94" s="724">
        <f t="shared" si="292"/>
        <v>0</v>
      </c>
      <c r="T94" s="798">
        <f t="shared" si="293"/>
        <v>0.700493497669108</v>
      </c>
      <c r="U94" s="724">
        <f t="shared" si="294"/>
        <v>0</v>
      </c>
      <c r="V94" s="798">
        <f t="shared" si="295"/>
        <v>0.700493497669108</v>
      </c>
      <c r="W94" s="724">
        <f t="shared" si="296"/>
        <v>0.0565592459887991</v>
      </c>
      <c r="X94" s="798"/>
      <c r="Y94" s="724"/>
      <c r="Z94" s="798"/>
      <c r="AA94" s="724"/>
      <c r="AB94" s="798"/>
      <c r="AC94" s="724"/>
      <c r="AD94" s="724">
        <f t="shared" si="297"/>
        <v>0.700493497669108</v>
      </c>
      <c r="AE94" s="724">
        <f t="shared" si="298"/>
        <v>1.55758301723564</v>
      </c>
      <c r="AF94" s="798">
        <f t="shared" si="305"/>
        <v>0.700493497669108</v>
      </c>
      <c r="AG94" s="724">
        <f t="shared" si="299"/>
        <v>0</v>
      </c>
      <c r="AH94" s="798">
        <f t="shared" si="300"/>
        <v>0.700493497669108</v>
      </c>
      <c r="AI94" s="724">
        <f t="shared" si="301"/>
        <v>0.276352390258937</v>
      </c>
      <c r="AJ94" s="798">
        <f t="shared" si="302"/>
        <v>0.700493497669108</v>
      </c>
      <c r="AK94" s="724">
        <f t="shared" si="303"/>
        <v>1.28123062697671</v>
      </c>
      <c r="AL94" s="724"/>
      <c r="AN94" s="806">
        <f t="shared" si="227"/>
        <v>49999.9999999999</v>
      </c>
    </row>
    <row r="95" s="699" customFormat="1" ht="38" hidden="1" customHeight="1" outlineLevel="3" spans="1:40">
      <c r="A95" s="724" t="s">
        <v>368</v>
      </c>
      <c r="B95" s="734" t="s">
        <v>369</v>
      </c>
      <c r="C95" s="724">
        <f t="shared" si="279"/>
        <v>0.12</v>
      </c>
      <c r="D95" s="724">
        <f t="shared" si="280"/>
        <v>0.856539</v>
      </c>
      <c r="E95" s="742" t="s">
        <v>370</v>
      </c>
      <c r="F95" s="724">
        <f t="shared" si="281"/>
        <v>0.12</v>
      </c>
      <c r="G95" s="724">
        <f t="shared" si="304"/>
        <v>0.58971288</v>
      </c>
      <c r="H95" s="798">
        <v>0.12</v>
      </c>
      <c r="I95" s="724">
        <f t="shared" si="282"/>
        <v>0.37971408</v>
      </c>
      <c r="J95" s="798">
        <f t="shared" si="283"/>
        <v>0.12</v>
      </c>
      <c r="K95" s="724">
        <f t="shared" si="284"/>
        <v>0.20030976</v>
      </c>
      <c r="L95" s="798">
        <f t="shared" si="285"/>
        <v>0.12</v>
      </c>
      <c r="M95" s="724">
        <f t="shared" si="286"/>
        <v>0</v>
      </c>
      <c r="N95" s="798">
        <f t="shared" si="287"/>
        <v>0.12</v>
      </c>
      <c r="O95" s="724">
        <f t="shared" si="288"/>
        <v>0</v>
      </c>
      <c r="P95" s="798">
        <f t="shared" si="289"/>
        <v>0.12</v>
      </c>
      <c r="Q95" s="724">
        <f t="shared" si="290"/>
        <v>0</v>
      </c>
      <c r="R95" s="798">
        <f t="shared" si="291"/>
        <v>0.12</v>
      </c>
      <c r="S95" s="724">
        <f t="shared" si="292"/>
        <v>0</v>
      </c>
      <c r="T95" s="798">
        <f t="shared" si="293"/>
        <v>0.12</v>
      </c>
      <c r="U95" s="724">
        <f t="shared" si="294"/>
        <v>0</v>
      </c>
      <c r="V95" s="798">
        <f t="shared" si="295"/>
        <v>0.12</v>
      </c>
      <c r="W95" s="724">
        <f t="shared" si="296"/>
        <v>0.00968904</v>
      </c>
      <c r="X95" s="798"/>
      <c r="Y95" s="724"/>
      <c r="Z95" s="798"/>
      <c r="AA95" s="724"/>
      <c r="AB95" s="798"/>
      <c r="AC95" s="724"/>
      <c r="AD95" s="724">
        <f t="shared" si="297"/>
        <v>0.12</v>
      </c>
      <c r="AE95" s="724">
        <f t="shared" si="298"/>
        <v>0.26682612</v>
      </c>
      <c r="AF95" s="798">
        <f t="shared" si="305"/>
        <v>0.12</v>
      </c>
      <c r="AG95" s="724">
        <f t="shared" si="299"/>
        <v>0</v>
      </c>
      <c r="AH95" s="798">
        <f t="shared" si="300"/>
        <v>0.12</v>
      </c>
      <c r="AI95" s="724">
        <f t="shared" si="301"/>
        <v>0.04734132</v>
      </c>
      <c r="AJ95" s="798">
        <f t="shared" si="302"/>
        <v>0.12</v>
      </c>
      <c r="AK95" s="724">
        <f t="shared" si="303"/>
        <v>0.2194848</v>
      </c>
      <c r="AL95" s="724"/>
      <c r="AN95" s="806">
        <f t="shared" si="227"/>
        <v>8565.39</v>
      </c>
    </row>
    <row r="96" s="699" customFormat="1" ht="180" hidden="1" outlineLevel="3" spans="1:40">
      <c r="A96" s="724" t="s">
        <v>371</v>
      </c>
      <c r="B96" s="728" t="s">
        <v>372</v>
      </c>
      <c r="C96" s="724">
        <f t="shared" si="279"/>
        <v>3.27782328650535</v>
      </c>
      <c r="D96" s="724">
        <f t="shared" si="280"/>
        <v>23.396529</v>
      </c>
      <c r="E96" s="742" t="s">
        <v>373</v>
      </c>
      <c r="F96" s="724">
        <f t="shared" si="281"/>
        <v>3.27782328650535</v>
      </c>
      <c r="G96" s="724">
        <f t="shared" si="304"/>
        <v>16.1081217534678</v>
      </c>
      <c r="H96" s="798">
        <f>233965.29/C8/10000</f>
        <v>3.27782328650534</v>
      </c>
      <c r="I96" s="724">
        <f t="shared" si="282"/>
        <v>10.3719637803163</v>
      </c>
      <c r="J96" s="798">
        <f t="shared" si="283"/>
        <v>3.27782328650534</v>
      </c>
      <c r="K96" s="724">
        <f t="shared" si="284"/>
        <v>5.47149996535247</v>
      </c>
      <c r="L96" s="798">
        <f t="shared" si="285"/>
        <v>3.27782328650534</v>
      </c>
      <c r="M96" s="724">
        <f t="shared" si="286"/>
        <v>0</v>
      </c>
      <c r="N96" s="798">
        <f t="shared" si="287"/>
        <v>3.27782328650534</v>
      </c>
      <c r="O96" s="724">
        <f t="shared" si="288"/>
        <v>0</v>
      </c>
      <c r="P96" s="798">
        <f t="shared" si="289"/>
        <v>3.27782328650534</v>
      </c>
      <c r="Q96" s="724">
        <f t="shared" si="290"/>
        <v>0</v>
      </c>
      <c r="R96" s="798">
        <f t="shared" si="291"/>
        <v>3.27782328650534</v>
      </c>
      <c r="S96" s="724">
        <f t="shared" si="292"/>
        <v>0</v>
      </c>
      <c r="T96" s="798">
        <f t="shared" si="293"/>
        <v>3.27782328650534</v>
      </c>
      <c r="U96" s="724">
        <f t="shared" si="294"/>
        <v>0</v>
      </c>
      <c r="V96" s="798">
        <f t="shared" si="295"/>
        <v>3.27782328650534</v>
      </c>
      <c r="W96" s="724">
        <f t="shared" si="296"/>
        <v>0.264658007799014</v>
      </c>
      <c r="X96" s="798"/>
      <c r="Y96" s="724"/>
      <c r="Z96" s="798"/>
      <c r="AA96" s="724"/>
      <c r="AB96" s="798"/>
      <c r="AC96" s="724"/>
      <c r="AD96" s="724">
        <f t="shared" si="297"/>
        <v>3.27782328650534</v>
      </c>
      <c r="AE96" s="724">
        <f t="shared" si="298"/>
        <v>7.28840724653223</v>
      </c>
      <c r="AF96" s="798">
        <f t="shared" si="305"/>
        <v>3.27782328650534</v>
      </c>
      <c r="AG96" s="724">
        <f t="shared" si="299"/>
        <v>0</v>
      </c>
      <c r="AH96" s="798">
        <f t="shared" si="300"/>
        <v>3.27782328650534</v>
      </c>
      <c r="AI96" s="724">
        <f t="shared" si="301"/>
        <v>1.29313734258251</v>
      </c>
      <c r="AJ96" s="798">
        <f t="shared" si="302"/>
        <v>3.27782328650534</v>
      </c>
      <c r="AK96" s="724">
        <f t="shared" si="303"/>
        <v>5.99526990394973</v>
      </c>
      <c r="AL96" s="724"/>
      <c r="AN96" s="806">
        <f t="shared" si="227"/>
        <v>233965.29</v>
      </c>
    </row>
    <row r="97" s="700" customFormat="1" hidden="1" customHeight="1" outlineLevel="2" collapsed="1" spans="1:56">
      <c r="A97" s="726" t="s">
        <v>374</v>
      </c>
      <c r="B97" s="799" t="s">
        <v>375</v>
      </c>
      <c r="C97" s="726">
        <f t="shared" si="279"/>
        <v>0</v>
      </c>
      <c r="D97" s="726">
        <f t="shared" si="280"/>
        <v>0</v>
      </c>
      <c r="E97" s="743"/>
      <c r="F97" s="726">
        <f t="shared" si="281"/>
        <v>0</v>
      </c>
      <c r="G97" s="800">
        <f>I97+K97+M97+O97+Q97+S97+U97+W97+Y97+AA97+AC97</f>
        <v>0</v>
      </c>
      <c r="H97" s="800"/>
      <c r="I97" s="726">
        <f t="shared" si="282"/>
        <v>0</v>
      </c>
      <c r="J97" s="800">
        <f t="shared" si="283"/>
        <v>0</v>
      </c>
      <c r="K97" s="726">
        <f t="shared" si="284"/>
        <v>0</v>
      </c>
      <c r="L97" s="800">
        <f t="shared" si="285"/>
        <v>0</v>
      </c>
      <c r="M97" s="726">
        <f t="shared" si="286"/>
        <v>0</v>
      </c>
      <c r="N97" s="800">
        <f t="shared" si="287"/>
        <v>0</v>
      </c>
      <c r="O97" s="726">
        <f t="shared" si="288"/>
        <v>0</v>
      </c>
      <c r="P97" s="800">
        <f t="shared" si="289"/>
        <v>0</v>
      </c>
      <c r="Q97" s="726">
        <f t="shared" si="290"/>
        <v>0</v>
      </c>
      <c r="R97" s="800">
        <f t="shared" si="291"/>
        <v>0</v>
      </c>
      <c r="S97" s="726">
        <f t="shared" si="292"/>
        <v>0</v>
      </c>
      <c r="T97" s="800">
        <f t="shared" si="293"/>
        <v>0</v>
      </c>
      <c r="U97" s="726">
        <f t="shared" si="294"/>
        <v>0</v>
      </c>
      <c r="V97" s="800">
        <f t="shared" si="295"/>
        <v>0</v>
      </c>
      <c r="W97" s="726">
        <f t="shared" si="296"/>
        <v>0</v>
      </c>
      <c r="X97" s="800"/>
      <c r="Y97" s="726"/>
      <c r="Z97" s="800"/>
      <c r="AA97" s="726"/>
      <c r="AB97" s="800"/>
      <c r="AC97" s="726"/>
      <c r="AD97" s="726">
        <f t="shared" si="297"/>
        <v>0</v>
      </c>
      <c r="AE97" s="726">
        <f t="shared" si="298"/>
        <v>0</v>
      </c>
      <c r="AF97" s="800">
        <f>+AB97</f>
        <v>0</v>
      </c>
      <c r="AG97" s="726">
        <f t="shared" si="299"/>
        <v>0</v>
      </c>
      <c r="AH97" s="800">
        <f t="shared" si="300"/>
        <v>0</v>
      </c>
      <c r="AI97" s="726">
        <f t="shared" si="301"/>
        <v>0</v>
      </c>
      <c r="AJ97" s="800">
        <f t="shared" si="302"/>
        <v>0</v>
      </c>
      <c r="AK97" s="726">
        <f t="shared" si="303"/>
        <v>0</v>
      </c>
      <c r="AL97" s="724"/>
      <c r="AM97" s="699"/>
      <c r="AN97" s="806">
        <f t="shared" si="227"/>
        <v>0</v>
      </c>
      <c r="AO97" s="699"/>
      <c r="AP97" s="699"/>
      <c r="AQ97" s="699"/>
      <c r="AR97" s="699"/>
      <c r="AS97" s="699"/>
      <c r="AT97" s="699"/>
      <c r="AU97" s="699"/>
      <c r="AV97" s="699"/>
      <c r="AW97" s="699"/>
      <c r="AX97" s="699"/>
      <c r="AY97" s="699"/>
      <c r="AZ97" s="699"/>
      <c r="BA97" s="699"/>
      <c r="BB97" s="699"/>
      <c r="BC97" s="699"/>
      <c r="BD97" s="699"/>
    </row>
    <row r="98" s="699" customFormat="1" ht="30" hidden="1" customHeight="1" outlineLevel="3" spans="1:40">
      <c r="A98" s="724" t="s">
        <v>376</v>
      </c>
      <c r="B98" s="728" t="s">
        <v>377</v>
      </c>
      <c r="C98" s="724">
        <f t="shared" si="279"/>
        <v>0</v>
      </c>
      <c r="D98" s="724">
        <f t="shared" si="280"/>
        <v>0</v>
      </c>
      <c r="E98" s="742" t="s">
        <v>378</v>
      </c>
      <c r="F98" s="724">
        <f t="shared" si="281"/>
        <v>0</v>
      </c>
      <c r="G98" s="724">
        <f t="shared" ref="G98:G109" si="306">I98+K98+M98+O98+Q98+S98+U98+W98</f>
        <v>0</v>
      </c>
      <c r="H98" s="798"/>
      <c r="I98" s="724">
        <f t="shared" si="282"/>
        <v>0</v>
      </c>
      <c r="J98" s="798">
        <f t="shared" si="283"/>
        <v>0</v>
      </c>
      <c r="K98" s="724">
        <f t="shared" si="284"/>
        <v>0</v>
      </c>
      <c r="L98" s="798">
        <f t="shared" si="285"/>
        <v>0</v>
      </c>
      <c r="M98" s="724">
        <f t="shared" si="286"/>
        <v>0</v>
      </c>
      <c r="N98" s="798">
        <f t="shared" si="287"/>
        <v>0</v>
      </c>
      <c r="O98" s="724">
        <f t="shared" si="288"/>
        <v>0</v>
      </c>
      <c r="P98" s="798">
        <f t="shared" si="289"/>
        <v>0</v>
      </c>
      <c r="Q98" s="724">
        <f t="shared" si="290"/>
        <v>0</v>
      </c>
      <c r="R98" s="798">
        <f t="shared" si="291"/>
        <v>0</v>
      </c>
      <c r="S98" s="724">
        <f t="shared" si="292"/>
        <v>0</v>
      </c>
      <c r="T98" s="798">
        <f t="shared" si="293"/>
        <v>0</v>
      </c>
      <c r="U98" s="724">
        <f t="shared" si="294"/>
        <v>0</v>
      </c>
      <c r="V98" s="798">
        <f t="shared" si="295"/>
        <v>0</v>
      </c>
      <c r="W98" s="724">
        <f t="shared" si="296"/>
        <v>0</v>
      </c>
      <c r="X98" s="798"/>
      <c r="Y98" s="724"/>
      <c r="Z98" s="798"/>
      <c r="AA98" s="724"/>
      <c r="AB98" s="798"/>
      <c r="AC98" s="724"/>
      <c r="AD98" s="724">
        <f t="shared" si="297"/>
        <v>0</v>
      </c>
      <c r="AE98" s="724">
        <f t="shared" si="298"/>
        <v>0</v>
      </c>
      <c r="AF98" s="798">
        <f t="shared" ref="AF98:AF109" si="307">+V98</f>
        <v>0</v>
      </c>
      <c r="AG98" s="724">
        <f t="shared" si="299"/>
        <v>0</v>
      </c>
      <c r="AH98" s="798">
        <f t="shared" si="300"/>
        <v>0</v>
      </c>
      <c r="AI98" s="724">
        <f t="shared" si="301"/>
        <v>0</v>
      </c>
      <c r="AJ98" s="798">
        <f t="shared" si="302"/>
        <v>0</v>
      </c>
      <c r="AK98" s="724">
        <f t="shared" si="303"/>
        <v>0</v>
      </c>
      <c r="AL98" s="724"/>
      <c r="AN98" s="806">
        <f t="shared" si="227"/>
        <v>0</v>
      </c>
    </row>
    <row r="99" s="699" customFormat="1" ht="30" hidden="1" customHeight="1" outlineLevel="3" spans="1:40">
      <c r="A99" s="724" t="s">
        <v>379</v>
      </c>
      <c r="B99" s="728" t="s">
        <v>380</v>
      </c>
      <c r="C99" s="724">
        <f t="shared" si="279"/>
        <v>0</v>
      </c>
      <c r="D99" s="724">
        <f t="shared" si="280"/>
        <v>0</v>
      </c>
      <c r="E99" s="742" t="s">
        <v>378</v>
      </c>
      <c r="F99" s="724">
        <f t="shared" si="281"/>
        <v>0</v>
      </c>
      <c r="G99" s="724">
        <f t="shared" si="306"/>
        <v>0</v>
      </c>
      <c r="H99" s="798"/>
      <c r="I99" s="724">
        <f t="shared" si="282"/>
        <v>0</v>
      </c>
      <c r="J99" s="798">
        <f t="shared" si="283"/>
        <v>0</v>
      </c>
      <c r="K99" s="724">
        <f t="shared" si="284"/>
        <v>0</v>
      </c>
      <c r="L99" s="798">
        <f t="shared" si="285"/>
        <v>0</v>
      </c>
      <c r="M99" s="724">
        <f t="shared" si="286"/>
        <v>0</v>
      </c>
      <c r="N99" s="798">
        <f t="shared" si="287"/>
        <v>0</v>
      </c>
      <c r="O99" s="724">
        <f t="shared" si="288"/>
        <v>0</v>
      </c>
      <c r="P99" s="798">
        <f t="shared" si="289"/>
        <v>0</v>
      </c>
      <c r="Q99" s="724">
        <f t="shared" si="290"/>
        <v>0</v>
      </c>
      <c r="R99" s="798">
        <f t="shared" si="291"/>
        <v>0</v>
      </c>
      <c r="S99" s="724">
        <f t="shared" si="292"/>
        <v>0</v>
      </c>
      <c r="T99" s="798">
        <f t="shared" si="293"/>
        <v>0</v>
      </c>
      <c r="U99" s="724">
        <f t="shared" si="294"/>
        <v>0</v>
      </c>
      <c r="V99" s="798">
        <f t="shared" si="295"/>
        <v>0</v>
      </c>
      <c r="W99" s="724">
        <f t="shared" si="296"/>
        <v>0</v>
      </c>
      <c r="X99" s="798"/>
      <c r="Y99" s="724"/>
      <c r="Z99" s="798"/>
      <c r="AA99" s="724"/>
      <c r="AB99" s="798"/>
      <c r="AC99" s="724"/>
      <c r="AD99" s="724">
        <f t="shared" si="297"/>
        <v>0</v>
      </c>
      <c r="AE99" s="724">
        <f t="shared" si="298"/>
        <v>0</v>
      </c>
      <c r="AF99" s="798">
        <f t="shared" si="307"/>
        <v>0</v>
      </c>
      <c r="AG99" s="724">
        <f t="shared" si="299"/>
        <v>0</v>
      </c>
      <c r="AH99" s="798">
        <f t="shared" si="300"/>
        <v>0</v>
      </c>
      <c r="AI99" s="724">
        <f t="shared" si="301"/>
        <v>0</v>
      </c>
      <c r="AJ99" s="798">
        <f t="shared" si="302"/>
        <v>0</v>
      </c>
      <c r="AK99" s="724">
        <f t="shared" si="303"/>
        <v>0</v>
      </c>
      <c r="AL99" s="724"/>
      <c r="AN99" s="806">
        <f t="shared" si="227"/>
        <v>0</v>
      </c>
    </row>
    <row r="100" s="699" customFormat="1" ht="30" hidden="1" customHeight="1" outlineLevel="3" spans="1:40">
      <c r="A100" s="724" t="s">
        <v>381</v>
      </c>
      <c r="B100" s="734" t="s">
        <v>382</v>
      </c>
      <c r="C100" s="724">
        <f t="shared" si="279"/>
        <v>0</v>
      </c>
      <c r="D100" s="724">
        <f t="shared" si="280"/>
        <v>0</v>
      </c>
      <c r="E100" s="742" t="s">
        <v>378</v>
      </c>
      <c r="F100" s="724">
        <f t="shared" si="281"/>
        <v>0</v>
      </c>
      <c r="G100" s="724">
        <f t="shared" si="306"/>
        <v>0</v>
      </c>
      <c r="H100" s="798"/>
      <c r="I100" s="724">
        <f t="shared" si="282"/>
        <v>0</v>
      </c>
      <c r="J100" s="798">
        <f t="shared" si="283"/>
        <v>0</v>
      </c>
      <c r="K100" s="724">
        <f t="shared" si="284"/>
        <v>0</v>
      </c>
      <c r="L100" s="798">
        <f t="shared" si="285"/>
        <v>0</v>
      </c>
      <c r="M100" s="724">
        <f t="shared" si="286"/>
        <v>0</v>
      </c>
      <c r="N100" s="798">
        <f t="shared" si="287"/>
        <v>0</v>
      </c>
      <c r="O100" s="724">
        <f t="shared" si="288"/>
        <v>0</v>
      </c>
      <c r="P100" s="798">
        <f t="shared" si="289"/>
        <v>0</v>
      </c>
      <c r="Q100" s="724">
        <f t="shared" si="290"/>
        <v>0</v>
      </c>
      <c r="R100" s="798">
        <f t="shared" si="291"/>
        <v>0</v>
      </c>
      <c r="S100" s="724">
        <f t="shared" si="292"/>
        <v>0</v>
      </c>
      <c r="T100" s="798">
        <f t="shared" si="293"/>
        <v>0</v>
      </c>
      <c r="U100" s="724">
        <f t="shared" si="294"/>
        <v>0</v>
      </c>
      <c r="V100" s="798">
        <f t="shared" si="295"/>
        <v>0</v>
      </c>
      <c r="W100" s="724">
        <f t="shared" si="296"/>
        <v>0</v>
      </c>
      <c r="X100" s="798"/>
      <c r="Y100" s="724"/>
      <c r="Z100" s="798"/>
      <c r="AA100" s="724"/>
      <c r="AB100" s="798"/>
      <c r="AC100" s="724"/>
      <c r="AD100" s="724">
        <f t="shared" si="297"/>
        <v>0</v>
      </c>
      <c r="AE100" s="724">
        <f t="shared" si="298"/>
        <v>0</v>
      </c>
      <c r="AF100" s="798">
        <f t="shared" si="307"/>
        <v>0</v>
      </c>
      <c r="AG100" s="724">
        <f t="shared" si="299"/>
        <v>0</v>
      </c>
      <c r="AH100" s="798">
        <f t="shared" si="300"/>
        <v>0</v>
      </c>
      <c r="AI100" s="724">
        <f t="shared" si="301"/>
        <v>0</v>
      </c>
      <c r="AJ100" s="798">
        <f t="shared" si="302"/>
        <v>0</v>
      </c>
      <c r="AK100" s="724">
        <f t="shared" si="303"/>
        <v>0</v>
      </c>
      <c r="AL100" s="724"/>
      <c r="AN100" s="806">
        <f t="shared" si="227"/>
        <v>0</v>
      </c>
    </row>
    <row r="101" s="699" customFormat="1" ht="30" hidden="1" customHeight="1" outlineLevel="3" spans="1:40">
      <c r="A101" s="724" t="s">
        <v>383</v>
      </c>
      <c r="B101" s="734" t="s">
        <v>384</v>
      </c>
      <c r="C101" s="724">
        <f t="shared" si="279"/>
        <v>0</v>
      </c>
      <c r="D101" s="724">
        <f t="shared" si="280"/>
        <v>0</v>
      </c>
      <c r="E101" s="742" t="s">
        <v>378</v>
      </c>
      <c r="F101" s="724">
        <f t="shared" si="281"/>
        <v>0</v>
      </c>
      <c r="G101" s="724">
        <f t="shared" si="306"/>
        <v>0</v>
      </c>
      <c r="H101" s="798"/>
      <c r="I101" s="724">
        <f t="shared" si="282"/>
        <v>0</v>
      </c>
      <c r="J101" s="798">
        <f t="shared" si="283"/>
        <v>0</v>
      </c>
      <c r="K101" s="724">
        <f t="shared" si="284"/>
        <v>0</v>
      </c>
      <c r="L101" s="798">
        <f t="shared" si="285"/>
        <v>0</v>
      </c>
      <c r="M101" s="724">
        <f t="shared" si="286"/>
        <v>0</v>
      </c>
      <c r="N101" s="798">
        <f t="shared" si="287"/>
        <v>0</v>
      </c>
      <c r="O101" s="724">
        <f t="shared" si="288"/>
        <v>0</v>
      </c>
      <c r="P101" s="798">
        <f t="shared" si="289"/>
        <v>0</v>
      </c>
      <c r="Q101" s="724">
        <f t="shared" si="290"/>
        <v>0</v>
      </c>
      <c r="R101" s="798">
        <f t="shared" si="291"/>
        <v>0</v>
      </c>
      <c r="S101" s="724">
        <f t="shared" si="292"/>
        <v>0</v>
      </c>
      <c r="T101" s="798">
        <f t="shared" si="293"/>
        <v>0</v>
      </c>
      <c r="U101" s="724">
        <f t="shared" si="294"/>
        <v>0</v>
      </c>
      <c r="V101" s="798">
        <f t="shared" si="295"/>
        <v>0</v>
      </c>
      <c r="W101" s="724">
        <f t="shared" si="296"/>
        <v>0</v>
      </c>
      <c r="X101" s="798"/>
      <c r="Y101" s="724"/>
      <c r="Z101" s="798"/>
      <c r="AA101" s="724"/>
      <c r="AB101" s="798"/>
      <c r="AC101" s="724"/>
      <c r="AD101" s="724">
        <f t="shared" si="297"/>
        <v>0</v>
      </c>
      <c r="AE101" s="724">
        <f t="shared" si="298"/>
        <v>0</v>
      </c>
      <c r="AF101" s="798">
        <f t="shared" si="307"/>
        <v>0</v>
      </c>
      <c r="AG101" s="724">
        <f t="shared" si="299"/>
        <v>0</v>
      </c>
      <c r="AH101" s="798">
        <f t="shared" si="300"/>
        <v>0</v>
      </c>
      <c r="AI101" s="724">
        <f t="shared" si="301"/>
        <v>0</v>
      </c>
      <c r="AJ101" s="798">
        <f t="shared" si="302"/>
        <v>0</v>
      </c>
      <c r="AK101" s="724">
        <f t="shared" si="303"/>
        <v>0</v>
      </c>
      <c r="AL101" s="724"/>
      <c r="AN101" s="806">
        <f t="shared" si="227"/>
        <v>0</v>
      </c>
    </row>
    <row r="102" s="699" customFormat="1" ht="30" hidden="1" customHeight="1" outlineLevel="3" spans="1:40">
      <c r="A102" s="724" t="s">
        <v>385</v>
      </c>
      <c r="B102" s="734" t="s">
        <v>386</v>
      </c>
      <c r="C102" s="724">
        <f t="shared" ref="C102:C105" si="308">D102/$C$8</f>
        <v>0</v>
      </c>
      <c r="D102" s="724">
        <f t="shared" ref="D102:D105" si="309">G102+AE102</f>
        <v>0</v>
      </c>
      <c r="E102" s="742" t="s">
        <v>378</v>
      </c>
      <c r="F102" s="724">
        <f t="shared" ref="F102:F105" si="310">G102/$F$8</f>
        <v>0</v>
      </c>
      <c r="G102" s="724">
        <f t="shared" si="306"/>
        <v>0</v>
      </c>
      <c r="H102" s="798"/>
      <c r="I102" s="724">
        <f t="shared" si="282"/>
        <v>0</v>
      </c>
      <c r="J102" s="798">
        <f t="shared" ref="J102:J105" si="311">+H102</f>
        <v>0</v>
      </c>
      <c r="K102" s="724">
        <f t="shared" si="284"/>
        <v>0</v>
      </c>
      <c r="L102" s="798">
        <f t="shared" ref="L102:L105" si="312">+H102</f>
        <v>0</v>
      </c>
      <c r="M102" s="724">
        <f t="shared" si="286"/>
        <v>0</v>
      </c>
      <c r="N102" s="798">
        <f t="shared" si="287"/>
        <v>0</v>
      </c>
      <c r="O102" s="724">
        <f t="shared" si="288"/>
        <v>0</v>
      </c>
      <c r="P102" s="798">
        <f t="shared" si="289"/>
        <v>0</v>
      </c>
      <c r="Q102" s="724">
        <f t="shared" si="290"/>
        <v>0</v>
      </c>
      <c r="R102" s="798">
        <f t="shared" si="291"/>
        <v>0</v>
      </c>
      <c r="S102" s="724">
        <f t="shared" si="292"/>
        <v>0</v>
      </c>
      <c r="T102" s="798">
        <f t="shared" si="293"/>
        <v>0</v>
      </c>
      <c r="U102" s="724">
        <f t="shared" si="294"/>
        <v>0</v>
      </c>
      <c r="V102" s="798">
        <f t="shared" si="295"/>
        <v>0</v>
      </c>
      <c r="W102" s="724">
        <f t="shared" si="296"/>
        <v>0</v>
      </c>
      <c r="X102" s="798"/>
      <c r="Y102" s="724"/>
      <c r="Z102" s="798"/>
      <c r="AA102" s="724"/>
      <c r="AB102" s="798"/>
      <c r="AC102" s="724"/>
      <c r="AD102" s="724">
        <f t="shared" ref="AD102:AD105" si="313">AE102/AD$8</f>
        <v>0</v>
      </c>
      <c r="AE102" s="724">
        <f t="shared" ref="AE102:AE105" si="314">AG102*0+AI102+AK102</f>
        <v>0</v>
      </c>
      <c r="AF102" s="798">
        <f t="shared" si="307"/>
        <v>0</v>
      </c>
      <c r="AG102" s="724">
        <f t="shared" si="299"/>
        <v>0</v>
      </c>
      <c r="AH102" s="798">
        <f t="shared" ref="AH102:AH105" si="315">+AF102</f>
        <v>0</v>
      </c>
      <c r="AI102" s="724">
        <f t="shared" si="301"/>
        <v>0</v>
      </c>
      <c r="AJ102" s="798">
        <f t="shared" ref="AJ102:AJ105" si="316">+AH102</f>
        <v>0</v>
      </c>
      <c r="AK102" s="724">
        <f t="shared" si="303"/>
        <v>0</v>
      </c>
      <c r="AL102" s="724"/>
      <c r="AN102" s="806">
        <f t="shared" si="227"/>
        <v>0</v>
      </c>
    </row>
    <row r="103" s="699" customFormat="1" ht="30" hidden="1" customHeight="1" outlineLevel="3" spans="1:40">
      <c r="A103" s="724" t="s">
        <v>387</v>
      </c>
      <c r="B103" s="734" t="s">
        <v>388</v>
      </c>
      <c r="C103" s="724">
        <f t="shared" si="308"/>
        <v>0</v>
      </c>
      <c r="D103" s="724">
        <f t="shared" si="309"/>
        <v>0</v>
      </c>
      <c r="E103" s="742" t="s">
        <v>378</v>
      </c>
      <c r="F103" s="724">
        <f t="shared" si="310"/>
        <v>0</v>
      </c>
      <c r="G103" s="724">
        <f t="shared" si="306"/>
        <v>0</v>
      </c>
      <c r="H103" s="798"/>
      <c r="I103" s="724">
        <f t="shared" ref="I103:M103" si="317">H103*H$8</f>
        <v>0</v>
      </c>
      <c r="J103" s="798">
        <f t="shared" si="311"/>
        <v>0</v>
      </c>
      <c r="K103" s="724">
        <f t="shared" si="317"/>
        <v>0</v>
      </c>
      <c r="L103" s="798">
        <f t="shared" si="312"/>
        <v>0</v>
      </c>
      <c r="M103" s="724">
        <f t="shared" si="317"/>
        <v>0</v>
      </c>
      <c r="N103" s="798">
        <f t="shared" ref="N103:R103" si="318">+L103</f>
        <v>0</v>
      </c>
      <c r="O103" s="724">
        <f t="shared" ref="O103:S103" si="319">N103*N$8</f>
        <v>0</v>
      </c>
      <c r="P103" s="798">
        <f t="shared" si="318"/>
        <v>0</v>
      </c>
      <c r="Q103" s="724">
        <f t="shared" si="319"/>
        <v>0</v>
      </c>
      <c r="R103" s="798">
        <f t="shared" si="318"/>
        <v>0</v>
      </c>
      <c r="S103" s="724">
        <f t="shared" si="319"/>
        <v>0</v>
      </c>
      <c r="T103" s="798">
        <f t="shared" ref="T103:X103" si="320">+R103</f>
        <v>0</v>
      </c>
      <c r="U103" s="724">
        <f t="shared" ref="U103:Y103" si="321">T103*T$8</f>
        <v>0</v>
      </c>
      <c r="V103" s="798">
        <f t="shared" si="320"/>
        <v>0</v>
      </c>
      <c r="W103" s="724">
        <f t="shared" si="321"/>
        <v>0</v>
      </c>
      <c r="X103" s="798"/>
      <c r="Y103" s="724"/>
      <c r="Z103" s="798"/>
      <c r="AA103" s="724"/>
      <c r="AB103" s="798"/>
      <c r="AC103" s="724"/>
      <c r="AD103" s="724">
        <f t="shared" si="313"/>
        <v>0</v>
      </c>
      <c r="AE103" s="724">
        <f t="shared" si="314"/>
        <v>0</v>
      </c>
      <c r="AF103" s="798">
        <f t="shared" si="307"/>
        <v>0</v>
      </c>
      <c r="AG103" s="724">
        <f t="shared" ref="AG103:AK103" si="322">AF103*AF$8</f>
        <v>0</v>
      </c>
      <c r="AH103" s="798">
        <f t="shared" si="315"/>
        <v>0</v>
      </c>
      <c r="AI103" s="724">
        <f t="shared" si="322"/>
        <v>0</v>
      </c>
      <c r="AJ103" s="798">
        <f t="shared" si="316"/>
        <v>0</v>
      </c>
      <c r="AK103" s="724">
        <f t="shared" si="322"/>
        <v>0</v>
      </c>
      <c r="AL103" s="724"/>
      <c r="AN103" s="806">
        <f t="shared" si="227"/>
        <v>0</v>
      </c>
    </row>
    <row r="104" s="699" customFormat="1" ht="30" hidden="1" customHeight="1" outlineLevel="3" spans="1:40">
      <c r="A104" s="724" t="s">
        <v>389</v>
      </c>
      <c r="B104" s="734" t="s">
        <v>390</v>
      </c>
      <c r="C104" s="724">
        <f t="shared" si="308"/>
        <v>0</v>
      </c>
      <c r="D104" s="724">
        <f t="shared" si="309"/>
        <v>0</v>
      </c>
      <c r="E104" s="742" t="s">
        <v>378</v>
      </c>
      <c r="F104" s="724">
        <f t="shared" si="310"/>
        <v>0</v>
      </c>
      <c r="G104" s="724">
        <f t="shared" si="306"/>
        <v>0</v>
      </c>
      <c r="H104" s="798"/>
      <c r="I104" s="724">
        <f t="shared" ref="I104:M104" si="323">H104*H$8</f>
        <v>0</v>
      </c>
      <c r="J104" s="798">
        <f t="shared" si="311"/>
        <v>0</v>
      </c>
      <c r="K104" s="724">
        <f t="shared" si="323"/>
        <v>0</v>
      </c>
      <c r="L104" s="798">
        <f t="shared" si="312"/>
        <v>0</v>
      </c>
      <c r="M104" s="724">
        <f t="shared" si="323"/>
        <v>0</v>
      </c>
      <c r="N104" s="798">
        <f t="shared" ref="N104:R104" si="324">+L104</f>
        <v>0</v>
      </c>
      <c r="O104" s="724">
        <f t="shared" ref="O104:S104" si="325">N104*N$8</f>
        <v>0</v>
      </c>
      <c r="P104" s="798">
        <f t="shared" si="324"/>
        <v>0</v>
      </c>
      <c r="Q104" s="724">
        <f t="shared" si="325"/>
        <v>0</v>
      </c>
      <c r="R104" s="798">
        <f t="shared" si="324"/>
        <v>0</v>
      </c>
      <c r="S104" s="724">
        <f t="shared" si="325"/>
        <v>0</v>
      </c>
      <c r="T104" s="798">
        <f t="shared" ref="T104:X104" si="326">+R104</f>
        <v>0</v>
      </c>
      <c r="U104" s="724">
        <f t="shared" ref="U104:Y104" si="327">T104*T$8</f>
        <v>0</v>
      </c>
      <c r="V104" s="798">
        <f t="shared" si="326"/>
        <v>0</v>
      </c>
      <c r="W104" s="724">
        <f t="shared" si="327"/>
        <v>0</v>
      </c>
      <c r="X104" s="798"/>
      <c r="Y104" s="724"/>
      <c r="Z104" s="798"/>
      <c r="AA104" s="724"/>
      <c r="AB104" s="798"/>
      <c r="AC104" s="724"/>
      <c r="AD104" s="724">
        <f t="shared" si="313"/>
        <v>0</v>
      </c>
      <c r="AE104" s="724">
        <f t="shared" si="314"/>
        <v>0</v>
      </c>
      <c r="AF104" s="798">
        <f t="shared" si="307"/>
        <v>0</v>
      </c>
      <c r="AG104" s="724">
        <f t="shared" ref="AG104:AK104" si="328">AF104*AF$8</f>
        <v>0</v>
      </c>
      <c r="AH104" s="798">
        <f t="shared" si="315"/>
        <v>0</v>
      </c>
      <c r="AI104" s="724">
        <f t="shared" si="328"/>
        <v>0</v>
      </c>
      <c r="AJ104" s="798">
        <f t="shared" si="316"/>
        <v>0</v>
      </c>
      <c r="AK104" s="724">
        <f t="shared" si="328"/>
        <v>0</v>
      </c>
      <c r="AL104" s="724"/>
      <c r="AN104" s="806">
        <f t="shared" si="227"/>
        <v>0</v>
      </c>
    </row>
    <row r="105" s="699" customFormat="1" ht="30" hidden="1" customHeight="1" outlineLevel="3" spans="1:40">
      <c r="A105" s="724" t="s">
        <v>391</v>
      </c>
      <c r="B105" s="734" t="s">
        <v>392</v>
      </c>
      <c r="C105" s="724">
        <f t="shared" si="308"/>
        <v>1.34494751552469</v>
      </c>
      <c r="D105" s="724">
        <f t="shared" si="309"/>
        <v>9.6</v>
      </c>
      <c r="E105" s="742" t="s">
        <v>393</v>
      </c>
      <c r="F105" s="724">
        <f t="shared" si="310"/>
        <v>1.34494751552469</v>
      </c>
      <c r="G105" s="724">
        <f t="shared" si="306"/>
        <v>6.60944060690757</v>
      </c>
      <c r="H105" s="798">
        <f>8000*12/10000/C8</f>
        <v>1.34494751552469</v>
      </c>
      <c r="I105" s="724">
        <f t="shared" ref="I105:M105" si="329">H105*H$8</f>
        <v>4.25579590421452</v>
      </c>
      <c r="J105" s="798">
        <f t="shared" si="311"/>
        <v>1.34494751552469</v>
      </c>
      <c r="K105" s="724">
        <f t="shared" si="329"/>
        <v>2.24505095039455</v>
      </c>
      <c r="L105" s="798">
        <f t="shared" si="312"/>
        <v>1.34494751552469</v>
      </c>
      <c r="M105" s="724">
        <f t="shared" si="329"/>
        <v>0</v>
      </c>
      <c r="N105" s="798">
        <f t="shared" ref="N105:R105" si="330">+L105</f>
        <v>1.34494751552469</v>
      </c>
      <c r="O105" s="724">
        <f t="shared" ref="O105:S105" si="331">N105*N$8</f>
        <v>0</v>
      </c>
      <c r="P105" s="798">
        <f t="shared" si="330"/>
        <v>1.34494751552469</v>
      </c>
      <c r="Q105" s="724">
        <f t="shared" si="331"/>
        <v>0</v>
      </c>
      <c r="R105" s="798">
        <f t="shared" si="330"/>
        <v>1.34494751552469</v>
      </c>
      <c r="S105" s="724">
        <f t="shared" si="331"/>
        <v>0</v>
      </c>
      <c r="T105" s="798">
        <f t="shared" ref="T105:X105" si="332">+R105</f>
        <v>1.34494751552469</v>
      </c>
      <c r="U105" s="724">
        <f t="shared" ref="U105:Y105" si="333">T105*T$8</f>
        <v>0</v>
      </c>
      <c r="V105" s="798">
        <f t="shared" si="332"/>
        <v>1.34494751552469</v>
      </c>
      <c r="W105" s="724">
        <f t="shared" si="333"/>
        <v>0.108593752298495</v>
      </c>
      <c r="X105" s="798"/>
      <c r="Y105" s="724"/>
      <c r="Z105" s="798"/>
      <c r="AA105" s="724"/>
      <c r="AB105" s="798"/>
      <c r="AC105" s="724"/>
      <c r="AD105" s="724">
        <f t="shared" si="313"/>
        <v>1.34494751552469</v>
      </c>
      <c r="AE105" s="724">
        <f t="shared" si="314"/>
        <v>2.99055939309244</v>
      </c>
      <c r="AF105" s="798">
        <f t="shared" si="307"/>
        <v>1.34494751552469</v>
      </c>
      <c r="AG105" s="724">
        <f t="shared" ref="AG105:AK105" si="334">AF105*AF$8</f>
        <v>0</v>
      </c>
      <c r="AH105" s="798">
        <f t="shared" si="315"/>
        <v>1.34494751552469</v>
      </c>
      <c r="AI105" s="724">
        <f t="shared" si="334"/>
        <v>0.530596589297161</v>
      </c>
      <c r="AJ105" s="798">
        <f t="shared" si="316"/>
        <v>1.34494751552469</v>
      </c>
      <c r="AK105" s="724">
        <f t="shared" si="334"/>
        <v>2.45996280379528</v>
      </c>
      <c r="AL105" s="724"/>
      <c r="AN105" s="806">
        <f t="shared" si="227"/>
        <v>96000</v>
      </c>
    </row>
    <row r="106" s="699" customFormat="1" ht="30" hidden="1" customHeight="1" outlineLevel="3" spans="1:40">
      <c r="A106" s="724" t="s">
        <v>394</v>
      </c>
      <c r="B106" s="734" t="s">
        <v>395</v>
      </c>
      <c r="C106" s="724">
        <f t="shared" ref="C106:C109" si="335">D106/$C$8</f>
        <v>1.92635711859005</v>
      </c>
      <c r="D106" s="724">
        <f t="shared" ref="D106:D109" si="336">G106+AE106</f>
        <v>13.75</v>
      </c>
      <c r="E106" s="742" t="s">
        <v>396</v>
      </c>
      <c r="F106" s="724">
        <f t="shared" ref="F106:F109" si="337">G106/$F$8</f>
        <v>1.92635711859005</v>
      </c>
      <c r="G106" s="724">
        <f t="shared" si="306"/>
        <v>9.46664670260199</v>
      </c>
      <c r="H106" s="798">
        <f>550*250/10000/C8</f>
        <v>1.92635711859005</v>
      </c>
      <c r="I106" s="724">
        <f t="shared" ref="I106:I110" si="338">H106*H$8</f>
        <v>6.09554100864059</v>
      </c>
      <c r="J106" s="798">
        <f t="shared" ref="J106:J109" si="339">+H106</f>
        <v>1.92635711859005</v>
      </c>
      <c r="K106" s="724">
        <f t="shared" ref="K106:K110" si="340">J106*J$8</f>
        <v>3.2155677674922</v>
      </c>
      <c r="L106" s="798">
        <f t="shared" ref="L106:L109" si="341">+H106</f>
        <v>1.92635711859005</v>
      </c>
      <c r="M106" s="724">
        <f t="shared" ref="M106:M110" si="342">L106*L$8</f>
        <v>0</v>
      </c>
      <c r="N106" s="798">
        <f t="shared" ref="N106:N110" si="343">+L106</f>
        <v>1.92635711859005</v>
      </c>
      <c r="O106" s="724">
        <f t="shared" ref="O106:O110" si="344">N106*N$8</f>
        <v>0</v>
      </c>
      <c r="P106" s="798">
        <f t="shared" ref="P106:P110" si="345">+N106</f>
        <v>1.92635711859005</v>
      </c>
      <c r="Q106" s="724">
        <f t="shared" ref="Q106:Q110" si="346">P106*P$8</f>
        <v>0</v>
      </c>
      <c r="R106" s="798">
        <f t="shared" ref="R106:R110" si="347">+P106</f>
        <v>1.92635711859005</v>
      </c>
      <c r="S106" s="724">
        <f t="shared" ref="S106:S110" si="348">R106*R$8</f>
        <v>0</v>
      </c>
      <c r="T106" s="798">
        <f t="shared" ref="T106:T110" si="349">+R106</f>
        <v>1.92635711859005</v>
      </c>
      <c r="U106" s="724">
        <f t="shared" ref="U106:U110" si="350">T106*T$8</f>
        <v>0</v>
      </c>
      <c r="V106" s="798">
        <f t="shared" ref="V106:V110" si="351">+T106</f>
        <v>1.92635711859005</v>
      </c>
      <c r="W106" s="724">
        <f t="shared" ref="W106:W110" si="352">V106*V$8</f>
        <v>0.155537926469198</v>
      </c>
      <c r="X106" s="798"/>
      <c r="Y106" s="724"/>
      <c r="Z106" s="798"/>
      <c r="AA106" s="724"/>
      <c r="AB106" s="798"/>
      <c r="AC106" s="724"/>
      <c r="AD106" s="724">
        <f t="shared" ref="AD106:AD109" si="353">AE106/AD$8</f>
        <v>1.92635711859005</v>
      </c>
      <c r="AE106" s="724">
        <f t="shared" ref="AE106:AE109" si="354">AG106*0+AI106+AK106</f>
        <v>4.28335329739802</v>
      </c>
      <c r="AF106" s="798">
        <f t="shared" si="307"/>
        <v>1.92635711859005</v>
      </c>
      <c r="AG106" s="724">
        <f t="shared" ref="AG106:AG110" si="355">AF106*AF$8</f>
        <v>0</v>
      </c>
      <c r="AH106" s="798">
        <f t="shared" ref="AH106:AH109" si="356">+AF106</f>
        <v>1.92635711859005</v>
      </c>
      <c r="AI106" s="724">
        <f t="shared" ref="AI106:AI110" si="357">AH106*AH$8</f>
        <v>0.759969073212079</v>
      </c>
      <c r="AJ106" s="798">
        <f t="shared" ref="AJ106:AJ109" si="358">+AH106</f>
        <v>1.92635711859005</v>
      </c>
      <c r="AK106" s="724">
        <f t="shared" ref="AK106:AK110" si="359">AJ106*AJ$8</f>
        <v>3.52338422418595</v>
      </c>
      <c r="AL106" s="724"/>
      <c r="AN106" s="806">
        <f t="shared" si="227"/>
        <v>137500</v>
      </c>
    </row>
    <row r="107" s="699" customFormat="1" ht="30" hidden="1" customHeight="1" outlineLevel="3" spans="1:40">
      <c r="A107" s="724" t="s">
        <v>397</v>
      </c>
      <c r="B107" s="728" t="s">
        <v>398</v>
      </c>
      <c r="C107" s="724">
        <f t="shared" si="335"/>
        <v>0.47</v>
      </c>
      <c r="D107" s="724">
        <f t="shared" si="336"/>
        <v>3.35477775</v>
      </c>
      <c r="E107" s="742" t="s">
        <v>399</v>
      </c>
      <c r="F107" s="724">
        <f t="shared" si="337"/>
        <v>0.47</v>
      </c>
      <c r="G107" s="724">
        <f t="shared" si="306"/>
        <v>2.30970878</v>
      </c>
      <c r="H107" s="798">
        <v>0.47</v>
      </c>
      <c r="I107" s="724">
        <f t="shared" si="338"/>
        <v>1.48721348</v>
      </c>
      <c r="J107" s="798">
        <f t="shared" si="339"/>
        <v>0.47</v>
      </c>
      <c r="K107" s="724">
        <f t="shared" si="340"/>
        <v>0.78454656</v>
      </c>
      <c r="L107" s="798">
        <f t="shared" si="341"/>
        <v>0.47</v>
      </c>
      <c r="M107" s="724">
        <f t="shared" si="342"/>
        <v>0</v>
      </c>
      <c r="N107" s="798">
        <f t="shared" si="343"/>
        <v>0.47</v>
      </c>
      <c r="O107" s="724">
        <f t="shared" si="344"/>
        <v>0</v>
      </c>
      <c r="P107" s="798">
        <f t="shared" si="345"/>
        <v>0.47</v>
      </c>
      <c r="Q107" s="724">
        <f t="shared" si="346"/>
        <v>0</v>
      </c>
      <c r="R107" s="798">
        <f t="shared" si="347"/>
        <v>0.47</v>
      </c>
      <c r="S107" s="724">
        <f t="shared" si="348"/>
        <v>0</v>
      </c>
      <c r="T107" s="798">
        <f t="shared" si="349"/>
        <v>0.47</v>
      </c>
      <c r="U107" s="724">
        <f t="shared" si="350"/>
        <v>0</v>
      </c>
      <c r="V107" s="798">
        <f t="shared" si="351"/>
        <v>0.47</v>
      </c>
      <c r="W107" s="724">
        <f t="shared" si="352"/>
        <v>0.03794874</v>
      </c>
      <c r="X107" s="798"/>
      <c r="Y107" s="724"/>
      <c r="Z107" s="798"/>
      <c r="AA107" s="724"/>
      <c r="AB107" s="798"/>
      <c r="AC107" s="724"/>
      <c r="AD107" s="724">
        <f t="shared" si="353"/>
        <v>0.47</v>
      </c>
      <c r="AE107" s="724">
        <f t="shared" si="354"/>
        <v>1.04506897</v>
      </c>
      <c r="AF107" s="798">
        <f t="shared" si="307"/>
        <v>0.47</v>
      </c>
      <c r="AG107" s="724">
        <f t="shared" si="355"/>
        <v>0</v>
      </c>
      <c r="AH107" s="798">
        <f t="shared" si="356"/>
        <v>0.47</v>
      </c>
      <c r="AI107" s="724">
        <f t="shared" si="357"/>
        <v>0.18542017</v>
      </c>
      <c r="AJ107" s="798">
        <f t="shared" si="358"/>
        <v>0.47</v>
      </c>
      <c r="AK107" s="724">
        <f t="shared" si="359"/>
        <v>0.8596488</v>
      </c>
      <c r="AL107" s="724"/>
      <c r="AN107" s="806">
        <f t="shared" si="227"/>
        <v>33547.7775</v>
      </c>
    </row>
    <row r="108" s="699" customFormat="1" ht="30" hidden="1" customHeight="1" outlineLevel="3" spans="1:40">
      <c r="A108" s="724" t="s">
        <v>400</v>
      </c>
      <c r="B108" s="729" t="s">
        <v>401</v>
      </c>
      <c r="C108" s="724">
        <f t="shared" si="335"/>
        <v>0.280197399067643</v>
      </c>
      <c r="D108" s="724">
        <f t="shared" si="336"/>
        <v>2</v>
      </c>
      <c r="E108" s="742" t="s">
        <v>402</v>
      </c>
      <c r="F108" s="724">
        <f t="shared" si="337"/>
        <v>0.280197399067643</v>
      </c>
      <c r="G108" s="724">
        <f t="shared" si="306"/>
        <v>1.37696679310574</v>
      </c>
      <c r="H108" s="798">
        <f>2/C8</f>
        <v>0.280197399067643</v>
      </c>
      <c r="I108" s="724">
        <f t="shared" si="338"/>
        <v>0.886624146711358</v>
      </c>
      <c r="J108" s="798">
        <f t="shared" si="339"/>
        <v>0.280197399067643</v>
      </c>
      <c r="K108" s="724">
        <f t="shared" si="340"/>
        <v>0.467718947998865</v>
      </c>
      <c r="L108" s="798">
        <f t="shared" si="341"/>
        <v>0.280197399067643</v>
      </c>
      <c r="M108" s="724">
        <f t="shared" si="342"/>
        <v>0</v>
      </c>
      <c r="N108" s="798">
        <f t="shared" si="343"/>
        <v>0.280197399067643</v>
      </c>
      <c r="O108" s="724">
        <f t="shared" si="344"/>
        <v>0</v>
      </c>
      <c r="P108" s="798">
        <f t="shared" si="345"/>
        <v>0.280197399067643</v>
      </c>
      <c r="Q108" s="724">
        <f t="shared" si="346"/>
        <v>0</v>
      </c>
      <c r="R108" s="798">
        <f t="shared" si="347"/>
        <v>0.280197399067643</v>
      </c>
      <c r="S108" s="724">
        <f t="shared" si="348"/>
        <v>0</v>
      </c>
      <c r="T108" s="798">
        <f t="shared" si="349"/>
        <v>0.280197399067643</v>
      </c>
      <c r="U108" s="724">
        <f t="shared" si="350"/>
        <v>0</v>
      </c>
      <c r="V108" s="798">
        <f t="shared" si="351"/>
        <v>0.280197399067643</v>
      </c>
      <c r="W108" s="724">
        <f t="shared" si="352"/>
        <v>0.0226236983955196</v>
      </c>
      <c r="X108" s="798"/>
      <c r="Y108" s="724"/>
      <c r="Z108" s="798"/>
      <c r="AA108" s="724"/>
      <c r="AB108" s="798"/>
      <c r="AC108" s="724"/>
      <c r="AD108" s="724">
        <f t="shared" si="353"/>
        <v>0.280197399067643</v>
      </c>
      <c r="AE108" s="724">
        <f t="shared" si="354"/>
        <v>0.623033206894257</v>
      </c>
      <c r="AF108" s="798">
        <f t="shared" si="307"/>
        <v>0.280197399067643</v>
      </c>
      <c r="AG108" s="724">
        <f t="shared" si="355"/>
        <v>0</v>
      </c>
      <c r="AH108" s="798">
        <f t="shared" si="356"/>
        <v>0.280197399067643</v>
      </c>
      <c r="AI108" s="724">
        <f t="shared" si="357"/>
        <v>0.110540956103575</v>
      </c>
      <c r="AJ108" s="798">
        <f t="shared" si="358"/>
        <v>0.280197399067643</v>
      </c>
      <c r="AK108" s="724">
        <f t="shared" si="359"/>
        <v>0.512492250790682</v>
      </c>
      <c r="AL108" s="724"/>
      <c r="AN108" s="806">
        <f t="shared" si="227"/>
        <v>20000</v>
      </c>
    </row>
    <row r="109" s="699" customFormat="1" ht="25" hidden="1" customHeight="1" outlineLevel="3" spans="1:40">
      <c r="A109" s="724" t="s">
        <v>403</v>
      </c>
      <c r="B109" s="728" t="s">
        <v>404</v>
      </c>
      <c r="C109" s="724">
        <f t="shared" si="335"/>
        <v>0</v>
      </c>
      <c r="D109" s="724">
        <f t="shared" si="336"/>
        <v>0</v>
      </c>
      <c r="E109" s="742" t="s">
        <v>405</v>
      </c>
      <c r="F109" s="724">
        <f t="shared" si="337"/>
        <v>0</v>
      </c>
      <c r="G109" s="724">
        <f t="shared" si="306"/>
        <v>0</v>
      </c>
      <c r="H109" s="798"/>
      <c r="I109" s="724">
        <f t="shared" si="338"/>
        <v>0</v>
      </c>
      <c r="J109" s="798">
        <f t="shared" si="339"/>
        <v>0</v>
      </c>
      <c r="K109" s="724">
        <f t="shared" si="340"/>
        <v>0</v>
      </c>
      <c r="L109" s="798">
        <f t="shared" si="341"/>
        <v>0</v>
      </c>
      <c r="M109" s="724">
        <f t="shared" si="342"/>
        <v>0</v>
      </c>
      <c r="N109" s="798">
        <f t="shared" si="343"/>
        <v>0</v>
      </c>
      <c r="O109" s="724">
        <f t="shared" si="344"/>
        <v>0</v>
      </c>
      <c r="P109" s="798">
        <f t="shared" si="345"/>
        <v>0</v>
      </c>
      <c r="Q109" s="724">
        <f t="shared" si="346"/>
        <v>0</v>
      </c>
      <c r="R109" s="798">
        <f t="shared" si="347"/>
        <v>0</v>
      </c>
      <c r="S109" s="724">
        <f t="shared" si="348"/>
        <v>0</v>
      </c>
      <c r="T109" s="798">
        <f t="shared" si="349"/>
        <v>0</v>
      </c>
      <c r="U109" s="724">
        <f t="shared" si="350"/>
        <v>0</v>
      </c>
      <c r="V109" s="798">
        <f t="shared" si="351"/>
        <v>0</v>
      </c>
      <c r="W109" s="724">
        <f t="shared" si="352"/>
        <v>0</v>
      </c>
      <c r="X109" s="798"/>
      <c r="Y109" s="724"/>
      <c r="Z109" s="798"/>
      <c r="AA109" s="724"/>
      <c r="AB109" s="798"/>
      <c r="AC109" s="724"/>
      <c r="AD109" s="724">
        <f t="shared" si="353"/>
        <v>0</v>
      </c>
      <c r="AE109" s="724">
        <f t="shared" si="354"/>
        <v>0</v>
      </c>
      <c r="AF109" s="798">
        <f t="shared" si="307"/>
        <v>0</v>
      </c>
      <c r="AG109" s="724">
        <f t="shared" si="355"/>
        <v>0</v>
      </c>
      <c r="AH109" s="798">
        <f t="shared" si="356"/>
        <v>0</v>
      </c>
      <c r="AI109" s="724">
        <f t="shared" si="357"/>
        <v>0</v>
      </c>
      <c r="AJ109" s="798">
        <f t="shared" si="358"/>
        <v>0</v>
      </c>
      <c r="AK109" s="724">
        <f t="shared" si="359"/>
        <v>0</v>
      </c>
      <c r="AL109" s="724"/>
      <c r="AN109" s="806">
        <f t="shared" si="227"/>
        <v>0</v>
      </c>
    </row>
    <row r="110" s="700" customFormat="1" hidden="1" customHeight="1" outlineLevel="2" collapsed="1" spans="1:56">
      <c r="A110" s="726" t="s">
        <v>406</v>
      </c>
      <c r="B110" s="799" t="s">
        <v>407</v>
      </c>
      <c r="C110" s="726">
        <f t="shared" ref="C110:C113" si="360">D110/$C$8</f>
        <v>0</v>
      </c>
      <c r="D110" s="726">
        <f t="shared" ref="D110:D113" si="361">G110+AE110</f>
        <v>0</v>
      </c>
      <c r="E110" s="743"/>
      <c r="F110" s="726">
        <f t="shared" ref="F110:F113" si="362">G110/$F$8</f>
        <v>0</v>
      </c>
      <c r="G110" s="800">
        <f>I110+K110+M110+O110+Q110+S110+U110+W110+Y110+AA110+AC110</f>
        <v>0</v>
      </c>
      <c r="H110" s="800"/>
      <c r="I110" s="726">
        <f t="shared" si="338"/>
        <v>0</v>
      </c>
      <c r="J110" s="800">
        <f t="shared" ref="J110:J113" si="363">+H110</f>
        <v>0</v>
      </c>
      <c r="K110" s="726">
        <f t="shared" si="340"/>
        <v>0</v>
      </c>
      <c r="L110" s="800">
        <f t="shared" ref="L110:L113" si="364">+H110</f>
        <v>0</v>
      </c>
      <c r="M110" s="726">
        <f t="shared" si="342"/>
        <v>0</v>
      </c>
      <c r="N110" s="800">
        <f t="shared" si="343"/>
        <v>0</v>
      </c>
      <c r="O110" s="726">
        <f t="shared" si="344"/>
        <v>0</v>
      </c>
      <c r="P110" s="800">
        <f t="shared" si="345"/>
        <v>0</v>
      </c>
      <c r="Q110" s="726">
        <f t="shared" si="346"/>
        <v>0</v>
      </c>
      <c r="R110" s="800">
        <f t="shared" si="347"/>
        <v>0</v>
      </c>
      <c r="S110" s="726">
        <f t="shared" si="348"/>
        <v>0</v>
      </c>
      <c r="T110" s="800">
        <f t="shared" si="349"/>
        <v>0</v>
      </c>
      <c r="U110" s="726">
        <f t="shared" si="350"/>
        <v>0</v>
      </c>
      <c r="V110" s="800">
        <f t="shared" si="351"/>
        <v>0</v>
      </c>
      <c r="W110" s="726">
        <f t="shared" si="352"/>
        <v>0</v>
      </c>
      <c r="X110" s="800"/>
      <c r="Y110" s="726"/>
      <c r="Z110" s="800"/>
      <c r="AA110" s="726"/>
      <c r="AB110" s="800"/>
      <c r="AC110" s="726"/>
      <c r="AD110" s="726">
        <f t="shared" ref="AD110:AD113" si="365">AE110/AD$8</f>
        <v>0</v>
      </c>
      <c r="AE110" s="726">
        <f t="shared" ref="AE110:AE113" si="366">AG110*0+AI110+AK110</f>
        <v>0</v>
      </c>
      <c r="AF110" s="800">
        <f>+AB110</f>
        <v>0</v>
      </c>
      <c r="AG110" s="726">
        <f t="shared" si="355"/>
        <v>0</v>
      </c>
      <c r="AH110" s="800">
        <f t="shared" ref="AH110:AH113" si="367">+AF110</f>
        <v>0</v>
      </c>
      <c r="AI110" s="726">
        <f t="shared" si="357"/>
        <v>0</v>
      </c>
      <c r="AJ110" s="800">
        <f t="shared" ref="AJ110:AJ113" si="368">+AH110</f>
        <v>0</v>
      </c>
      <c r="AK110" s="726">
        <f t="shared" si="359"/>
        <v>0</v>
      </c>
      <c r="AL110" s="724"/>
      <c r="AM110" s="699"/>
      <c r="AN110" s="806">
        <f t="shared" si="227"/>
        <v>0</v>
      </c>
      <c r="AO110" s="699"/>
      <c r="AP110" s="699"/>
      <c r="AQ110" s="699"/>
      <c r="AR110" s="699"/>
      <c r="AS110" s="699"/>
      <c r="AT110" s="699"/>
      <c r="AU110" s="699"/>
      <c r="AV110" s="699"/>
      <c r="AW110" s="699"/>
      <c r="AX110" s="699"/>
      <c r="AY110" s="699"/>
      <c r="AZ110" s="699"/>
      <c r="BA110" s="699"/>
      <c r="BB110" s="699"/>
      <c r="BC110" s="699"/>
      <c r="BD110" s="699"/>
    </row>
    <row r="111" s="699" customFormat="1" ht="30" hidden="1" customHeight="1" outlineLevel="3" spans="1:40">
      <c r="A111" s="724" t="s">
        <v>408</v>
      </c>
      <c r="B111" s="734" t="s">
        <v>409</v>
      </c>
      <c r="C111" s="724">
        <f t="shared" si="360"/>
        <v>0</v>
      </c>
      <c r="D111" s="724">
        <f t="shared" si="361"/>
        <v>0</v>
      </c>
      <c r="E111" s="742" t="s">
        <v>405</v>
      </c>
      <c r="F111" s="724">
        <f t="shared" si="362"/>
        <v>0</v>
      </c>
      <c r="G111" s="724">
        <f t="shared" ref="G111:G117" si="369">I111+K111+M111+O111+Q111+S111+U111+W111</f>
        <v>0</v>
      </c>
      <c r="H111" s="798"/>
      <c r="I111" s="724">
        <f t="shared" ref="I111:M111" si="370">H111*H$8</f>
        <v>0</v>
      </c>
      <c r="J111" s="798">
        <f t="shared" si="363"/>
        <v>0</v>
      </c>
      <c r="K111" s="724">
        <f t="shared" si="370"/>
        <v>0</v>
      </c>
      <c r="L111" s="798">
        <f t="shared" si="364"/>
        <v>0</v>
      </c>
      <c r="M111" s="724">
        <f t="shared" si="370"/>
        <v>0</v>
      </c>
      <c r="N111" s="798">
        <f t="shared" ref="N111:R111" si="371">+L111</f>
        <v>0</v>
      </c>
      <c r="O111" s="724">
        <f t="shared" ref="O111:S111" si="372">N111*N$8</f>
        <v>0</v>
      </c>
      <c r="P111" s="798">
        <f t="shared" si="371"/>
        <v>0</v>
      </c>
      <c r="Q111" s="724">
        <f t="shared" si="372"/>
        <v>0</v>
      </c>
      <c r="R111" s="798">
        <f t="shared" si="371"/>
        <v>0</v>
      </c>
      <c r="S111" s="724">
        <f t="shared" si="372"/>
        <v>0</v>
      </c>
      <c r="T111" s="798">
        <f t="shared" ref="T111:X111" si="373">+R111</f>
        <v>0</v>
      </c>
      <c r="U111" s="724">
        <f t="shared" ref="U111:Y111" si="374">T111*T$8</f>
        <v>0</v>
      </c>
      <c r="V111" s="798">
        <f t="shared" si="373"/>
        <v>0</v>
      </c>
      <c r="W111" s="724">
        <f t="shared" si="374"/>
        <v>0</v>
      </c>
      <c r="X111" s="798"/>
      <c r="Y111" s="724"/>
      <c r="Z111" s="798"/>
      <c r="AA111" s="724"/>
      <c r="AB111" s="798"/>
      <c r="AC111" s="724"/>
      <c r="AD111" s="724">
        <f t="shared" si="365"/>
        <v>0</v>
      </c>
      <c r="AE111" s="724">
        <f t="shared" si="366"/>
        <v>0</v>
      </c>
      <c r="AF111" s="798">
        <f t="shared" ref="AF111:AF117" si="375">+V111</f>
        <v>0</v>
      </c>
      <c r="AG111" s="724">
        <f t="shared" ref="AG111:AK111" si="376">AF111*AF$8</f>
        <v>0</v>
      </c>
      <c r="AH111" s="798">
        <f t="shared" si="367"/>
        <v>0</v>
      </c>
      <c r="AI111" s="724">
        <f t="shared" si="376"/>
        <v>0</v>
      </c>
      <c r="AJ111" s="798">
        <f t="shared" si="368"/>
        <v>0</v>
      </c>
      <c r="AK111" s="724">
        <f t="shared" si="376"/>
        <v>0</v>
      </c>
      <c r="AL111" s="724"/>
      <c r="AN111" s="806">
        <f t="shared" si="227"/>
        <v>0</v>
      </c>
    </row>
    <row r="112" s="699" customFormat="1" ht="25" hidden="1" customHeight="1" outlineLevel="3" spans="1:40">
      <c r="A112" s="724" t="s">
        <v>410</v>
      </c>
      <c r="B112" s="728" t="s">
        <v>411</v>
      </c>
      <c r="C112" s="724">
        <f t="shared" si="360"/>
        <v>16.1113504463895</v>
      </c>
      <c r="D112" s="724">
        <f t="shared" si="361"/>
        <v>115</v>
      </c>
      <c r="E112" s="742" t="s">
        <v>412</v>
      </c>
      <c r="F112" s="724">
        <f t="shared" si="362"/>
        <v>16.1113504463895</v>
      </c>
      <c r="G112" s="724">
        <f t="shared" si="369"/>
        <v>79.1755906035802</v>
      </c>
      <c r="H112" s="798">
        <f>+(65+50)/C8</f>
        <v>16.1113504463895</v>
      </c>
      <c r="I112" s="724">
        <f t="shared" ref="I112:M112" si="377">H112*H$8</f>
        <v>50.9808884359031</v>
      </c>
      <c r="J112" s="798">
        <f t="shared" si="363"/>
        <v>16.1113504463895</v>
      </c>
      <c r="K112" s="724">
        <f t="shared" si="377"/>
        <v>26.8938395099347</v>
      </c>
      <c r="L112" s="798">
        <f t="shared" si="364"/>
        <v>16.1113504463895</v>
      </c>
      <c r="M112" s="724">
        <f t="shared" si="377"/>
        <v>0</v>
      </c>
      <c r="N112" s="798">
        <f t="shared" ref="N112:R112" si="378">+L112</f>
        <v>16.1113504463895</v>
      </c>
      <c r="O112" s="724">
        <f t="shared" ref="O112:S112" si="379">N112*N$8</f>
        <v>0</v>
      </c>
      <c r="P112" s="798">
        <f t="shared" si="378"/>
        <v>16.1113504463895</v>
      </c>
      <c r="Q112" s="724">
        <f t="shared" si="379"/>
        <v>0</v>
      </c>
      <c r="R112" s="798">
        <f t="shared" si="378"/>
        <v>16.1113504463895</v>
      </c>
      <c r="S112" s="724">
        <f t="shared" si="379"/>
        <v>0</v>
      </c>
      <c r="T112" s="798">
        <f t="shared" ref="T112:X112" si="380">+R112</f>
        <v>16.1113504463895</v>
      </c>
      <c r="U112" s="724">
        <f t="shared" ref="U112:Y112" si="381">T112*T$8</f>
        <v>0</v>
      </c>
      <c r="V112" s="798">
        <f t="shared" si="380"/>
        <v>16.1113504463895</v>
      </c>
      <c r="W112" s="724">
        <f t="shared" si="381"/>
        <v>1.30086265774238</v>
      </c>
      <c r="X112" s="798"/>
      <c r="Y112" s="724"/>
      <c r="Z112" s="798"/>
      <c r="AA112" s="724"/>
      <c r="AB112" s="798"/>
      <c r="AC112" s="724"/>
      <c r="AD112" s="724">
        <f t="shared" si="365"/>
        <v>16.1113504463895</v>
      </c>
      <c r="AE112" s="724">
        <f t="shared" si="366"/>
        <v>35.8244093964198</v>
      </c>
      <c r="AF112" s="798">
        <f t="shared" si="375"/>
        <v>16.1113504463895</v>
      </c>
      <c r="AG112" s="724">
        <f t="shared" ref="AG112:AK112" si="382">AF112*AF$8</f>
        <v>0</v>
      </c>
      <c r="AH112" s="798">
        <f t="shared" si="367"/>
        <v>16.1113504463895</v>
      </c>
      <c r="AI112" s="724">
        <f t="shared" si="382"/>
        <v>6.35610497595557</v>
      </c>
      <c r="AJ112" s="798">
        <f t="shared" si="368"/>
        <v>16.1113504463895</v>
      </c>
      <c r="AK112" s="724">
        <f t="shared" si="382"/>
        <v>29.4683044204643</v>
      </c>
      <c r="AL112" s="724"/>
      <c r="AN112" s="806">
        <f t="shared" si="227"/>
        <v>1150000</v>
      </c>
    </row>
    <row r="113" s="699" customFormat="1" ht="25" hidden="1" customHeight="1" outlineLevel="3" spans="1:40">
      <c r="A113" s="724" t="s">
        <v>413</v>
      </c>
      <c r="B113" s="728" t="s">
        <v>414</v>
      </c>
      <c r="C113" s="724">
        <f t="shared" si="360"/>
        <v>0</v>
      </c>
      <c r="D113" s="724">
        <f t="shared" si="361"/>
        <v>0</v>
      </c>
      <c r="E113" s="742"/>
      <c r="F113" s="724">
        <f t="shared" si="362"/>
        <v>0</v>
      </c>
      <c r="G113" s="724">
        <f t="shared" si="369"/>
        <v>0</v>
      </c>
      <c r="H113" s="798"/>
      <c r="I113" s="724">
        <f t="shared" ref="I113:M113" si="383">H113*H$8</f>
        <v>0</v>
      </c>
      <c r="J113" s="798">
        <f t="shared" si="363"/>
        <v>0</v>
      </c>
      <c r="K113" s="724">
        <f t="shared" si="383"/>
        <v>0</v>
      </c>
      <c r="L113" s="798">
        <f t="shared" si="364"/>
        <v>0</v>
      </c>
      <c r="M113" s="724">
        <f t="shared" si="383"/>
        <v>0</v>
      </c>
      <c r="N113" s="798">
        <f t="shared" ref="N113:R113" si="384">+L113</f>
        <v>0</v>
      </c>
      <c r="O113" s="724">
        <f t="shared" ref="O113:S113" si="385">N113*N$8</f>
        <v>0</v>
      </c>
      <c r="P113" s="798">
        <f t="shared" si="384"/>
        <v>0</v>
      </c>
      <c r="Q113" s="724">
        <f t="shared" si="385"/>
        <v>0</v>
      </c>
      <c r="R113" s="798">
        <f t="shared" si="384"/>
        <v>0</v>
      </c>
      <c r="S113" s="724">
        <f t="shared" si="385"/>
        <v>0</v>
      </c>
      <c r="T113" s="798">
        <f t="shared" ref="T113:X113" si="386">+R113</f>
        <v>0</v>
      </c>
      <c r="U113" s="724">
        <f t="shared" ref="U113:Y113" si="387">T113*T$8</f>
        <v>0</v>
      </c>
      <c r="V113" s="798">
        <f t="shared" si="386"/>
        <v>0</v>
      </c>
      <c r="W113" s="724">
        <f t="shared" si="387"/>
        <v>0</v>
      </c>
      <c r="X113" s="798"/>
      <c r="Y113" s="724"/>
      <c r="Z113" s="798"/>
      <c r="AA113" s="724"/>
      <c r="AB113" s="798"/>
      <c r="AC113" s="724"/>
      <c r="AD113" s="724">
        <f t="shared" si="365"/>
        <v>0</v>
      </c>
      <c r="AE113" s="724">
        <f t="shared" si="366"/>
        <v>0</v>
      </c>
      <c r="AF113" s="798">
        <f t="shared" si="375"/>
        <v>0</v>
      </c>
      <c r="AG113" s="724">
        <f t="shared" ref="AG113:AK113" si="388">AF113*AF$8</f>
        <v>0</v>
      </c>
      <c r="AH113" s="798">
        <f t="shared" si="367"/>
        <v>0</v>
      </c>
      <c r="AI113" s="724">
        <f t="shared" si="388"/>
        <v>0</v>
      </c>
      <c r="AJ113" s="798">
        <f t="shared" si="368"/>
        <v>0</v>
      </c>
      <c r="AK113" s="724">
        <f t="shared" si="388"/>
        <v>0</v>
      </c>
      <c r="AL113" s="724"/>
      <c r="AN113" s="806">
        <f t="shared" si="227"/>
        <v>0</v>
      </c>
    </row>
    <row r="114" s="699" customFormat="1" ht="30" hidden="1" customHeight="1" outlineLevel="3" spans="1:40">
      <c r="A114" s="724" t="s">
        <v>415</v>
      </c>
      <c r="B114" s="734" t="s">
        <v>416</v>
      </c>
      <c r="C114" s="724">
        <f t="shared" ref="C114:C117" si="389">D114/$C$8</f>
        <v>0.25</v>
      </c>
      <c r="D114" s="724">
        <f t="shared" ref="D114:D117" si="390">G114+AE114</f>
        <v>1.78445625</v>
      </c>
      <c r="E114" s="742" t="s">
        <v>417</v>
      </c>
      <c r="F114" s="724">
        <f t="shared" ref="F114:F117" si="391">G114/$F$8</f>
        <v>0.25</v>
      </c>
      <c r="G114" s="724">
        <f t="shared" si="369"/>
        <v>1.2285685</v>
      </c>
      <c r="H114" s="798">
        <v>0.25</v>
      </c>
      <c r="I114" s="724">
        <f t="shared" ref="I114:M114" si="392">H114*H$8</f>
        <v>0.791071</v>
      </c>
      <c r="J114" s="798">
        <f t="shared" ref="J114:J117" si="393">+H114</f>
        <v>0.25</v>
      </c>
      <c r="K114" s="724">
        <f t="shared" si="392"/>
        <v>0.417312</v>
      </c>
      <c r="L114" s="798">
        <f t="shared" ref="L114:L117" si="394">+H114</f>
        <v>0.25</v>
      </c>
      <c r="M114" s="724">
        <f t="shared" si="392"/>
        <v>0</v>
      </c>
      <c r="N114" s="798">
        <f t="shared" ref="N114:R114" si="395">+L114</f>
        <v>0.25</v>
      </c>
      <c r="O114" s="724">
        <f t="shared" ref="O114:S114" si="396">N114*N$8</f>
        <v>0</v>
      </c>
      <c r="P114" s="798">
        <f t="shared" si="395"/>
        <v>0.25</v>
      </c>
      <c r="Q114" s="724">
        <f t="shared" si="396"/>
        <v>0</v>
      </c>
      <c r="R114" s="798">
        <f t="shared" si="395"/>
        <v>0.25</v>
      </c>
      <c r="S114" s="724">
        <f t="shared" si="396"/>
        <v>0</v>
      </c>
      <c r="T114" s="798">
        <f t="shared" ref="T114:X114" si="397">+R114</f>
        <v>0.25</v>
      </c>
      <c r="U114" s="724">
        <f t="shared" ref="U114:Y114" si="398">T114*T$8</f>
        <v>0</v>
      </c>
      <c r="V114" s="798">
        <f t="shared" si="397"/>
        <v>0.25</v>
      </c>
      <c r="W114" s="724">
        <f t="shared" si="398"/>
        <v>0.0201855</v>
      </c>
      <c r="X114" s="798"/>
      <c r="Y114" s="724"/>
      <c r="Z114" s="798"/>
      <c r="AA114" s="724"/>
      <c r="AB114" s="798"/>
      <c r="AC114" s="724"/>
      <c r="AD114" s="724">
        <f t="shared" ref="AD114:AD117" si="399">AE114/AD$8</f>
        <v>0.25</v>
      </c>
      <c r="AE114" s="724">
        <f t="shared" ref="AE114:AE117" si="400">AG114*0+AI114+AK114</f>
        <v>0.55588775</v>
      </c>
      <c r="AF114" s="798">
        <f t="shared" si="375"/>
        <v>0.25</v>
      </c>
      <c r="AG114" s="724">
        <f t="shared" ref="AG114:AK114" si="401">AF114*AF$8</f>
        <v>0</v>
      </c>
      <c r="AH114" s="798">
        <f t="shared" ref="AH114:AH117" si="402">+AF114</f>
        <v>0.25</v>
      </c>
      <c r="AI114" s="724">
        <f t="shared" si="401"/>
        <v>0.09862775</v>
      </c>
      <c r="AJ114" s="798">
        <f t="shared" ref="AJ114:AJ117" si="403">+AH114</f>
        <v>0.25</v>
      </c>
      <c r="AK114" s="724">
        <f t="shared" si="401"/>
        <v>0.45726</v>
      </c>
      <c r="AL114" s="724"/>
      <c r="AN114" s="806">
        <f t="shared" si="227"/>
        <v>17844.5625</v>
      </c>
    </row>
    <row r="115" s="699" customFormat="1" ht="30" hidden="1" customHeight="1" outlineLevel="3" spans="1:40">
      <c r="A115" s="724" t="s">
        <v>418</v>
      </c>
      <c r="B115" s="734" t="s">
        <v>419</v>
      </c>
      <c r="C115" s="724">
        <f t="shared" si="389"/>
        <v>4.7913755240567</v>
      </c>
      <c r="D115" s="724">
        <f t="shared" si="390"/>
        <v>34.2</v>
      </c>
      <c r="E115" s="742" t="s">
        <v>420</v>
      </c>
      <c r="F115" s="724">
        <f t="shared" si="391"/>
        <v>4.79137552405669</v>
      </c>
      <c r="G115" s="724">
        <f t="shared" si="369"/>
        <v>23.5461321621082</v>
      </c>
      <c r="H115" s="798">
        <f>285*1200/10000/C8</f>
        <v>4.7913755240567</v>
      </c>
      <c r="I115" s="724">
        <f t="shared" ref="I115:M115" si="404">H115*H$8</f>
        <v>15.1612729087642</v>
      </c>
      <c r="J115" s="798">
        <f t="shared" si="393"/>
        <v>4.7913755240567</v>
      </c>
      <c r="K115" s="724">
        <f t="shared" si="404"/>
        <v>7.9979940107806</v>
      </c>
      <c r="L115" s="798">
        <f t="shared" si="394"/>
        <v>4.7913755240567</v>
      </c>
      <c r="M115" s="724">
        <f t="shared" si="404"/>
        <v>0</v>
      </c>
      <c r="N115" s="798">
        <f t="shared" ref="N115:R115" si="405">+L115</f>
        <v>4.7913755240567</v>
      </c>
      <c r="O115" s="724">
        <f t="shared" ref="O115:S115" si="406">N115*N$8</f>
        <v>0</v>
      </c>
      <c r="P115" s="798">
        <f t="shared" si="405"/>
        <v>4.7913755240567</v>
      </c>
      <c r="Q115" s="724">
        <f t="shared" si="406"/>
        <v>0</v>
      </c>
      <c r="R115" s="798">
        <f t="shared" si="405"/>
        <v>4.7913755240567</v>
      </c>
      <c r="S115" s="724">
        <f t="shared" si="406"/>
        <v>0</v>
      </c>
      <c r="T115" s="798">
        <f t="shared" ref="T115:X115" si="407">+R115</f>
        <v>4.7913755240567</v>
      </c>
      <c r="U115" s="724">
        <f t="shared" ref="U115:Y115" si="408">T115*T$8</f>
        <v>0</v>
      </c>
      <c r="V115" s="798">
        <f t="shared" si="407"/>
        <v>4.7913755240567</v>
      </c>
      <c r="W115" s="724">
        <f t="shared" si="408"/>
        <v>0.386865242563386</v>
      </c>
      <c r="X115" s="798"/>
      <c r="Y115" s="724"/>
      <c r="Z115" s="798"/>
      <c r="AA115" s="724"/>
      <c r="AB115" s="798"/>
      <c r="AC115" s="724"/>
      <c r="AD115" s="724">
        <f t="shared" si="399"/>
        <v>4.7913755240567</v>
      </c>
      <c r="AE115" s="724">
        <f t="shared" si="400"/>
        <v>10.6538678378918</v>
      </c>
      <c r="AF115" s="798">
        <f t="shared" si="375"/>
        <v>4.7913755240567</v>
      </c>
      <c r="AG115" s="724">
        <f t="shared" ref="AG115:AK115" si="409">AF115*AF$8</f>
        <v>0</v>
      </c>
      <c r="AH115" s="798">
        <f t="shared" si="402"/>
        <v>4.7913755240567</v>
      </c>
      <c r="AI115" s="724">
        <f t="shared" si="409"/>
        <v>1.89025034937113</v>
      </c>
      <c r="AJ115" s="798">
        <f t="shared" si="403"/>
        <v>4.7913755240567</v>
      </c>
      <c r="AK115" s="724">
        <f t="shared" si="409"/>
        <v>8.76361748852067</v>
      </c>
      <c r="AL115" s="724"/>
      <c r="AN115" s="806">
        <f t="shared" si="227"/>
        <v>342000</v>
      </c>
    </row>
    <row r="116" s="699" customFormat="1" ht="25" hidden="1" customHeight="1" outlineLevel="3" spans="1:40">
      <c r="A116" s="724" t="s">
        <v>421</v>
      </c>
      <c r="B116" s="734" t="s">
        <v>422</v>
      </c>
      <c r="C116" s="724">
        <f t="shared" si="389"/>
        <v>0.6</v>
      </c>
      <c r="D116" s="724">
        <f t="shared" si="390"/>
        <v>4.282695</v>
      </c>
      <c r="E116" s="742" t="s">
        <v>423</v>
      </c>
      <c r="F116" s="724">
        <f t="shared" si="391"/>
        <v>0.6</v>
      </c>
      <c r="G116" s="724">
        <f t="shared" si="369"/>
        <v>2.9485644</v>
      </c>
      <c r="H116" s="798">
        <f>40*1.5%</f>
        <v>0.6</v>
      </c>
      <c r="I116" s="724">
        <f t="shared" ref="I116:M116" si="410">H116*H$8</f>
        <v>1.8985704</v>
      </c>
      <c r="J116" s="798">
        <f t="shared" si="393"/>
        <v>0.6</v>
      </c>
      <c r="K116" s="724">
        <f t="shared" si="410"/>
        <v>1.0015488</v>
      </c>
      <c r="L116" s="798">
        <f t="shared" si="394"/>
        <v>0.6</v>
      </c>
      <c r="M116" s="724">
        <f t="shared" si="410"/>
        <v>0</v>
      </c>
      <c r="N116" s="798">
        <f t="shared" ref="N116:R116" si="411">+L116</f>
        <v>0.6</v>
      </c>
      <c r="O116" s="724">
        <f t="shared" ref="O116:S116" si="412">N116*N$8</f>
        <v>0</v>
      </c>
      <c r="P116" s="798">
        <f t="shared" si="411"/>
        <v>0.6</v>
      </c>
      <c r="Q116" s="724">
        <f t="shared" si="412"/>
        <v>0</v>
      </c>
      <c r="R116" s="798">
        <f t="shared" si="411"/>
        <v>0.6</v>
      </c>
      <c r="S116" s="724">
        <f t="shared" si="412"/>
        <v>0</v>
      </c>
      <c r="T116" s="798">
        <f t="shared" ref="T116:X116" si="413">+R116</f>
        <v>0.6</v>
      </c>
      <c r="U116" s="724">
        <f t="shared" ref="U116:Y116" si="414">T116*T$8</f>
        <v>0</v>
      </c>
      <c r="V116" s="798">
        <f t="shared" si="413"/>
        <v>0.6</v>
      </c>
      <c r="W116" s="724">
        <f t="shared" si="414"/>
        <v>0.0484452</v>
      </c>
      <c r="X116" s="798"/>
      <c r="Y116" s="724"/>
      <c r="Z116" s="798"/>
      <c r="AA116" s="724"/>
      <c r="AB116" s="798"/>
      <c r="AC116" s="724"/>
      <c r="AD116" s="724">
        <f t="shared" si="399"/>
        <v>0.6</v>
      </c>
      <c r="AE116" s="724">
        <f t="shared" si="400"/>
        <v>1.3341306</v>
      </c>
      <c r="AF116" s="798">
        <f t="shared" si="375"/>
        <v>0.6</v>
      </c>
      <c r="AG116" s="724">
        <f t="shared" ref="AG116:AK116" si="415">AF116*AF$8</f>
        <v>0</v>
      </c>
      <c r="AH116" s="798">
        <f t="shared" si="402"/>
        <v>0.6</v>
      </c>
      <c r="AI116" s="724">
        <f t="shared" si="415"/>
        <v>0.2367066</v>
      </c>
      <c r="AJ116" s="798">
        <f t="shared" si="403"/>
        <v>0.6</v>
      </c>
      <c r="AK116" s="724">
        <f t="shared" si="415"/>
        <v>1.097424</v>
      </c>
      <c r="AL116" s="724"/>
      <c r="AN116" s="806">
        <f t="shared" si="227"/>
        <v>42826.95</v>
      </c>
    </row>
    <row r="117" s="699" customFormat="1" ht="33.75" hidden="1" outlineLevel="3" spans="1:40">
      <c r="A117" s="724" t="s">
        <v>424</v>
      </c>
      <c r="B117" s="728" t="s">
        <v>425</v>
      </c>
      <c r="C117" s="724">
        <f t="shared" si="389"/>
        <v>1</v>
      </c>
      <c r="D117" s="724">
        <f t="shared" si="390"/>
        <v>7.137825</v>
      </c>
      <c r="E117" s="742" t="s">
        <v>426</v>
      </c>
      <c r="F117" s="724">
        <f t="shared" si="391"/>
        <v>1</v>
      </c>
      <c r="G117" s="724">
        <f t="shared" si="369"/>
        <v>4.914274</v>
      </c>
      <c r="H117" s="798">
        <v>1</v>
      </c>
      <c r="I117" s="724">
        <f t="shared" ref="I117:M117" si="416">H117*H$8</f>
        <v>3.164284</v>
      </c>
      <c r="J117" s="798">
        <f t="shared" si="393"/>
        <v>1</v>
      </c>
      <c r="K117" s="724">
        <f t="shared" si="416"/>
        <v>1.669248</v>
      </c>
      <c r="L117" s="798">
        <f t="shared" si="394"/>
        <v>1</v>
      </c>
      <c r="M117" s="724">
        <f t="shared" si="416"/>
        <v>0</v>
      </c>
      <c r="N117" s="798">
        <f t="shared" ref="N117:R117" si="417">+L117</f>
        <v>1</v>
      </c>
      <c r="O117" s="724">
        <f t="shared" ref="O117:S117" si="418">N117*N$8</f>
        <v>0</v>
      </c>
      <c r="P117" s="798">
        <f t="shared" si="417"/>
        <v>1</v>
      </c>
      <c r="Q117" s="724">
        <f t="shared" si="418"/>
        <v>0</v>
      </c>
      <c r="R117" s="798">
        <f t="shared" si="417"/>
        <v>1</v>
      </c>
      <c r="S117" s="724">
        <f t="shared" si="418"/>
        <v>0</v>
      </c>
      <c r="T117" s="798">
        <f t="shared" ref="T117:X117" si="419">+R117</f>
        <v>1</v>
      </c>
      <c r="U117" s="724">
        <f t="shared" ref="U117:Y117" si="420">T117*T$8</f>
        <v>0</v>
      </c>
      <c r="V117" s="798">
        <f t="shared" si="419"/>
        <v>1</v>
      </c>
      <c r="W117" s="724">
        <f t="shared" si="420"/>
        <v>0.080742</v>
      </c>
      <c r="X117" s="798"/>
      <c r="Y117" s="724"/>
      <c r="Z117" s="798"/>
      <c r="AA117" s="724"/>
      <c r="AB117" s="798"/>
      <c r="AC117" s="724"/>
      <c r="AD117" s="724">
        <f t="shared" si="399"/>
        <v>1</v>
      </c>
      <c r="AE117" s="724">
        <f t="shared" si="400"/>
        <v>2.223551</v>
      </c>
      <c r="AF117" s="798">
        <f t="shared" si="375"/>
        <v>1</v>
      </c>
      <c r="AG117" s="724">
        <f t="shared" ref="AG117:AK117" si="421">AF117*AF$8</f>
        <v>0</v>
      </c>
      <c r="AH117" s="798">
        <f t="shared" si="402"/>
        <v>1</v>
      </c>
      <c r="AI117" s="724">
        <f t="shared" si="421"/>
        <v>0.394511</v>
      </c>
      <c r="AJ117" s="798">
        <f t="shared" si="403"/>
        <v>1</v>
      </c>
      <c r="AK117" s="724">
        <f t="shared" si="421"/>
        <v>1.82904</v>
      </c>
      <c r="AL117" s="724"/>
      <c r="AN117" s="806">
        <f t="shared" si="227"/>
        <v>71378.25</v>
      </c>
    </row>
    <row r="118" hidden="1" customHeight="1" outlineLevel="1" collapsed="1" spans="1:40">
      <c r="A118" s="797">
        <v>2.5</v>
      </c>
      <c r="B118" s="797" t="s">
        <v>427</v>
      </c>
      <c r="C118" s="797">
        <f>SUM(C119:C123)</f>
        <v>14.3405921972029</v>
      </c>
      <c r="D118" s="797">
        <f>SUM(D119:D123)</f>
        <v>102.3606375</v>
      </c>
      <c r="E118" s="742"/>
      <c r="F118" s="797">
        <f>SUM(F119:F123)</f>
        <v>14.3405921972029</v>
      </c>
      <c r="G118" s="797">
        <f>SUM(G119:G123)</f>
        <v>70.4735993793172</v>
      </c>
      <c r="H118" s="797">
        <f t="shared" ref="G118:AE118" si="422">SUM(H119:H123)</f>
        <v>14.3405921972029</v>
      </c>
      <c r="I118" s="797">
        <f t="shared" si="422"/>
        <v>45.3777064401341</v>
      </c>
      <c r="J118" s="797">
        <f t="shared" si="422"/>
        <v>14.3405921972029</v>
      </c>
      <c r="K118" s="797">
        <f t="shared" si="422"/>
        <v>23.9380048439966</v>
      </c>
      <c r="L118" s="797">
        <f t="shared" si="422"/>
        <v>14.3405921972029</v>
      </c>
      <c r="M118" s="797">
        <f t="shared" si="422"/>
        <v>0</v>
      </c>
      <c r="N118" s="797">
        <f t="shared" si="422"/>
        <v>14.3405921972029</v>
      </c>
      <c r="O118" s="797">
        <f t="shared" si="422"/>
        <v>0</v>
      </c>
      <c r="P118" s="797">
        <f t="shared" si="422"/>
        <v>14.3405921972029</v>
      </c>
      <c r="Q118" s="797">
        <f t="shared" si="422"/>
        <v>0</v>
      </c>
      <c r="R118" s="797">
        <f t="shared" si="422"/>
        <v>14.3405921972029</v>
      </c>
      <c r="S118" s="797">
        <f t="shared" si="422"/>
        <v>0</v>
      </c>
      <c r="T118" s="797">
        <f t="shared" si="422"/>
        <v>14.3405921972029</v>
      </c>
      <c r="U118" s="797">
        <f t="shared" si="422"/>
        <v>0</v>
      </c>
      <c r="V118" s="797">
        <f t="shared" si="422"/>
        <v>14.3405921972029</v>
      </c>
      <c r="W118" s="797">
        <f t="shared" si="422"/>
        <v>1.15788809518656</v>
      </c>
      <c r="X118" s="797"/>
      <c r="Y118" s="797"/>
      <c r="Z118" s="797"/>
      <c r="AA118" s="797"/>
      <c r="AB118" s="797"/>
      <c r="AC118" s="797"/>
      <c r="AD118" s="797">
        <f t="shared" si="422"/>
        <v>14.3405921972029</v>
      </c>
      <c r="AE118" s="797">
        <f t="shared" si="422"/>
        <v>31.8870381206828</v>
      </c>
      <c r="AF118" s="797">
        <f t="shared" ref="AF118:AK118" si="423">SUM(AF119:AF123)</f>
        <v>14.3405921972029</v>
      </c>
      <c r="AG118" s="797">
        <f t="shared" si="423"/>
        <v>0</v>
      </c>
      <c r="AH118" s="797">
        <f t="shared" si="423"/>
        <v>14.3405921972029</v>
      </c>
      <c r="AI118" s="797">
        <f t="shared" si="423"/>
        <v>5.65752136831073</v>
      </c>
      <c r="AJ118" s="797">
        <f t="shared" si="423"/>
        <v>14.3405921972029</v>
      </c>
      <c r="AK118" s="797">
        <f t="shared" si="423"/>
        <v>26.229516752372</v>
      </c>
      <c r="AL118" s="724"/>
      <c r="AN118" s="806">
        <f t="shared" si="227"/>
        <v>1023606.375</v>
      </c>
    </row>
    <row r="119" s="699" customFormat="1" ht="39" hidden="1" customHeight="1" outlineLevel="2" spans="1:40">
      <c r="A119" s="724" t="s">
        <v>428</v>
      </c>
      <c r="B119" s="728" t="s">
        <v>429</v>
      </c>
      <c r="C119" s="724">
        <f>D119/$C$8</f>
        <v>5</v>
      </c>
      <c r="D119" s="724">
        <f>G119+AE119</f>
        <v>35.689125</v>
      </c>
      <c r="E119" s="742" t="s">
        <v>430</v>
      </c>
      <c r="F119" s="724">
        <f>G119/$F$8</f>
        <v>5</v>
      </c>
      <c r="G119" s="724">
        <f t="shared" ref="G119:G123" si="424">I119+K119+M119+O119+Q119+S119+U119+W119</f>
        <v>24.57137</v>
      </c>
      <c r="H119" s="798">
        <v>5</v>
      </c>
      <c r="I119" s="724">
        <f>H119*H$8</f>
        <v>15.82142</v>
      </c>
      <c r="J119" s="798">
        <f>+H119</f>
        <v>5</v>
      </c>
      <c r="K119" s="724">
        <f>J119*J$8</f>
        <v>8.34624</v>
      </c>
      <c r="L119" s="798">
        <f>+H119</f>
        <v>5</v>
      </c>
      <c r="M119" s="724">
        <f>L119*L$8</f>
        <v>0</v>
      </c>
      <c r="N119" s="798">
        <f>+L119</f>
        <v>5</v>
      </c>
      <c r="O119" s="724">
        <f>N119*N$8</f>
        <v>0</v>
      </c>
      <c r="P119" s="798">
        <f>+N119</f>
        <v>5</v>
      </c>
      <c r="Q119" s="724">
        <f>P119*P$8</f>
        <v>0</v>
      </c>
      <c r="R119" s="798">
        <f>+P119</f>
        <v>5</v>
      </c>
      <c r="S119" s="724">
        <f>R119*R$8</f>
        <v>0</v>
      </c>
      <c r="T119" s="798">
        <f>+R119</f>
        <v>5</v>
      </c>
      <c r="U119" s="724">
        <f>T119*T$8</f>
        <v>0</v>
      </c>
      <c r="V119" s="798">
        <f>+T119</f>
        <v>5</v>
      </c>
      <c r="W119" s="724">
        <f>V119*V$8</f>
        <v>0.40371</v>
      </c>
      <c r="X119" s="798"/>
      <c r="Y119" s="724"/>
      <c r="Z119" s="798"/>
      <c r="AA119" s="724"/>
      <c r="AB119" s="798"/>
      <c r="AC119" s="724"/>
      <c r="AD119" s="724">
        <f>AE119/AD$8</f>
        <v>5</v>
      </c>
      <c r="AE119" s="724">
        <f>AG119*0+AI119+AK119</f>
        <v>11.117755</v>
      </c>
      <c r="AF119" s="798">
        <f t="shared" ref="AF119:AF123" si="425">+V119</f>
        <v>5</v>
      </c>
      <c r="AG119" s="724">
        <f>AF119*AF$8</f>
        <v>0</v>
      </c>
      <c r="AH119" s="798">
        <f>+AF119</f>
        <v>5</v>
      </c>
      <c r="AI119" s="724">
        <f>AH119*AH$8</f>
        <v>1.972555</v>
      </c>
      <c r="AJ119" s="798">
        <f>+AH119</f>
        <v>5</v>
      </c>
      <c r="AK119" s="724">
        <f>AJ119*AJ$8</f>
        <v>9.1452</v>
      </c>
      <c r="AL119" s="724"/>
      <c r="AN119" s="806">
        <f t="shared" si="227"/>
        <v>356891.25</v>
      </c>
    </row>
    <row r="120" s="699" customFormat="1" ht="30" hidden="1" customHeight="1" outlineLevel="2" spans="1:40">
      <c r="A120" s="724" t="s">
        <v>431</v>
      </c>
      <c r="B120" s="728" t="s">
        <v>432</v>
      </c>
      <c r="C120" s="724">
        <f t="shared" ref="C120:C125" si="426">D120/$C$8</f>
        <v>8.34059219720293</v>
      </c>
      <c r="D120" s="724">
        <f t="shared" ref="D120:D125" si="427">G120+AE120</f>
        <v>59.5336875</v>
      </c>
      <c r="E120" s="742" t="s">
        <v>433</v>
      </c>
      <c r="F120" s="724">
        <f t="shared" ref="F120:F125" si="428">G120/$F$8</f>
        <v>8.34059219720293</v>
      </c>
      <c r="G120" s="724">
        <f t="shared" si="424"/>
        <v>40.9879553793172</v>
      </c>
      <c r="H120" s="798">
        <f>7.5+6/C8</f>
        <v>8.34059219720293</v>
      </c>
      <c r="I120" s="724">
        <f t="shared" ref="I120:I125" si="429">H120*H$8</f>
        <v>26.3920024401341</v>
      </c>
      <c r="J120" s="798">
        <f t="shared" ref="J120:J125" si="430">+H120</f>
        <v>8.34059219720293</v>
      </c>
      <c r="K120" s="724">
        <f t="shared" ref="K120:K125" si="431">J120*J$8</f>
        <v>13.9225168439966</v>
      </c>
      <c r="L120" s="798">
        <f t="shared" ref="L120:L125" si="432">+H120</f>
        <v>8.34059219720293</v>
      </c>
      <c r="M120" s="724">
        <f t="shared" ref="M120:M125" si="433">L120*L$8</f>
        <v>0</v>
      </c>
      <c r="N120" s="798">
        <f t="shared" ref="N120:N125" si="434">+L120</f>
        <v>8.34059219720293</v>
      </c>
      <c r="O120" s="724">
        <f t="shared" ref="O120:O125" si="435">N120*N$8</f>
        <v>0</v>
      </c>
      <c r="P120" s="798">
        <f t="shared" ref="P120:P125" si="436">+N120</f>
        <v>8.34059219720293</v>
      </c>
      <c r="Q120" s="724">
        <f t="shared" ref="Q120:Q125" si="437">P120*P$8</f>
        <v>0</v>
      </c>
      <c r="R120" s="798">
        <f t="shared" ref="R120:R125" si="438">+P120</f>
        <v>8.34059219720293</v>
      </c>
      <c r="S120" s="724">
        <f t="shared" ref="S120:S125" si="439">R120*R$8</f>
        <v>0</v>
      </c>
      <c r="T120" s="798">
        <f t="shared" ref="T120:T125" si="440">+R120</f>
        <v>8.34059219720293</v>
      </c>
      <c r="U120" s="724">
        <f t="shared" ref="U120:U125" si="441">T120*T$8</f>
        <v>0</v>
      </c>
      <c r="V120" s="798">
        <f t="shared" ref="V120:V125" si="442">+T120</f>
        <v>8.34059219720293</v>
      </c>
      <c r="W120" s="724">
        <f t="shared" ref="W120:W125" si="443">V120*V$8</f>
        <v>0.673436095186559</v>
      </c>
      <c r="X120" s="798"/>
      <c r="Y120" s="724"/>
      <c r="Z120" s="798"/>
      <c r="AA120" s="724"/>
      <c r="AB120" s="798"/>
      <c r="AC120" s="724"/>
      <c r="AD120" s="724">
        <f t="shared" ref="AD120:AD125" si="444">AE120/AD$8</f>
        <v>8.34059219720293</v>
      </c>
      <c r="AE120" s="724">
        <f t="shared" ref="AE120:AE125" si="445">AG120*0+AI120+AK120</f>
        <v>18.5457321206828</v>
      </c>
      <c r="AF120" s="798">
        <f t="shared" si="425"/>
        <v>8.34059219720293</v>
      </c>
      <c r="AG120" s="724">
        <f t="shared" ref="AG120:AG125" si="446">AF120*AF$8</f>
        <v>0</v>
      </c>
      <c r="AH120" s="798">
        <f t="shared" ref="AH120:AH125" si="447">+AF120</f>
        <v>8.34059219720293</v>
      </c>
      <c r="AI120" s="724">
        <f t="shared" ref="AI120:AI125" si="448">AH120*AH$8</f>
        <v>3.29045536831072</v>
      </c>
      <c r="AJ120" s="798">
        <f t="shared" ref="AJ120:AJ125" si="449">+AH120</f>
        <v>8.34059219720293</v>
      </c>
      <c r="AK120" s="724">
        <f t="shared" ref="AK120:AK125" si="450">AJ120*AJ$8</f>
        <v>15.255276752372</v>
      </c>
      <c r="AL120" s="724"/>
      <c r="AN120" s="806">
        <f t="shared" si="227"/>
        <v>595336.875</v>
      </c>
    </row>
    <row r="121" s="699" customFormat="1" ht="26" hidden="1" customHeight="1" outlineLevel="2" spans="1:40">
      <c r="A121" s="724" t="s">
        <v>434</v>
      </c>
      <c r="B121" s="752" t="s">
        <v>435</v>
      </c>
      <c r="C121" s="724">
        <f t="shared" si="426"/>
        <v>0</v>
      </c>
      <c r="D121" s="724">
        <f t="shared" si="427"/>
        <v>0</v>
      </c>
      <c r="E121" s="742" t="s">
        <v>436</v>
      </c>
      <c r="F121" s="724">
        <f t="shared" si="428"/>
        <v>0</v>
      </c>
      <c r="G121" s="724">
        <f t="shared" si="424"/>
        <v>0</v>
      </c>
      <c r="H121" s="798"/>
      <c r="I121" s="724">
        <f t="shared" si="429"/>
        <v>0</v>
      </c>
      <c r="J121" s="798">
        <f t="shared" si="430"/>
        <v>0</v>
      </c>
      <c r="K121" s="724">
        <f t="shared" si="431"/>
        <v>0</v>
      </c>
      <c r="L121" s="798">
        <f t="shared" si="432"/>
        <v>0</v>
      </c>
      <c r="M121" s="724">
        <f t="shared" si="433"/>
        <v>0</v>
      </c>
      <c r="N121" s="798">
        <f t="shared" si="434"/>
        <v>0</v>
      </c>
      <c r="O121" s="724">
        <f t="shared" si="435"/>
        <v>0</v>
      </c>
      <c r="P121" s="798">
        <f t="shared" si="436"/>
        <v>0</v>
      </c>
      <c r="Q121" s="724">
        <f t="shared" si="437"/>
        <v>0</v>
      </c>
      <c r="R121" s="798">
        <f t="shared" si="438"/>
        <v>0</v>
      </c>
      <c r="S121" s="724">
        <f t="shared" si="439"/>
        <v>0</v>
      </c>
      <c r="T121" s="798">
        <f t="shared" si="440"/>
        <v>0</v>
      </c>
      <c r="U121" s="724">
        <f t="shared" si="441"/>
        <v>0</v>
      </c>
      <c r="V121" s="798">
        <f t="shared" si="442"/>
        <v>0</v>
      </c>
      <c r="W121" s="724">
        <f t="shared" si="443"/>
        <v>0</v>
      </c>
      <c r="X121" s="798"/>
      <c r="Y121" s="724"/>
      <c r="Z121" s="798"/>
      <c r="AA121" s="724"/>
      <c r="AB121" s="798"/>
      <c r="AC121" s="724"/>
      <c r="AD121" s="724">
        <f t="shared" si="444"/>
        <v>0</v>
      </c>
      <c r="AE121" s="724">
        <f t="shared" si="445"/>
        <v>0</v>
      </c>
      <c r="AF121" s="798">
        <f t="shared" si="425"/>
        <v>0</v>
      </c>
      <c r="AG121" s="724">
        <f t="shared" si="446"/>
        <v>0</v>
      </c>
      <c r="AH121" s="798">
        <f t="shared" si="447"/>
        <v>0</v>
      </c>
      <c r="AI121" s="724">
        <f t="shared" si="448"/>
        <v>0</v>
      </c>
      <c r="AJ121" s="798">
        <f t="shared" si="449"/>
        <v>0</v>
      </c>
      <c r="AK121" s="724">
        <f t="shared" si="450"/>
        <v>0</v>
      </c>
      <c r="AL121" s="724"/>
      <c r="AN121" s="806">
        <f t="shared" si="227"/>
        <v>0</v>
      </c>
    </row>
    <row r="122" s="699" customFormat="1" ht="26" hidden="1" customHeight="1" outlineLevel="2" spans="1:40">
      <c r="A122" s="724" t="s">
        <v>437</v>
      </c>
      <c r="B122" s="752" t="s">
        <v>438</v>
      </c>
      <c r="C122" s="724">
        <f t="shared" si="426"/>
        <v>0</v>
      </c>
      <c r="D122" s="724">
        <f t="shared" si="427"/>
        <v>0</v>
      </c>
      <c r="E122" s="742" t="s">
        <v>223</v>
      </c>
      <c r="F122" s="724">
        <f t="shared" si="428"/>
        <v>0</v>
      </c>
      <c r="G122" s="724">
        <f t="shared" si="424"/>
        <v>0</v>
      </c>
      <c r="H122" s="798"/>
      <c r="I122" s="724">
        <f t="shared" si="429"/>
        <v>0</v>
      </c>
      <c r="J122" s="798">
        <f t="shared" si="430"/>
        <v>0</v>
      </c>
      <c r="K122" s="724">
        <f t="shared" si="431"/>
        <v>0</v>
      </c>
      <c r="L122" s="798">
        <f t="shared" si="432"/>
        <v>0</v>
      </c>
      <c r="M122" s="724">
        <f t="shared" si="433"/>
        <v>0</v>
      </c>
      <c r="N122" s="798">
        <f t="shared" si="434"/>
        <v>0</v>
      </c>
      <c r="O122" s="724">
        <f t="shared" si="435"/>
        <v>0</v>
      </c>
      <c r="P122" s="798">
        <f t="shared" si="436"/>
        <v>0</v>
      </c>
      <c r="Q122" s="724">
        <f t="shared" si="437"/>
        <v>0</v>
      </c>
      <c r="R122" s="798">
        <f t="shared" si="438"/>
        <v>0</v>
      </c>
      <c r="S122" s="724">
        <f t="shared" si="439"/>
        <v>0</v>
      </c>
      <c r="T122" s="798">
        <f t="shared" si="440"/>
        <v>0</v>
      </c>
      <c r="U122" s="724">
        <f t="shared" si="441"/>
        <v>0</v>
      </c>
      <c r="V122" s="798">
        <f t="shared" si="442"/>
        <v>0</v>
      </c>
      <c r="W122" s="724">
        <f t="shared" si="443"/>
        <v>0</v>
      </c>
      <c r="X122" s="798"/>
      <c r="Y122" s="724"/>
      <c r="Z122" s="798"/>
      <c r="AA122" s="724"/>
      <c r="AB122" s="798"/>
      <c r="AC122" s="724"/>
      <c r="AD122" s="724">
        <f t="shared" si="444"/>
        <v>0</v>
      </c>
      <c r="AE122" s="724">
        <f t="shared" si="445"/>
        <v>0</v>
      </c>
      <c r="AF122" s="798">
        <f t="shared" si="425"/>
        <v>0</v>
      </c>
      <c r="AG122" s="724">
        <f t="shared" si="446"/>
        <v>0</v>
      </c>
      <c r="AH122" s="798">
        <f t="shared" si="447"/>
        <v>0</v>
      </c>
      <c r="AI122" s="724">
        <f t="shared" si="448"/>
        <v>0</v>
      </c>
      <c r="AJ122" s="798">
        <f t="shared" si="449"/>
        <v>0</v>
      </c>
      <c r="AK122" s="724">
        <f t="shared" si="450"/>
        <v>0</v>
      </c>
      <c r="AL122" s="724"/>
      <c r="AN122" s="806">
        <f t="shared" si="227"/>
        <v>0</v>
      </c>
    </row>
    <row r="123" s="699" customFormat="1" ht="26" hidden="1" customHeight="1" outlineLevel="2" spans="1:40">
      <c r="A123" s="724" t="s">
        <v>439</v>
      </c>
      <c r="B123" s="728" t="s">
        <v>440</v>
      </c>
      <c r="C123" s="724">
        <f t="shared" si="426"/>
        <v>1</v>
      </c>
      <c r="D123" s="724">
        <f t="shared" si="427"/>
        <v>7.137825</v>
      </c>
      <c r="E123" s="742" t="s">
        <v>441</v>
      </c>
      <c r="F123" s="724">
        <f t="shared" si="428"/>
        <v>1</v>
      </c>
      <c r="G123" s="724">
        <f t="shared" si="424"/>
        <v>4.914274</v>
      </c>
      <c r="H123" s="798">
        <v>1</v>
      </c>
      <c r="I123" s="724">
        <f t="shared" si="429"/>
        <v>3.164284</v>
      </c>
      <c r="J123" s="798">
        <f t="shared" si="430"/>
        <v>1</v>
      </c>
      <c r="K123" s="724">
        <f t="shared" si="431"/>
        <v>1.669248</v>
      </c>
      <c r="L123" s="798">
        <f t="shared" si="432"/>
        <v>1</v>
      </c>
      <c r="M123" s="724">
        <f t="shared" si="433"/>
        <v>0</v>
      </c>
      <c r="N123" s="798">
        <f t="shared" si="434"/>
        <v>1</v>
      </c>
      <c r="O123" s="724">
        <f t="shared" si="435"/>
        <v>0</v>
      </c>
      <c r="P123" s="798">
        <f t="shared" si="436"/>
        <v>1</v>
      </c>
      <c r="Q123" s="724">
        <f t="shared" si="437"/>
        <v>0</v>
      </c>
      <c r="R123" s="798">
        <f t="shared" si="438"/>
        <v>1</v>
      </c>
      <c r="S123" s="724">
        <f t="shared" si="439"/>
        <v>0</v>
      </c>
      <c r="T123" s="798">
        <f t="shared" si="440"/>
        <v>1</v>
      </c>
      <c r="U123" s="724">
        <f t="shared" si="441"/>
        <v>0</v>
      </c>
      <c r="V123" s="798">
        <f t="shared" si="442"/>
        <v>1</v>
      </c>
      <c r="W123" s="724">
        <f t="shared" si="443"/>
        <v>0.080742</v>
      </c>
      <c r="X123" s="798"/>
      <c r="Y123" s="724"/>
      <c r="Z123" s="798"/>
      <c r="AA123" s="724"/>
      <c r="AB123" s="798"/>
      <c r="AC123" s="724"/>
      <c r="AD123" s="724">
        <f t="shared" si="444"/>
        <v>1</v>
      </c>
      <c r="AE123" s="724">
        <f t="shared" si="445"/>
        <v>2.223551</v>
      </c>
      <c r="AF123" s="798">
        <f t="shared" si="425"/>
        <v>1</v>
      </c>
      <c r="AG123" s="724">
        <f t="shared" si="446"/>
        <v>0</v>
      </c>
      <c r="AH123" s="798">
        <f t="shared" si="447"/>
        <v>1</v>
      </c>
      <c r="AI123" s="724">
        <f t="shared" si="448"/>
        <v>0.394511</v>
      </c>
      <c r="AJ123" s="798">
        <f t="shared" si="449"/>
        <v>1</v>
      </c>
      <c r="AK123" s="724">
        <f t="shared" si="450"/>
        <v>1.82904</v>
      </c>
      <c r="AL123" s="724"/>
      <c r="AN123" s="806">
        <f t="shared" si="227"/>
        <v>71378.25</v>
      </c>
    </row>
    <row r="124" customHeight="1" collapsed="1" spans="1:40">
      <c r="A124" s="794">
        <v>3</v>
      </c>
      <c r="B124" s="795" t="s">
        <v>442</v>
      </c>
      <c r="C124" s="795">
        <f>+C125+C126+C153+C178+C190</f>
        <v>3737.98570087547</v>
      </c>
      <c r="D124" s="795">
        <f>+D125+D126+D153+D178+D190</f>
        <v>26681.0877853514</v>
      </c>
      <c r="E124" s="742"/>
      <c r="F124" s="795">
        <f>+F125+F126+F153+F178+F190</f>
        <v>4126.25084493614</v>
      </c>
      <c r="G124" s="795">
        <f>+G125+G126+G153+G178+G190</f>
        <v>20277.5272447477</v>
      </c>
      <c r="H124" s="795">
        <f>+H125+H126+H153+H178+H190</f>
        <v>4012.83790712462</v>
      </c>
      <c r="I124" s="795">
        <f>+I125+I126+I153+I178+I190</f>
        <v>12697.7587841079</v>
      </c>
      <c r="J124" s="795">
        <f>+J125+J126+J153+J178+J190</f>
        <v>4389.51793027894</v>
      </c>
      <c r="K124" s="795">
        <f t="shared" ref="K124:AE124" si="451">+K125+K126+K153+K178+K190</f>
        <v>7336.19402608225</v>
      </c>
      <c r="L124" s="795">
        <f t="shared" si="451"/>
        <v>2008.22290542078</v>
      </c>
      <c r="M124" s="795">
        <f t="shared" si="451"/>
        <v>0</v>
      </c>
      <c r="N124" s="795">
        <f t="shared" si="451"/>
        <v>2008.22290542078</v>
      </c>
      <c r="O124" s="795">
        <f t="shared" si="451"/>
        <v>0</v>
      </c>
      <c r="P124" s="795">
        <f t="shared" si="451"/>
        <v>2008.22290542078</v>
      </c>
      <c r="Q124" s="795">
        <f t="shared" si="451"/>
        <v>0</v>
      </c>
      <c r="R124" s="795">
        <f t="shared" si="451"/>
        <v>2008.22290542078</v>
      </c>
      <c r="S124" s="795">
        <f t="shared" si="451"/>
        <v>0</v>
      </c>
      <c r="T124" s="795">
        <f t="shared" si="451"/>
        <v>2008.22290542078</v>
      </c>
      <c r="U124" s="795">
        <f t="shared" si="451"/>
        <v>0</v>
      </c>
      <c r="V124" s="795">
        <f t="shared" si="451"/>
        <v>3016.70053451156</v>
      </c>
      <c r="W124" s="795">
        <f t="shared" si="451"/>
        <v>243.574434557533</v>
      </c>
      <c r="X124" s="795"/>
      <c r="Y124" s="795"/>
      <c r="Z124" s="795"/>
      <c r="AA124" s="795"/>
      <c r="AB124" s="795"/>
      <c r="AC124" s="795"/>
      <c r="AD124" s="795">
        <f t="shared" si="451"/>
        <v>2879.88021889478</v>
      </c>
      <c r="AE124" s="795">
        <f t="shared" si="451"/>
        <v>6403.56054060372</v>
      </c>
      <c r="AF124" s="795">
        <f t="shared" ref="AF124:AK124" si="452">+AF125+AF126+AF153+AF178</f>
        <v>379.749159269889</v>
      </c>
      <c r="AG124" s="795">
        <f t="shared" si="452"/>
        <v>300.04</v>
      </c>
      <c r="AH124" s="795">
        <f t="shared" si="452"/>
        <v>2877.74019708632</v>
      </c>
      <c r="AI124" s="795">
        <f>+AI125+AI126+AI153+AI178+AI190</f>
        <v>1140.82331689272</v>
      </c>
      <c r="AJ124" s="795">
        <f t="shared" si="452"/>
        <v>2699.27976627684</v>
      </c>
      <c r="AK124" s="795">
        <f>+AK125+AK126+AK153+AK178+AK190</f>
        <v>4962.697223711</v>
      </c>
      <c r="AL124" s="724" t="s">
        <v>443</v>
      </c>
      <c r="AN124" s="806">
        <f t="shared" si="227"/>
        <v>266810877.853514</v>
      </c>
    </row>
    <row r="125" s="699" customFormat="1" ht="38" hidden="1" customHeight="1" outlineLevel="2" spans="1:60">
      <c r="A125" s="797">
        <v>3.1</v>
      </c>
      <c r="B125" s="797" t="s">
        <v>444</v>
      </c>
      <c r="C125" s="797">
        <f t="shared" si="426"/>
        <v>2111.13445322229</v>
      </c>
      <c r="D125" s="797">
        <f t="shared" si="427"/>
        <v>15068.9082785714</v>
      </c>
      <c r="E125" s="742"/>
      <c r="F125" s="797">
        <f t="shared" si="428"/>
        <v>1995.4207068168</v>
      </c>
      <c r="G125" s="797">
        <f>I125+K125+M125+O125+Q125+S125+U125+W125</f>
        <v>9806.04409857143</v>
      </c>
      <c r="H125" s="797">
        <f>+(1665+80)/0.98*1.05+80+60.1/H8</f>
        <v>1968.63609542362</v>
      </c>
      <c r="I125" s="797">
        <f t="shared" si="429"/>
        <v>6229.32369857143</v>
      </c>
      <c r="J125" s="797">
        <f>+(1665+80)/0.98*1.05+150+60.1/J8</f>
        <v>2055.64709378115</v>
      </c>
      <c r="K125" s="797">
        <f>J125*J$8</f>
        <v>3431.3848</v>
      </c>
      <c r="L125" s="797">
        <v>0</v>
      </c>
      <c r="M125" s="797">
        <f t="shared" si="433"/>
        <v>0</v>
      </c>
      <c r="N125" s="797">
        <v>0</v>
      </c>
      <c r="O125" s="797">
        <f t="shared" si="435"/>
        <v>0</v>
      </c>
      <c r="P125" s="797">
        <v>0</v>
      </c>
      <c r="Q125" s="797">
        <f t="shared" si="437"/>
        <v>0</v>
      </c>
      <c r="R125" s="797">
        <v>0</v>
      </c>
      <c r="S125" s="797">
        <f t="shared" si="439"/>
        <v>0</v>
      </c>
      <c r="T125" s="797">
        <v>0</v>
      </c>
      <c r="U125" s="797">
        <f t="shared" si="441"/>
        <v>0</v>
      </c>
      <c r="V125" s="797">
        <v>1800</v>
      </c>
      <c r="W125" s="797">
        <f t="shared" si="443"/>
        <v>145.3356</v>
      </c>
      <c r="X125" s="797"/>
      <c r="Y125" s="797"/>
      <c r="Z125" s="797"/>
      <c r="AA125" s="797"/>
      <c r="AB125" s="797"/>
      <c r="AC125" s="797"/>
      <c r="AD125" s="797">
        <f t="shared" si="444"/>
        <v>2366.87360892554</v>
      </c>
      <c r="AE125" s="797">
        <f>AG125+AI125+AK125</f>
        <v>5262.86418</v>
      </c>
      <c r="AF125" s="797">
        <v>0</v>
      </c>
      <c r="AG125" s="797">
        <f>300.04</f>
        <v>300.04</v>
      </c>
      <c r="AH125" s="797">
        <v>2380</v>
      </c>
      <c r="AI125" s="797">
        <f t="shared" si="448"/>
        <v>938.93618</v>
      </c>
      <c r="AJ125" s="797">
        <v>2200</v>
      </c>
      <c r="AK125" s="797">
        <f t="shared" si="450"/>
        <v>4023.888</v>
      </c>
      <c r="AL125" s="724"/>
      <c r="AN125" s="806">
        <f t="shared" si="227"/>
        <v>150689082.785714</v>
      </c>
      <c r="BD125" s="770" t="s">
        <v>445</v>
      </c>
      <c r="BE125" s="770"/>
      <c r="BF125" s="770" t="s">
        <v>446</v>
      </c>
      <c r="BG125" s="770">
        <f>+经济指标!E16+经济指标!E17+经济指标!E18+经济指标!E19+经济指标!E20</f>
        <v>23042.93</v>
      </c>
      <c r="BH125" s="770">
        <f>498/BG125*10000</f>
        <v>216.118349532807</v>
      </c>
    </row>
    <row r="126" ht="37" hidden="1" customHeight="1" outlineLevel="1" collapsed="1" spans="1:60">
      <c r="A126" s="797">
        <v>3.2</v>
      </c>
      <c r="B126" s="797" t="s">
        <v>447</v>
      </c>
      <c r="C126" s="797">
        <f t="shared" ref="C126:AK126" si="453">SUM(C127:C152)</f>
        <v>1435.25579508324</v>
      </c>
      <c r="D126" s="797">
        <f t="shared" si="453"/>
        <v>10244.60469554</v>
      </c>
      <c r="E126" s="742"/>
      <c r="F126" s="797">
        <f t="shared" si="453"/>
        <v>1861.34174719365</v>
      </c>
      <c r="G126" s="797">
        <f t="shared" si="453"/>
        <v>9147.14335334834</v>
      </c>
      <c r="H126" s="797">
        <f t="shared" si="453"/>
        <v>1770.36713829232</v>
      </c>
      <c r="I126" s="797">
        <f t="shared" si="453"/>
        <v>5601.94440982418</v>
      </c>
      <c r="J126" s="797">
        <f t="shared" si="453"/>
        <v>2060.03616308911</v>
      </c>
      <c r="K126" s="797">
        <f t="shared" si="453"/>
        <v>3447.71124516416</v>
      </c>
      <c r="L126" s="797">
        <f t="shared" si="453"/>
        <v>1734.3882320121</v>
      </c>
      <c r="M126" s="797">
        <f t="shared" si="453"/>
        <v>0</v>
      </c>
      <c r="N126" s="797">
        <f t="shared" si="453"/>
        <v>1734.3882320121</v>
      </c>
      <c r="O126" s="797">
        <f t="shared" si="453"/>
        <v>0</v>
      </c>
      <c r="P126" s="797">
        <f t="shared" si="453"/>
        <v>1734.3882320121</v>
      </c>
      <c r="Q126" s="797">
        <f t="shared" si="453"/>
        <v>0</v>
      </c>
      <c r="R126" s="797">
        <f t="shared" si="453"/>
        <v>1734.3882320121</v>
      </c>
      <c r="S126" s="797">
        <f t="shared" si="453"/>
        <v>0</v>
      </c>
      <c r="T126" s="797">
        <f t="shared" si="453"/>
        <v>1734.3882320121</v>
      </c>
      <c r="U126" s="797">
        <f t="shared" si="453"/>
        <v>0</v>
      </c>
      <c r="V126" s="797">
        <f t="shared" si="453"/>
        <v>1207.3976166059</v>
      </c>
      <c r="W126" s="797">
        <f t="shared" si="453"/>
        <v>97.4876983599935</v>
      </c>
      <c r="X126" s="797"/>
      <c r="Y126" s="797"/>
      <c r="Z126" s="797"/>
      <c r="AA126" s="797"/>
      <c r="AB126" s="797"/>
      <c r="AC126" s="797"/>
      <c r="AD126" s="797">
        <f t="shared" si="453"/>
        <v>493.562478302347</v>
      </c>
      <c r="AE126" s="797">
        <f t="shared" si="453"/>
        <v>1097.46134219166</v>
      </c>
      <c r="AF126" s="807">
        <f t="shared" si="453"/>
        <v>374.305027602993</v>
      </c>
      <c r="AG126" s="797">
        <f t="shared" si="453"/>
        <v>0</v>
      </c>
      <c r="AH126" s="797">
        <f t="shared" si="453"/>
        <v>492.296065419429</v>
      </c>
      <c r="AI126" s="797">
        <f t="shared" si="453"/>
        <v>194.216213064684</v>
      </c>
      <c r="AJ126" s="797">
        <f t="shared" si="453"/>
        <v>493.835634609948</v>
      </c>
      <c r="AK126" s="797">
        <f t="shared" si="453"/>
        <v>903.245129126979</v>
      </c>
      <c r="AL126" s="724"/>
      <c r="AN126" s="806">
        <f t="shared" si="227"/>
        <v>102446046.9554</v>
      </c>
      <c r="BD126" s="751" t="s">
        <v>97</v>
      </c>
      <c r="BE126" s="771" t="s">
        <v>90</v>
      </c>
      <c r="BF126" s="771" t="s">
        <v>448</v>
      </c>
      <c r="BG126" s="771" t="s">
        <v>449</v>
      </c>
      <c r="BH126" s="771" t="s">
        <v>450</v>
      </c>
    </row>
    <row r="127" s="699" customFormat="1" ht="33.75" hidden="1" outlineLevel="2" spans="1:60">
      <c r="A127" s="724" t="s">
        <v>451</v>
      </c>
      <c r="B127" s="753" t="s">
        <v>452</v>
      </c>
      <c r="C127" s="724">
        <f t="shared" ref="C127:C132" si="454">D127/$C$8</f>
        <v>69.7696851856133</v>
      </c>
      <c r="D127" s="724">
        <f t="shared" ref="D127:D132" si="455">G127+AE127</f>
        <v>498.00380316</v>
      </c>
      <c r="E127" s="742" t="s">
        <v>453</v>
      </c>
      <c r="F127" s="724">
        <f t="shared" ref="F127:F132" si="456">G127/$F$8</f>
        <v>45.1157229735257</v>
      </c>
      <c r="G127" s="724">
        <f t="shared" ref="G125:G152" si="457">I127+K127+M127+O127+Q127+S127+U127+W127</f>
        <v>221.7110244</v>
      </c>
      <c r="H127" s="798">
        <f>216.12*BE127/10000/H8</f>
        <v>35.9789062802201</v>
      </c>
      <c r="I127" s="724">
        <f>H127*H$8</f>
        <v>113.84747748</v>
      </c>
      <c r="J127" s="798">
        <f>216.12*BD127/10000/J8</f>
        <v>54.1642619191396</v>
      </c>
      <c r="K127" s="724">
        <f t="shared" ref="I127:M127" si="458">J127*J$8</f>
        <v>90.41358588</v>
      </c>
      <c r="L127" s="798">
        <v>0</v>
      </c>
      <c r="M127" s="724">
        <f t="shared" si="458"/>
        <v>0</v>
      </c>
      <c r="N127" s="798">
        <f t="shared" ref="N127:R127" si="459">+L127</f>
        <v>0</v>
      </c>
      <c r="O127" s="724">
        <f t="shared" ref="O127:S127" si="460">N127*N$8</f>
        <v>0</v>
      </c>
      <c r="P127" s="798">
        <f t="shared" si="459"/>
        <v>0</v>
      </c>
      <c r="Q127" s="724">
        <f t="shared" si="460"/>
        <v>0</v>
      </c>
      <c r="R127" s="798">
        <f t="shared" si="459"/>
        <v>0</v>
      </c>
      <c r="S127" s="724">
        <f t="shared" si="460"/>
        <v>0</v>
      </c>
      <c r="T127" s="798">
        <f>+R127</f>
        <v>0</v>
      </c>
      <c r="U127" s="724">
        <f t="shared" ref="U127:Y127" si="461">T127*T$8</f>
        <v>0</v>
      </c>
      <c r="V127" s="798">
        <v>216.12</v>
      </c>
      <c r="W127" s="724">
        <f t="shared" si="461"/>
        <v>17.44996104</v>
      </c>
      <c r="X127" s="798"/>
      <c r="Y127" s="724"/>
      <c r="Z127" s="798"/>
      <c r="AA127" s="724"/>
      <c r="AB127" s="798"/>
      <c r="AC127" s="724"/>
      <c r="AD127" s="724">
        <f t="shared" ref="AD127:AD132" si="462">AE127/AD$8</f>
        <v>124.257450699354</v>
      </c>
      <c r="AE127" s="724">
        <f t="shared" ref="AE127:AE132" si="463">AG127*0+AI127+AK127</f>
        <v>276.29277876</v>
      </c>
      <c r="AF127" s="798">
        <v>0</v>
      </c>
      <c r="AG127" s="724">
        <f>AF127*AF$8</f>
        <v>0</v>
      </c>
      <c r="AH127" s="798">
        <f>216.12*BG127/10000/AH8</f>
        <v>122.991037816436</v>
      </c>
      <c r="AI127" s="724">
        <f>AH127*AH$8</f>
        <v>48.52131732</v>
      </c>
      <c r="AJ127" s="798">
        <f>216.12*BH127/10000/AJ8</f>
        <v>124.530607006955</v>
      </c>
      <c r="AK127" s="724">
        <f>AJ127*AJ$8</f>
        <v>227.77146144</v>
      </c>
      <c r="AL127" s="808"/>
      <c r="AN127" s="806">
        <f t="shared" si="227"/>
        <v>4980038.0316</v>
      </c>
      <c r="BD127" s="699">
        <f>+经济指标!J27</f>
        <v>4183.49</v>
      </c>
      <c r="BE127" s="699">
        <f>+经济指标!J26</f>
        <v>5267.79</v>
      </c>
      <c r="BF127" s="699">
        <f>+经济指标!E16+经济指标!E17+经济指标!E18+经济指标!E19</f>
        <v>807.42</v>
      </c>
      <c r="BG127" s="699">
        <f>+经济指标!E22-1700</f>
        <v>2245.11</v>
      </c>
      <c r="BH127" s="699">
        <f>+经济指标!E23-BD127-BE127+1700</f>
        <v>10539.12</v>
      </c>
    </row>
    <row r="128" s="699" customFormat="1" ht="33.75" hidden="1" outlineLevel="2" spans="1:40">
      <c r="A128" s="724" t="s">
        <v>454</v>
      </c>
      <c r="B128" s="753" t="s">
        <v>455</v>
      </c>
      <c r="C128" s="724">
        <f t="shared" si="454"/>
        <v>22.4157919254115</v>
      </c>
      <c r="D128" s="724">
        <f t="shared" si="455"/>
        <v>160</v>
      </c>
      <c r="E128" s="742" t="s">
        <v>456</v>
      </c>
      <c r="F128" s="724">
        <f t="shared" si="456"/>
        <v>32.5582171445874</v>
      </c>
      <c r="G128" s="724">
        <f t="shared" si="457"/>
        <v>160</v>
      </c>
      <c r="H128" s="798">
        <f>55/H8</f>
        <v>17.3814992586001</v>
      </c>
      <c r="I128" s="724">
        <f t="shared" ref="I128:M128" si="464">H128*H$8</f>
        <v>55</v>
      </c>
      <c r="J128" s="798">
        <f>105/J8</f>
        <v>62.902576489533</v>
      </c>
      <c r="K128" s="724">
        <f t="shared" si="464"/>
        <v>105</v>
      </c>
      <c r="L128" s="798">
        <f t="shared" ref="L127:L132" si="465">+H128</f>
        <v>17.3814992586001</v>
      </c>
      <c r="M128" s="724">
        <f t="shared" si="464"/>
        <v>0</v>
      </c>
      <c r="N128" s="798">
        <f t="shared" ref="N128:R128" si="466">+L128</f>
        <v>17.3814992586001</v>
      </c>
      <c r="O128" s="724">
        <f t="shared" ref="O128:S128" si="467">N128*N$8</f>
        <v>0</v>
      </c>
      <c r="P128" s="798">
        <f t="shared" si="466"/>
        <v>17.3814992586001</v>
      </c>
      <c r="Q128" s="724">
        <f t="shared" si="467"/>
        <v>0</v>
      </c>
      <c r="R128" s="798">
        <f t="shared" si="466"/>
        <v>17.3814992586001</v>
      </c>
      <c r="S128" s="724">
        <f t="shared" si="467"/>
        <v>0</v>
      </c>
      <c r="T128" s="798">
        <f>+R128</f>
        <v>17.3814992586001</v>
      </c>
      <c r="U128" s="724">
        <f t="shared" ref="U128:Y128" si="468">T128*T$8</f>
        <v>0</v>
      </c>
      <c r="V128" s="798">
        <v>0</v>
      </c>
      <c r="W128" s="724">
        <f t="shared" si="468"/>
        <v>0</v>
      </c>
      <c r="X128" s="798"/>
      <c r="Y128" s="724"/>
      <c r="Z128" s="798"/>
      <c r="AA128" s="724"/>
      <c r="AB128" s="798"/>
      <c r="AC128" s="724"/>
      <c r="AD128" s="724">
        <f t="shared" si="462"/>
        <v>0</v>
      </c>
      <c r="AE128" s="724">
        <f t="shared" si="463"/>
        <v>0</v>
      </c>
      <c r="AF128" s="798">
        <f t="shared" ref="AF127:AF134" si="469">+AB128</f>
        <v>0</v>
      </c>
      <c r="AG128" s="724">
        <f t="shared" ref="AG128:AK128" si="470">AF128*AF$8</f>
        <v>0</v>
      </c>
      <c r="AH128" s="798">
        <f t="shared" ref="AH127:AH132" si="471">+AF128</f>
        <v>0</v>
      </c>
      <c r="AI128" s="724">
        <f t="shared" si="470"/>
        <v>0</v>
      </c>
      <c r="AJ128" s="798">
        <f t="shared" ref="AJ127:AJ132" si="472">+AH128</f>
        <v>0</v>
      </c>
      <c r="AK128" s="724">
        <f t="shared" si="470"/>
        <v>0</v>
      </c>
      <c r="AL128" s="724"/>
      <c r="AN128" s="806">
        <f t="shared" si="227"/>
        <v>1600000</v>
      </c>
    </row>
    <row r="129" s="699" customFormat="1" ht="26" hidden="1" customHeight="1" outlineLevel="2" spans="1:40">
      <c r="A129" s="724" t="s">
        <v>457</v>
      </c>
      <c r="B129" s="753" t="s">
        <v>458</v>
      </c>
      <c r="C129" s="724">
        <f t="shared" si="454"/>
        <v>0</v>
      </c>
      <c r="D129" s="724">
        <f t="shared" si="455"/>
        <v>0</v>
      </c>
      <c r="E129" s="742" t="s">
        <v>459</v>
      </c>
      <c r="F129" s="724">
        <f t="shared" si="456"/>
        <v>0</v>
      </c>
      <c r="G129" s="724">
        <f t="shared" si="457"/>
        <v>0</v>
      </c>
      <c r="H129" s="798"/>
      <c r="I129" s="724">
        <f t="shared" ref="I129:M129" si="473">H129*H$8</f>
        <v>0</v>
      </c>
      <c r="J129" s="798">
        <f t="shared" ref="J127:J132" si="474">+H129</f>
        <v>0</v>
      </c>
      <c r="K129" s="724">
        <f t="shared" si="473"/>
        <v>0</v>
      </c>
      <c r="L129" s="798">
        <f t="shared" si="465"/>
        <v>0</v>
      </c>
      <c r="M129" s="724">
        <f t="shared" si="473"/>
        <v>0</v>
      </c>
      <c r="N129" s="798">
        <f t="shared" ref="N129:R129" si="475">+L129</f>
        <v>0</v>
      </c>
      <c r="O129" s="724">
        <f t="shared" ref="O129:S129" si="476">N129*N$8</f>
        <v>0</v>
      </c>
      <c r="P129" s="798">
        <f t="shared" si="475"/>
        <v>0</v>
      </c>
      <c r="Q129" s="724">
        <f t="shared" si="476"/>
        <v>0</v>
      </c>
      <c r="R129" s="798">
        <f t="shared" si="475"/>
        <v>0</v>
      </c>
      <c r="S129" s="724">
        <f t="shared" si="476"/>
        <v>0</v>
      </c>
      <c r="T129" s="798">
        <f t="shared" ref="T129:X129" si="477">+R129</f>
        <v>0</v>
      </c>
      <c r="U129" s="724">
        <f t="shared" ref="U129:Y129" si="478">T129*T$8</f>
        <v>0</v>
      </c>
      <c r="V129" s="798">
        <f t="shared" si="477"/>
        <v>0</v>
      </c>
      <c r="W129" s="724">
        <f t="shared" si="478"/>
        <v>0</v>
      </c>
      <c r="X129" s="798"/>
      <c r="Y129" s="724"/>
      <c r="Z129" s="798"/>
      <c r="AA129" s="724"/>
      <c r="AB129" s="798"/>
      <c r="AC129" s="724"/>
      <c r="AD129" s="724">
        <f t="shared" si="462"/>
        <v>0</v>
      </c>
      <c r="AE129" s="724">
        <f t="shared" si="463"/>
        <v>0</v>
      </c>
      <c r="AF129" s="798">
        <f t="shared" si="469"/>
        <v>0</v>
      </c>
      <c r="AG129" s="724">
        <f t="shared" ref="AG129:AK129" si="479">AF129*AF$8</f>
        <v>0</v>
      </c>
      <c r="AH129" s="798">
        <f t="shared" si="471"/>
        <v>0</v>
      </c>
      <c r="AI129" s="724">
        <f t="shared" si="479"/>
        <v>0</v>
      </c>
      <c r="AJ129" s="798">
        <f t="shared" si="472"/>
        <v>0</v>
      </c>
      <c r="AK129" s="724">
        <f t="shared" si="479"/>
        <v>0</v>
      </c>
      <c r="AL129" s="724"/>
      <c r="AN129" s="806">
        <f t="shared" si="227"/>
        <v>0</v>
      </c>
    </row>
    <row r="130" s="699" customFormat="1" ht="26" hidden="1" customHeight="1" outlineLevel="2" spans="1:40">
      <c r="A130" s="724" t="s">
        <v>460</v>
      </c>
      <c r="B130" s="734" t="s">
        <v>461</v>
      </c>
      <c r="C130" s="724">
        <f t="shared" si="454"/>
        <v>32.7276166058989</v>
      </c>
      <c r="D130" s="724">
        <f t="shared" si="455"/>
        <v>233.604</v>
      </c>
      <c r="E130" s="742" t="s">
        <v>462</v>
      </c>
      <c r="F130" s="724">
        <f t="shared" si="456"/>
        <v>32.7276166058989</v>
      </c>
      <c r="G130" s="724">
        <f t="shared" si="457"/>
        <v>160.832475368337</v>
      </c>
      <c r="H130" s="798">
        <f>226.8*1.03/C8</f>
        <v>32.7276166058989</v>
      </c>
      <c r="I130" s="724">
        <f>H130*H$8</f>
        <v>103.55947358418</v>
      </c>
      <c r="J130" s="798">
        <f t="shared" si="474"/>
        <v>32.7276166058989</v>
      </c>
      <c r="K130" s="724">
        <f t="shared" ref="I130:M130" si="480">J130*J$8</f>
        <v>54.6305085641635</v>
      </c>
      <c r="L130" s="798">
        <f t="shared" si="465"/>
        <v>32.7276166058989</v>
      </c>
      <c r="M130" s="724">
        <f t="shared" si="480"/>
        <v>0</v>
      </c>
      <c r="N130" s="798">
        <f t="shared" ref="N130:R130" si="481">+L130</f>
        <v>32.7276166058989</v>
      </c>
      <c r="O130" s="724">
        <f t="shared" ref="O130:S130" si="482">N130*N$8</f>
        <v>0</v>
      </c>
      <c r="P130" s="798">
        <f t="shared" si="481"/>
        <v>32.7276166058989</v>
      </c>
      <c r="Q130" s="724">
        <f t="shared" si="482"/>
        <v>0</v>
      </c>
      <c r="R130" s="798">
        <f t="shared" si="481"/>
        <v>32.7276166058989</v>
      </c>
      <c r="S130" s="724">
        <f t="shared" si="482"/>
        <v>0</v>
      </c>
      <c r="T130" s="798">
        <f t="shared" ref="T130:X130" si="483">+R130</f>
        <v>32.7276166058989</v>
      </c>
      <c r="U130" s="724">
        <f t="shared" ref="U130:Y130" si="484">T130*T$8</f>
        <v>0</v>
      </c>
      <c r="V130" s="798">
        <f t="shared" si="483"/>
        <v>32.7276166058989</v>
      </c>
      <c r="W130" s="724">
        <f t="shared" si="484"/>
        <v>2.64249321999349</v>
      </c>
      <c r="X130" s="798"/>
      <c r="Y130" s="724"/>
      <c r="Z130" s="798"/>
      <c r="AA130" s="724"/>
      <c r="AB130" s="798"/>
      <c r="AC130" s="724"/>
      <c r="AD130" s="724">
        <f t="shared" si="462"/>
        <v>32.7276166058989</v>
      </c>
      <c r="AE130" s="724">
        <f t="shared" si="463"/>
        <v>72.7715246316631</v>
      </c>
      <c r="AF130" s="798">
        <f>+V130</f>
        <v>32.7276166058989</v>
      </c>
      <c r="AG130" s="724">
        <f t="shared" ref="AG130:AK130" si="485">AF130*AF$8</f>
        <v>0</v>
      </c>
      <c r="AH130" s="798">
        <f t="shared" si="471"/>
        <v>32.7276166058989</v>
      </c>
      <c r="AI130" s="724">
        <f t="shared" si="485"/>
        <v>12.9114047548098</v>
      </c>
      <c r="AJ130" s="798">
        <f t="shared" si="472"/>
        <v>32.7276166058989</v>
      </c>
      <c r="AK130" s="724">
        <f t="shared" si="485"/>
        <v>59.8601198768533</v>
      </c>
      <c r="AL130" s="724"/>
      <c r="AN130" s="806">
        <f t="shared" si="227"/>
        <v>2336040</v>
      </c>
    </row>
    <row r="131" s="699" customFormat="1" ht="26" hidden="1" customHeight="1" outlineLevel="2" spans="1:40">
      <c r="A131" s="724" t="s">
        <v>463</v>
      </c>
      <c r="B131" s="729" t="s">
        <v>464</v>
      </c>
      <c r="C131" s="724">
        <f t="shared" si="454"/>
        <v>0</v>
      </c>
      <c r="D131" s="724">
        <f t="shared" si="455"/>
        <v>0</v>
      </c>
      <c r="E131" s="742" t="s">
        <v>223</v>
      </c>
      <c r="F131" s="724">
        <f t="shared" si="456"/>
        <v>0</v>
      </c>
      <c r="G131" s="724">
        <f t="shared" si="457"/>
        <v>0</v>
      </c>
      <c r="H131" s="798"/>
      <c r="I131" s="724">
        <f t="shared" ref="I131:M131" si="486">H131*H$8</f>
        <v>0</v>
      </c>
      <c r="J131" s="798">
        <f t="shared" si="474"/>
        <v>0</v>
      </c>
      <c r="K131" s="724">
        <f t="shared" si="486"/>
        <v>0</v>
      </c>
      <c r="L131" s="798">
        <f t="shared" si="465"/>
        <v>0</v>
      </c>
      <c r="M131" s="724">
        <f t="shared" si="486"/>
        <v>0</v>
      </c>
      <c r="N131" s="798">
        <f t="shared" ref="N131:R131" si="487">+L131</f>
        <v>0</v>
      </c>
      <c r="O131" s="724">
        <f t="shared" ref="O131:S131" si="488">N131*N$8</f>
        <v>0</v>
      </c>
      <c r="P131" s="798">
        <f t="shared" si="487"/>
        <v>0</v>
      </c>
      <c r="Q131" s="724">
        <f t="shared" si="488"/>
        <v>0</v>
      </c>
      <c r="R131" s="798">
        <f t="shared" si="487"/>
        <v>0</v>
      </c>
      <c r="S131" s="724">
        <f t="shared" si="488"/>
        <v>0</v>
      </c>
      <c r="T131" s="798">
        <f t="shared" ref="T131:X131" si="489">+R131</f>
        <v>0</v>
      </c>
      <c r="U131" s="724">
        <f t="shared" ref="U131:Y131" si="490">T131*T$8</f>
        <v>0</v>
      </c>
      <c r="V131" s="798">
        <f t="shared" si="489"/>
        <v>0</v>
      </c>
      <c r="W131" s="724">
        <f t="shared" si="490"/>
        <v>0</v>
      </c>
      <c r="X131" s="798"/>
      <c r="Y131" s="724"/>
      <c r="Z131" s="798"/>
      <c r="AA131" s="724"/>
      <c r="AB131" s="798"/>
      <c r="AC131" s="724"/>
      <c r="AD131" s="724">
        <f t="shared" si="462"/>
        <v>0</v>
      </c>
      <c r="AE131" s="724">
        <f t="shared" si="463"/>
        <v>0</v>
      </c>
      <c r="AF131" s="798">
        <f>+AB131</f>
        <v>0</v>
      </c>
      <c r="AG131" s="724">
        <f t="shared" ref="AG131:AK131" si="491">AF131*AF$8</f>
        <v>0</v>
      </c>
      <c r="AH131" s="798">
        <f t="shared" si="471"/>
        <v>0</v>
      </c>
      <c r="AI131" s="724">
        <f t="shared" si="491"/>
        <v>0</v>
      </c>
      <c r="AJ131" s="798">
        <f t="shared" si="472"/>
        <v>0</v>
      </c>
      <c r="AK131" s="724">
        <f t="shared" si="491"/>
        <v>0</v>
      </c>
      <c r="AL131" s="724"/>
      <c r="AN131" s="806">
        <f t="shared" si="227"/>
        <v>0</v>
      </c>
    </row>
    <row r="132" s="699" customFormat="1" ht="33" hidden="1" customHeight="1" outlineLevel="2" spans="1:57">
      <c r="A132" s="724" t="s">
        <v>465</v>
      </c>
      <c r="B132" s="728" t="s">
        <v>466</v>
      </c>
      <c r="C132" s="724">
        <f t="shared" si="454"/>
        <v>18.072732239863</v>
      </c>
      <c r="D132" s="724">
        <f t="shared" si="455"/>
        <v>129</v>
      </c>
      <c r="E132" s="742" t="s">
        <v>467</v>
      </c>
      <c r="F132" s="724">
        <f t="shared" si="456"/>
        <v>26.2500625728236</v>
      </c>
      <c r="G132" s="724">
        <f t="shared" si="457"/>
        <v>129</v>
      </c>
      <c r="H132" s="798">
        <f>5000*184/10000/H8</f>
        <v>29.0745078507492</v>
      </c>
      <c r="I132" s="724">
        <f>H132*H$8</f>
        <v>92</v>
      </c>
      <c r="J132" s="724">
        <f>5000*74/10000/J8</f>
        <v>22.1656698105973</v>
      </c>
      <c r="K132" s="724">
        <f>J132*J$8</f>
        <v>37</v>
      </c>
      <c r="L132" s="798">
        <f t="shared" si="465"/>
        <v>29.0745078507492</v>
      </c>
      <c r="M132" s="724">
        <f>L132*L$8</f>
        <v>0</v>
      </c>
      <c r="N132" s="798">
        <f t="shared" ref="N132:R132" si="492">+L132</f>
        <v>29.0745078507492</v>
      </c>
      <c r="O132" s="724">
        <f t="shared" ref="O132:S132" si="493">N132*N$8</f>
        <v>0</v>
      </c>
      <c r="P132" s="798">
        <f t="shared" si="492"/>
        <v>29.0745078507492</v>
      </c>
      <c r="Q132" s="724">
        <f t="shared" si="493"/>
        <v>0</v>
      </c>
      <c r="R132" s="798">
        <f t="shared" si="492"/>
        <v>29.0745078507492</v>
      </c>
      <c r="S132" s="724">
        <f t="shared" si="493"/>
        <v>0</v>
      </c>
      <c r="T132" s="798">
        <f>+R132</f>
        <v>29.0745078507492</v>
      </c>
      <c r="U132" s="724">
        <f t="shared" ref="U132:Y132" si="494">T132*T$8</f>
        <v>0</v>
      </c>
      <c r="V132" s="798">
        <v>0</v>
      </c>
      <c r="W132" s="724">
        <f t="shared" si="494"/>
        <v>0</v>
      </c>
      <c r="X132" s="798"/>
      <c r="Y132" s="724"/>
      <c r="Z132" s="798"/>
      <c r="AA132" s="724"/>
      <c r="AB132" s="798"/>
      <c r="AC132" s="724"/>
      <c r="AD132" s="724">
        <f t="shared" si="462"/>
        <v>0</v>
      </c>
      <c r="AE132" s="724">
        <f t="shared" si="463"/>
        <v>0</v>
      </c>
      <c r="AF132" s="798">
        <f>+AB132</f>
        <v>0</v>
      </c>
      <c r="AG132" s="724">
        <f t="shared" ref="AG132:AK132" si="495">AF132*AF$8</f>
        <v>0</v>
      </c>
      <c r="AH132" s="798">
        <f t="shared" si="471"/>
        <v>0</v>
      </c>
      <c r="AI132" s="724">
        <f t="shared" si="495"/>
        <v>0</v>
      </c>
      <c r="AJ132" s="798">
        <f t="shared" si="472"/>
        <v>0</v>
      </c>
      <c r="AK132" s="724">
        <f t="shared" si="495"/>
        <v>0</v>
      </c>
      <c r="AL132" s="724"/>
      <c r="AN132" s="806">
        <f t="shared" si="227"/>
        <v>1290000</v>
      </c>
      <c r="BD132" s="699">
        <v>184</v>
      </c>
      <c r="BE132" s="699">
        <f>258-BD132</f>
        <v>74</v>
      </c>
    </row>
    <row r="133" s="699" customFormat="1" ht="26" hidden="1" customHeight="1" outlineLevel="2" spans="1:40">
      <c r="A133" s="724" t="s">
        <v>468</v>
      </c>
      <c r="B133" s="728" t="s">
        <v>469</v>
      </c>
      <c r="C133" s="724">
        <f t="shared" ref="C133:C138" si="496">D133/$C$8</f>
        <v>0</v>
      </c>
      <c r="D133" s="724">
        <f t="shared" ref="D133:D141" si="497">G133+AE133</f>
        <v>0</v>
      </c>
      <c r="E133" s="742" t="s">
        <v>470</v>
      </c>
      <c r="F133" s="724">
        <f t="shared" ref="F133:F139" si="498">G133/$F$8</f>
        <v>0</v>
      </c>
      <c r="G133" s="724">
        <f t="shared" si="457"/>
        <v>0</v>
      </c>
      <c r="H133" s="798"/>
      <c r="I133" s="724">
        <f t="shared" ref="I133:M133" si="499">H133*H$8</f>
        <v>0</v>
      </c>
      <c r="J133" s="798">
        <f>+H133</f>
        <v>0</v>
      </c>
      <c r="K133" s="724">
        <f t="shared" si="499"/>
        <v>0</v>
      </c>
      <c r="L133" s="798">
        <f t="shared" ref="L133:L138" si="500">+H133</f>
        <v>0</v>
      </c>
      <c r="M133" s="724">
        <f t="shared" si="499"/>
        <v>0</v>
      </c>
      <c r="N133" s="798">
        <f t="shared" ref="N133:R133" si="501">+L133</f>
        <v>0</v>
      </c>
      <c r="O133" s="724">
        <f t="shared" ref="O133:S133" si="502">N133*N$8</f>
        <v>0</v>
      </c>
      <c r="P133" s="798">
        <f t="shared" si="501"/>
        <v>0</v>
      </c>
      <c r="Q133" s="724">
        <f t="shared" si="502"/>
        <v>0</v>
      </c>
      <c r="R133" s="798">
        <f t="shared" si="501"/>
        <v>0</v>
      </c>
      <c r="S133" s="724">
        <f t="shared" si="502"/>
        <v>0</v>
      </c>
      <c r="T133" s="798">
        <f t="shared" ref="T133:X133" si="503">+R133</f>
        <v>0</v>
      </c>
      <c r="U133" s="724">
        <f t="shared" ref="U133:Y133" si="504">T133*T$8</f>
        <v>0</v>
      </c>
      <c r="V133" s="798">
        <f t="shared" si="503"/>
        <v>0</v>
      </c>
      <c r="W133" s="724">
        <f t="shared" si="504"/>
        <v>0</v>
      </c>
      <c r="X133" s="798"/>
      <c r="Y133" s="724"/>
      <c r="Z133" s="798"/>
      <c r="AA133" s="724"/>
      <c r="AB133" s="798"/>
      <c r="AC133" s="724"/>
      <c r="AD133" s="724">
        <f t="shared" ref="AD133:AD138" si="505">AE133/AD$8</f>
        <v>0</v>
      </c>
      <c r="AE133" s="724">
        <f t="shared" ref="AE133:AE138" si="506">AG133*0+AI133+AK133</f>
        <v>0</v>
      </c>
      <c r="AF133" s="798">
        <f t="shared" si="469"/>
        <v>0</v>
      </c>
      <c r="AG133" s="724">
        <f t="shared" ref="AG133:AK133" si="507">AF133*AF$8</f>
        <v>0</v>
      </c>
      <c r="AH133" s="798">
        <f t="shared" ref="AH133:AH138" si="508">+AF133</f>
        <v>0</v>
      </c>
      <c r="AI133" s="724">
        <f t="shared" si="507"/>
        <v>0</v>
      </c>
      <c r="AJ133" s="798">
        <f t="shared" ref="AJ133:AJ138" si="509">+AH133</f>
        <v>0</v>
      </c>
      <c r="AK133" s="724">
        <f t="shared" si="507"/>
        <v>0</v>
      </c>
      <c r="AL133" s="724"/>
      <c r="AN133" s="806">
        <f t="shared" si="227"/>
        <v>0</v>
      </c>
    </row>
    <row r="134" s="699" customFormat="1" ht="26" hidden="1" customHeight="1" outlineLevel="2" spans="1:40">
      <c r="A134" s="724" t="s">
        <v>471</v>
      </c>
      <c r="B134" s="728" t="s">
        <v>472</v>
      </c>
      <c r="C134" s="724">
        <f t="shared" si="496"/>
        <v>10.726397310105</v>
      </c>
      <c r="D134" s="724">
        <f t="shared" si="497"/>
        <v>76.56314688</v>
      </c>
      <c r="E134" s="742" t="s">
        <v>473</v>
      </c>
      <c r="F134" s="724">
        <f t="shared" si="498"/>
        <v>15.5797472586999</v>
      </c>
      <c r="G134" s="724">
        <f t="shared" si="457"/>
        <v>76.56314688</v>
      </c>
      <c r="H134" s="798">
        <f>480*0.033</f>
        <v>15.84</v>
      </c>
      <c r="I134" s="724">
        <f>H134*H$8</f>
        <v>50.12225856</v>
      </c>
      <c r="J134" s="798">
        <f>+H134</f>
        <v>15.84</v>
      </c>
      <c r="K134" s="724">
        <f t="shared" ref="I134:M134" si="510">J134*J$8</f>
        <v>26.44088832</v>
      </c>
      <c r="L134" s="798">
        <f t="shared" si="500"/>
        <v>15.84</v>
      </c>
      <c r="M134" s="724">
        <f t="shared" si="510"/>
        <v>0</v>
      </c>
      <c r="N134" s="798">
        <f t="shared" ref="N134:R134" si="511">+L134</f>
        <v>15.84</v>
      </c>
      <c r="O134" s="724">
        <f t="shared" ref="O134:S134" si="512">N134*N$8</f>
        <v>0</v>
      </c>
      <c r="P134" s="798">
        <f t="shared" si="511"/>
        <v>15.84</v>
      </c>
      <c r="Q134" s="724">
        <f t="shared" si="512"/>
        <v>0</v>
      </c>
      <c r="R134" s="798">
        <f t="shared" si="511"/>
        <v>15.84</v>
      </c>
      <c r="S134" s="724">
        <f t="shared" si="512"/>
        <v>0</v>
      </c>
      <c r="T134" s="798">
        <f t="shared" ref="T134:T139" si="513">+R134</f>
        <v>15.84</v>
      </c>
      <c r="U134" s="724">
        <f t="shared" ref="U134:Y134" si="514">T134*T$8</f>
        <v>0</v>
      </c>
      <c r="V134" s="798">
        <v>0</v>
      </c>
      <c r="W134" s="724">
        <f t="shared" si="514"/>
        <v>0</v>
      </c>
      <c r="X134" s="798"/>
      <c r="Y134" s="724"/>
      <c r="Z134" s="798"/>
      <c r="AA134" s="724"/>
      <c r="AB134" s="798"/>
      <c r="AC134" s="724"/>
      <c r="AD134" s="724">
        <f t="shared" si="505"/>
        <v>0</v>
      </c>
      <c r="AE134" s="724">
        <f t="shared" si="506"/>
        <v>0</v>
      </c>
      <c r="AF134" s="798">
        <f t="shared" si="469"/>
        <v>0</v>
      </c>
      <c r="AG134" s="724">
        <f t="shared" ref="AG134:AK134" si="515">AF134*AF$8</f>
        <v>0</v>
      </c>
      <c r="AH134" s="798">
        <f t="shared" si="508"/>
        <v>0</v>
      </c>
      <c r="AI134" s="724">
        <f t="shared" si="515"/>
        <v>0</v>
      </c>
      <c r="AJ134" s="798">
        <f t="shared" si="509"/>
        <v>0</v>
      </c>
      <c r="AK134" s="724">
        <f t="shared" si="515"/>
        <v>0</v>
      </c>
      <c r="AL134" s="724"/>
      <c r="AN134" s="806">
        <f t="shared" si="227"/>
        <v>765631.4688</v>
      </c>
    </row>
    <row r="135" s="699" customFormat="1" ht="40" hidden="1" customHeight="1" outlineLevel="2" spans="1:40">
      <c r="A135" s="724" t="s">
        <v>474</v>
      </c>
      <c r="B135" s="728" t="s">
        <v>475</v>
      </c>
      <c r="C135" s="724">
        <f t="shared" si="496"/>
        <v>143.41589657914</v>
      </c>
      <c r="D135" s="724">
        <f t="shared" si="497"/>
        <v>1023.677572</v>
      </c>
      <c r="E135" s="742" t="s">
        <v>476</v>
      </c>
      <c r="F135" s="724">
        <f t="shared" si="498"/>
        <v>208.306979220125</v>
      </c>
      <c r="G135" s="724">
        <f t="shared" si="457"/>
        <v>1023.677572</v>
      </c>
      <c r="H135" s="798">
        <f>0.28*700</f>
        <v>196</v>
      </c>
      <c r="I135" s="724">
        <f>H135*H$8</f>
        <v>620.199664</v>
      </c>
      <c r="J135" s="811">
        <f>0.33*700</f>
        <v>231</v>
      </c>
      <c r="K135" s="724">
        <f>J135*J$8+150*600/10000</f>
        <v>394.596288</v>
      </c>
      <c r="L135" s="798">
        <f t="shared" si="500"/>
        <v>196</v>
      </c>
      <c r="M135" s="724">
        <f>L135*L$8</f>
        <v>0</v>
      </c>
      <c r="N135" s="798">
        <f t="shared" ref="N135:R135" si="516">+L135</f>
        <v>196</v>
      </c>
      <c r="O135" s="724">
        <f t="shared" ref="O135:S135" si="517">N135*N$8</f>
        <v>0</v>
      </c>
      <c r="P135" s="798">
        <f t="shared" si="516"/>
        <v>196</v>
      </c>
      <c r="Q135" s="724">
        <f t="shared" si="517"/>
        <v>0</v>
      </c>
      <c r="R135" s="798">
        <f t="shared" si="516"/>
        <v>196</v>
      </c>
      <c r="S135" s="724">
        <f t="shared" si="517"/>
        <v>0</v>
      </c>
      <c r="T135" s="798">
        <f t="shared" si="513"/>
        <v>196</v>
      </c>
      <c r="U135" s="724">
        <f t="shared" ref="U135:Y135" si="518">T135*T$8</f>
        <v>0</v>
      </c>
      <c r="V135" s="798">
        <f>0.2*550</f>
        <v>110</v>
      </c>
      <c r="W135" s="724">
        <f t="shared" si="518"/>
        <v>8.88162</v>
      </c>
      <c r="X135" s="798"/>
      <c r="Y135" s="724"/>
      <c r="Z135" s="798"/>
      <c r="AA135" s="724"/>
      <c r="AB135" s="798"/>
      <c r="AC135" s="724"/>
      <c r="AD135" s="724">
        <f t="shared" si="505"/>
        <v>0</v>
      </c>
      <c r="AE135" s="724">
        <f t="shared" si="506"/>
        <v>0</v>
      </c>
      <c r="AF135" s="798">
        <v>0</v>
      </c>
      <c r="AG135" s="724">
        <f t="shared" ref="AG135:AK135" si="519">AF135*AF$8</f>
        <v>0</v>
      </c>
      <c r="AH135" s="798">
        <f t="shared" si="508"/>
        <v>0</v>
      </c>
      <c r="AI135" s="724">
        <f t="shared" si="519"/>
        <v>0</v>
      </c>
      <c r="AJ135" s="798">
        <f t="shared" si="509"/>
        <v>0</v>
      </c>
      <c r="AK135" s="724">
        <f t="shared" si="519"/>
        <v>0</v>
      </c>
      <c r="AL135" s="724"/>
      <c r="AN135" s="806">
        <f t="shared" si="227"/>
        <v>10236775.72</v>
      </c>
    </row>
    <row r="136" s="699" customFormat="1" ht="33.75" hidden="1" outlineLevel="2" spans="1:40">
      <c r="A136" s="724" t="s">
        <v>477</v>
      </c>
      <c r="B136" s="728" t="s">
        <v>478</v>
      </c>
      <c r="C136" s="724">
        <f t="shared" si="496"/>
        <v>157.490576961469</v>
      </c>
      <c r="D136" s="724">
        <f t="shared" si="497"/>
        <v>1124.1401775</v>
      </c>
      <c r="E136" s="742" t="s">
        <v>479</v>
      </c>
      <c r="F136" s="724">
        <f t="shared" si="498"/>
        <v>228.75</v>
      </c>
      <c r="G136" s="724">
        <f t="shared" si="457"/>
        <v>1124.1401775</v>
      </c>
      <c r="H136" s="798">
        <f>(105*0.75+120*1.25)</f>
        <v>228.75</v>
      </c>
      <c r="I136" s="724">
        <f t="shared" ref="I136:M136" si="520">H136*H$8</f>
        <v>723.829965</v>
      </c>
      <c r="J136" s="798">
        <f>+H136</f>
        <v>228.75</v>
      </c>
      <c r="K136" s="724">
        <f t="shared" si="520"/>
        <v>381.84048</v>
      </c>
      <c r="L136" s="798">
        <f t="shared" si="500"/>
        <v>228.75</v>
      </c>
      <c r="M136" s="724">
        <f t="shared" si="520"/>
        <v>0</v>
      </c>
      <c r="N136" s="798">
        <f t="shared" ref="N136:R136" si="521">+L136</f>
        <v>228.75</v>
      </c>
      <c r="O136" s="724">
        <f t="shared" ref="O136:S136" si="522">N136*N$8</f>
        <v>0</v>
      </c>
      <c r="P136" s="798">
        <f t="shared" si="521"/>
        <v>228.75</v>
      </c>
      <c r="Q136" s="724">
        <f t="shared" si="522"/>
        <v>0</v>
      </c>
      <c r="R136" s="798">
        <f t="shared" si="521"/>
        <v>228.75</v>
      </c>
      <c r="S136" s="724">
        <f t="shared" si="522"/>
        <v>0</v>
      </c>
      <c r="T136" s="798">
        <f t="shared" si="513"/>
        <v>228.75</v>
      </c>
      <c r="U136" s="724">
        <f t="shared" ref="U136:Y136" si="523">T136*T$8</f>
        <v>0</v>
      </c>
      <c r="V136" s="798">
        <f>+T136</f>
        <v>228.75</v>
      </c>
      <c r="W136" s="724">
        <f t="shared" si="523"/>
        <v>18.4697325</v>
      </c>
      <c r="X136" s="798"/>
      <c r="Y136" s="724"/>
      <c r="Z136" s="798"/>
      <c r="AA136" s="724"/>
      <c r="AB136" s="798"/>
      <c r="AC136" s="724"/>
      <c r="AD136" s="724">
        <f t="shared" si="505"/>
        <v>0</v>
      </c>
      <c r="AE136" s="724">
        <f t="shared" si="506"/>
        <v>0</v>
      </c>
      <c r="AF136" s="798">
        <v>0</v>
      </c>
      <c r="AG136" s="724">
        <f t="shared" ref="AG136:AK136" si="524">AF136*AF$8</f>
        <v>0</v>
      </c>
      <c r="AH136" s="798">
        <f t="shared" si="508"/>
        <v>0</v>
      </c>
      <c r="AI136" s="724">
        <f t="shared" si="524"/>
        <v>0</v>
      </c>
      <c r="AJ136" s="798">
        <f t="shared" si="509"/>
        <v>0</v>
      </c>
      <c r="AK136" s="724">
        <f t="shared" si="524"/>
        <v>0</v>
      </c>
      <c r="AL136" s="724"/>
      <c r="AN136" s="806">
        <f t="shared" si="227"/>
        <v>11241401.775</v>
      </c>
    </row>
    <row r="137" s="699" customFormat="1" ht="38" hidden="1" customHeight="1" outlineLevel="2" spans="1:40">
      <c r="A137" s="724" t="s">
        <v>480</v>
      </c>
      <c r="B137" s="728" t="s">
        <v>481</v>
      </c>
      <c r="C137" s="724">
        <f t="shared" si="496"/>
        <v>61.8480415252545</v>
      </c>
      <c r="D137" s="724">
        <f t="shared" si="497"/>
        <v>441.460497</v>
      </c>
      <c r="E137" s="742" t="s">
        <v>482</v>
      </c>
      <c r="F137" s="724">
        <f t="shared" si="498"/>
        <v>83.0452742358281</v>
      </c>
      <c r="G137" s="724">
        <f t="shared" si="457"/>
        <v>408.107232</v>
      </c>
      <c r="H137" s="798">
        <f>400*0.18</f>
        <v>72</v>
      </c>
      <c r="I137" s="724">
        <f t="shared" ref="I137:M137" si="525">H137*H$8</f>
        <v>227.828448</v>
      </c>
      <c r="J137" s="798">
        <f>400*0.27</f>
        <v>108</v>
      </c>
      <c r="K137" s="724">
        <f>J137*J$8</f>
        <v>180.278784</v>
      </c>
      <c r="L137" s="798">
        <f t="shared" si="500"/>
        <v>72</v>
      </c>
      <c r="M137" s="724">
        <f t="shared" si="525"/>
        <v>0</v>
      </c>
      <c r="N137" s="798">
        <f t="shared" ref="N137:R137" si="526">+L137</f>
        <v>72</v>
      </c>
      <c r="O137" s="724">
        <f t="shared" ref="O137:S137" si="527">N137*N$8</f>
        <v>0</v>
      </c>
      <c r="P137" s="798">
        <f t="shared" si="526"/>
        <v>72</v>
      </c>
      <c r="Q137" s="724">
        <f t="shared" si="527"/>
        <v>0</v>
      </c>
      <c r="R137" s="798">
        <f t="shared" si="526"/>
        <v>72</v>
      </c>
      <c r="S137" s="724">
        <f t="shared" si="527"/>
        <v>0</v>
      </c>
      <c r="T137" s="798">
        <f t="shared" si="513"/>
        <v>72</v>
      </c>
      <c r="U137" s="724">
        <f t="shared" ref="U137:Y137" si="528">T137*T$8</f>
        <v>0</v>
      </c>
      <c r="V137" s="798">
        <v>0</v>
      </c>
      <c r="W137" s="724">
        <f t="shared" si="528"/>
        <v>0</v>
      </c>
      <c r="X137" s="798"/>
      <c r="Y137" s="724"/>
      <c r="Z137" s="798"/>
      <c r="AA137" s="724"/>
      <c r="AB137" s="798"/>
      <c r="AC137" s="724"/>
      <c r="AD137" s="724">
        <f t="shared" si="505"/>
        <v>15</v>
      </c>
      <c r="AE137" s="724">
        <f t="shared" si="506"/>
        <v>33.353265</v>
      </c>
      <c r="AF137" s="798">
        <v>20</v>
      </c>
      <c r="AG137" s="724">
        <f t="shared" ref="AG137:AK137" si="529">AF137*AF$8</f>
        <v>0</v>
      </c>
      <c r="AH137" s="798">
        <v>15</v>
      </c>
      <c r="AI137" s="724">
        <f t="shared" si="529"/>
        <v>5.917665</v>
      </c>
      <c r="AJ137" s="798">
        <f t="shared" si="509"/>
        <v>15</v>
      </c>
      <c r="AK137" s="724">
        <f t="shared" si="529"/>
        <v>27.4356</v>
      </c>
      <c r="AL137" s="724"/>
      <c r="AN137" s="806">
        <f t="shared" si="227"/>
        <v>4414604.97</v>
      </c>
    </row>
    <row r="138" s="699" customFormat="1" ht="33.75" hidden="1" outlineLevel="2" spans="1:40">
      <c r="A138" s="724" t="s">
        <v>483</v>
      </c>
      <c r="B138" s="728" t="s">
        <v>484</v>
      </c>
      <c r="C138" s="724">
        <f t="shared" si="496"/>
        <v>108.347447576818</v>
      </c>
      <c r="D138" s="724">
        <f t="shared" si="497"/>
        <v>773.36512</v>
      </c>
      <c r="E138" s="742" t="s">
        <v>485</v>
      </c>
      <c r="F138" s="724">
        <f t="shared" si="498"/>
        <v>157.371184431312</v>
      </c>
      <c r="G138" s="724">
        <f t="shared" si="457"/>
        <v>773.36512</v>
      </c>
      <c r="H138" s="798">
        <f>0.2*800</f>
        <v>160</v>
      </c>
      <c r="I138" s="724">
        <f>H138*H$8</f>
        <v>506.28544</v>
      </c>
      <c r="J138" s="798">
        <f>+H138</f>
        <v>160</v>
      </c>
      <c r="K138" s="724">
        <f>J138*J$8</f>
        <v>267.07968</v>
      </c>
      <c r="L138" s="798">
        <f t="shared" si="500"/>
        <v>160</v>
      </c>
      <c r="M138" s="724">
        <f>L138*L$8</f>
        <v>0</v>
      </c>
      <c r="N138" s="798">
        <f t="shared" ref="N138:R138" si="530">+L138</f>
        <v>160</v>
      </c>
      <c r="O138" s="724">
        <f t="shared" ref="O138:S138" si="531">N138*N$8</f>
        <v>0</v>
      </c>
      <c r="P138" s="798">
        <f t="shared" si="530"/>
        <v>160</v>
      </c>
      <c r="Q138" s="724">
        <f t="shared" si="531"/>
        <v>0</v>
      </c>
      <c r="R138" s="798">
        <f t="shared" si="530"/>
        <v>160</v>
      </c>
      <c r="S138" s="724">
        <f t="shared" si="531"/>
        <v>0</v>
      </c>
      <c r="T138" s="798">
        <f t="shared" si="513"/>
        <v>160</v>
      </c>
      <c r="U138" s="724">
        <f t="shared" ref="U138:Y138" si="532">T138*T$8</f>
        <v>0</v>
      </c>
      <c r="V138" s="798">
        <v>0</v>
      </c>
      <c r="W138" s="724">
        <f t="shared" si="532"/>
        <v>0</v>
      </c>
      <c r="X138" s="798"/>
      <c r="Y138" s="724"/>
      <c r="Z138" s="798"/>
      <c r="AA138" s="724"/>
      <c r="AB138" s="798"/>
      <c r="AC138" s="724"/>
      <c r="AD138" s="724">
        <f t="shared" si="505"/>
        <v>0</v>
      </c>
      <c r="AE138" s="724">
        <f t="shared" si="506"/>
        <v>0</v>
      </c>
      <c r="AF138" s="798">
        <v>0</v>
      </c>
      <c r="AG138" s="724">
        <f>AF138*AF$8</f>
        <v>0</v>
      </c>
      <c r="AH138" s="798">
        <f t="shared" si="508"/>
        <v>0</v>
      </c>
      <c r="AI138" s="724">
        <f t="shared" ref="AG138:AK138" si="533">AH138*AH$8</f>
        <v>0</v>
      </c>
      <c r="AJ138" s="798">
        <f t="shared" si="509"/>
        <v>0</v>
      </c>
      <c r="AK138" s="724">
        <f t="shared" si="533"/>
        <v>0</v>
      </c>
      <c r="AL138" s="724"/>
      <c r="AN138" s="806">
        <f t="shared" si="227"/>
        <v>7733651.2</v>
      </c>
    </row>
    <row r="139" s="699" customFormat="1" ht="112.5" hidden="1" outlineLevel="2" spans="1:40">
      <c r="A139" s="724" t="s">
        <v>486</v>
      </c>
      <c r="B139" s="728" t="s">
        <v>487</v>
      </c>
      <c r="C139" s="724">
        <f t="shared" ref="C139:C152" si="534">D139/$C$8</f>
        <v>170.6595636626</v>
      </c>
      <c r="D139" s="724">
        <f t="shared" si="497"/>
        <v>1218.1381</v>
      </c>
      <c r="E139" s="742" t="s">
        <v>488</v>
      </c>
      <c r="F139" s="724">
        <f t="shared" si="498"/>
        <v>247.877529824344</v>
      </c>
      <c r="G139" s="724">
        <f t="shared" si="457"/>
        <v>1218.1381</v>
      </c>
      <c r="H139" s="798">
        <f>(480*3300+2000*560+400*800+1200*3300)/H8/10000</f>
        <v>220.713437858296</v>
      </c>
      <c r="I139" s="724">
        <f>H139*H$8</f>
        <v>698.4</v>
      </c>
      <c r="J139" s="798">
        <f>(11*43*3300+2000*406+800*220+1200*11*167)/10000/J8</f>
        <v>284.756968407331</v>
      </c>
      <c r="K139" s="724">
        <f>J139*J$8</f>
        <v>475.33</v>
      </c>
      <c r="L139" s="798">
        <f t="shared" ref="L139:L152" si="535">+H139</f>
        <v>220.713437858296</v>
      </c>
      <c r="M139" s="724">
        <f>L139*L$8</f>
        <v>0</v>
      </c>
      <c r="N139" s="798">
        <f t="shared" ref="N139:R139" si="536">+L139</f>
        <v>220.713437858296</v>
      </c>
      <c r="O139" s="724">
        <f t="shared" ref="O139:S139" si="537">N139*N$8</f>
        <v>0</v>
      </c>
      <c r="P139" s="798">
        <f t="shared" si="536"/>
        <v>220.713437858296</v>
      </c>
      <c r="Q139" s="724">
        <f t="shared" si="537"/>
        <v>0</v>
      </c>
      <c r="R139" s="798">
        <f t="shared" si="536"/>
        <v>220.713437858296</v>
      </c>
      <c r="S139" s="724">
        <f t="shared" si="537"/>
        <v>0</v>
      </c>
      <c r="T139" s="798">
        <f t="shared" si="513"/>
        <v>220.713437858296</v>
      </c>
      <c r="U139" s="724">
        <f t="shared" ref="U139:Y139" si="538">T139*T$8</f>
        <v>0</v>
      </c>
      <c r="V139" s="798">
        <v>550</v>
      </c>
      <c r="W139" s="724">
        <f t="shared" si="538"/>
        <v>44.4081</v>
      </c>
      <c r="X139" s="798"/>
      <c r="Y139" s="724"/>
      <c r="Z139" s="798"/>
      <c r="AA139" s="724"/>
      <c r="AB139" s="798"/>
      <c r="AC139" s="724"/>
      <c r="AD139" s="724">
        <f t="shared" ref="AD139:AD152" si="539">AE139/AD$8</f>
        <v>0</v>
      </c>
      <c r="AE139" s="724">
        <f t="shared" ref="AE139:AE152" si="540">AG139*0+AI139+AK139</f>
        <v>0</v>
      </c>
      <c r="AF139" s="798">
        <v>0</v>
      </c>
      <c r="AG139" s="724">
        <f t="shared" ref="AG139:AK139" si="541">AF139*AF$8</f>
        <v>0</v>
      </c>
      <c r="AH139" s="798">
        <f t="shared" ref="AH139:AH152" si="542">+AF139</f>
        <v>0</v>
      </c>
      <c r="AI139" s="724">
        <f t="shared" si="541"/>
        <v>0</v>
      </c>
      <c r="AJ139" s="798">
        <f t="shared" ref="AJ139:AJ152" si="543">+AH139</f>
        <v>0</v>
      </c>
      <c r="AK139" s="724">
        <f t="shared" si="541"/>
        <v>0</v>
      </c>
      <c r="AL139" s="724"/>
      <c r="AN139" s="806">
        <f t="shared" ref="AN139:AN202" si="544">+D139*10000</f>
        <v>12181381</v>
      </c>
    </row>
    <row r="140" s="699" customFormat="1" ht="26" hidden="1" customHeight="1" outlineLevel="2" spans="1:40">
      <c r="A140" s="724" t="s">
        <v>489</v>
      </c>
      <c r="B140" s="729" t="s">
        <v>490</v>
      </c>
      <c r="C140" s="724">
        <f t="shared" si="534"/>
        <v>0</v>
      </c>
      <c r="D140" s="724">
        <f t="shared" si="497"/>
        <v>0</v>
      </c>
      <c r="E140" s="742" t="s">
        <v>491</v>
      </c>
      <c r="F140" s="724">
        <f t="shared" ref="F139:F152" si="545">G140/$F$8</f>
        <v>0</v>
      </c>
      <c r="G140" s="724">
        <f t="shared" si="457"/>
        <v>0</v>
      </c>
      <c r="H140" s="798"/>
      <c r="I140" s="724">
        <f t="shared" ref="I140:M140" si="546">H140*H$8</f>
        <v>0</v>
      </c>
      <c r="J140" s="798">
        <f t="shared" ref="J139:J152" si="547">+H140</f>
        <v>0</v>
      </c>
      <c r="K140" s="724">
        <f t="shared" si="546"/>
        <v>0</v>
      </c>
      <c r="L140" s="798">
        <f t="shared" si="535"/>
        <v>0</v>
      </c>
      <c r="M140" s="724">
        <f t="shared" si="546"/>
        <v>0</v>
      </c>
      <c r="N140" s="798">
        <f t="shared" ref="N140:R140" si="548">+L140</f>
        <v>0</v>
      </c>
      <c r="O140" s="724">
        <f t="shared" ref="O140:S140" si="549">N140*N$8</f>
        <v>0</v>
      </c>
      <c r="P140" s="798">
        <f t="shared" si="548"/>
        <v>0</v>
      </c>
      <c r="Q140" s="724">
        <f t="shared" si="549"/>
        <v>0</v>
      </c>
      <c r="R140" s="798">
        <f t="shared" si="548"/>
        <v>0</v>
      </c>
      <c r="S140" s="724">
        <f t="shared" si="549"/>
        <v>0</v>
      </c>
      <c r="T140" s="798">
        <f t="shared" ref="T140:X140" si="550">+R140</f>
        <v>0</v>
      </c>
      <c r="U140" s="724">
        <f t="shared" ref="U140:Y140" si="551">T140*T$8</f>
        <v>0</v>
      </c>
      <c r="V140" s="798">
        <f t="shared" si="550"/>
        <v>0</v>
      </c>
      <c r="W140" s="724">
        <f t="shared" si="551"/>
        <v>0</v>
      </c>
      <c r="X140" s="798"/>
      <c r="Y140" s="724"/>
      <c r="Z140" s="798"/>
      <c r="AA140" s="724"/>
      <c r="AB140" s="798"/>
      <c r="AC140" s="724"/>
      <c r="AD140" s="724">
        <f t="shared" si="539"/>
        <v>0</v>
      </c>
      <c r="AE140" s="724">
        <f t="shared" si="540"/>
        <v>0</v>
      </c>
      <c r="AF140" s="798">
        <f>+AB140</f>
        <v>0</v>
      </c>
      <c r="AG140" s="724">
        <f t="shared" ref="AG140:AK140" si="552">AF140*AF$8</f>
        <v>0</v>
      </c>
      <c r="AH140" s="798">
        <f t="shared" si="542"/>
        <v>0</v>
      </c>
      <c r="AI140" s="724">
        <f t="shared" si="552"/>
        <v>0</v>
      </c>
      <c r="AJ140" s="798">
        <f t="shared" si="543"/>
        <v>0</v>
      </c>
      <c r="AK140" s="724">
        <f t="shared" si="552"/>
        <v>0</v>
      </c>
      <c r="AL140" s="724"/>
      <c r="AN140" s="806">
        <f t="shared" si="544"/>
        <v>0</v>
      </c>
    </row>
    <row r="141" s="699" customFormat="1" ht="26" hidden="1" customHeight="1" outlineLevel="2" spans="1:40">
      <c r="A141" s="724" t="s">
        <v>492</v>
      </c>
      <c r="B141" s="728" t="s">
        <v>493</v>
      </c>
      <c r="C141" s="724">
        <f t="shared" si="534"/>
        <v>0</v>
      </c>
      <c r="D141" s="724">
        <f t="shared" si="497"/>
        <v>0</v>
      </c>
      <c r="E141" s="742" t="s">
        <v>223</v>
      </c>
      <c r="F141" s="724">
        <f t="shared" si="545"/>
        <v>0</v>
      </c>
      <c r="G141" s="724">
        <f t="shared" si="457"/>
        <v>0</v>
      </c>
      <c r="H141" s="798"/>
      <c r="I141" s="724">
        <f t="shared" ref="I141:M141" si="553">H141*H$8</f>
        <v>0</v>
      </c>
      <c r="J141" s="798">
        <f t="shared" si="547"/>
        <v>0</v>
      </c>
      <c r="K141" s="724">
        <f t="shared" si="553"/>
        <v>0</v>
      </c>
      <c r="L141" s="798">
        <f t="shared" si="535"/>
        <v>0</v>
      </c>
      <c r="M141" s="724">
        <f t="shared" si="553"/>
        <v>0</v>
      </c>
      <c r="N141" s="798">
        <f t="shared" ref="N141:R141" si="554">+L141</f>
        <v>0</v>
      </c>
      <c r="O141" s="724">
        <f t="shared" ref="O141:S141" si="555">N141*N$8</f>
        <v>0</v>
      </c>
      <c r="P141" s="798">
        <f t="shared" si="554"/>
        <v>0</v>
      </c>
      <c r="Q141" s="724">
        <f t="shared" si="555"/>
        <v>0</v>
      </c>
      <c r="R141" s="798">
        <f t="shared" si="554"/>
        <v>0</v>
      </c>
      <c r="S141" s="724">
        <f t="shared" si="555"/>
        <v>0</v>
      </c>
      <c r="T141" s="798">
        <f t="shared" ref="T141:X141" si="556">+R141</f>
        <v>0</v>
      </c>
      <c r="U141" s="724">
        <f t="shared" ref="U141:Y141" si="557">T141*T$8</f>
        <v>0</v>
      </c>
      <c r="V141" s="798">
        <f t="shared" si="556"/>
        <v>0</v>
      </c>
      <c r="W141" s="724">
        <f t="shared" si="557"/>
        <v>0</v>
      </c>
      <c r="X141" s="798"/>
      <c r="Y141" s="724"/>
      <c r="Z141" s="798"/>
      <c r="AA141" s="724"/>
      <c r="AB141" s="798"/>
      <c r="AC141" s="724"/>
      <c r="AD141" s="724">
        <f t="shared" si="539"/>
        <v>0</v>
      </c>
      <c r="AE141" s="724">
        <f t="shared" si="540"/>
        <v>0</v>
      </c>
      <c r="AF141" s="798">
        <f>+AB141</f>
        <v>0</v>
      </c>
      <c r="AG141" s="724">
        <f t="shared" ref="AG141:AK141" si="558">AF141*AF$8</f>
        <v>0</v>
      </c>
      <c r="AH141" s="798">
        <f t="shared" si="542"/>
        <v>0</v>
      </c>
      <c r="AI141" s="724">
        <f t="shared" si="558"/>
        <v>0</v>
      </c>
      <c r="AJ141" s="798">
        <f t="shared" si="543"/>
        <v>0</v>
      </c>
      <c r="AK141" s="724">
        <f t="shared" si="558"/>
        <v>0</v>
      </c>
      <c r="AL141" s="724"/>
      <c r="AN141" s="806">
        <f t="shared" si="544"/>
        <v>0</v>
      </c>
    </row>
    <row r="142" s="699" customFormat="1" ht="26" hidden="1" customHeight="1" outlineLevel="2" spans="1:40">
      <c r="A142" s="724" t="s">
        <v>494</v>
      </c>
      <c r="B142" s="728" t="s">
        <v>495</v>
      </c>
      <c r="C142" s="724">
        <f t="shared" si="534"/>
        <v>75.0886999891424</v>
      </c>
      <c r="D142" s="724">
        <f t="shared" ref="D139:D152" si="559">G142+AE142</f>
        <v>535.97</v>
      </c>
      <c r="E142" s="742" t="s">
        <v>496</v>
      </c>
      <c r="F142" s="724">
        <f t="shared" si="545"/>
        <v>109.063922768653</v>
      </c>
      <c r="G142" s="724">
        <f t="shared" si="457"/>
        <v>535.97</v>
      </c>
      <c r="H142" s="798">
        <f>2329700/10000/H8+11/H8</f>
        <v>77.1011704385574</v>
      </c>
      <c r="I142" s="724">
        <f t="shared" ref="I142:M142" si="560">H142*H$8</f>
        <v>243.97</v>
      </c>
      <c r="J142" s="798">
        <f>(277+15)/J8</f>
        <v>174.929069856606</v>
      </c>
      <c r="K142" s="724">
        <f t="shared" si="560"/>
        <v>292</v>
      </c>
      <c r="L142" s="798">
        <f t="shared" si="535"/>
        <v>77.1011704385574</v>
      </c>
      <c r="M142" s="724">
        <f t="shared" si="560"/>
        <v>0</v>
      </c>
      <c r="N142" s="798">
        <f t="shared" ref="N142:R142" si="561">+L142</f>
        <v>77.1011704385574</v>
      </c>
      <c r="O142" s="724">
        <f t="shared" ref="O142:S142" si="562">N142*N$8</f>
        <v>0</v>
      </c>
      <c r="P142" s="798">
        <f t="shared" si="561"/>
        <v>77.1011704385574</v>
      </c>
      <c r="Q142" s="724">
        <f t="shared" si="562"/>
        <v>0</v>
      </c>
      <c r="R142" s="798">
        <f t="shared" si="561"/>
        <v>77.1011704385574</v>
      </c>
      <c r="S142" s="724">
        <f t="shared" si="562"/>
        <v>0</v>
      </c>
      <c r="T142" s="798">
        <f>+R142</f>
        <v>77.1011704385574</v>
      </c>
      <c r="U142" s="724">
        <f t="shared" ref="U142:Y142" si="563">T142*T$8</f>
        <v>0</v>
      </c>
      <c r="V142" s="798">
        <v>0</v>
      </c>
      <c r="W142" s="724">
        <f t="shared" si="563"/>
        <v>0</v>
      </c>
      <c r="X142" s="798"/>
      <c r="Y142" s="724"/>
      <c r="Z142" s="798"/>
      <c r="AA142" s="724"/>
      <c r="AB142" s="798"/>
      <c r="AC142" s="724"/>
      <c r="AD142" s="724">
        <f t="shared" si="539"/>
        <v>0</v>
      </c>
      <c r="AE142" s="724">
        <f t="shared" si="540"/>
        <v>0</v>
      </c>
      <c r="AF142" s="798">
        <f>+AB142</f>
        <v>0</v>
      </c>
      <c r="AG142" s="724">
        <f t="shared" ref="AG142:AK142" si="564">AF142*AF$8</f>
        <v>0</v>
      </c>
      <c r="AH142" s="798">
        <f t="shared" si="542"/>
        <v>0</v>
      </c>
      <c r="AI142" s="724">
        <f t="shared" si="564"/>
        <v>0</v>
      </c>
      <c r="AJ142" s="798">
        <f t="shared" si="543"/>
        <v>0</v>
      </c>
      <c r="AK142" s="724">
        <f t="shared" si="564"/>
        <v>0</v>
      </c>
      <c r="AL142" s="724"/>
      <c r="AN142" s="806">
        <f t="shared" si="544"/>
        <v>5359700</v>
      </c>
    </row>
    <row r="143" s="699" customFormat="1" ht="26" hidden="1" customHeight="1" outlineLevel="2" spans="1:40">
      <c r="A143" s="724" t="s">
        <v>497</v>
      </c>
      <c r="B143" s="728" t="s">
        <v>498</v>
      </c>
      <c r="C143" s="724">
        <f t="shared" si="534"/>
        <v>63.612324482598</v>
      </c>
      <c r="D143" s="724">
        <f t="shared" si="559"/>
        <v>454.05364</v>
      </c>
      <c r="E143" s="742" t="s">
        <v>499</v>
      </c>
      <c r="F143" s="724">
        <f t="shared" si="545"/>
        <v>20</v>
      </c>
      <c r="G143" s="724">
        <f t="shared" si="457"/>
        <v>98.28548</v>
      </c>
      <c r="H143" s="724">
        <v>20</v>
      </c>
      <c r="I143" s="728">
        <f t="shared" ref="I143:M143" si="565">H143*H$8</f>
        <v>63.28568</v>
      </c>
      <c r="J143" s="724">
        <f t="shared" si="547"/>
        <v>20</v>
      </c>
      <c r="K143" s="724">
        <f t="shared" si="565"/>
        <v>33.38496</v>
      </c>
      <c r="L143" s="742">
        <f t="shared" si="535"/>
        <v>20</v>
      </c>
      <c r="M143" s="724">
        <f t="shared" si="565"/>
        <v>0</v>
      </c>
      <c r="N143" s="724">
        <f t="shared" ref="N143:R143" si="566">+L143</f>
        <v>20</v>
      </c>
      <c r="O143" s="812">
        <f t="shared" ref="O143:S143" si="567">N143*N$8</f>
        <v>0</v>
      </c>
      <c r="P143" s="724">
        <f t="shared" si="566"/>
        <v>20</v>
      </c>
      <c r="Q143" s="798">
        <f t="shared" si="567"/>
        <v>0</v>
      </c>
      <c r="R143" s="724">
        <f t="shared" si="566"/>
        <v>20</v>
      </c>
      <c r="S143" s="798">
        <f t="shared" si="567"/>
        <v>0</v>
      </c>
      <c r="T143" s="724">
        <f t="shared" ref="T143:X143" si="568">+R143</f>
        <v>20</v>
      </c>
      <c r="U143" s="798">
        <f t="shared" ref="U143:Y143" si="569">T143*T$8</f>
        <v>0</v>
      </c>
      <c r="V143" s="724">
        <f t="shared" si="568"/>
        <v>20</v>
      </c>
      <c r="W143" s="798">
        <f t="shared" si="569"/>
        <v>1.61484</v>
      </c>
      <c r="X143" s="724"/>
      <c r="Y143" s="798"/>
      <c r="Z143" s="724"/>
      <c r="AA143" s="798"/>
      <c r="AB143" s="724"/>
      <c r="AC143" s="798"/>
      <c r="AD143" s="724">
        <f t="shared" si="539"/>
        <v>160</v>
      </c>
      <c r="AE143" s="798">
        <f t="shared" si="540"/>
        <v>355.76816</v>
      </c>
      <c r="AF143" s="724">
        <v>160</v>
      </c>
      <c r="AG143" s="798">
        <f t="shared" ref="AG143:AK143" si="570">AF143*AF$8</f>
        <v>0</v>
      </c>
      <c r="AH143" s="724">
        <f t="shared" si="542"/>
        <v>160</v>
      </c>
      <c r="AI143" s="798">
        <f t="shared" si="570"/>
        <v>63.12176</v>
      </c>
      <c r="AJ143" s="724">
        <f t="shared" si="543"/>
        <v>160</v>
      </c>
      <c r="AK143" s="724">
        <f t="shared" si="570"/>
        <v>292.6464</v>
      </c>
      <c r="AL143" s="724"/>
      <c r="AN143" s="806">
        <f t="shared" si="544"/>
        <v>4540536.4</v>
      </c>
    </row>
    <row r="144" s="699" customFormat="1" ht="26" hidden="1" customHeight="1" outlineLevel="2" spans="1:40">
      <c r="A144" s="724" t="s">
        <v>500</v>
      </c>
      <c r="B144" s="728" t="s">
        <v>501</v>
      </c>
      <c r="C144" s="724">
        <f t="shared" si="534"/>
        <v>27.5393358621149</v>
      </c>
      <c r="D144" s="724">
        <f t="shared" si="559"/>
        <v>196.57096</v>
      </c>
      <c r="E144" s="742" t="s">
        <v>502</v>
      </c>
      <c r="F144" s="724">
        <f t="shared" si="545"/>
        <v>40</v>
      </c>
      <c r="G144" s="724">
        <f t="shared" si="457"/>
        <v>196.57096</v>
      </c>
      <c r="H144" s="798">
        <f>40</f>
        <v>40</v>
      </c>
      <c r="I144" s="724">
        <f t="shared" ref="I144:M144" si="571">H144*H$8</f>
        <v>126.57136</v>
      </c>
      <c r="J144" s="798">
        <f t="shared" si="547"/>
        <v>40</v>
      </c>
      <c r="K144" s="724">
        <f t="shared" si="571"/>
        <v>66.76992</v>
      </c>
      <c r="L144" s="798">
        <f t="shared" si="535"/>
        <v>40</v>
      </c>
      <c r="M144" s="724">
        <f t="shared" si="571"/>
        <v>0</v>
      </c>
      <c r="N144" s="798">
        <f t="shared" ref="N144:R144" si="572">+L144</f>
        <v>40</v>
      </c>
      <c r="O144" s="724">
        <f t="shared" ref="O144:S144" si="573">N144*N$8</f>
        <v>0</v>
      </c>
      <c r="P144" s="798">
        <f t="shared" si="572"/>
        <v>40</v>
      </c>
      <c r="Q144" s="724">
        <f t="shared" si="573"/>
        <v>0</v>
      </c>
      <c r="R144" s="798">
        <f t="shared" si="572"/>
        <v>40</v>
      </c>
      <c r="S144" s="724">
        <f t="shared" si="573"/>
        <v>0</v>
      </c>
      <c r="T144" s="798">
        <f t="shared" ref="T144:X144" si="574">+R144</f>
        <v>40</v>
      </c>
      <c r="U144" s="724">
        <f t="shared" ref="U144:Y144" si="575">T144*T$8</f>
        <v>0</v>
      </c>
      <c r="V144" s="798">
        <f t="shared" si="574"/>
        <v>40</v>
      </c>
      <c r="W144" s="724">
        <f t="shared" si="575"/>
        <v>3.22968</v>
      </c>
      <c r="X144" s="798"/>
      <c r="Y144" s="724"/>
      <c r="Z144" s="798"/>
      <c r="AA144" s="724"/>
      <c r="AB144" s="798"/>
      <c r="AC144" s="724"/>
      <c r="AD144" s="724">
        <f t="shared" si="539"/>
        <v>0</v>
      </c>
      <c r="AE144" s="724">
        <f t="shared" si="540"/>
        <v>0</v>
      </c>
      <c r="AF144" s="798">
        <v>0</v>
      </c>
      <c r="AG144" s="724">
        <f t="shared" ref="AG144:AK144" si="576">AF144*AF$8</f>
        <v>0</v>
      </c>
      <c r="AH144" s="798">
        <f t="shared" si="542"/>
        <v>0</v>
      </c>
      <c r="AI144" s="724">
        <f t="shared" si="576"/>
        <v>0</v>
      </c>
      <c r="AJ144" s="798">
        <f t="shared" si="543"/>
        <v>0</v>
      </c>
      <c r="AK144" s="724">
        <f t="shared" si="576"/>
        <v>0</v>
      </c>
      <c r="AL144" s="724"/>
      <c r="AN144" s="806">
        <f t="shared" si="544"/>
        <v>1965709.6</v>
      </c>
    </row>
    <row r="145" s="699" customFormat="1" ht="26" hidden="1" customHeight="1" outlineLevel="2" spans="1:40">
      <c r="A145" s="724" t="s">
        <v>503</v>
      </c>
      <c r="B145" s="728" t="s">
        <v>504</v>
      </c>
      <c r="C145" s="724">
        <f t="shared" si="534"/>
        <v>77.8747279458378</v>
      </c>
      <c r="D145" s="724">
        <f t="shared" si="559"/>
        <v>555.85618</v>
      </c>
      <c r="E145" s="742" t="s">
        <v>505</v>
      </c>
      <c r="F145" s="724">
        <f t="shared" si="545"/>
        <v>113.110538810005</v>
      </c>
      <c r="G145" s="724">
        <f t="shared" si="457"/>
        <v>555.85618</v>
      </c>
      <c r="H145" s="798">
        <f>115</f>
        <v>115</v>
      </c>
      <c r="I145" s="724">
        <f t="shared" ref="I145:M145" si="577">H145*H$8</f>
        <v>363.89266</v>
      </c>
      <c r="J145" s="798">
        <f t="shared" si="547"/>
        <v>115</v>
      </c>
      <c r="K145" s="724">
        <f t="shared" si="577"/>
        <v>191.96352</v>
      </c>
      <c r="L145" s="798">
        <f t="shared" si="535"/>
        <v>115</v>
      </c>
      <c r="M145" s="724">
        <f t="shared" si="577"/>
        <v>0</v>
      </c>
      <c r="N145" s="798">
        <f t="shared" ref="N145:R145" si="578">+L145</f>
        <v>115</v>
      </c>
      <c r="O145" s="724">
        <f t="shared" ref="O145:S145" si="579">N145*N$8</f>
        <v>0</v>
      </c>
      <c r="P145" s="798">
        <f t="shared" si="578"/>
        <v>115</v>
      </c>
      <c r="Q145" s="724">
        <f t="shared" si="579"/>
        <v>0</v>
      </c>
      <c r="R145" s="798">
        <f t="shared" si="578"/>
        <v>115</v>
      </c>
      <c r="S145" s="724">
        <f t="shared" si="579"/>
        <v>0</v>
      </c>
      <c r="T145" s="798">
        <f>+R145</f>
        <v>115</v>
      </c>
      <c r="U145" s="724">
        <f t="shared" ref="U145:Y145" si="580">T145*T$8</f>
        <v>0</v>
      </c>
      <c r="V145" s="798">
        <v>0</v>
      </c>
      <c r="W145" s="724">
        <f t="shared" si="580"/>
        <v>0</v>
      </c>
      <c r="X145" s="798"/>
      <c r="Y145" s="724"/>
      <c r="Z145" s="798"/>
      <c r="AA145" s="724"/>
      <c r="AB145" s="798"/>
      <c r="AC145" s="724"/>
      <c r="AD145" s="724">
        <f t="shared" si="539"/>
        <v>0</v>
      </c>
      <c r="AE145" s="724">
        <f t="shared" si="540"/>
        <v>0</v>
      </c>
      <c r="AF145" s="798">
        <v>0</v>
      </c>
      <c r="AG145" s="724">
        <f t="shared" ref="AG145:AK145" si="581">AF145*AF$8</f>
        <v>0</v>
      </c>
      <c r="AH145" s="798">
        <f t="shared" si="542"/>
        <v>0</v>
      </c>
      <c r="AI145" s="724">
        <f t="shared" si="581"/>
        <v>0</v>
      </c>
      <c r="AJ145" s="798">
        <f t="shared" si="543"/>
        <v>0</v>
      </c>
      <c r="AK145" s="724">
        <f t="shared" si="581"/>
        <v>0</v>
      </c>
      <c r="AL145" s="724"/>
      <c r="AN145" s="806">
        <f t="shared" si="544"/>
        <v>5558561.8</v>
      </c>
    </row>
    <row r="146" s="699" customFormat="1" ht="26" hidden="1" customHeight="1" outlineLevel="2" spans="1:40">
      <c r="A146" s="724" t="s">
        <v>506</v>
      </c>
      <c r="B146" s="728" t="s">
        <v>507</v>
      </c>
      <c r="C146" s="724">
        <f t="shared" si="534"/>
        <v>338.585773677556</v>
      </c>
      <c r="D146" s="724">
        <f t="shared" si="559"/>
        <v>2416.766</v>
      </c>
      <c r="E146" s="742" t="s">
        <v>508</v>
      </c>
      <c r="F146" s="724">
        <f t="shared" si="545"/>
        <v>491.784951347849</v>
      </c>
      <c r="G146" s="724">
        <f t="shared" si="457"/>
        <v>2416.766</v>
      </c>
      <c r="H146" s="798">
        <f>500</f>
        <v>500</v>
      </c>
      <c r="I146" s="724">
        <f t="shared" ref="I146:M146" si="582">H146*H$8</f>
        <v>1582.142</v>
      </c>
      <c r="J146" s="798">
        <f t="shared" si="547"/>
        <v>500</v>
      </c>
      <c r="K146" s="724">
        <f t="shared" si="582"/>
        <v>834.624</v>
      </c>
      <c r="L146" s="798">
        <f t="shared" si="535"/>
        <v>500</v>
      </c>
      <c r="M146" s="724">
        <f t="shared" si="582"/>
        <v>0</v>
      </c>
      <c r="N146" s="798">
        <f t="shared" ref="N146:R146" si="583">+L146</f>
        <v>500</v>
      </c>
      <c r="O146" s="724">
        <f t="shared" ref="O146:S146" si="584">N146*N$8</f>
        <v>0</v>
      </c>
      <c r="P146" s="798">
        <f t="shared" si="583"/>
        <v>500</v>
      </c>
      <c r="Q146" s="724">
        <f t="shared" si="584"/>
        <v>0</v>
      </c>
      <c r="R146" s="798">
        <f t="shared" si="583"/>
        <v>500</v>
      </c>
      <c r="S146" s="724">
        <f t="shared" si="584"/>
        <v>0</v>
      </c>
      <c r="T146" s="798">
        <f>+R146</f>
        <v>500</v>
      </c>
      <c r="U146" s="724">
        <f t="shared" ref="U146:Y146" si="585">T146*T$8</f>
        <v>0</v>
      </c>
      <c r="V146" s="798"/>
      <c r="W146" s="724">
        <f t="shared" si="585"/>
        <v>0</v>
      </c>
      <c r="X146" s="798"/>
      <c r="Y146" s="724"/>
      <c r="Z146" s="798"/>
      <c r="AA146" s="724"/>
      <c r="AB146" s="798"/>
      <c r="AC146" s="724"/>
      <c r="AD146" s="724">
        <f t="shared" si="539"/>
        <v>0</v>
      </c>
      <c r="AE146" s="724">
        <f t="shared" si="540"/>
        <v>0</v>
      </c>
      <c r="AF146" s="798">
        <v>0</v>
      </c>
      <c r="AG146" s="724">
        <f t="shared" ref="AG146:AK146" si="586">AF146*AF$8</f>
        <v>0</v>
      </c>
      <c r="AH146" s="798">
        <f t="shared" si="542"/>
        <v>0</v>
      </c>
      <c r="AI146" s="724">
        <f t="shared" si="586"/>
        <v>0</v>
      </c>
      <c r="AJ146" s="798">
        <f t="shared" si="543"/>
        <v>0</v>
      </c>
      <c r="AK146" s="724">
        <f t="shared" si="586"/>
        <v>0</v>
      </c>
      <c r="AL146" s="724"/>
      <c r="AN146" s="806">
        <f t="shared" si="544"/>
        <v>24167660</v>
      </c>
    </row>
    <row r="147" s="699" customFormat="1" ht="26" hidden="1" customHeight="1" outlineLevel="2" spans="1:40">
      <c r="A147" s="724" t="s">
        <v>509</v>
      </c>
      <c r="B147" s="734" t="s">
        <v>510</v>
      </c>
      <c r="C147" s="724">
        <f t="shared" si="534"/>
        <v>0</v>
      </c>
      <c r="D147" s="724">
        <f t="shared" si="559"/>
        <v>0</v>
      </c>
      <c r="E147" s="742" t="s">
        <v>511</v>
      </c>
      <c r="F147" s="724">
        <f t="shared" si="545"/>
        <v>0</v>
      </c>
      <c r="G147" s="724">
        <f t="shared" si="457"/>
        <v>0</v>
      </c>
      <c r="H147" s="798"/>
      <c r="I147" s="724">
        <f t="shared" ref="I147:M147" si="587">H147*H$8</f>
        <v>0</v>
      </c>
      <c r="J147" s="798">
        <f t="shared" si="547"/>
        <v>0</v>
      </c>
      <c r="K147" s="724">
        <f t="shared" si="587"/>
        <v>0</v>
      </c>
      <c r="L147" s="798">
        <f t="shared" si="535"/>
        <v>0</v>
      </c>
      <c r="M147" s="724">
        <f t="shared" si="587"/>
        <v>0</v>
      </c>
      <c r="N147" s="798">
        <f t="shared" ref="N147:R147" si="588">+L147</f>
        <v>0</v>
      </c>
      <c r="O147" s="724">
        <f t="shared" ref="O147:S147" si="589">N147*N$8</f>
        <v>0</v>
      </c>
      <c r="P147" s="798">
        <f t="shared" si="588"/>
        <v>0</v>
      </c>
      <c r="Q147" s="724">
        <f t="shared" si="589"/>
        <v>0</v>
      </c>
      <c r="R147" s="798">
        <f t="shared" si="588"/>
        <v>0</v>
      </c>
      <c r="S147" s="724">
        <f t="shared" si="589"/>
        <v>0</v>
      </c>
      <c r="T147" s="798">
        <f t="shared" ref="T147:X147" si="590">+R147</f>
        <v>0</v>
      </c>
      <c r="U147" s="724">
        <f t="shared" ref="U147:Y147" si="591">T147*T$8</f>
        <v>0</v>
      </c>
      <c r="V147" s="798">
        <f t="shared" si="590"/>
        <v>0</v>
      </c>
      <c r="W147" s="724">
        <f t="shared" si="591"/>
        <v>0</v>
      </c>
      <c r="X147" s="798"/>
      <c r="Y147" s="724"/>
      <c r="Z147" s="798"/>
      <c r="AA147" s="724"/>
      <c r="AB147" s="798"/>
      <c r="AC147" s="724"/>
      <c r="AD147" s="724">
        <f t="shared" si="539"/>
        <v>0</v>
      </c>
      <c r="AE147" s="724">
        <f t="shared" si="540"/>
        <v>0</v>
      </c>
      <c r="AF147" s="798">
        <f>+AB147</f>
        <v>0</v>
      </c>
      <c r="AG147" s="724">
        <f t="shared" ref="AG147:AK147" si="592">AF147*AF$8</f>
        <v>0</v>
      </c>
      <c r="AH147" s="798">
        <f t="shared" si="542"/>
        <v>0</v>
      </c>
      <c r="AI147" s="724">
        <f t="shared" si="592"/>
        <v>0</v>
      </c>
      <c r="AJ147" s="798">
        <f t="shared" si="543"/>
        <v>0</v>
      </c>
      <c r="AK147" s="724">
        <f t="shared" si="592"/>
        <v>0</v>
      </c>
      <c r="AL147" s="724"/>
      <c r="AN147" s="806">
        <f t="shared" si="544"/>
        <v>0</v>
      </c>
    </row>
    <row r="148" s="699" customFormat="1" ht="26" hidden="1" customHeight="1" outlineLevel="2" spans="1:40">
      <c r="A148" s="724" t="s">
        <v>512</v>
      </c>
      <c r="B148" s="734" t="s">
        <v>513</v>
      </c>
      <c r="C148" s="724">
        <f t="shared" si="534"/>
        <v>4.13090037931723</v>
      </c>
      <c r="D148" s="724">
        <f t="shared" si="559"/>
        <v>29.485644</v>
      </c>
      <c r="E148" s="742" t="s">
        <v>514</v>
      </c>
      <c r="F148" s="724">
        <f t="shared" si="545"/>
        <v>6</v>
      </c>
      <c r="G148" s="724">
        <f t="shared" si="457"/>
        <v>29.485644</v>
      </c>
      <c r="H148" s="798">
        <v>6</v>
      </c>
      <c r="I148" s="724">
        <f t="shared" ref="I148:M148" si="593">H148*H$8</f>
        <v>18.985704</v>
      </c>
      <c r="J148" s="798">
        <f t="shared" si="547"/>
        <v>6</v>
      </c>
      <c r="K148" s="724">
        <f t="shared" si="593"/>
        <v>10.015488</v>
      </c>
      <c r="L148" s="798">
        <f t="shared" si="535"/>
        <v>6</v>
      </c>
      <c r="M148" s="724">
        <f t="shared" si="593"/>
        <v>0</v>
      </c>
      <c r="N148" s="798">
        <f t="shared" ref="N148:R148" si="594">+L148</f>
        <v>6</v>
      </c>
      <c r="O148" s="724">
        <f t="shared" ref="O148:S148" si="595">N148*N$8</f>
        <v>0</v>
      </c>
      <c r="P148" s="798">
        <f t="shared" si="594"/>
        <v>6</v>
      </c>
      <c r="Q148" s="724">
        <f t="shared" si="595"/>
        <v>0</v>
      </c>
      <c r="R148" s="798">
        <f t="shared" si="594"/>
        <v>6</v>
      </c>
      <c r="S148" s="724">
        <f t="shared" si="595"/>
        <v>0</v>
      </c>
      <c r="T148" s="798">
        <f t="shared" ref="T148:X148" si="596">+R148</f>
        <v>6</v>
      </c>
      <c r="U148" s="724">
        <f t="shared" ref="U148:Y148" si="597">T148*T$8</f>
        <v>0</v>
      </c>
      <c r="V148" s="798">
        <f t="shared" si="596"/>
        <v>6</v>
      </c>
      <c r="W148" s="724">
        <f t="shared" si="597"/>
        <v>0.484452</v>
      </c>
      <c r="X148" s="798"/>
      <c r="Y148" s="724"/>
      <c r="Z148" s="798"/>
      <c r="AA148" s="724"/>
      <c r="AB148" s="798"/>
      <c r="AC148" s="724"/>
      <c r="AD148" s="724">
        <f t="shared" si="539"/>
        <v>0</v>
      </c>
      <c r="AE148" s="724">
        <f t="shared" si="540"/>
        <v>0</v>
      </c>
      <c r="AF148" s="798">
        <v>0</v>
      </c>
      <c r="AG148" s="724">
        <f t="shared" ref="AG148:AK148" si="598">AF148*AF$8</f>
        <v>0</v>
      </c>
      <c r="AH148" s="798">
        <f t="shared" si="542"/>
        <v>0</v>
      </c>
      <c r="AI148" s="724">
        <f t="shared" si="598"/>
        <v>0</v>
      </c>
      <c r="AJ148" s="798">
        <f t="shared" si="543"/>
        <v>0</v>
      </c>
      <c r="AK148" s="724">
        <f t="shared" si="598"/>
        <v>0</v>
      </c>
      <c r="AL148" s="724"/>
      <c r="AN148" s="806">
        <f t="shared" si="544"/>
        <v>294856.44</v>
      </c>
    </row>
    <row r="149" s="699" customFormat="1" ht="26" hidden="1" customHeight="1" outlineLevel="2" spans="1:40">
      <c r="A149" s="724" t="s">
        <v>515</v>
      </c>
      <c r="B149" s="728" t="s">
        <v>516</v>
      </c>
      <c r="C149" s="724">
        <f t="shared" si="534"/>
        <v>3.8</v>
      </c>
      <c r="D149" s="724">
        <f t="shared" si="559"/>
        <v>27.123735</v>
      </c>
      <c r="E149" s="742" t="s">
        <v>517</v>
      </c>
      <c r="F149" s="724">
        <f t="shared" si="545"/>
        <v>3.8</v>
      </c>
      <c r="G149" s="724">
        <f t="shared" si="457"/>
        <v>18.6742412</v>
      </c>
      <c r="H149" s="798">
        <v>3.8</v>
      </c>
      <c r="I149" s="724">
        <f t="shared" ref="I149:M149" si="599">H149*H$8</f>
        <v>12.0242792</v>
      </c>
      <c r="J149" s="798">
        <f t="shared" si="547"/>
        <v>3.8</v>
      </c>
      <c r="K149" s="724">
        <f t="shared" si="599"/>
        <v>6.3431424</v>
      </c>
      <c r="L149" s="798">
        <f t="shared" si="535"/>
        <v>3.8</v>
      </c>
      <c r="M149" s="724">
        <f t="shared" si="599"/>
        <v>0</v>
      </c>
      <c r="N149" s="798">
        <f t="shared" ref="N149:R149" si="600">+L149</f>
        <v>3.8</v>
      </c>
      <c r="O149" s="724">
        <f t="shared" ref="O149:S149" si="601">N149*N$8</f>
        <v>0</v>
      </c>
      <c r="P149" s="798">
        <f t="shared" si="600"/>
        <v>3.8</v>
      </c>
      <c r="Q149" s="724">
        <f t="shared" si="601"/>
        <v>0</v>
      </c>
      <c r="R149" s="798">
        <f t="shared" si="600"/>
        <v>3.8</v>
      </c>
      <c r="S149" s="724">
        <f t="shared" si="601"/>
        <v>0</v>
      </c>
      <c r="T149" s="798">
        <f t="shared" ref="T149:X149" si="602">+R149</f>
        <v>3.8</v>
      </c>
      <c r="U149" s="724">
        <f t="shared" ref="U149:Y149" si="603">T149*T$8</f>
        <v>0</v>
      </c>
      <c r="V149" s="798">
        <f t="shared" si="602"/>
        <v>3.8</v>
      </c>
      <c r="W149" s="724">
        <f t="shared" si="603"/>
        <v>0.3068196</v>
      </c>
      <c r="X149" s="798"/>
      <c r="Y149" s="724"/>
      <c r="Z149" s="798"/>
      <c r="AA149" s="724"/>
      <c r="AB149" s="798"/>
      <c r="AC149" s="724"/>
      <c r="AD149" s="724">
        <f t="shared" si="539"/>
        <v>3.8</v>
      </c>
      <c r="AE149" s="724">
        <f t="shared" si="540"/>
        <v>8.4494938</v>
      </c>
      <c r="AF149" s="798">
        <v>3.8</v>
      </c>
      <c r="AG149" s="724">
        <f t="shared" ref="AG149:AK149" si="604">AF149*AF$8</f>
        <v>0</v>
      </c>
      <c r="AH149" s="798">
        <f t="shared" si="542"/>
        <v>3.8</v>
      </c>
      <c r="AI149" s="724">
        <f t="shared" si="604"/>
        <v>1.4991418</v>
      </c>
      <c r="AJ149" s="798">
        <f t="shared" si="543"/>
        <v>3.8</v>
      </c>
      <c r="AK149" s="724">
        <f t="shared" si="604"/>
        <v>6.950352</v>
      </c>
      <c r="AL149" s="724"/>
      <c r="AN149" s="806">
        <f t="shared" si="544"/>
        <v>271237.35</v>
      </c>
    </row>
    <row r="150" s="699" customFormat="1" ht="26" hidden="1" customHeight="1" outlineLevel="2" spans="1:40">
      <c r="A150" s="724" t="s">
        <v>518</v>
      </c>
      <c r="B150" s="728" t="s">
        <v>519</v>
      </c>
      <c r="C150" s="724">
        <f t="shared" si="534"/>
        <v>37.3819924136554</v>
      </c>
      <c r="D150" s="724">
        <f t="shared" si="559"/>
        <v>266.82612</v>
      </c>
      <c r="E150" s="742" t="s">
        <v>520</v>
      </c>
      <c r="F150" s="724">
        <f t="shared" si="545"/>
        <v>0</v>
      </c>
      <c r="G150" s="724">
        <f t="shared" si="457"/>
        <v>0</v>
      </c>
      <c r="H150" s="798">
        <v>0</v>
      </c>
      <c r="I150" s="724">
        <f t="shared" ref="I150:M150" si="605">H150*H$8</f>
        <v>0</v>
      </c>
      <c r="J150" s="798">
        <f t="shared" si="547"/>
        <v>0</v>
      </c>
      <c r="K150" s="724">
        <f t="shared" si="605"/>
        <v>0</v>
      </c>
      <c r="L150" s="798">
        <f t="shared" si="535"/>
        <v>0</v>
      </c>
      <c r="M150" s="724">
        <f t="shared" si="605"/>
        <v>0</v>
      </c>
      <c r="N150" s="798">
        <f t="shared" ref="N150:R150" si="606">+L150</f>
        <v>0</v>
      </c>
      <c r="O150" s="724">
        <f t="shared" ref="O150:S150" si="607">N150*N$8</f>
        <v>0</v>
      </c>
      <c r="P150" s="798">
        <f t="shared" si="606"/>
        <v>0</v>
      </c>
      <c r="Q150" s="724">
        <f t="shared" si="607"/>
        <v>0</v>
      </c>
      <c r="R150" s="798">
        <f t="shared" si="606"/>
        <v>0</v>
      </c>
      <c r="S150" s="724">
        <f t="shared" si="607"/>
        <v>0</v>
      </c>
      <c r="T150" s="798">
        <f t="shared" ref="T150:X150" si="608">+R150</f>
        <v>0</v>
      </c>
      <c r="U150" s="724">
        <f t="shared" ref="U150:Y150" si="609">T150*T$8</f>
        <v>0</v>
      </c>
      <c r="V150" s="798">
        <f t="shared" si="608"/>
        <v>0</v>
      </c>
      <c r="W150" s="724">
        <f t="shared" si="609"/>
        <v>0</v>
      </c>
      <c r="X150" s="798"/>
      <c r="Y150" s="724"/>
      <c r="Z150" s="798"/>
      <c r="AA150" s="724"/>
      <c r="AB150" s="798"/>
      <c r="AC150" s="724"/>
      <c r="AD150" s="724">
        <f t="shared" si="539"/>
        <v>120</v>
      </c>
      <c r="AE150" s="724">
        <f t="shared" si="540"/>
        <v>266.82612</v>
      </c>
      <c r="AF150" s="798">
        <v>120</v>
      </c>
      <c r="AG150" s="724">
        <f t="shared" ref="AG150:AK150" si="610">AF150*AF$8</f>
        <v>0</v>
      </c>
      <c r="AH150" s="798">
        <f t="shared" si="542"/>
        <v>120</v>
      </c>
      <c r="AI150" s="724">
        <f t="shared" si="610"/>
        <v>47.34132</v>
      </c>
      <c r="AJ150" s="798">
        <f t="shared" si="543"/>
        <v>120</v>
      </c>
      <c r="AK150" s="724">
        <f t="shared" si="610"/>
        <v>219.4848</v>
      </c>
      <c r="AL150" s="724" t="s">
        <v>521</v>
      </c>
      <c r="AN150" s="806">
        <f t="shared" si="544"/>
        <v>2668261.2</v>
      </c>
    </row>
    <row r="151" s="699" customFormat="1" ht="26" hidden="1" customHeight="1" outlineLevel="2" spans="1:40">
      <c r="A151" s="724" t="s">
        <v>522</v>
      </c>
      <c r="B151" s="728" t="s">
        <v>523</v>
      </c>
      <c r="C151" s="724">
        <f t="shared" si="534"/>
        <v>0</v>
      </c>
      <c r="D151" s="724">
        <f t="shared" si="559"/>
        <v>0</v>
      </c>
      <c r="E151" s="742" t="s">
        <v>223</v>
      </c>
      <c r="F151" s="724">
        <f t="shared" si="545"/>
        <v>0</v>
      </c>
      <c r="G151" s="724">
        <f t="shared" si="457"/>
        <v>0</v>
      </c>
      <c r="H151" s="798"/>
      <c r="I151" s="724">
        <f t="shared" ref="I151:M151" si="611">H151*H$8</f>
        <v>0</v>
      </c>
      <c r="J151" s="798">
        <f t="shared" si="547"/>
        <v>0</v>
      </c>
      <c r="K151" s="724">
        <f t="shared" si="611"/>
        <v>0</v>
      </c>
      <c r="L151" s="798">
        <f t="shared" si="535"/>
        <v>0</v>
      </c>
      <c r="M151" s="724">
        <f t="shared" si="611"/>
        <v>0</v>
      </c>
      <c r="N151" s="798">
        <f t="shared" ref="N151:R151" si="612">+L151</f>
        <v>0</v>
      </c>
      <c r="O151" s="724">
        <f t="shared" ref="O151:S151" si="613">N151*N$8</f>
        <v>0</v>
      </c>
      <c r="P151" s="798">
        <f t="shared" si="612"/>
        <v>0</v>
      </c>
      <c r="Q151" s="724">
        <f t="shared" si="613"/>
        <v>0</v>
      </c>
      <c r="R151" s="798">
        <f t="shared" si="612"/>
        <v>0</v>
      </c>
      <c r="S151" s="724">
        <f t="shared" si="613"/>
        <v>0</v>
      </c>
      <c r="T151" s="798">
        <f t="shared" ref="T151:X151" si="614">+R151</f>
        <v>0</v>
      </c>
      <c r="U151" s="724">
        <f t="shared" ref="U151:Y151" si="615">T151*T$8</f>
        <v>0</v>
      </c>
      <c r="V151" s="798">
        <f t="shared" si="614"/>
        <v>0</v>
      </c>
      <c r="W151" s="724">
        <f t="shared" si="615"/>
        <v>0</v>
      </c>
      <c r="X151" s="798"/>
      <c r="Y151" s="724"/>
      <c r="Z151" s="798"/>
      <c r="AA151" s="724"/>
      <c r="AB151" s="798"/>
      <c r="AC151" s="724"/>
      <c r="AD151" s="724">
        <f t="shared" si="539"/>
        <v>0</v>
      </c>
      <c r="AE151" s="724">
        <f t="shared" si="540"/>
        <v>0</v>
      </c>
      <c r="AF151" s="798">
        <v>0</v>
      </c>
      <c r="AG151" s="724">
        <f t="shared" ref="AG151:AK151" si="616">AF151*AF$8</f>
        <v>0</v>
      </c>
      <c r="AH151" s="798">
        <f t="shared" si="542"/>
        <v>0</v>
      </c>
      <c r="AI151" s="724">
        <f t="shared" si="616"/>
        <v>0</v>
      </c>
      <c r="AJ151" s="798">
        <f t="shared" si="543"/>
        <v>0</v>
      </c>
      <c r="AK151" s="724">
        <f t="shared" si="616"/>
        <v>0</v>
      </c>
      <c r="AL151" s="724"/>
      <c r="AN151" s="806">
        <f t="shared" si="544"/>
        <v>0</v>
      </c>
    </row>
    <row r="152" s="699" customFormat="1" ht="28" hidden="1" customHeight="1" outlineLevel="2" spans="1:40">
      <c r="A152" s="724" t="s">
        <v>524</v>
      </c>
      <c r="B152" s="734" t="s">
        <v>525</v>
      </c>
      <c r="C152" s="724">
        <f t="shared" si="534"/>
        <v>11.768290760841</v>
      </c>
      <c r="D152" s="724">
        <f t="shared" si="559"/>
        <v>84</v>
      </c>
      <c r="E152" s="742" t="s">
        <v>526</v>
      </c>
      <c r="F152" s="724">
        <f t="shared" si="545"/>
        <v>0</v>
      </c>
      <c r="G152" s="724">
        <f t="shared" si="457"/>
        <v>0</v>
      </c>
      <c r="H152" s="798">
        <v>0</v>
      </c>
      <c r="I152" s="724">
        <f t="shared" ref="I152:M152" si="617">H152*H$8</f>
        <v>0</v>
      </c>
      <c r="J152" s="798">
        <f t="shared" si="547"/>
        <v>0</v>
      </c>
      <c r="K152" s="724">
        <f t="shared" si="617"/>
        <v>0</v>
      </c>
      <c r="L152" s="798">
        <f t="shared" si="535"/>
        <v>0</v>
      </c>
      <c r="M152" s="724">
        <f t="shared" si="617"/>
        <v>0</v>
      </c>
      <c r="N152" s="798">
        <f t="shared" ref="N152:R152" si="618">+L152</f>
        <v>0</v>
      </c>
      <c r="O152" s="724">
        <f t="shared" ref="O152:S152" si="619">N152*N$8</f>
        <v>0</v>
      </c>
      <c r="P152" s="798">
        <f t="shared" si="618"/>
        <v>0</v>
      </c>
      <c r="Q152" s="724">
        <f t="shared" si="619"/>
        <v>0</v>
      </c>
      <c r="R152" s="798">
        <f t="shared" si="618"/>
        <v>0</v>
      </c>
      <c r="S152" s="724">
        <f t="shared" si="619"/>
        <v>0</v>
      </c>
      <c r="T152" s="798">
        <f t="shared" ref="T152:X152" si="620">+R152</f>
        <v>0</v>
      </c>
      <c r="U152" s="724">
        <f t="shared" ref="U152:Y152" si="621">T152*T$8</f>
        <v>0</v>
      </c>
      <c r="V152" s="798">
        <f t="shared" si="620"/>
        <v>0</v>
      </c>
      <c r="W152" s="724">
        <f t="shared" si="621"/>
        <v>0</v>
      </c>
      <c r="X152" s="798"/>
      <c r="Y152" s="724"/>
      <c r="Z152" s="798"/>
      <c r="AA152" s="724"/>
      <c r="AB152" s="798"/>
      <c r="AC152" s="724"/>
      <c r="AD152" s="724">
        <f t="shared" si="539"/>
        <v>37.7774109970943</v>
      </c>
      <c r="AE152" s="724">
        <f t="shared" si="540"/>
        <v>84</v>
      </c>
      <c r="AF152" s="798">
        <v>37.7774109970943</v>
      </c>
      <c r="AG152" s="724">
        <f t="shared" ref="AG152:AK152" si="622">AF152*AF$8</f>
        <v>0</v>
      </c>
      <c r="AH152" s="798">
        <f t="shared" si="542"/>
        <v>37.7774109970943</v>
      </c>
      <c r="AI152" s="724">
        <f t="shared" si="622"/>
        <v>14.9036041898747</v>
      </c>
      <c r="AJ152" s="798">
        <f t="shared" si="543"/>
        <v>37.7774109970943</v>
      </c>
      <c r="AK152" s="724">
        <f t="shared" si="622"/>
        <v>69.0963958101254</v>
      </c>
      <c r="AL152" s="724" t="s">
        <v>521</v>
      </c>
      <c r="AN152" s="806">
        <f t="shared" si="544"/>
        <v>840000</v>
      </c>
    </row>
    <row r="153" s="699" customFormat="1" ht="29" hidden="1" customHeight="1" outlineLevel="1" collapsed="1" spans="1:40">
      <c r="A153" s="797">
        <v>3.3</v>
      </c>
      <c r="B153" s="797" t="s">
        <v>527</v>
      </c>
      <c r="C153" s="797">
        <f t="shared" ref="C153:AK153" si="623">SUM(C154:C177)</f>
        <v>177.687571897602</v>
      </c>
      <c r="D153" s="797">
        <f t="shared" si="623"/>
        <v>1268.30279288</v>
      </c>
      <c r="E153" s="742"/>
      <c r="F153" s="797">
        <f t="shared" si="623"/>
        <v>258.085485847961</v>
      </c>
      <c r="G153" s="797">
        <f t="shared" si="623"/>
        <v>1268.30279288</v>
      </c>
      <c r="H153" s="797">
        <f t="shared" si="623"/>
        <v>262.396688980232</v>
      </c>
      <c r="I153" s="797">
        <f t="shared" si="623"/>
        <v>830.297644593125</v>
      </c>
      <c r="J153" s="797">
        <f t="shared" si="623"/>
        <v>262.396688980232</v>
      </c>
      <c r="K153" s="797">
        <f t="shared" si="623"/>
        <v>438.005148286875</v>
      </c>
      <c r="L153" s="797">
        <f t="shared" si="623"/>
        <v>262.396688980232</v>
      </c>
      <c r="M153" s="797">
        <f t="shared" si="623"/>
        <v>0</v>
      </c>
      <c r="N153" s="797">
        <f t="shared" si="623"/>
        <v>262.396688980232</v>
      </c>
      <c r="O153" s="797">
        <f t="shared" si="623"/>
        <v>0</v>
      </c>
      <c r="P153" s="797">
        <f t="shared" si="623"/>
        <v>262.396688980232</v>
      </c>
      <c r="Q153" s="797">
        <f t="shared" si="623"/>
        <v>0</v>
      </c>
      <c r="R153" s="797">
        <f t="shared" si="623"/>
        <v>262.396688980232</v>
      </c>
      <c r="S153" s="797">
        <f t="shared" si="623"/>
        <v>0</v>
      </c>
      <c r="T153" s="797">
        <f t="shared" si="623"/>
        <v>262.396688980232</v>
      </c>
      <c r="U153" s="797">
        <f t="shared" si="623"/>
        <v>0</v>
      </c>
      <c r="V153" s="797">
        <f t="shared" si="623"/>
        <v>0</v>
      </c>
      <c r="W153" s="797">
        <f t="shared" si="623"/>
        <v>0</v>
      </c>
      <c r="X153" s="797"/>
      <c r="Y153" s="797"/>
      <c r="Z153" s="797"/>
      <c r="AA153" s="797"/>
      <c r="AB153" s="797"/>
      <c r="AC153" s="797"/>
      <c r="AD153" s="797">
        <f t="shared" si="623"/>
        <v>0</v>
      </c>
      <c r="AE153" s="797">
        <f t="shared" si="623"/>
        <v>0</v>
      </c>
      <c r="AF153" s="797">
        <f t="shared" si="623"/>
        <v>0</v>
      </c>
      <c r="AG153" s="797">
        <f t="shared" si="623"/>
        <v>0</v>
      </c>
      <c r="AH153" s="797">
        <f t="shared" si="623"/>
        <v>0</v>
      </c>
      <c r="AI153" s="797">
        <f t="shared" si="623"/>
        <v>0</v>
      </c>
      <c r="AJ153" s="797">
        <f t="shared" si="623"/>
        <v>0</v>
      </c>
      <c r="AK153" s="797">
        <f t="shared" si="623"/>
        <v>0</v>
      </c>
      <c r="AL153" s="724" t="s">
        <v>528</v>
      </c>
      <c r="AN153" s="806">
        <f t="shared" si="544"/>
        <v>12683027.9288</v>
      </c>
    </row>
    <row r="154" s="699" customFormat="1" ht="27" hidden="1" customHeight="1" outlineLevel="2" spans="1:40">
      <c r="A154" s="724" t="s">
        <v>529</v>
      </c>
      <c r="B154" s="730" t="s">
        <v>530</v>
      </c>
      <c r="C154" s="724">
        <f t="shared" ref="C154:C179" si="624">D154/$C$8</f>
        <v>6.33386220592407</v>
      </c>
      <c r="D154" s="724">
        <f t="shared" ref="D154:D179" si="625">G154+AE154</f>
        <v>45.21</v>
      </c>
      <c r="E154" s="742" t="s">
        <v>531</v>
      </c>
      <c r="F154" s="724">
        <f t="shared" ref="F154:F179" si="626">G154/$F$8</f>
        <v>9.19973123191747</v>
      </c>
      <c r="G154" s="724">
        <f t="shared" ref="G154:G174" si="627">I154+K154+M154+O154+Q154+S154+U154+W154</f>
        <v>45.21</v>
      </c>
      <c r="H154" s="798">
        <f>45.21/(H8+J8)</f>
        <v>9.35340864609979</v>
      </c>
      <c r="I154" s="724">
        <f t="shared" ref="I154:M154" si="628">H154*H$8</f>
        <v>29.5968413243152</v>
      </c>
      <c r="J154" s="798">
        <f t="shared" ref="J154:J179" si="629">+H154</f>
        <v>9.35340864609979</v>
      </c>
      <c r="K154" s="724">
        <f t="shared" si="628"/>
        <v>15.6131586756848</v>
      </c>
      <c r="L154" s="798">
        <f t="shared" ref="L154:L179" si="630">+H154</f>
        <v>9.35340864609979</v>
      </c>
      <c r="M154" s="724">
        <f t="shared" si="628"/>
        <v>0</v>
      </c>
      <c r="N154" s="798">
        <f t="shared" ref="N154:R154" si="631">+L154</f>
        <v>9.35340864609979</v>
      </c>
      <c r="O154" s="724">
        <f t="shared" ref="O154:S154" si="632">N154*N$8</f>
        <v>0</v>
      </c>
      <c r="P154" s="798">
        <f t="shared" si="631"/>
        <v>9.35340864609979</v>
      </c>
      <c r="Q154" s="724">
        <f t="shared" si="632"/>
        <v>0</v>
      </c>
      <c r="R154" s="798">
        <f t="shared" si="631"/>
        <v>9.35340864609979</v>
      </c>
      <c r="S154" s="724">
        <f t="shared" si="632"/>
        <v>0</v>
      </c>
      <c r="T154" s="798">
        <f>+R154</f>
        <v>9.35340864609979</v>
      </c>
      <c r="U154" s="724">
        <f t="shared" ref="U154:Y154" si="633">T154*T$8</f>
        <v>0</v>
      </c>
      <c r="V154" s="798">
        <v>0</v>
      </c>
      <c r="W154" s="724">
        <f t="shared" si="633"/>
        <v>0</v>
      </c>
      <c r="X154" s="798"/>
      <c r="Y154" s="724"/>
      <c r="Z154" s="798"/>
      <c r="AA154" s="724"/>
      <c r="AB154" s="798"/>
      <c r="AC154" s="724"/>
      <c r="AD154" s="724">
        <f t="shared" ref="AD154:AD179" si="634">AE154/AD$8</f>
        <v>0</v>
      </c>
      <c r="AE154" s="724">
        <f t="shared" ref="AE154:AE179" si="635">AG154*0+AI154+AK154</f>
        <v>0</v>
      </c>
      <c r="AF154" s="798">
        <v>0</v>
      </c>
      <c r="AG154" s="724">
        <f t="shared" ref="AG154:AK154" si="636">AF154*AF$8</f>
        <v>0</v>
      </c>
      <c r="AH154" s="798">
        <f t="shared" ref="AH154:AH179" si="637">+AF154</f>
        <v>0</v>
      </c>
      <c r="AI154" s="724">
        <f t="shared" si="636"/>
        <v>0</v>
      </c>
      <c r="AJ154" s="798">
        <f t="shared" ref="AJ154:AJ179" si="638">+AH154</f>
        <v>0</v>
      </c>
      <c r="AK154" s="724">
        <f t="shared" si="636"/>
        <v>0</v>
      </c>
      <c r="AL154" s="724" t="s">
        <v>532</v>
      </c>
      <c r="AN154" s="806">
        <f t="shared" si="544"/>
        <v>452100</v>
      </c>
    </row>
    <row r="155" s="699" customFormat="1" ht="32" hidden="1" customHeight="1" outlineLevel="2" spans="1:40">
      <c r="A155" s="724" t="s">
        <v>533</v>
      </c>
      <c r="B155" s="730" t="s">
        <v>534</v>
      </c>
      <c r="C155" s="724">
        <f t="shared" si="624"/>
        <v>0</v>
      </c>
      <c r="D155" s="724">
        <f t="shared" si="625"/>
        <v>0</v>
      </c>
      <c r="E155" s="742" t="s">
        <v>436</v>
      </c>
      <c r="F155" s="724">
        <f t="shared" si="626"/>
        <v>0</v>
      </c>
      <c r="G155" s="724">
        <f t="shared" si="627"/>
        <v>0</v>
      </c>
      <c r="H155" s="798"/>
      <c r="I155" s="724">
        <f t="shared" ref="I155:M155" si="639">H155*H$8</f>
        <v>0</v>
      </c>
      <c r="J155" s="798">
        <f t="shared" si="629"/>
        <v>0</v>
      </c>
      <c r="K155" s="724">
        <f t="shared" si="639"/>
        <v>0</v>
      </c>
      <c r="L155" s="798">
        <f t="shared" si="630"/>
        <v>0</v>
      </c>
      <c r="M155" s="724">
        <f t="shared" si="639"/>
        <v>0</v>
      </c>
      <c r="N155" s="798">
        <f t="shared" ref="N155:R155" si="640">+L155</f>
        <v>0</v>
      </c>
      <c r="O155" s="724">
        <f t="shared" ref="O155:S155" si="641">N155*N$8</f>
        <v>0</v>
      </c>
      <c r="P155" s="798">
        <f t="shared" si="640"/>
        <v>0</v>
      </c>
      <c r="Q155" s="724">
        <f t="shared" si="641"/>
        <v>0</v>
      </c>
      <c r="R155" s="798">
        <f t="shared" si="640"/>
        <v>0</v>
      </c>
      <c r="S155" s="724">
        <f t="shared" si="641"/>
        <v>0</v>
      </c>
      <c r="T155" s="798">
        <f t="shared" ref="T155:X155" si="642">+R155</f>
        <v>0</v>
      </c>
      <c r="U155" s="724">
        <f t="shared" ref="U155:Y155" si="643">T155*T$8</f>
        <v>0</v>
      </c>
      <c r="V155" s="798">
        <f t="shared" si="642"/>
        <v>0</v>
      </c>
      <c r="W155" s="724">
        <f t="shared" si="643"/>
        <v>0</v>
      </c>
      <c r="X155" s="798"/>
      <c r="Y155" s="724"/>
      <c r="Z155" s="798"/>
      <c r="AA155" s="724"/>
      <c r="AB155" s="798"/>
      <c r="AC155" s="724"/>
      <c r="AD155" s="724">
        <f t="shared" si="634"/>
        <v>0</v>
      </c>
      <c r="AE155" s="724">
        <f t="shared" si="635"/>
        <v>0</v>
      </c>
      <c r="AF155" s="798">
        <f t="shared" ref="AF154:AF169" si="644">+AB155</f>
        <v>0</v>
      </c>
      <c r="AG155" s="724">
        <f t="shared" ref="AG155:AK155" si="645">AF155*AF$8</f>
        <v>0</v>
      </c>
      <c r="AH155" s="798">
        <f t="shared" si="637"/>
        <v>0</v>
      </c>
      <c r="AI155" s="724">
        <f t="shared" si="645"/>
        <v>0</v>
      </c>
      <c r="AJ155" s="798">
        <f t="shared" si="638"/>
        <v>0</v>
      </c>
      <c r="AK155" s="724">
        <f t="shared" si="645"/>
        <v>0</v>
      </c>
      <c r="AL155" s="724" t="s">
        <v>532</v>
      </c>
      <c r="AN155" s="806">
        <f t="shared" si="544"/>
        <v>0</v>
      </c>
    </row>
    <row r="156" s="699" customFormat="1" ht="32" hidden="1" customHeight="1" outlineLevel="2" spans="1:40">
      <c r="A156" s="724" t="s">
        <v>535</v>
      </c>
      <c r="B156" s="730" t="s">
        <v>536</v>
      </c>
      <c r="C156" s="724">
        <f t="shared" si="624"/>
        <v>0</v>
      </c>
      <c r="D156" s="724">
        <f t="shared" si="625"/>
        <v>0</v>
      </c>
      <c r="E156" s="742" t="s">
        <v>537</v>
      </c>
      <c r="F156" s="724">
        <f t="shared" si="626"/>
        <v>0</v>
      </c>
      <c r="G156" s="724">
        <f t="shared" si="627"/>
        <v>0</v>
      </c>
      <c r="H156" s="798"/>
      <c r="I156" s="724">
        <f t="shared" ref="I156:M156" si="646">H156*H$8</f>
        <v>0</v>
      </c>
      <c r="J156" s="798">
        <f t="shared" si="629"/>
        <v>0</v>
      </c>
      <c r="K156" s="724">
        <f t="shared" si="646"/>
        <v>0</v>
      </c>
      <c r="L156" s="798">
        <f t="shared" si="630"/>
        <v>0</v>
      </c>
      <c r="M156" s="724">
        <f t="shared" si="646"/>
        <v>0</v>
      </c>
      <c r="N156" s="798">
        <f t="shared" ref="N156:R156" si="647">+L156</f>
        <v>0</v>
      </c>
      <c r="O156" s="724">
        <f t="shared" ref="O156:S156" si="648">N156*N$8</f>
        <v>0</v>
      </c>
      <c r="P156" s="798">
        <f t="shared" si="647"/>
        <v>0</v>
      </c>
      <c r="Q156" s="724">
        <f t="shared" si="648"/>
        <v>0</v>
      </c>
      <c r="R156" s="798">
        <f t="shared" si="647"/>
        <v>0</v>
      </c>
      <c r="S156" s="724">
        <f t="shared" si="648"/>
        <v>0</v>
      </c>
      <c r="T156" s="798">
        <f t="shared" ref="T156:X156" si="649">+R156</f>
        <v>0</v>
      </c>
      <c r="U156" s="724">
        <f t="shared" ref="U156:Y156" si="650">T156*T$8</f>
        <v>0</v>
      </c>
      <c r="V156" s="798">
        <f t="shared" si="649"/>
        <v>0</v>
      </c>
      <c r="W156" s="724">
        <f t="shared" si="650"/>
        <v>0</v>
      </c>
      <c r="X156" s="798"/>
      <c r="Y156" s="724"/>
      <c r="Z156" s="798"/>
      <c r="AA156" s="724"/>
      <c r="AB156" s="798"/>
      <c r="AC156" s="724"/>
      <c r="AD156" s="724">
        <f t="shared" si="634"/>
        <v>0</v>
      </c>
      <c r="AE156" s="724">
        <f t="shared" si="635"/>
        <v>0</v>
      </c>
      <c r="AF156" s="798">
        <f t="shared" si="644"/>
        <v>0</v>
      </c>
      <c r="AG156" s="724">
        <f t="shared" ref="AG156:AK156" si="651">AF156*AF$8</f>
        <v>0</v>
      </c>
      <c r="AH156" s="798">
        <f t="shared" si="637"/>
        <v>0</v>
      </c>
      <c r="AI156" s="724">
        <f t="shared" si="651"/>
        <v>0</v>
      </c>
      <c r="AJ156" s="798">
        <f t="shared" si="638"/>
        <v>0</v>
      </c>
      <c r="AK156" s="724">
        <f t="shared" si="651"/>
        <v>0</v>
      </c>
      <c r="AL156" s="724" t="s">
        <v>532</v>
      </c>
      <c r="AN156" s="806">
        <f t="shared" si="544"/>
        <v>0</v>
      </c>
    </row>
    <row r="157" s="699" customFormat="1" ht="32" hidden="1" customHeight="1" outlineLevel="2" spans="1:40">
      <c r="A157" s="724" t="s">
        <v>538</v>
      </c>
      <c r="B157" s="730" t="s">
        <v>539</v>
      </c>
      <c r="C157" s="724">
        <f t="shared" si="624"/>
        <v>0</v>
      </c>
      <c r="D157" s="724">
        <f t="shared" si="625"/>
        <v>0</v>
      </c>
      <c r="E157" s="760" t="s">
        <v>540</v>
      </c>
      <c r="F157" s="724">
        <f t="shared" si="626"/>
        <v>0</v>
      </c>
      <c r="G157" s="724">
        <f t="shared" si="627"/>
        <v>0</v>
      </c>
      <c r="H157" s="798">
        <v>0</v>
      </c>
      <c r="I157" s="724">
        <f t="shared" ref="I157:M157" si="652">H157*H$8</f>
        <v>0</v>
      </c>
      <c r="J157" s="798">
        <f t="shared" si="629"/>
        <v>0</v>
      </c>
      <c r="K157" s="724">
        <f t="shared" si="652"/>
        <v>0</v>
      </c>
      <c r="L157" s="798">
        <f t="shared" si="630"/>
        <v>0</v>
      </c>
      <c r="M157" s="724">
        <f t="shared" si="652"/>
        <v>0</v>
      </c>
      <c r="N157" s="798">
        <f t="shared" ref="N157:R157" si="653">+L157</f>
        <v>0</v>
      </c>
      <c r="O157" s="724">
        <f t="shared" ref="O157:S157" si="654">N157*N$8</f>
        <v>0</v>
      </c>
      <c r="P157" s="798">
        <f t="shared" si="653"/>
        <v>0</v>
      </c>
      <c r="Q157" s="724">
        <f t="shared" si="654"/>
        <v>0</v>
      </c>
      <c r="R157" s="798">
        <f t="shared" si="653"/>
        <v>0</v>
      </c>
      <c r="S157" s="724">
        <f t="shared" si="654"/>
        <v>0</v>
      </c>
      <c r="T157" s="798">
        <f>+R157</f>
        <v>0</v>
      </c>
      <c r="U157" s="724">
        <f t="shared" ref="U157:Y157" si="655">T157*T$8</f>
        <v>0</v>
      </c>
      <c r="V157" s="798">
        <v>0</v>
      </c>
      <c r="W157" s="724">
        <f t="shared" si="655"/>
        <v>0</v>
      </c>
      <c r="X157" s="798"/>
      <c r="Y157" s="724"/>
      <c r="Z157" s="798"/>
      <c r="AA157" s="724"/>
      <c r="AB157" s="798"/>
      <c r="AC157" s="724"/>
      <c r="AD157" s="724">
        <f t="shared" si="634"/>
        <v>0</v>
      </c>
      <c r="AE157" s="724">
        <f t="shared" si="635"/>
        <v>0</v>
      </c>
      <c r="AF157" s="798">
        <f t="shared" si="644"/>
        <v>0</v>
      </c>
      <c r="AG157" s="724">
        <f t="shared" ref="AG157:AK157" si="656">AF157*AF$8</f>
        <v>0</v>
      </c>
      <c r="AH157" s="798">
        <f t="shared" si="637"/>
        <v>0</v>
      </c>
      <c r="AI157" s="724">
        <f t="shared" si="656"/>
        <v>0</v>
      </c>
      <c r="AJ157" s="798">
        <f t="shared" si="638"/>
        <v>0</v>
      </c>
      <c r="AK157" s="724">
        <f t="shared" si="656"/>
        <v>0</v>
      </c>
      <c r="AL157" s="724" t="s">
        <v>532</v>
      </c>
      <c r="AN157" s="806">
        <f t="shared" si="544"/>
        <v>0</v>
      </c>
    </row>
    <row r="158" s="699" customFormat="1" ht="32" hidden="1" customHeight="1" outlineLevel="2" spans="1:40">
      <c r="A158" s="724" t="s">
        <v>541</v>
      </c>
      <c r="B158" s="730" t="s">
        <v>542</v>
      </c>
      <c r="C158" s="724">
        <f t="shared" si="624"/>
        <v>0</v>
      </c>
      <c r="D158" s="724">
        <f t="shared" si="625"/>
        <v>0</v>
      </c>
      <c r="E158" s="742" t="s">
        <v>537</v>
      </c>
      <c r="F158" s="724">
        <f t="shared" si="626"/>
        <v>0</v>
      </c>
      <c r="G158" s="724">
        <f t="shared" si="627"/>
        <v>0</v>
      </c>
      <c r="H158" s="798"/>
      <c r="I158" s="724">
        <f t="shared" ref="I158:M158" si="657">H158*H$8</f>
        <v>0</v>
      </c>
      <c r="J158" s="798">
        <f t="shared" si="629"/>
        <v>0</v>
      </c>
      <c r="K158" s="724">
        <f t="shared" si="657"/>
        <v>0</v>
      </c>
      <c r="L158" s="798">
        <f t="shared" si="630"/>
        <v>0</v>
      </c>
      <c r="M158" s="724">
        <f t="shared" si="657"/>
        <v>0</v>
      </c>
      <c r="N158" s="798">
        <f t="shared" ref="N158:R158" si="658">+L158</f>
        <v>0</v>
      </c>
      <c r="O158" s="724">
        <f t="shared" ref="O158:S158" si="659">N158*N$8</f>
        <v>0</v>
      </c>
      <c r="P158" s="798">
        <f t="shared" si="658"/>
        <v>0</v>
      </c>
      <c r="Q158" s="724">
        <f t="shared" si="659"/>
        <v>0</v>
      </c>
      <c r="R158" s="798">
        <f t="shared" si="658"/>
        <v>0</v>
      </c>
      <c r="S158" s="724">
        <f t="shared" si="659"/>
        <v>0</v>
      </c>
      <c r="T158" s="798">
        <f t="shared" ref="T158:X158" si="660">+R158</f>
        <v>0</v>
      </c>
      <c r="U158" s="724">
        <f t="shared" ref="U158:Y158" si="661">T158*T$8</f>
        <v>0</v>
      </c>
      <c r="V158" s="798">
        <f t="shared" si="660"/>
        <v>0</v>
      </c>
      <c r="W158" s="724">
        <f t="shared" si="661"/>
        <v>0</v>
      </c>
      <c r="X158" s="798"/>
      <c r="Y158" s="724"/>
      <c r="Z158" s="798"/>
      <c r="AA158" s="724"/>
      <c r="AB158" s="798"/>
      <c r="AC158" s="724"/>
      <c r="AD158" s="724">
        <f t="shared" si="634"/>
        <v>0</v>
      </c>
      <c r="AE158" s="724">
        <f t="shared" si="635"/>
        <v>0</v>
      </c>
      <c r="AF158" s="798">
        <f t="shared" si="644"/>
        <v>0</v>
      </c>
      <c r="AG158" s="724">
        <f t="shared" ref="AG158:AK158" si="662">AF158*AF$8</f>
        <v>0</v>
      </c>
      <c r="AH158" s="798">
        <f t="shared" si="637"/>
        <v>0</v>
      </c>
      <c r="AI158" s="724">
        <f t="shared" si="662"/>
        <v>0</v>
      </c>
      <c r="AJ158" s="798">
        <f t="shared" si="638"/>
        <v>0</v>
      </c>
      <c r="AK158" s="724">
        <f t="shared" si="662"/>
        <v>0</v>
      </c>
      <c r="AL158" s="724" t="s">
        <v>532</v>
      </c>
      <c r="AN158" s="806">
        <f t="shared" si="544"/>
        <v>0</v>
      </c>
    </row>
    <row r="159" s="699" customFormat="1" ht="32" hidden="1" customHeight="1" outlineLevel="2" spans="1:40">
      <c r="A159" s="724" t="s">
        <v>543</v>
      </c>
      <c r="B159" s="730" t="s">
        <v>544</v>
      </c>
      <c r="C159" s="724">
        <f t="shared" si="624"/>
        <v>0</v>
      </c>
      <c r="D159" s="724">
        <f t="shared" si="625"/>
        <v>0</v>
      </c>
      <c r="E159" s="760" t="s">
        <v>540</v>
      </c>
      <c r="F159" s="724">
        <f t="shared" si="626"/>
        <v>0</v>
      </c>
      <c r="G159" s="724">
        <f t="shared" si="627"/>
        <v>0</v>
      </c>
      <c r="H159" s="798"/>
      <c r="I159" s="724">
        <f t="shared" ref="I159:M159" si="663">H159*H$8</f>
        <v>0</v>
      </c>
      <c r="J159" s="798">
        <f t="shared" si="629"/>
        <v>0</v>
      </c>
      <c r="K159" s="724">
        <f t="shared" si="663"/>
        <v>0</v>
      </c>
      <c r="L159" s="798">
        <f t="shared" si="630"/>
        <v>0</v>
      </c>
      <c r="M159" s="724">
        <f t="shared" si="663"/>
        <v>0</v>
      </c>
      <c r="N159" s="798">
        <f t="shared" ref="N159:R159" si="664">+L159</f>
        <v>0</v>
      </c>
      <c r="O159" s="724">
        <f t="shared" ref="O159:S159" si="665">N159*N$8</f>
        <v>0</v>
      </c>
      <c r="P159" s="798">
        <f t="shared" si="664"/>
        <v>0</v>
      </c>
      <c r="Q159" s="724">
        <f t="shared" si="665"/>
        <v>0</v>
      </c>
      <c r="R159" s="798">
        <f t="shared" si="664"/>
        <v>0</v>
      </c>
      <c r="S159" s="724">
        <f t="shared" si="665"/>
        <v>0</v>
      </c>
      <c r="T159" s="798">
        <f t="shared" ref="T159:X159" si="666">+R159</f>
        <v>0</v>
      </c>
      <c r="U159" s="724">
        <f t="shared" ref="U159:Y159" si="667">T159*T$8</f>
        <v>0</v>
      </c>
      <c r="V159" s="798">
        <f t="shared" si="666"/>
        <v>0</v>
      </c>
      <c r="W159" s="724">
        <f t="shared" si="667"/>
        <v>0</v>
      </c>
      <c r="X159" s="798"/>
      <c r="Y159" s="724"/>
      <c r="Z159" s="798"/>
      <c r="AA159" s="724"/>
      <c r="AB159" s="798"/>
      <c r="AC159" s="724"/>
      <c r="AD159" s="724">
        <f t="shared" si="634"/>
        <v>0</v>
      </c>
      <c r="AE159" s="724">
        <f t="shared" si="635"/>
        <v>0</v>
      </c>
      <c r="AF159" s="798">
        <f t="shared" si="644"/>
        <v>0</v>
      </c>
      <c r="AG159" s="724">
        <f t="shared" ref="AG159:AK159" si="668">AF159*AF$8</f>
        <v>0</v>
      </c>
      <c r="AH159" s="798">
        <f t="shared" si="637"/>
        <v>0</v>
      </c>
      <c r="AI159" s="724">
        <f t="shared" si="668"/>
        <v>0</v>
      </c>
      <c r="AJ159" s="798">
        <f t="shared" si="638"/>
        <v>0</v>
      </c>
      <c r="AK159" s="724">
        <f t="shared" si="668"/>
        <v>0</v>
      </c>
      <c r="AL159" s="724" t="s">
        <v>532</v>
      </c>
      <c r="AN159" s="806">
        <f t="shared" si="544"/>
        <v>0</v>
      </c>
    </row>
    <row r="160" s="699" customFormat="1" ht="32" hidden="1" customHeight="1" outlineLevel="2" spans="1:40">
      <c r="A160" s="724" t="s">
        <v>545</v>
      </c>
      <c r="B160" s="730" t="s">
        <v>546</v>
      </c>
      <c r="C160" s="724">
        <f t="shared" si="624"/>
        <v>0.924651416923222</v>
      </c>
      <c r="D160" s="724">
        <f t="shared" si="625"/>
        <v>6.6</v>
      </c>
      <c r="E160" s="742" t="s">
        <v>547</v>
      </c>
      <c r="F160" s="724">
        <f t="shared" si="626"/>
        <v>1.34302645721423</v>
      </c>
      <c r="G160" s="724">
        <f t="shared" si="627"/>
        <v>6.6</v>
      </c>
      <c r="H160" s="798">
        <f>3300*20/10000/(H8+J8)</f>
        <v>1.36546111621895</v>
      </c>
      <c r="I160" s="724">
        <f t="shared" ref="I160:M160" si="669">H160*H$8</f>
        <v>4.32070676267375</v>
      </c>
      <c r="J160" s="798">
        <f t="shared" si="629"/>
        <v>1.36546111621895</v>
      </c>
      <c r="K160" s="724">
        <f t="shared" si="669"/>
        <v>2.27929323732625</v>
      </c>
      <c r="L160" s="798">
        <f t="shared" si="630"/>
        <v>1.36546111621895</v>
      </c>
      <c r="M160" s="724">
        <f t="shared" si="669"/>
        <v>0</v>
      </c>
      <c r="N160" s="798">
        <f t="shared" ref="N160:R160" si="670">+L160</f>
        <v>1.36546111621895</v>
      </c>
      <c r="O160" s="724">
        <f t="shared" ref="O160:S160" si="671">N160*N$8</f>
        <v>0</v>
      </c>
      <c r="P160" s="798">
        <f t="shared" si="670"/>
        <v>1.36546111621895</v>
      </c>
      <c r="Q160" s="724">
        <f t="shared" si="671"/>
        <v>0</v>
      </c>
      <c r="R160" s="798">
        <f t="shared" si="670"/>
        <v>1.36546111621895</v>
      </c>
      <c r="S160" s="724">
        <f t="shared" si="671"/>
        <v>0</v>
      </c>
      <c r="T160" s="798">
        <f>+R160</f>
        <v>1.36546111621895</v>
      </c>
      <c r="U160" s="724">
        <f t="shared" ref="U160:Y160" si="672">T160*T$8</f>
        <v>0</v>
      </c>
      <c r="V160" s="798">
        <v>0</v>
      </c>
      <c r="W160" s="724">
        <f t="shared" si="672"/>
        <v>0</v>
      </c>
      <c r="X160" s="798"/>
      <c r="Y160" s="724"/>
      <c r="Z160" s="798"/>
      <c r="AA160" s="724"/>
      <c r="AB160" s="798"/>
      <c r="AC160" s="724"/>
      <c r="AD160" s="724">
        <f t="shared" si="634"/>
        <v>0</v>
      </c>
      <c r="AE160" s="724">
        <f t="shared" si="635"/>
        <v>0</v>
      </c>
      <c r="AF160" s="798">
        <f t="shared" si="644"/>
        <v>0</v>
      </c>
      <c r="AG160" s="724">
        <f t="shared" ref="AG160:AK160" si="673">AF160*AF$8</f>
        <v>0</v>
      </c>
      <c r="AH160" s="798">
        <f t="shared" si="637"/>
        <v>0</v>
      </c>
      <c r="AI160" s="724">
        <f t="shared" si="673"/>
        <v>0</v>
      </c>
      <c r="AJ160" s="798">
        <f t="shared" si="638"/>
        <v>0</v>
      </c>
      <c r="AK160" s="724">
        <f t="shared" si="673"/>
        <v>0</v>
      </c>
      <c r="AL160" s="724" t="s">
        <v>532</v>
      </c>
      <c r="AN160" s="806">
        <f t="shared" si="544"/>
        <v>66000</v>
      </c>
    </row>
    <row r="161" s="699" customFormat="1" ht="60" hidden="1" customHeight="1" outlineLevel="2" spans="1:40">
      <c r="A161" s="724" t="s">
        <v>548</v>
      </c>
      <c r="B161" s="734" t="s">
        <v>549</v>
      </c>
      <c r="C161" s="724">
        <f t="shared" si="624"/>
        <v>61.6434277948815</v>
      </c>
      <c r="D161" s="724">
        <f t="shared" si="625"/>
        <v>440</v>
      </c>
      <c r="E161" s="742" t="s">
        <v>550</v>
      </c>
      <c r="F161" s="724">
        <f t="shared" si="626"/>
        <v>89.5350971476154</v>
      </c>
      <c r="G161" s="724">
        <f t="shared" si="627"/>
        <v>440</v>
      </c>
      <c r="H161" s="798">
        <f>440/(H8+J8)</f>
        <v>91.0307410812631</v>
      </c>
      <c r="I161" s="724">
        <f t="shared" ref="I161:M161" si="674">H161*H$8</f>
        <v>288.047117511584</v>
      </c>
      <c r="J161" s="798">
        <f t="shared" si="629"/>
        <v>91.0307410812631</v>
      </c>
      <c r="K161" s="724">
        <f t="shared" si="674"/>
        <v>151.952882488416</v>
      </c>
      <c r="L161" s="798">
        <f t="shared" si="630"/>
        <v>91.0307410812631</v>
      </c>
      <c r="M161" s="724">
        <f t="shared" si="674"/>
        <v>0</v>
      </c>
      <c r="N161" s="798">
        <f t="shared" ref="N161:R161" si="675">+L161</f>
        <v>91.0307410812631</v>
      </c>
      <c r="O161" s="724">
        <f t="shared" ref="O161:S161" si="676">N161*N$8</f>
        <v>0</v>
      </c>
      <c r="P161" s="798">
        <f t="shared" si="675"/>
        <v>91.0307410812631</v>
      </c>
      <c r="Q161" s="724">
        <f t="shared" si="676"/>
        <v>0</v>
      </c>
      <c r="R161" s="798">
        <f t="shared" si="675"/>
        <v>91.0307410812631</v>
      </c>
      <c r="S161" s="724">
        <f t="shared" si="676"/>
        <v>0</v>
      </c>
      <c r="T161" s="798">
        <f>+R161</f>
        <v>91.0307410812631</v>
      </c>
      <c r="U161" s="724">
        <f t="shared" ref="U161:Y161" si="677">T161*T$8</f>
        <v>0</v>
      </c>
      <c r="V161" s="798">
        <v>0</v>
      </c>
      <c r="W161" s="724">
        <f t="shared" si="677"/>
        <v>0</v>
      </c>
      <c r="X161" s="798"/>
      <c r="Y161" s="724"/>
      <c r="Z161" s="798"/>
      <c r="AA161" s="724"/>
      <c r="AB161" s="798"/>
      <c r="AC161" s="724"/>
      <c r="AD161" s="724">
        <f t="shared" si="634"/>
        <v>0</v>
      </c>
      <c r="AE161" s="724">
        <f t="shared" si="635"/>
        <v>0</v>
      </c>
      <c r="AF161" s="798">
        <f t="shared" si="644"/>
        <v>0</v>
      </c>
      <c r="AG161" s="724">
        <f t="shared" ref="AG161:AK161" si="678">AF161*AF$8</f>
        <v>0</v>
      </c>
      <c r="AH161" s="798">
        <f t="shared" si="637"/>
        <v>0</v>
      </c>
      <c r="AI161" s="724">
        <f t="shared" si="678"/>
        <v>0</v>
      </c>
      <c r="AJ161" s="798">
        <f t="shared" si="638"/>
        <v>0</v>
      </c>
      <c r="AK161" s="724">
        <f t="shared" si="678"/>
        <v>0</v>
      </c>
      <c r="AL161" s="724" t="s">
        <v>532</v>
      </c>
      <c r="AN161" s="806">
        <f t="shared" si="544"/>
        <v>4400000</v>
      </c>
    </row>
    <row r="162" s="699" customFormat="1" ht="41" hidden="1" customHeight="1" outlineLevel="2" spans="1:40">
      <c r="A162" s="724" t="s">
        <v>551</v>
      </c>
      <c r="B162" s="734" t="s">
        <v>552</v>
      </c>
      <c r="C162" s="724">
        <f t="shared" si="624"/>
        <v>12.4365615576173</v>
      </c>
      <c r="D162" s="724">
        <f t="shared" si="625"/>
        <v>88.7699999999999</v>
      </c>
      <c r="E162" s="742" t="s">
        <v>553</v>
      </c>
      <c r="F162" s="724">
        <f t="shared" si="626"/>
        <v>18.0637058495314</v>
      </c>
      <c r="G162" s="724">
        <f t="shared" si="627"/>
        <v>88.7699999999999</v>
      </c>
      <c r="H162" s="798">
        <f>80.7*1.1/(H8+J8)</f>
        <v>18.3654520131448</v>
      </c>
      <c r="I162" s="724">
        <f t="shared" ref="I162:M162" si="679">H162*H$8</f>
        <v>58.113505957962</v>
      </c>
      <c r="J162" s="798">
        <f t="shared" si="629"/>
        <v>18.3654520131448</v>
      </c>
      <c r="K162" s="724">
        <f t="shared" si="679"/>
        <v>30.6564940420379</v>
      </c>
      <c r="L162" s="798">
        <f t="shared" si="630"/>
        <v>18.3654520131448</v>
      </c>
      <c r="M162" s="724">
        <f t="shared" si="679"/>
        <v>0</v>
      </c>
      <c r="N162" s="798">
        <f t="shared" ref="N162:R162" si="680">+L162</f>
        <v>18.3654520131448</v>
      </c>
      <c r="O162" s="724">
        <f t="shared" ref="O162:S162" si="681">N162*N$8</f>
        <v>0</v>
      </c>
      <c r="P162" s="798">
        <f t="shared" si="680"/>
        <v>18.3654520131448</v>
      </c>
      <c r="Q162" s="724">
        <f t="shared" si="681"/>
        <v>0</v>
      </c>
      <c r="R162" s="798">
        <f t="shared" si="680"/>
        <v>18.3654520131448</v>
      </c>
      <c r="S162" s="724">
        <f t="shared" si="681"/>
        <v>0</v>
      </c>
      <c r="T162" s="798">
        <f>+R162</f>
        <v>18.3654520131448</v>
      </c>
      <c r="U162" s="724">
        <f t="shared" ref="U162:Y162" si="682">T162*T$8</f>
        <v>0</v>
      </c>
      <c r="V162" s="798">
        <v>0</v>
      </c>
      <c r="W162" s="724">
        <f t="shared" si="682"/>
        <v>0</v>
      </c>
      <c r="X162" s="798"/>
      <c r="Y162" s="724"/>
      <c r="Z162" s="798"/>
      <c r="AA162" s="724"/>
      <c r="AB162" s="798"/>
      <c r="AC162" s="724"/>
      <c r="AD162" s="724">
        <f t="shared" si="634"/>
        <v>0</v>
      </c>
      <c r="AE162" s="724">
        <f t="shared" si="635"/>
        <v>0</v>
      </c>
      <c r="AF162" s="798">
        <f t="shared" si="644"/>
        <v>0</v>
      </c>
      <c r="AG162" s="724">
        <f t="shared" ref="AG162:AK162" si="683">AF162*AF$8</f>
        <v>0</v>
      </c>
      <c r="AH162" s="798">
        <f t="shared" si="637"/>
        <v>0</v>
      </c>
      <c r="AI162" s="724">
        <f t="shared" si="683"/>
        <v>0</v>
      </c>
      <c r="AJ162" s="798">
        <f t="shared" si="638"/>
        <v>0</v>
      </c>
      <c r="AK162" s="724">
        <f t="shared" si="683"/>
        <v>0</v>
      </c>
      <c r="AL162" s="724" t="s">
        <v>532</v>
      </c>
      <c r="AN162" s="806">
        <f t="shared" si="544"/>
        <v>887699.999999999</v>
      </c>
    </row>
    <row r="163" s="699" customFormat="1" ht="32" hidden="1" customHeight="1" outlineLevel="2" spans="1:40">
      <c r="A163" s="724" t="s">
        <v>554</v>
      </c>
      <c r="B163" s="734" t="s">
        <v>555</v>
      </c>
      <c r="C163" s="724">
        <f t="shared" si="624"/>
        <v>0</v>
      </c>
      <c r="D163" s="724">
        <f t="shared" si="625"/>
        <v>0</v>
      </c>
      <c r="E163" s="742" t="s">
        <v>556</v>
      </c>
      <c r="F163" s="724">
        <f t="shared" si="626"/>
        <v>0</v>
      </c>
      <c r="G163" s="724">
        <f t="shared" si="627"/>
        <v>0</v>
      </c>
      <c r="H163" s="798"/>
      <c r="I163" s="724">
        <f t="shared" ref="I163:M163" si="684">H163*H$8</f>
        <v>0</v>
      </c>
      <c r="J163" s="798">
        <f t="shared" si="629"/>
        <v>0</v>
      </c>
      <c r="K163" s="724">
        <f t="shared" si="684"/>
        <v>0</v>
      </c>
      <c r="L163" s="798">
        <f t="shared" si="630"/>
        <v>0</v>
      </c>
      <c r="M163" s="724">
        <f t="shared" si="684"/>
        <v>0</v>
      </c>
      <c r="N163" s="798">
        <f t="shared" ref="N163:R163" si="685">+L163</f>
        <v>0</v>
      </c>
      <c r="O163" s="724">
        <f t="shared" ref="O163:S163" si="686">N163*N$8</f>
        <v>0</v>
      </c>
      <c r="P163" s="798">
        <f t="shared" si="685"/>
        <v>0</v>
      </c>
      <c r="Q163" s="724">
        <f t="shared" si="686"/>
        <v>0</v>
      </c>
      <c r="R163" s="798">
        <f t="shared" si="685"/>
        <v>0</v>
      </c>
      <c r="S163" s="724">
        <f t="shared" si="686"/>
        <v>0</v>
      </c>
      <c r="T163" s="798">
        <f t="shared" ref="T163:X163" si="687">+R163</f>
        <v>0</v>
      </c>
      <c r="U163" s="724">
        <f t="shared" ref="U163:Y163" si="688">T163*T$8</f>
        <v>0</v>
      </c>
      <c r="V163" s="798">
        <f t="shared" si="687"/>
        <v>0</v>
      </c>
      <c r="W163" s="724">
        <f t="shared" si="688"/>
        <v>0</v>
      </c>
      <c r="X163" s="798"/>
      <c r="Y163" s="724"/>
      <c r="Z163" s="798"/>
      <c r="AA163" s="724"/>
      <c r="AB163" s="798"/>
      <c r="AC163" s="724"/>
      <c r="AD163" s="724">
        <f t="shared" si="634"/>
        <v>0</v>
      </c>
      <c r="AE163" s="724">
        <f t="shared" si="635"/>
        <v>0</v>
      </c>
      <c r="AF163" s="798">
        <f t="shared" si="644"/>
        <v>0</v>
      </c>
      <c r="AG163" s="724">
        <f t="shared" ref="AG163:AK163" si="689">AF163*AF$8</f>
        <v>0</v>
      </c>
      <c r="AH163" s="798">
        <f t="shared" si="637"/>
        <v>0</v>
      </c>
      <c r="AI163" s="724">
        <f t="shared" si="689"/>
        <v>0</v>
      </c>
      <c r="AJ163" s="798">
        <f t="shared" si="638"/>
        <v>0</v>
      </c>
      <c r="AK163" s="724">
        <f t="shared" si="689"/>
        <v>0</v>
      </c>
      <c r="AL163" s="724" t="s">
        <v>532</v>
      </c>
      <c r="AN163" s="806">
        <f t="shared" si="544"/>
        <v>0</v>
      </c>
    </row>
    <row r="164" s="699" customFormat="1" ht="32" hidden="1" customHeight="1" outlineLevel="2" spans="1:40">
      <c r="A164" s="724" t="s">
        <v>557</v>
      </c>
      <c r="B164" s="734" t="s">
        <v>558</v>
      </c>
      <c r="C164" s="724">
        <f t="shared" si="624"/>
        <v>0</v>
      </c>
      <c r="D164" s="724">
        <f t="shared" si="625"/>
        <v>0</v>
      </c>
      <c r="E164" s="742" t="s">
        <v>556</v>
      </c>
      <c r="F164" s="724">
        <f t="shared" si="626"/>
        <v>0</v>
      </c>
      <c r="G164" s="724">
        <f t="shared" si="627"/>
        <v>0</v>
      </c>
      <c r="H164" s="798"/>
      <c r="I164" s="724">
        <f t="shared" ref="I164:M164" si="690">H164*H$8</f>
        <v>0</v>
      </c>
      <c r="J164" s="798">
        <f t="shared" si="629"/>
        <v>0</v>
      </c>
      <c r="K164" s="724">
        <f t="shared" si="690"/>
        <v>0</v>
      </c>
      <c r="L164" s="798">
        <f t="shared" si="630"/>
        <v>0</v>
      </c>
      <c r="M164" s="724">
        <f t="shared" si="690"/>
        <v>0</v>
      </c>
      <c r="N164" s="798">
        <f t="shared" ref="N164:R164" si="691">+L164</f>
        <v>0</v>
      </c>
      <c r="O164" s="724">
        <f t="shared" ref="O164:S164" si="692">N164*N$8</f>
        <v>0</v>
      </c>
      <c r="P164" s="798">
        <f t="shared" si="691"/>
        <v>0</v>
      </c>
      <c r="Q164" s="724">
        <f t="shared" si="692"/>
        <v>0</v>
      </c>
      <c r="R164" s="798">
        <f t="shared" si="691"/>
        <v>0</v>
      </c>
      <c r="S164" s="724">
        <f t="shared" si="692"/>
        <v>0</v>
      </c>
      <c r="T164" s="798">
        <f t="shared" ref="T164:X164" si="693">+R164</f>
        <v>0</v>
      </c>
      <c r="U164" s="724">
        <f t="shared" ref="U164:Y164" si="694">T164*T$8</f>
        <v>0</v>
      </c>
      <c r="V164" s="798">
        <f t="shared" si="693"/>
        <v>0</v>
      </c>
      <c r="W164" s="724">
        <f t="shared" si="694"/>
        <v>0</v>
      </c>
      <c r="X164" s="798"/>
      <c r="Y164" s="724"/>
      <c r="Z164" s="798"/>
      <c r="AA164" s="724"/>
      <c r="AB164" s="798"/>
      <c r="AC164" s="724"/>
      <c r="AD164" s="724">
        <f t="shared" si="634"/>
        <v>0</v>
      </c>
      <c r="AE164" s="724">
        <f t="shared" si="635"/>
        <v>0</v>
      </c>
      <c r="AF164" s="798">
        <f t="shared" si="644"/>
        <v>0</v>
      </c>
      <c r="AG164" s="724">
        <f t="shared" ref="AG164:AK164" si="695">AF164*AF$8</f>
        <v>0</v>
      </c>
      <c r="AH164" s="798">
        <f t="shared" si="637"/>
        <v>0</v>
      </c>
      <c r="AI164" s="724">
        <f t="shared" si="695"/>
        <v>0</v>
      </c>
      <c r="AJ164" s="798">
        <f t="shared" si="638"/>
        <v>0</v>
      </c>
      <c r="AK164" s="724">
        <f t="shared" si="695"/>
        <v>0</v>
      </c>
      <c r="AL164" s="724" t="s">
        <v>532</v>
      </c>
      <c r="AN164" s="806">
        <f t="shared" si="544"/>
        <v>0</v>
      </c>
    </row>
    <row r="165" s="699" customFormat="1" ht="32" hidden="1" customHeight="1" outlineLevel="2" spans="1:40">
      <c r="A165" s="724" t="s">
        <v>559</v>
      </c>
      <c r="B165" s="734" t="s">
        <v>560</v>
      </c>
      <c r="C165" s="724">
        <f t="shared" si="624"/>
        <v>0</v>
      </c>
      <c r="D165" s="724">
        <f t="shared" si="625"/>
        <v>0</v>
      </c>
      <c r="E165" s="742" t="s">
        <v>61</v>
      </c>
      <c r="F165" s="724">
        <f t="shared" si="626"/>
        <v>0</v>
      </c>
      <c r="G165" s="724">
        <f t="shared" si="627"/>
        <v>0</v>
      </c>
      <c r="H165" s="798"/>
      <c r="I165" s="724">
        <f t="shared" ref="I165:M165" si="696">H165*H$8</f>
        <v>0</v>
      </c>
      <c r="J165" s="798">
        <f t="shared" si="629"/>
        <v>0</v>
      </c>
      <c r="K165" s="724">
        <f t="shared" si="696"/>
        <v>0</v>
      </c>
      <c r="L165" s="798">
        <f t="shared" si="630"/>
        <v>0</v>
      </c>
      <c r="M165" s="724">
        <f t="shared" si="696"/>
        <v>0</v>
      </c>
      <c r="N165" s="798">
        <f t="shared" ref="N165:R165" si="697">+L165</f>
        <v>0</v>
      </c>
      <c r="O165" s="724">
        <f t="shared" ref="O165:S165" si="698">N165*N$8</f>
        <v>0</v>
      </c>
      <c r="P165" s="798">
        <f t="shared" si="697"/>
        <v>0</v>
      </c>
      <c r="Q165" s="724">
        <f t="shared" si="698"/>
        <v>0</v>
      </c>
      <c r="R165" s="798">
        <f t="shared" si="697"/>
        <v>0</v>
      </c>
      <c r="S165" s="724">
        <f t="shared" si="698"/>
        <v>0</v>
      </c>
      <c r="T165" s="798">
        <f t="shared" ref="T165:X165" si="699">+R165</f>
        <v>0</v>
      </c>
      <c r="U165" s="724">
        <f t="shared" ref="U165:Y165" si="700">T165*T$8</f>
        <v>0</v>
      </c>
      <c r="V165" s="798">
        <f t="shared" si="699"/>
        <v>0</v>
      </c>
      <c r="W165" s="724">
        <f t="shared" si="700"/>
        <v>0</v>
      </c>
      <c r="X165" s="798"/>
      <c r="Y165" s="724"/>
      <c r="Z165" s="798"/>
      <c r="AA165" s="724"/>
      <c r="AB165" s="798"/>
      <c r="AC165" s="724"/>
      <c r="AD165" s="724">
        <f t="shared" si="634"/>
        <v>0</v>
      </c>
      <c r="AE165" s="724">
        <f t="shared" si="635"/>
        <v>0</v>
      </c>
      <c r="AF165" s="798">
        <f t="shared" si="644"/>
        <v>0</v>
      </c>
      <c r="AG165" s="724">
        <f t="shared" ref="AG165:AK165" si="701">AF165*AF$8</f>
        <v>0</v>
      </c>
      <c r="AH165" s="798">
        <f t="shared" si="637"/>
        <v>0</v>
      </c>
      <c r="AI165" s="724">
        <f t="shared" si="701"/>
        <v>0</v>
      </c>
      <c r="AJ165" s="798">
        <f t="shared" si="638"/>
        <v>0</v>
      </c>
      <c r="AK165" s="724">
        <f t="shared" si="701"/>
        <v>0</v>
      </c>
      <c r="AL165" s="724" t="s">
        <v>532</v>
      </c>
      <c r="AN165" s="806">
        <f t="shared" si="544"/>
        <v>0</v>
      </c>
    </row>
    <row r="166" s="699" customFormat="1" ht="32" hidden="1" customHeight="1" outlineLevel="2" spans="1:40">
      <c r="A166" s="724" t="s">
        <v>561</v>
      </c>
      <c r="B166" s="734" t="s">
        <v>562</v>
      </c>
      <c r="C166" s="724">
        <f t="shared" si="624"/>
        <v>0</v>
      </c>
      <c r="D166" s="724">
        <f t="shared" si="625"/>
        <v>0</v>
      </c>
      <c r="E166" s="742" t="s">
        <v>556</v>
      </c>
      <c r="F166" s="724">
        <f t="shared" si="626"/>
        <v>0</v>
      </c>
      <c r="G166" s="724">
        <f t="shared" si="627"/>
        <v>0</v>
      </c>
      <c r="H166" s="798"/>
      <c r="I166" s="724">
        <f t="shared" ref="I166:M166" si="702">H166*H$8</f>
        <v>0</v>
      </c>
      <c r="J166" s="798">
        <f t="shared" si="629"/>
        <v>0</v>
      </c>
      <c r="K166" s="724">
        <f t="shared" si="702"/>
        <v>0</v>
      </c>
      <c r="L166" s="798">
        <f t="shared" si="630"/>
        <v>0</v>
      </c>
      <c r="M166" s="724">
        <f t="shared" si="702"/>
        <v>0</v>
      </c>
      <c r="N166" s="798">
        <f t="shared" ref="N166:R166" si="703">+L166</f>
        <v>0</v>
      </c>
      <c r="O166" s="724">
        <f t="shared" ref="O166:S166" si="704">N166*N$8</f>
        <v>0</v>
      </c>
      <c r="P166" s="798">
        <f t="shared" si="703"/>
        <v>0</v>
      </c>
      <c r="Q166" s="724">
        <f t="shared" si="704"/>
        <v>0</v>
      </c>
      <c r="R166" s="798">
        <f t="shared" si="703"/>
        <v>0</v>
      </c>
      <c r="S166" s="724">
        <f t="shared" si="704"/>
        <v>0</v>
      </c>
      <c r="T166" s="798">
        <f t="shared" ref="T166:X166" si="705">+R166</f>
        <v>0</v>
      </c>
      <c r="U166" s="724">
        <f t="shared" ref="U166:Y166" si="706">T166*T$8</f>
        <v>0</v>
      </c>
      <c r="V166" s="798">
        <f t="shared" si="705"/>
        <v>0</v>
      </c>
      <c r="W166" s="724">
        <f t="shared" si="706"/>
        <v>0</v>
      </c>
      <c r="X166" s="798"/>
      <c r="Y166" s="724"/>
      <c r="Z166" s="798"/>
      <c r="AA166" s="724"/>
      <c r="AB166" s="798"/>
      <c r="AC166" s="724"/>
      <c r="AD166" s="724">
        <f t="shared" si="634"/>
        <v>0</v>
      </c>
      <c r="AE166" s="724">
        <f t="shared" si="635"/>
        <v>0</v>
      </c>
      <c r="AF166" s="798">
        <f t="shared" si="644"/>
        <v>0</v>
      </c>
      <c r="AG166" s="724">
        <f t="shared" ref="AG166:AK166" si="707">AF166*AF$8</f>
        <v>0</v>
      </c>
      <c r="AH166" s="798">
        <f t="shared" si="637"/>
        <v>0</v>
      </c>
      <c r="AI166" s="724">
        <f t="shared" si="707"/>
        <v>0</v>
      </c>
      <c r="AJ166" s="798">
        <f t="shared" si="638"/>
        <v>0</v>
      </c>
      <c r="AK166" s="724">
        <f t="shared" si="707"/>
        <v>0</v>
      </c>
      <c r="AL166" s="724" t="s">
        <v>532</v>
      </c>
      <c r="AN166" s="806">
        <f t="shared" si="544"/>
        <v>0</v>
      </c>
    </row>
    <row r="167" s="699" customFormat="1" ht="32" hidden="1" customHeight="1" outlineLevel="2" spans="1:40">
      <c r="A167" s="724" t="s">
        <v>563</v>
      </c>
      <c r="B167" s="734" t="s">
        <v>564</v>
      </c>
      <c r="C167" s="724">
        <f t="shared" si="624"/>
        <v>0</v>
      </c>
      <c r="D167" s="724">
        <f t="shared" si="625"/>
        <v>0</v>
      </c>
      <c r="E167" s="742"/>
      <c r="F167" s="724">
        <f t="shared" si="626"/>
        <v>0</v>
      </c>
      <c r="G167" s="724">
        <f t="shared" si="627"/>
        <v>0</v>
      </c>
      <c r="H167" s="798"/>
      <c r="I167" s="724">
        <f t="shared" ref="I167:M167" si="708">H167*H$8</f>
        <v>0</v>
      </c>
      <c r="J167" s="798">
        <f t="shared" si="629"/>
        <v>0</v>
      </c>
      <c r="K167" s="724">
        <f t="shared" si="708"/>
        <v>0</v>
      </c>
      <c r="L167" s="798">
        <f t="shared" si="630"/>
        <v>0</v>
      </c>
      <c r="M167" s="724">
        <f t="shared" si="708"/>
        <v>0</v>
      </c>
      <c r="N167" s="798">
        <f t="shared" ref="N167:R167" si="709">+L167</f>
        <v>0</v>
      </c>
      <c r="O167" s="724">
        <f t="shared" ref="O167:S167" si="710">N167*N$8</f>
        <v>0</v>
      </c>
      <c r="P167" s="798">
        <f t="shared" si="709"/>
        <v>0</v>
      </c>
      <c r="Q167" s="724">
        <f t="shared" si="710"/>
        <v>0</v>
      </c>
      <c r="R167" s="798">
        <f t="shared" si="709"/>
        <v>0</v>
      </c>
      <c r="S167" s="724">
        <f t="shared" si="710"/>
        <v>0</v>
      </c>
      <c r="T167" s="798">
        <f t="shared" ref="T167:X167" si="711">+R167</f>
        <v>0</v>
      </c>
      <c r="U167" s="724">
        <f t="shared" ref="U167:Y167" si="712">T167*T$8</f>
        <v>0</v>
      </c>
      <c r="V167" s="798">
        <f t="shared" si="711"/>
        <v>0</v>
      </c>
      <c r="W167" s="724">
        <f t="shared" si="712"/>
        <v>0</v>
      </c>
      <c r="X167" s="798"/>
      <c r="Y167" s="724"/>
      <c r="Z167" s="798"/>
      <c r="AA167" s="724"/>
      <c r="AB167" s="798"/>
      <c r="AC167" s="724"/>
      <c r="AD167" s="724">
        <f t="shared" si="634"/>
        <v>0</v>
      </c>
      <c r="AE167" s="724">
        <f t="shared" si="635"/>
        <v>0</v>
      </c>
      <c r="AF167" s="798">
        <f t="shared" si="644"/>
        <v>0</v>
      </c>
      <c r="AG167" s="724">
        <f t="shared" ref="AG167:AK167" si="713">AF167*AF$8</f>
        <v>0</v>
      </c>
      <c r="AH167" s="798">
        <f t="shared" si="637"/>
        <v>0</v>
      </c>
      <c r="AI167" s="724">
        <f t="shared" si="713"/>
        <v>0</v>
      </c>
      <c r="AJ167" s="798">
        <f t="shared" si="638"/>
        <v>0</v>
      </c>
      <c r="AK167" s="724">
        <f t="shared" si="713"/>
        <v>0</v>
      </c>
      <c r="AL167" s="724" t="s">
        <v>532</v>
      </c>
      <c r="AN167" s="806">
        <f t="shared" si="544"/>
        <v>0</v>
      </c>
    </row>
    <row r="168" s="699" customFormat="1" ht="67.5" hidden="1" outlineLevel="2" spans="1:40">
      <c r="A168" s="724" t="s">
        <v>565</v>
      </c>
      <c r="B168" s="734" t="s">
        <v>566</v>
      </c>
      <c r="C168" s="724">
        <f t="shared" si="624"/>
        <v>65.8460795662545</v>
      </c>
      <c r="D168" s="724">
        <f t="shared" si="625"/>
        <v>469.99779288</v>
      </c>
      <c r="E168" s="742" t="s">
        <v>567</v>
      </c>
      <c r="F168" s="724">
        <f t="shared" si="626"/>
        <v>95.6393137378991</v>
      </c>
      <c r="G168" s="724">
        <f t="shared" si="627"/>
        <v>469.99779288</v>
      </c>
      <c r="H168" s="798">
        <f>106.34-44/(H8+J8)</f>
        <v>97.2369258918737</v>
      </c>
      <c r="I168" s="724">
        <f t="shared" ref="I168:M168" si="714">H168*H$8</f>
        <v>307.685248808842</v>
      </c>
      <c r="J168" s="798">
        <f t="shared" si="629"/>
        <v>97.2369258918737</v>
      </c>
      <c r="K168" s="724">
        <f t="shared" si="714"/>
        <v>162.312544071158</v>
      </c>
      <c r="L168" s="798">
        <f t="shared" si="630"/>
        <v>97.2369258918737</v>
      </c>
      <c r="M168" s="724">
        <f t="shared" si="714"/>
        <v>0</v>
      </c>
      <c r="N168" s="798">
        <f t="shared" ref="N168:R168" si="715">+L168</f>
        <v>97.2369258918737</v>
      </c>
      <c r="O168" s="724">
        <f t="shared" ref="O168:S168" si="716">N168*N$8</f>
        <v>0</v>
      </c>
      <c r="P168" s="798">
        <f t="shared" si="715"/>
        <v>97.2369258918737</v>
      </c>
      <c r="Q168" s="724">
        <f t="shared" si="716"/>
        <v>0</v>
      </c>
      <c r="R168" s="798">
        <f t="shared" si="715"/>
        <v>97.2369258918737</v>
      </c>
      <c r="S168" s="724">
        <f t="shared" si="716"/>
        <v>0</v>
      </c>
      <c r="T168" s="798">
        <f>+R168</f>
        <v>97.2369258918737</v>
      </c>
      <c r="U168" s="724">
        <f t="shared" ref="U168:Y168" si="717">T168*T$8</f>
        <v>0</v>
      </c>
      <c r="V168" s="798">
        <v>0</v>
      </c>
      <c r="W168" s="724">
        <f t="shared" si="717"/>
        <v>0</v>
      </c>
      <c r="X168" s="798"/>
      <c r="Y168" s="724"/>
      <c r="Z168" s="798"/>
      <c r="AA168" s="724"/>
      <c r="AB168" s="798"/>
      <c r="AC168" s="724"/>
      <c r="AD168" s="724">
        <f t="shared" si="634"/>
        <v>0</v>
      </c>
      <c r="AE168" s="724">
        <f t="shared" si="635"/>
        <v>0</v>
      </c>
      <c r="AF168" s="798">
        <v>0</v>
      </c>
      <c r="AG168" s="724">
        <f t="shared" ref="AG168:AK168" si="718">AF168*AF$8</f>
        <v>0</v>
      </c>
      <c r="AH168" s="798">
        <f t="shared" si="637"/>
        <v>0</v>
      </c>
      <c r="AI168" s="724">
        <f t="shared" si="718"/>
        <v>0</v>
      </c>
      <c r="AJ168" s="798">
        <f t="shared" si="638"/>
        <v>0</v>
      </c>
      <c r="AK168" s="724">
        <f t="shared" si="718"/>
        <v>0</v>
      </c>
      <c r="AL168" s="724" t="s">
        <v>532</v>
      </c>
      <c r="AN168" s="806">
        <f t="shared" si="544"/>
        <v>4699977.9288</v>
      </c>
    </row>
    <row r="169" s="699" customFormat="1" ht="32" hidden="1" customHeight="1" outlineLevel="2" spans="1:40">
      <c r="A169" s="724" t="s">
        <v>568</v>
      </c>
      <c r="B169" s="756" t="s">
        <v>569</v>
      </c>
      <c r="C169" s="724">
        <f t="shared" si="624"/>
        <v>0</v>
      </c>
      <c r="D169" s="724">
        <f t="shared" si="625"/>
        <v>0</v>
      </c>
      <c r="E169" s="742" t="s">
        <v>491</v>
      </c>
      <c r="F169" s="724">
        <f t="shared" si="626"/>
        <v>0</v>
      </c>
      <c r="G169" s="724">
        <f t="shared" si="627"/>
        <v>0</v>
      </c>
      <c r="H169" s="798"/>
      <c r="I169" s="724">
        <f t="shared" ref="I169:M169" si="719">H169*H$8</f>
        <v>0</v>
      </c>
      <c r="J169" s="798">
        <f t="shared" si="629"/>
        <v>0</v>
      </c>
      <c r="K169" s="724">
        <f t="shared" si="719"/>
        <v>0</v>
      </c>
      <c r="L169" s="798">
        <f t="shared" si="630"/>
        <v>0</v>
      </c>
      <c r="M169" s="724">
        <f t="shared" si="719"/>
        <v>0</v>
      </c>
      <c r="N169" s="798">
        <f t="shared" ref="N169:R169" si="720">+L169</f>
        <v>0</v>
      </c>
      <c r="O169" s="724">
        <f t="shared" ref="O169:S169" si="721">N169*N$8</f>
        <v>0</v>
      </c>
      <c r="P169" s="798">
        <f t="shared" si="720"/>
        <v>0</v>
      </c>
      <c r="Q169" s="724">
        <f t="shared" si="721"/>
        <v>0</v>
      </c>
      <c r="R169" s="798">
        <f t="shared" si="720"/>
        <v>0</v>
      </c>
      <c r="S169" s="724">
        <f t="shared" si="721"/>
        <v>0</v>
      </c>
      <c r="T169" s="798">
        <f t="shared" ref="T169:X169" si="722">+R169</f>
        <v>0</v>
      </c>
      <c r="U169" s="724">
        <f t="shared" ref="U169:Y169" si="723">T169*T$8</f>
        <v>0</v>
      </c>
      <c r="V169" s="798">
        <f t="shared" si="722"/>
        <v>0</v>
      </c>
      <c r="W169" s="724">
        <f t="shared" si="723"/>
        <v>0</v>
      </c>
      <c r="X169" s="798"/>
      <c r="Y169" s="724"/>
      <c r="Z169" s="798"/>
      <c r="AA169" s="724"/>
      <c r="AB169" s="798"/>
      <c r="AC169" s="724"/>
      <c r="AD169" s="724">
        <f t="shared" si="634"/>
        <v>0</v>
      </c>
      <c r="AE169" s="724">
        <f t="shared" si="635"/>
        <v>0</v>
      </c>
      <c r="AF169" s="798">
        <f t="shared" si="644"/>
        <v>0</v>
      </c>
      <c r="AG169" s="724">
        <f t="shared" ref="AG169:AK169" si="724">AF169*AF$8</f>
        <v>0</v>
      </c>
      <c r="AH169" s="798">
        <f t="shared" si="637"/>
        <v>0</v>
      </c>
      <c r="AI169" s="724">
        <f t="shared" si="724"/>
        <v>0</v>
      </c>
      <c r="AJ169" s="798">
        <f t="shared" si="638"/>
        <v>0</v>
      </c>
      <c r="AK169" s="724">
        <f t="shared" si="724"/>
        <v>0</v>
      </c>
      <c r="AL169" s="724" t="s">
        <v>532</v>
      </c>
      <c r="AN169" s="806">
        <f t="shared" si="544"/>
        <v>0</v>
      </c>
    </row>
    <row r="170" s="699" customFormat="1" ht="32" hidden="1" customHeight="1" outlineLevel="2" spans="1:40">
      <c r="A170" s="724" t="s">
        <v>570</v>
      </c>
      <c r="B170" s="734" t="s">
        <v>571</v>
      </c>
      <c r="C170" s="724">
        <f t="shared" si="624"/>
        <v>12.1360498471173</v>
      </c>
      <c r="D170" s="724">
        <f t="shared" si="625"/>
        <v>86.625</v>
      </c>
      <c r="E170" s="742" t="s">
        <v>572</v>
      </c>
      <c r="F170" s="724">
        <f t="shared" si="626"/>
        <v>17.6272222509368</v>
      </c>
      <c r="G170" s="724">
        <f t="shared" si="627"/>
        <v>86.625</v>
      </c>
      <c r="H170" s="798">
        <f>5000*165/(H8+J8)/10000*1.05</f>
        <v>17.9216771503737</v>
      </c>
      <c r="I170" s="724">
        <f t="shared" ref="I170:M170" si="725">H170*H$8</f>
        <v>56.709276260093</v>
      </c>
      <c r="J170" s="798">
        <f t="shared" si="629"/>
        <v>17.9216771503737</v>
      </c>
      <c r="K170" s="724">
        <f t="shared" si="725"/>
        <v>29.915723739907</v>
      </c>
      <c r="L170" s="798">
        <f t="shared" si="630"/>
        <v>17.9216771503737</v>
      </c>
      <c r="M170" s="724">
        <f t="shared" si="725"/>
        <v>0</v>
      </c>
      <c r="N170" s="798">
        <f t="shared" ref="N170:R170" si="726">+L170</f>
        <v>17.9216771503737</v>
      </c>
      <c r="O170" s="724">
        <f t="shared" ref="O170:S170" si="727">N170*N$8</f>
        <v>0</v>
      </c>
      <c r="P170" s="798">
        <f t="shared" si="726"/>
        <v>17.9216771503737</v>
      </c>
      <c r="Q170" s="724">
        <f t="shared" si="727"/>
        <v>0</v>
      </c>
      <c r="R170" s="798">
        <f t="shared" si="726"/>
        <v>17.9216771503737</v>
      </c>
      <c r="S170" s="724">
        <f t="shared" si="727"/>
        <v>0</v>
      </c>
      <c r="T170" s="798">
        <f>+R170</f>
        <v>17.9216771503737</v>
      </c>
      <c r="U170" s="724">
        <f t="shared" ref="U170:Y170" si="728">T170*T$8</f>
        <v>0</v>
      </c>
      <c r="V170" s="798">
        <v>0</v>
      </c>
      <c r="W170" s="724">
        <f t="shared" si="728"/>
        <v>0</v>
      </c>
      <c r="X170" s="798"/>
      <c r="Y170" s="724"/>
      <c r="Z170" s="798"/>
      <c r="AA170" s="724"/>
      <c r="AB170" s="798"/>
      <c r="AC170" s="724"/>
      <c r="AD170" s="724">
        <f t="shared" si="634"/>
        <v>0</v>
      </c>
      <c r="AE170" s="724">
        <f t="shared" si="635"/>
        <v>0</v>
      </c>
      <c r="AF170" s="798"/>
      <c r="AG170" s="724">
        <f t="shared" ref="AG170:AK170" si="729">AF170*AF$8</f>
        <v>0</v>
      </c>
      <c r="AH170" s="798">
        <f t="shared" si="637"/>
        <v>0</v>
      </c>
      <c r="AI170" s="724">
        <f t="shared" si="729"/>
        <v>0</v>
      </c>
      <c r="AJ170" s="798">
        <f t="shared" si="638"/>
        <v>0</v>
      </c>
      <c r="AK170" s="724">
        <f t="shared" si="729"/>
        <v>0</v>
      </c>
      <c r="AL170" s="724" t="s">
        <v>532</v>
      </c>
      <c r="AN170" s="806">
        <f t="shared" si="544"/>
        <v>866250</v>
      </c>
    </row>
    <row r="171" s="699" customFormat="1" ht="32" hidden="1" customHeight="1" outlineLevel="2" spans="1:40">
      <c r="A171" s="724" t="s">
        <v>573</v>
      </c>
      <c r="B171" s="734" t="s">
        <v>574</v>
      </c>
      <c r="C171" s="724">
        <f t="shared" si="624"/>
        <v>0</v>
      </c>
      <c r="D171" s="724">
        <f t="shared" si="625"/>
        <v>0</v>
      </c>
      <c r="E171" s="742"/>
      <c r="F171" s="724">
        <f t="shared" si="626"/>
        <v>0</v>
      </c>
      <c r="G171" s="724">
        <f t="shared" si="627"/>
        <v>0</v>
      </c>
      <c r="H171" s="798"/>
      <c r="I171" s="724">
        <f t="shared" ref="I171:M171" si="730">H171*H$8</f>
        <v>0</v>
      </c>
      <c r="J171" s="798">
        <f t="shared" si="629"/>
        <v>0</v>
      </c>
      <c r="K171" s="724">
        <f t="shared" si="730"/>
        <v>0</v>
      </c>
      <c r="L171" s="798">
        <f t="shared" si="630"/>
        <v>0</v>
      </c>
      <c r="M171" s="724">
        <f t="shared" si="730"/>
        <v>0</v>
      </c>
      <c r="N171" s="798">
        <f t="shared" ref="N171:R171" si="731">+L171</f>
        <v>0</v>
      </c>
      <c r="O171" s="724">
        <f t="shared" ref="O171:S171" si="732">N171*N$8</f>
        <v>0</v>
      </c>
      <c r="P171" s="798">
        <f t="shared" si="731"/>
        <v>0</v>
      </c>
      <c r="Q171" s="724">
        <f t="shared" si="732"/>
        <v>0</v>
      </c>
      <c r="R171" s="798">
        <f t="shared" si="731"/>
        <v>0</v>
      </c>
      <c r="S171" s="724">
        <f t="shared" si="732"/>
        <v>0</v>
      </c>
      <c r="T171" s="798">
        <f t="shared" ref="T171:X171" si="733">+R171</f>
        <v>0</v>
      </c>
      <c r="U171" s="724">
        <f t="shared" ref="U171:Y171" si="734">T171*T$8</f>
        <v>0</v>
      </c>
      <c r="V171" s="798">
        <f t="shared" si="733"/>
        <v>0</v>
      </c>
      <c r="W171" s="724">
        <f t="shared" si="734"/>
        <v>0</v>
      </c>
      <c r="X171" s="798"/>
      <c r="Y171" s="724"/>
      <c r="Z171" s="798"/>
      <c r="AA171" s="724"/>
      <c r="AB171" s="798"/>
      <c r="AC171" s="724"/>
      <c r="AD171" s="724">
        <f t="shared" si="634"/>
        <v>0</v>
      </c>
      <c r="AE171" s="724">
        <f t="shared" si="635"/>
        <v>0</v>
      </c>
      <c r="AF171" s="798">
        <f t="shared" ref="AF171:AF177" si="735">+AB171</f>
        <v>0</v>
      </c>
      <c r="AG171" s="724">
        <f t="shared" ref="AG171:AK171" si="736">AF171*AF$8</f>
        <v>0</v>
      </c>
      <c r="AH171" s="798">
        <f t="shared" si="637"/>
        <v>0</v>
      </c>
      <c r="AI171" s="724">
        <f t="shared" si="736"/>
        <v>0</v>
      </c>
      <c r="AJ171" s="798">
        <f t="shared" si="638"/>
        <v>0</v>
      </c>
      <c r="AK171" s="724">
        <f t="shared" si="736"/>
        <v>0</v>
      </c>
      <c r="AL171" s="724" t="s">
        <v>532</v>
      </c>
      <c r="AN171" s="806">
        <f t="shared" si="544"/>
        <v>0</v>
      </c>
    </row>
    <row r="172" s="774" customFormat="1" ht="32" hidden="1" customHeight="1" outlineLevel="2" spans="1:40">
      <c r="A172" s="808" t="s">
        <v>575</v>
      </c>
      <c r="B172" s="809" t="s">
        <v>576</v>
      </c>
      <c r="C172" s="808">
        <f t="shared" ref="C172:C177" si="737">D172/$C$8</f>
        <v>0</v>
      </c>
      <c r="D172" s="808">
        <f t="shared" ref="D172:D177" si="738">G172+AE172</f>
        <v>0</v>
      </c>
      <c r="E172" s="760" t="s">
        <v>577</v>
      </c>
      <c r="F172" s="808">
        <f t="shared" ref="F172:F177" si="739">G172/$F$8</f>
        <v>0</v>
      </c>
      <c r="G172" s="808">
        <f t="shared" ref="G172:G177" si="740">I172+K172+M172+O172+Q172+S172+U172+W172</f>
        <v>0</v>
      </c>
      <c r="H172" s="810">
        <v>0</v>
      </c>
      <c r="I172" s="808">
        <f t="shared" ref="I172:I176" si="741">H172*H$8</f>
        <v>0</v>
      </c>
      <c r="J172" s="810">
        <f t="shared" ref="J172:J177" si="742">+H172</f>
        <v>0</v>
      </c>
      <c r="K172" s="808">
        <f t="shared" ref="K172:K176" si="743">J172*J$8</f>
        <v>0</v>
      </c>
      <c r="L172" s="810">
        <f t="shared" ref="L172:L177" si="744">+H172</f>
        <v>0</v>
      </c>
      <c r="M172" s="808">
        <f t="shared" ref="M172:M176" si="745">L172*L$8</f>
        <v>0</v>
      </c>
      <c r="N172" s="810">
        <f t="shared" ref="N172:N176" si="746">+L172</f>
        <v>0</v>
      </c>
      <c r="O172" s="808">
        <f t="shared" ref="O172:O176" si="747">N172*N$8</f>
        <v>0</v>
      </c>
      <c r="P172" s="810">
        <f t="shared" ref="P172:P176" si="748">+N172</f>
        <v>0</v>
      </c>
      <c r="Q172" s="808">
        <f t="shared" ref="Q172:Q176" si="749">P172*P$8</f>
        <v>0</v>
      </c>
      <c r="R172" s="810">
        <f t="shared" ref="R172:R176" si="750">+P172</f>
        <v>0</v>
      </c>
      <c r="S172" s="808">
        <f t="shared" ref="S172:S176" si="751">R172*R$8</f>
        <v>0</v>
      </c>
      <c r="T172" s="810">
        <f t="shared" ref="T172:T177" si="752">+R172</f>
        <v>0</v>
      </c>
      <c r="U172" s="808">
        <f t="shared" ref="U172:U176" si="753">T172*T$8</f>
        <v>0</v>
      </c>
      <c r="V172" s="810">
        <f>+T172</f>
        <v>0</v>
      </c>
      <c r="W172" s="808">
        <f t="shared" ref="W172:W176" si="754">V172*V$8</f>
        <v>0</v>
      </c>
      <c r="X172" s="810"/>
      <c r="Y172" s="808"/>
      <c r="Z172" s="810"/>
      <c r="AA172" s="808"/>
      <c r="AB172" s="810"/>
      <c r="AC172" s="808"/>
      <c r="AD172" s="808">
        <f t="shared" ref="AD172:AD177" si="755">AE172/AD$8</f>
        <v>0</v>
      </c>
      <c r="AE172" s="808">
        <f t="shared" ref="AE172:AE177" si="756">AG172*0+AI172+AK172</f>
        <v>0</v>
      </c>
      <c r="AF172" s="810">
        <f t="shared" si="735"/>
        <v>0</v>
      </c>
      <c r="AG172" s="808">
        <f t="shared" ref="AG172:AG176" si="757">AF172*AF$8</f>
        <v>0</v>
      </c>
      <c r="AH172" s="810">
        <f t="shared" ref="AH172:AH177" si="758">+AF172</f>
        <v>0</v>
      </c>
      <c r="AI172" s="808">
        <f t="shared" ref="AI172:AI176" si="759">AH172*AH$8</f>
        <v>0</v>
      </c>
      <c r="AJ172" s="810">
        <f t="shared" ref="AJ172:AJ177" si="760">+AH172</f>
        <v>0</v>
      </c>
      <c r="AK172" s="808">
        <f t="shared" ref="AK172:AK176" si="761">AJ172*AJ$8</f>
        <v>0</v>
      </c>
      <c r="AL172" s="808" t="s">
        <v>532</v>
      </c>
      <c r="AN172" s="806">
        <f t="shared" si="544"/>
        <v>0</v>
      </c>
    </row>
    <row r="173" s="699" customFormat="1" ht="32" hidden="1" customHeight="1" outlineLevel="2" spans="1:40">
      <c r="A173" s="724" t="s">
        <v>575</v>
      </c>
      <c r="B173" s="734" t="s">
        <v>578</v>
      </c>
      <c r="C173" s="724">
        <f t="shared" si="737"/>
        <v>0</v>
      </c>
      <c r="D173" s="724">
        <f t="shared" si="738"/>
        <v>0</v>
      </c>
      <c r="E173" s="742"/>
      <c r="F173" s="724">
        <f t="shared" si="739"/>
        <v>0</v>
      </c>
      <c r="G173" s="724">
        <f t="shared" si="740"/>
        <v>0</v>
      </c>
      <c r="H173" s="798"/>
      <c r="I173" s="724">
        <f t="shared" ref="I173:M173" si="762">H173*H$8</f>
        <v>0</v>
      </c>
      <c r="J173" s="798">
        <f t="shared" si="742"/>
        <v>0</v>
      </c>
      <c r="K173" s="724">
        <f t="shared" si="762"/>
        <v>0</v>
      </c>
      <c r="L173" s="798">
        <f t="shared" si="744"/>
        <v>0</v>
      </c>
      <c r="M173" s="724">
        <f t="shared" si="762"/>
        <v>0</v>
      </c>
      <c r="N173" s="798">
        <f t="shared" ref="N173:R173" si="763">+L173</f>
        <v>0</v>
      </c>
      <c r="O173" s="724">
        <f t="shared" ref="O173:S173" si="764">N173*N$8</f>
        <v>0</v>
      </c>
      <c r="P173" s="798">
        <f t="shared" si="763"/>
        <v>0</v>
      </c>
      <c r="Q173" s="724">
        <f t="shared" si="764"/>
        <v>0</v>
      </c>
      <c r="R173" s="798">
        <f t="shared" si="763"/>
        <v>0</v>
      </c>
      <c r="S173" s="724">
        <f t="shared" si="764"/>
        <v>0</v>
      </c>
      <c r="T173" s="798">
        <f t="shared" ref="T173:X173" si="765">+R173</f>
        <v>0</v>
      </c>
      <c r="U173" s="724">
        <f t="shared" ref="U173:Y173" si="766">T173*T$8</f>
        <v>0</v>
      </c>
      <c r="V173" s="798">
        <f t="shared" si="765"/>
        <v>0</v>
      </c>
      <c r="W173" s="724">
        <f t="shared" si="766"/>
        <v>0</v>
      </c>
      <c r="X173" s="798"/>
      <c r="Y173" s="724"/>
      <c r="Z173" s="798"/>
      <c r="AA173" s="724"/>
      <c r="AB173" s="798"/>
      <c r="AC173" s="724"/>
      <c r="AD173" s="724">
        <f t="shared" si="755"/>
        <v>0</v>
      </c>
      <c r="AE173" s="724">
        <f t="shared" si="756"/>
        <v>0</v>
      </c>
      <c r="AF173" s="798">
        <f t="shared" si="735"/>
        <v>0</v>
      </c>
      <c r="AG173" s="724">
        <f t="shared" ref="AG173:AK173" si="767">AF173*AF$8</f>
        <v>0</v>
      </c>
      <c r="AH173" s="798">
        <f t="shared" si="758"/>
        <v>0</v>
      </c>
      <c r="AI173" s="724">
        <f t="shared" si="767"/>
        <v>0</v>
      </c>
      <c r="AJ173" s="798">
        <f t="shared" si="760"/>
        <v>0</v>
      </c>
      <c r="AK173" s="724">
        <f t="shared" si="767"/>
        <v>0</v>
      </c>
      <c r="AL173" s="724" t="s">
        <v>532</v>
      </c>
      <c r="AN173" s="806">
        <f t="shared" si="544"/>
        <v>0</v>
      </c>
    </row>
    <row r="174" s="774" customFormat="1" ht="32" hidden="1" customHeight="1" outlineLevel="2" spans="1:40">
      <c r="A174" s="808" t="s">
        <v>579</v>
      </c>
      <c r="B174" s="809" t="s">
        <v>580</v>
      </c>
      <c r="C174" s="808">
        <f t="shared" si="737"/>
        <v>8.40592197202929</v>
      </c>
      <c r="D174" s="808">
        <f t="shared" si="738"/>
        <v>60</v>
      </c>
      <c r="E174" s="760" t="s">
        <v>581</v>
      </c>
      <c r="F174" s="808">
        <f t="shared" si="739"/>
        <v>12.2093314292203</v>
      </c>
      <c r="G174" s="808">
        <f t="shared" si="740"/>
        <v>60</v>
      </c>
      <c r="H174" s="810">
        <f>60/(H8+J8)</f>
        <v>12.4132828747177</v>
      </c>
      <c r="I174" s="808">
        <f t="shared" si="741"/>
        <v>39.2791523879432</v>
      </c>
      <c r="J174" s="810">
        <f t="shared" si="742"/>
        <v>12.4132828747177</v>
      </c>
      <c r="K174" s="808">
        <f t="shared" si="743"/>
        <v>20.7208476120568</v>
      </c>
      <c r="L174" s="810">
        <f t="shared" si="744"/>
        <v>12.4132828747177</v>
      </c>
      <c r="M174" s="808">
        <f t="shared" si="745"/>
        <v>0</v>
      </c>
      <c r="N174" s="810">
        <f t="shared" si="746"/>
        <v>12.4132828747177</v>
      </c>
      <c r="O174" s="808">
        <f t="shared" si="747"/>
        <v>0</v>
      </c>
      <c r="P174" s="810">
        <f t="shared" si="748"/>
        <v>12.4132828747177</v>
      </c>
      <c r="Q174" s="808">
        <f t="shared" si="749"/>
        <v>0</v>
      </c>
      <c r="R174" s="810">
        <f t="shared" si="750"/>
        <v>12.4132828747177</v>
      </c>
      <c r="S174" s="808">
        <f t="shared" si="751"/>
        <v>0</v>
      </c>
      <c r="T174" s="810">
        <f t="shared" si="752"/>
        <v>12.4132828747177</v>
      </c>
      <c r="U174" s="808">
        <f t="shared" si="753"/>
        <v>0</v>
      </c>
      <c r="V174" s="810"/>
      <c r="W174" s="808">
        <f t="shared" si="754"/>
        <v>0</v>
      </c>
      <c r="X174" s="810"/>
      <c r="Y174" s="808"/>
      <c r="Z174" s="810"/>
      <c r="AA174" s="808"/>
      <c r="AB174" s="810"/>
      <c r="AC174" s="808"/>
      <c r="AD174" s="808">
        <f t="shared" si="755"/>
        <v>0</v>
      </c>
      <c r="AE174" s="808">
        <f t="shared" si="756"/>
        <v>0</v>
      </c>
      <c r="AF174" s="810">
        <f t="shared" si="735"/>
        <v>0</v>
      </c>
      <c r="AG174" s="808">
        <f t="shared" si="757"/>
        <v>0</v>
      </c>
      <c r="AH174" s="810">
        <f t="shared" si="758"/>
        <v>0</v>
      </c>
      <c r="AI174" s="808">
        <f t="shared" si="759"/>
        <v>0</v>
      </c>
      <c r="AJ174" s="810">
        <f t="shared" si="760"/>
        <v>0</v>
      </c>
      <c r="AK174" s="808">
        <f t="shared" si="761"/>
        <v>0</v>
      </c>
      <c r="AL174" s="808"/>
      <c r="AN174" s="806">
        <f t="shared" si="544"/>
        <v>600000</v>
      </c>
    </row>
    <row r="175" s="699" customFormat="1" ht="32" hidden="1" customHeight="1" outlineLevel="2" spans="1:40">
      <c r="A175" s="724" t="s">
        <v>579</v>
      </c>
      <c r="B175" s="734" t="s">
        <v>582</v>
      </c>
      <c r="C175" s="724">
        <f t="shared" si="737"/>
        <v>3.65657605783274</v>
      </c>
      <c r="D175" s="724">
        <f t="shared" si="738"/>
        <v>26.1</v>
      </c>
      <c r="E175" s="742" t="s">
        <v>583</v>
      </c>
      <c r="F175" s="724">
        <f t="shared" si="739"/>
        <v>5.31105917171082</v>
      </c>
      <c r="G175" s="724">
        <f t="shared" si="740"/>
        <v>26.1</v>
      </c>
      <c r="H175" s="798">
        <f>26.1/(H8+J8)</f>
        <v>5.3997780505022</v>
      </c>
      <c r="I175" s="724">
        <f t="shared" ref="I175:M175" si="768">H175*H$8</f>
        <v>17.0864312887553</v>
      </c>
      <c r="J175" s="798">
        <f t="shared" si="742"/>
        <v>5.3997780505022</v>
      </c>
      <c r="K175" s="724">
        <f t="shared" si="768"/>
        <v>9.0135687112447</v>
      </c>
      <c r="L175" s="798">
        <f t="shared" si="744"/>
        <v>5.3997780505022</v>
      </c>
      <c r="M175" s="724">
        <f t="shared" si="768"/>
        <v>0</v>
      </c>
      <c r="N175" s="798">
        <f t="shared" ref="N175:R175" si="769">+L175</f>
        <v>5.3997780505022</v>
      </c>
      <c r="O175" s="724">
        <f t="shared" ref="O175:S175" si="770">N175*N$8</f>
        <v>0</v>
      </c>
      <c r="P175" s="798">
        <f t="shared" si="769"/>
        <v>5.3997780505022</v>
      </c>
      <c r="Q175" s="724">
        <f t="shared" si="770"/>
        <v>0</v>
      </c>
      <c r="R175" s="798">
        <f t="shared" si="769"/>
        <v>5.3997780505022</v>
      </c>
      <c r="S175" s="724">
        <f t="shared" si="770"/>
        <v>0</v>
      </c>
      <c r="T175" s="798">
        <f t="shared" si="752"/>
        <v>5.3997780505022</v>
      </c>
      <c r="U175" s="724">
        <f t="shared" ref="U175:Y175" si="771">T175*T$8</f>
        <v>0</v>
      </c>
      <c r="V175" s="798"/>
      <c r="W175" s="724">
        <f t="shared" si="771"/>
        <v>0</v>
      </c>
      <c r="X175" s="798"/>
      <c r="Y175" s="724"/>
      <c r="Z175" s="798"/>
      <c r="AA175" s="724"/>
      <c r="AB175" s="798"/>
      <c r="AC175" s="724"/>
      <c r="AD175" s="724">
        <f t="shared" si="755"/>
        <v>0</v>
      </c>
      <c r="AE175" s="724">
        <f t="shared" si="756"/>
        <v>0</v>
      </c>
      <c r="AF175" s="798">
        <v>0</v>
      </c>
      <c r="AG175" s="724">
        <f t="shared" ref="AG175:AK175" si="772">AF175*AF$8</f>
        <v>0</v>
      </c>
      <c r="AH175" s="798">
        <f t="shared" si="758"/>
        <v>0</v>
      </c>
      <c r="AI175" s="724">
        <f t="shared" si="772"/>
        <v>0</v>
      </c>
      <c r="AJ175" s="798">
        <f t="shared" si="760"/>
        <v>0</v>
      </c>
      <c r="AK175" s="724">
        <f t="shared" si="772"/>
        <v>0</v>
      </c>
      <c r="AL175" s="724" t="s">
        <v>532</v>
      </c>
      <c r="AN175" s="806">
        <f t="shared" si="544"/>
        <v>261000</v>
      </c>
    </row>
    <row r="176" s="774" customFormat="1" ht="32" hidden="1" customHeight="1" outlineLevel="2" spans="1:40">
      <c r="A176" s="808" t="s">
        <v>584</v>
      </c>
      <c r="B176" s="809" t="s">
        <v>585</v>
      </c>
      <c r="C176" s="808">
        <f t="shared" si="737"/>
        <v>2.10148049300732</v>
      </c>
      <c r="D176" s="808">
        <f t="shared" si="738"/>
        <v>15</v>
      </c>
      <c r="E176" s="760">
        <v>15</v>
      </c>
      <c r="F176" s="808">
        <f t="shared" si="739"/>
        <v>3.05233285730507</v>
      </c>
      <c r="G176" s="808">
        <f t="shared" si="740"/>
        <v>15</v>
      </c>
      <c r="H176" s="810">
        <f>15/(H8+J8)</f>
        <v>3.10332071867943</v>
      </c>
      <c r="I176" s="808">
        <f t="shared" si="741"/>
        <v>9.81978809698581</v>
      </c>
      <c r="J176" s="810">
        <f t="shared" si="742"/>
        <v>3.10332071867943</v>
      </c>
      <c r="K176" s="808">
        <f t="shared" si="743"/>
        <v>5.18021190301419</v>
      </c>
      <c r="L176" s="810">
        <f t="shared" si="744"/>
        <v>3.10332071867943</v>
      </c>
      <c r="M176" s="808">
        <f t="shared" si="745"/>
        <v>0</v>
      </c>
      <c r="N176" s="810">
        <f t="shared" si="746"/>
        <v>3.10332071867943</v>
      </c>
      <c r="O176" s="808">
        <f t="shared" si="747"/>
        <v>0</v>
      </c>
      <c r="P176" s="810">
        <f t="shared" si="748"/>
        <v>3.10332071867943</v>
      </c>
      <c r="Q176" s="808">
        <f t="shared" si="749"/>
        <v>0</v>
      </c>
      <c r="R176" s="810">
        <f t="shared" si="750"/>
        <v>3.10332071867943</v>
      </c>
      <c r="S176" s="808">
        <f t="shared" si="751"/>
        <v>0</v>
      </c>
      <c r="T176" s="810">
        <f t="shared" si="752"/>
        <v>3.10332071867943</v>
      </c>
      <c r="U176" s="808">
        <f t="shared" si="753"/>
        <v>0</v>
      </c>
      <c r="V176" s="810">
        <v>0</v>
      </c>
      <c r="W176" s="808">
        <f t="shared" si="754"/>
        <v>0</v>
      </c>
      <c r="X176" s="810"/>
      <c r="Y176" s="808"/>
      <c r="Z176" s="810"/>
      <c r="AA176" s="808"/>
      <c r="AB176" s="810"/>
      <c r="AC176" s="808"/>
      <c r="AD176" s="808">
        <f t="shared" si="755"/>
        <v>0</v>
      </c>
      <c r="AE176" s="808">
        <f t="shared" si="756"/>
        <v>0</v>
      </c>
      <c r="AF176" s="810">
        <f t="shared" si="735"/>
        <v>0</v>
      </c>
      <c r="AG176" s="808">
        <f t="shared" si="757"/>
        <v>0</v>
      </c>
      <c r="AH176" s="810">
        <f t="shared" si="758"/>
        <v>0</v>
      </c>
      <c r="AI176" s="808">
        <f t="shared" si="759"/>
        <v>0</v>
      </c>
      <c r="AJ176" s="810">
        <f t="shared" si="760"/>
        <v>0</v>
      </c>
      <c r="AK176" s="808">
        <f t="shared" si="761"/>
        <v>0</v>
      </c>
      <c r="AL176" s="808" t="s">
        <v>532</v>
      </c>
      <c r="AN176" s="806">
        <f t="shared" si="544"/>
        <v>150000</v>
      </c>
    </row>
    <row r="177" s="699" customFormat="1" ht="32" hidden="1" customHeight="1" outlineLevel="2" spans="1:40">
      <c r="A177" s="724" t="s">
        <v>584</v>
      </c>
      <c r="B177" s="734" t="s">
        <v>586</v>
      </c>
      <c r="C177" s="724">
        <f t="shared" si="737"/>
        <v>4.20296098601465</v>
      </c>
      <c r="D177" s="724">
        <f t="shared" si="738"/>
        <v>30</v>
      </c>
      <c r="E177" s="742" t="s">
        <v>587</v>
      </c>
      <c r="F177" s="724">
        <f t="shared" si="739"/>
        <v>6.10466571461013</v>
      </c>
      <c r="G177" s="724">
        <f t="shared" si="740"/>
        <v>30</v>
      </c>
      <c r="H177" s="798">
        <f>30/(H8+J8)</f>
        <v>6.20664143735885</v>
      </c>
      <c r="I177" s="724">
        <f t="shared" ref="I177:M177" si="773">H177*H$8</f>
        <v>19.6395761939716</v>
      </c>
      <c r="J177" s="798">
        <f t="shared" si="742"/>
        <v>6.20664143735885</v>
      </c>
      <c r="K177" s="724">
        <f t="shared" si="773"/>
        <v>10.3604238060284</v>
      </c>
      <c r="L177" s="798">
        <f t="shared" si="744"/>
        <v>6.20664143735885</v>
      </c>
      <c r="M177" s="724">
        <f t="shared" si="773"/>
        <v>0</v>
      </c>
      <c r="N177" s="798">
        <f t="shared" ref="N177:R177" si="774">+L177</f>
        <v>6.20664143735885</v>
      </c>
      <c r="O177" s="724">
        <f t="shared" ref="O177:S177" si="775">N177*N$8</f>
        <v>0</v>
      </c>
      <c r="P177" s="798">
        <f t="shared" si="774"/>
        <v>6.20664143735885</v>
      </c>
      <c r="Q177" s="724">
        <f t="shared" si="775"/>
        <v>0</v>
      </c>
      <c r="R177" s="798">
        <f t="shared" si="774"/>
        <v>6.20664143735885</v>
      </c>
      <c r="S177" s="724">
        <f t="shared" si="775"/>
        <v>0</v>
      </c>
      <c r="T177" s="798">
        <f t="shared" si="752"/>
        <v>6.20664143735885</v>
      </c>
      <c r="U177" s="724">
        <f t="shared" ref="U177:Y177" si="776">T177*T$8</f>
        <v>0</v>
      </c>
      <c r="V177" s="798">
        <v>0</v>
      </c>
      <c r="W177" s="724">
        <f t="shared" si="776"/>
        <v>0</v>
      </c>
      <c r="X177" s="798"/>
      <c r="Y177" s="724"/>
      <c r="Z177" s="798"/>
      <c r="AA177" s="724"/>
      <c r="AB177" s="798"/>
      <c r="AC177" s="724"/>
      <c r="AD177" s="724">
        <f t="shared" si="755"/>
        <v>0</v>
      </c>
      <c r="AE177" s="724">
        <f t="shared" si="756"/>
        <v>0</v>
      </c>
      <c r="AF177" s="798">
        <f t="shared" si="735"/>
        <v>0</v>
      </c>
      <c r="AG177" s="724">
        <f t="shared" ref="AG177:AK177" si="777">AF177*AF$8</f>
        <v>0</v>
      </c>
      <c r="AH177" s="798">
        <f t="shared" si="758"/>
        <v>0</v>
      </c>
      <c r="AI177" s="724">
        <f t="shared" si="777"/>
        <v>0</v>
      </c>
      <c r="AJ177" s="798">
        <f t="shared" si="760"/>
        <v>0</v>
      </c>
      <c r="AK177" s="724">
        <f t="shared" si="777"/>
        <v>0</v>
      </c>
      <c r="AL177" s="724" t="s">
        <v>532</v>
      </c>
      <c r="AN177" s="806">
        <f t="shared" si="544"/>
        <v>300000</v>
      </c>
    </row>
    <row r="178" hidden="1" customHeight="1" outlineLevel="1" collapsed="1" spans="1:40">
      <c r="A178" s="797">
        <v>3.4</v>
      </c>
      <c r="B178" s="797" t="s">
        <v>588</v>
      </c>
      <c r="C178" s="797">
        <f t="shared" ref="C178:AK178" si="778">SUM(C179:C189)</f>
        <v>4.03878105165089</v>
      </c>
      <c r="D178" s="797">
        <f t="shared" si="778"/>
        <v>28.82811236</v>
      </c>
      <c r="E178" s="742"/>
      <c r="F178" s="797">
        <f t="shared" si="778"/>
        <v>3.40290507772698</v>
      </c>
      <c r="G178" s="797">
        <f t="shared" si="778"/>
        <v>16.7228079479417</v>
      </c>
      <c r="H178" s="797">
        <f t="shared" si="778"/>
        <v>3.43798442844747</v>
      </c>
      <c r="I178" s="797">
        <f t="shared" si="778"/>
        <v>10.8787591191855</v>
      </c>
      <c r="J178" s="797">
        <f t="shared" si="778"/>
        <v>3.43798442844747</v>
      </c>
      <c r="K178" s="797">
        <f t="shared" si="778"/>
        <v>5.73884863121707</v>
      </c>
      <c r="L178" s="797">
        <f t="shared" si="778"/>
        <v>3.43798442844747</v>
      </c>
      <c r="M178" s="797">
        <f t="shared" si="778"/>
        <v>0</v>
      </c>
      <c r="N178" s="797">
        <f t="shared" si="778"/>
        <v>3.43798442844747</v>
      </c>
      <c r="O178" s="797">
        <f t="shared" si="778"/>
        <v>0</v>
      </c>
      <c r="P178" s="797">
        <f t="shared" si="778"/>
        <v>3.43798442844747</v>
      </c>
      <c r="Q178" s="797">
        <f t="shared" si="778"/>
        <v>0</v>
      </c>
      <c r="R178" s="797">
        <f t="shared" si="778"/>
        <v>3.43798442844747</v>
      </c>
      <c r="S178" s="797">
        <f t="shared" si="778"/>
        <v>0</v>
      </c>
      <c r="T178" s="797">
        <f t="shared" si="778"/>
        <v>3.43798442844747</v>
      </c>
      <c r="U178" s="797">
        <f t="shared" si="778"/>
        <v>0</v>
      </c>
      <c r="V178" s="797">
        <f t="shared" si="778"/>
        <v>1.30291790566454</v>
      </c>
      <c r="W178" s="797">
        <f t="shared" si="778"/>
        <v>0.105200197539166</v>
      </c>
      <c r="X178" s="797"/>
      <c r="Y178" s="797"/>
      <c r="Z178" s="797"/>
      <c r="AA178" s="797"/>
      <c r="AB178" s="797"/>
      <c r="AC178" s="797"/>
      <c r="AD178" s="797">
        <f t="shared" si="778"/>
        <v>5.44413166689601</v>
      </c>
      <c r="AE178" s="797">
        <f t="shared" si="778"/>
        <v>12.1053044120583</v>
      </c>
      <c r="AF178" s="797">
        <f t="shared" si="778"/>
        <v>5.44413166689601</v>
      </c>
      <c r="AG178" s="797">
        <f t="shared" si="778"/>
        <v>0</v>
      </c>
      <c r="AH178" s="797">
        <f t="shared" si="778"/>
        <v>5.44413166689601</v>
      </c>
      <c r="AI178" s="797">
        <f t="shared" si="778"/>
        <v>2.14776982803881</v>
      </c>
      <c r="AJ178" s="797">
        <f t="shared" si="778"/>
        <v>5.44413166689601</v>
      </c>
      <c r="AK178" s="797">
        <f t="shared" si="778"/>
        <v>9.95753458401947</v>
      </c>
      <c r="AL178" s="724" t="s">
        <v>178</v>
      </c>
      <c r="AN178" s="806">
        <f t="shared" si="544"/>
        <v>288281.1236</v>
      </c>
    </row>
    <row r="179" s="699" customFormat="1" ht="32" hidden="1" customHeight="1" outlineLevel="2" spans="1:40">
      <c r="A179" s="724" t="s">
        <v>589</v>
      </c>
      <c r="B179" s="734" t="s">
        <v>590</v>
      </c>
      <c r="C179" s="724">
        <f t="shared" ref="C179:C189" si="779">D179/$C$8</f>
        <v>0.0420296098601465</v>
      </c>
      <c r="D179" s="724">
        <f t="shared" ref="D179:D189" si="780">G179+AE179</f>
        <v>0.3</v>
      </c>
      <c r="E179" s="742" t="s">
        <v>591</v>
      </c>
      <c r="F179" s="724">
        <f t="shared" ref="F179:F189" si="781">G179/$F$8</f>
        <v>0.0420296098601465</v>
      </c>
      <c r="G179" s="724">
        <f>I179+K179+M179+O179+Q179+S179+U179+W179</f>
        <v>0.206545018965861</v>
      </c>
      <c r="H179" s="798">
        <f>3000/10000/C8</f>
        <v>0.0420296098601465</v>
      </c>
      <c r="I179" s="724">
        <f t="shared" ref="I179:M179" si="782">H179*H$8</f>
        <v>0.132993622006704</v>
      </c>
      <c r="J179" s="798">
        <f>+H179</f>
        <v>0.0420296098601465</v>
      </c>
      <c r="K179" s="724">
        <f t="shared" si="782"/>
        <v>0.0701578421998298</v>
      </c>
      <c r="L179" s="798">
        <f>+H179</f>
        <v>0.0420296098601465</v>
      </c>
      <c r="M179" s="724">
        <f t="shared" si="782"/>
        <v>0</v>
      </c>
      <c r="N179" s="798">
        <f t="shared" ref="N179:R179" si="783">+L179</f>
        <v>0.0420296098601465</v>
      </c>
      <c r="O179" s="724">
        <f t="shared" ref="O179:S179" si="784">N179*N$8</f>
        <v>0</v>
      </c>
      <c r="P179" s="798">
        <f t="shared" si="783"/>
        <v>0.0420296098601465</v>
      </c>
      <c r="Q179" s="724">
        <f t="shared" si="784"/>
        <v>0</v>
      </c>
      <c r="R179" s="798">
        <f t="shared" si="783"/>
        <v>0.0420296098601465</v>
      </c>
      <c r="S179" s="724">
        <f t="shared" si="784"/>
        <v>0</v>
      </c>
      <c r="T179" s="798">
        <f t="shared" ref="T179:X179" si="785">+R179</f>
        <v>0.0420296098601465</v>
      </c>
      <c r="U179" s="724">
        <f t="shared" ref="U179:Y179" si="786">T179*T$8</f>
        <v>0</v>
      </c>
      <c r="V179" s="798">
        <f t="shared" si="785"/>
        <v>0.0420296098601465</v>
      </c>
      <c r="W179" s="724">
        <f t="shared" si="786"/>
        <v>0.00339355475932795</v>
      </c>
      <c r="X179" s="798"/>
      <c r="Y179" s="724"/>
      <c r="Z179" s="798"/>
      <c r="AA179" s="724"/>
      <c r="AB179" s="798"/>
      <c r="AC179" s="724"/>
      <c r="AD179" s="724">
        <f>AE179/AD$8</f>
        <v>0.0420296098601465</v>
      </c>
      <c r="AE179" s="724">
        <f>AG179*0+AI179+AK179</f>
        <v>0.0934549810341386</v>
      </c>
      <c r="AF179" s="798">
        <v>0.0420296098601465</v>
      </c>
      <c r="AG179" s="724">
        <f t="shared" ref="AG179:AK179" si="787">AF179*AF$8</f>
        <v>0</v>
      </c>
      <c r="AH179" s="798">
        <f>+AF179</f>
        <v>0.0420296098601465</v>
      </c>
      <c r="AI179" s="724">
        <f t="shared" si="787"/>
        <v>0.0165811434155363</v>
      </c>
      <c r="AJ179" s="798">
        <f>+AH179</f>
        <v>0.0420296098601465</v>
      </c>
      <c r="AK179" s="724">
        <f t="shared" si="787"/>
        <v>0.0768738376186024</v>
      </c>
      <c r="AL179" s="724" t="s">
        <v>592</v>
      </c>
      <c r="AN179" s="806">
        <f t="shared" si="544"/>
        <v>3000</v>
      </c>
    </row>
    <row r="180" s="699" customFormat="1" ht="32" hidden="1" customHeight="1" outlineLevel="2" spans="1:40">
      <c r="A180" s="724" t="s">
        <v>593</v>
      </c>
      <c r="B180" s="734" t="s">
        <v>594</v>
      </c>
      <c r="C180" s="724">
        <f t="shared" si="779"/>
        <v>1.26088829580439</v>
      </c>
      <c r="D180" s="724">
        <f t="shared" si="780"/>
        <v>8.99999999999999</v>
      </c>
      <c r="E180" s="742" t="s">
        <v>595</v>
      </c>
      <c r="F180" s="724">
        <f t="shared" si="781"/>
        <v>1.26088829580439</v>
      </c>
      <c r="G180" s="724">
        <f t="shared" ref="G180:G189" si="788">I180+K180+M180+O180+Q180+S180+U180+W180</f>
        <v>6.19635056897584</v>
      </c>
      <c r="H180" s="798">
        <f>2500*36/10000/C8</f>
        <v>1.26088829580439</v>
      </c>
      <c r="I180" s="724">
        <f t="shared" ref="I180:I189" si="789">H180*H$8</f>
        <v>3.98980866020111</v>
      </c>
      <c r="J180" s="798">
        <f t="shared" ref="J180:J189" si="790">+H180</f>
        <v>1.26088829580439</v>
      </c>
      <c r="K180" s="724">
        <f t="shared" ref="K180:K189" si="791">J180*J$8</f>
        <v>2.10473526599489</v>
      </c>
      <c r="L180" s="798">
        <f t="shared" ref="L180:L189" si="792">+H180</f>
        <v>1.26088829580439</v>
      </c>
      <c r="M180" s="724">
        <f t="shared" ref="M180:M189" si="793">L180*L$8</f>
        <v>0</v>
      </c>
      <c r="N180" s="798">
        <f t="shared" ref="N180:N189" si="794">+L180</f>
        <v>1.26088829580439</v>
      </c>
      <c r="O180" s="724">
        <f t="shared" ref="O180:O189" si="795">N180*N$8</f>
        <v>0</v>
      </c>
      <c r="P180" s="798">
        <f t="shared" ref="P180:P189" si="796">+N180</f>
        <v>1.26088829580439</v>
      </c>
      <c r="Q180" s="724">
        <f t="shared" ref="Q180:Q189" si="797">P180*P$8</f>
        <v>0</v>
      </c>
      <c r="R180" s="798">
        <f t="shared" ref="R180:R189" si="798">+P180</f>
        <v>1.26088829580439</v>
      </c>
      <c r="S180" s="724">
        <f t="shared" ref="S180:S189" si="799">R180*R$8</f>
        <v>0</v>
      </c>
      <c r="T180" s="798">
        <f t="shared" ref="T180:T189" si="800">+R180</f>
        <v>1.26088829580439</v>
      </c>
      <c r="U180" s="724">
        <f t="shared" ref="U180:U189" si="801">T180*T$8</f>
        <v>0</v>
      </c>
      <c r="V180" s="798">
        <f t="shared" ref="V180:V189" si="802">+T180</f>
        <v>1.26088829580439</v>
      </c>
      <c r="W180" s="724">
        <f t="shared" ref="W180:W189" si="803">V180*V$8</f>
        <v>0.101806642779838</v>
      </c>
      <c r="X180" s="798"/>
      <c r="Y180" s="724"/>
      <c r="Z180" s="798"/>
      <c r="AA180" s="724"/>
      <c r="AB180" s="798"/>
      <c r="AC180" s="724"/>
      <c r="AD180" s="724">
        <f t="shared" ref="AD180:AD189" si="804">AE180/AD$8</f>
        <v>1.26088829580439</v>
      </c>
      <c r="AE180" s="724">
        <f t="shared" ref="AE180:AE189" si="805">AG180*0+AI180+AK180</f>
        <v>2.80364943102415</v>
      </c>
      <c r="AF180" s="798">
        <v>1.26088829580439</v>
      </c>
      <c r="AG180" s="724">
        <f t="shared" ref="AG180:AG189" si="806">AF180*AF$8</f>
        <v>0</v>
      </c>
      <c r="AH180" s="798">
        <f t="shared" ref="AH180:AH189" si="807">+AF180</f>
        <v>1.26088829580439</v>
      </c>
      <c r="AI180" s="724">
        <f t="shared" ref="AI180:AI189" si="808">AH180*AH$8</f>
        <v>0.497434302466086</v>
      </c>
      <c r="AJ180" s="798">
        <f t="shared" ref="AJ180:AJ189" si="809">+AH180</f>
        <v>1.26088829580439</v>
      </c>
      <c r="AK180" s="724">
        <f t="shared" ref="AK180:AK189" si="810">AJ180*AJ$8</f>
        <v>2.30621512855806</v>
      </c>
      <c r="AL180" s="724" t="s">
        <v>592</v>
      </c>
      <c r="AN180" s="806">
        <f t="shared" si="544"/>
        <v>89999.9999999999</v>
      </c>
    </row>
    <row r="181" s="699" customFormat="1" ht="32" hidden="1" customHeight="1" outlineLevel="2" spans="1:40">
      <c r="A181" s="724" t="s">
        <v>596</v>
      </c>
      <c r="B181" s="734" t="s">
        <v>597</v>
      </c>
      <c r="C181" s="724">
        <f t="shared" si="779"/>
        <v>0</v>
      </c>
      <c r="D181" s="724">
        <f t="shared" si="780"/>
        <v>0</v>
      </c>
      <c r="E181" s="742" t="s">
        <v>223</v>
      </c>
      <c r="F181" s="724">
        <f t="shared" si="781"/>
        <v>0</v>
      </c>
      <c r="G181" s="724">
        <f t="shared" si="788"/>
        <v>0</v>
      </c>
      <c r="H181" s="798"/>
      <c r="I181" s="724">
        <f t="shared" si="789"/>
        <v>0</v>
      </c>
      <c r="J181" s="798">
        <f t="shared" si="790"/>
        <v>0</v>
      </c>
      <c r="K181" s="724">
        <f t="shared" si="791"/>
        <v>0</v>
      </c>
      <c r="L181" s="798">
        <f t="shared" si="792"/>
        <v>0</v>
      </c>
      <c r="M181" s="724">
        <f t="shared" si="793"/>
        <v>0</v>
      </c>
      <c r="N181" s="798">
        <f t="shared" si="794"/>
        <v>0</v>
      </c>
      <c r="O181" s="724">
        <f t="shared" si="795"/>
        <v>0</v>
      </c>
      <c r="P181" s="798">
        <f t="shared" si="796"/>
        <v>0</v>
      </c>
      <c r="Q181" s="724">
        <f t="shared" si="797"/>
        <v>0</v>
      </c>
      <c r="R181" s="798">
        <f t="shared" si="798"/>
        <v>0</v>
      </c>
      <c r="S181" s="724">
        <f t="shared" si="799"/>
        <v>0</v>
      </c>
      <c r="T181" s="798">
        <f t="shared" si="800"/>
        <v>0</v>
      </c>
      <c r="U181" s="724">
        <f t="shared" si="801"/>
        <v>0</v>
      </c>
      <c r="V181" s="798">
        <f t="shared" si="802"/>
        <v>0</v>
      </c>
      <c r="W181" s="724">
        <f t="shared" si="803"/>
        <v>0</v>
      </c>
      <c r="X181" s="798"/>
      <c r="Y181" s="724"/>
      <c r="Z181" s="798"/>
      <c r="AA181" s="724"/>
      <c r="AB181" s="798"/>
      <c r="AC181" s="724"/>
      <c r="AD181" s="724">
        <f t="shared" si="804"/>
        <v>0</v>
      </c>
      <c r="AE181" s="724">
        <f t="shared" si="805"/>
        <v>0</v>
      </c>
      <c r="AF181" s="798">
        <v>0</v>
      </c>
      <c r="AG181" s="724">
        <f t="shared" si="806"/>
        <v>0</v>
      </c>
      <c r="AH181" s="798">
        <f t="shared" si="807"/>
        <v>0</v>
      </c>
      <c r="AI181" s="724">
        <f t="shared" si="808"/>
        <v>0</v>
      </c>
      <c r="AJ181" s="798">
        <f t="shared" si="809"/>
        <v>0</v>
      </c>
      <c r="AK181" s="724">
        <f t="shared" si="810"/>
        <v>0</v>
      </c>
      <c r="AL181" s="724" t="s">
        <v>592</v>
      </c>
      <c r="AN181" s="806">
        <f t="shared" si="544"/>
        <v>0</v>
      </c>
    </row>
    <row r="182" s="699" customFormat="1" ht="32" hidden="1" customHeight="1" outlineLevel="2" spans="1:40">
      <c r="A182" s="724" t="s">
        <v>598</v>
      </c>
      <c r="B182" s="734" t="s">
        <v>599</v>
      </c>
      <c r="C182" s="724">
        <f t="shared" si="779"/>
        <v>0</v>
      </c>
      <c r="D182" s="724">
        <f t="shared" si="780"/>
        <v>0</v>
      </c>
      <c r="E182" s="742" t="s">
        <v>223</v>
      </c>
      <c r="F182" s="724">
        <f t="shared" si="781"/>
        <v>0</v>
      </c>
      <c r="G182" s="724">
        <f t="shared" si="788"/>
        <v>0</v>
      </c>
      <c r="H182" s="798"/>
      <c r="I182" s="724">
        <f t="shared" si="789"/>
        <v>0</v>
      </c>
      <c r="J182" s="798">
        <f t="shared" si="790"/>
        <v>0</v>
      </c>
      <c r="K182" s="724">
        <f t="shared" si="791"/>
        <v>0</v>
      </c>
      <c r="L182" s="798">
        <f t="shared" si="792"/>
        <v>0</v>
      </c>
      <c r="M182" s="724">
        <f t="shared" si="793"/>
        <v>0</v>
      </c>
      <c r="N182" s="798">
        <f t="shared" si="794"/>
        <v>0</v>
      </c>
      <c r="O182" s="724">
        <f t="shared" si="795"/>
        <v>0</v>
      </c>
      <c r="P182" s="798">
        <f t="shared" si="796"/>
        <v>0</v>
      </c>
      <c r="Q182" s="724">
        <f t="shared" si="797"/>
        <v>0</v>
      </c>
      <c r="R182" s="798">
        <f t="shared" si="798"/>
        <v>0</v>
      </c>
      <c r="S182" s="724">
        <f t="shared" si="799"/>
        <v>0</v>
      </c>
      <c r="T182" s="798">
        <f t="shared" si="800"/>
        <v>0</v>
      </c>
      <c r="U182" s="724">
        <f t="shared" si="801"/>
        <v>0</v>
      </c>
      <c r="V182" s="798">
        <f t="shared" si="802"/>
        <v>0</v>
      </c>
      <c r="W182" s="724">
        <f t="shared" si="803"/>
        <v>0</v>
      </c>
      <c r="X182" s="798"/>
      <c r="Y182" s="724"/>
      <c r="Z182" s="798"/>
      <c r="AA182" s="724"/>
      <c r="AB182" s="798"/>
      <c r="AC182" s="724"/>
      <c r="AD182" s="724">
        <f t="shared" si="804"/>
        <v>0</v>
      </c>
      <c r="AE182" s="724">
        <f t="shared" si="805"/>
        <v>0</v>
      </c>
      <c r="AF182" s="798">
        <v>0</v>
      </c>
      <c r="AG182" s="724">
        <f t="shared" si="806"/>
        <v>0</v>
      </c>
      <c r="AH182" s="798">
        <f t="shared" si="807"/>
        <v>0</v>
      </c>
      <c r="AI182" s="724">
        <f t="shared" si="808"/>
        <v>0</v>
      </c>
      <c r="AJ182" s="798">
        <f t="shared" si="809"/>
        <v>0</v>
      </c>
      <c r="AK182" s="724">
        <f t="shared" si="810"/>
        <v>0</v>
      </c>
      <c r="AL182" s="724" t="s">
        <v>592</v>
      </c>
      <c r="AN182" s="806">
        <f t="shared" si="544"/>
        <v>0</v>
      </c>
    </row>
    <row r="183" s="699" customFormat="1" ht="32" hidden="1" customHeight="1" outlineLevel="2" spans="1:40">
      <c r="A183" s="724" t="s">
        <v>600</v>
      </c>
      <c r="B183" s="734" t="s">
        <v>601</v>
      </c>
      <c r="C183" s="724">
        <f t="shared" si="779"/>
        <v>0</v>
      </c>
      <c r="D183" s="724">
        <f t="shared" si="780"/>
        <v>0</v>
      </c>
      <c r="E183" s="742" t="s">
        <v>223</v>
      </c>
      <c r="F183" s="724">
        <f t="shared" si="781"/>
        <v>0</v>
      </c>
      <c r="G183" s="724">
        <f t="shared" si="788"/>
        <v>0</v>
      </c>
      <c r="H183" s="798"/>
      <c r="I183" s="724">
        <f t="shared" si="789"/>
        <v>0</v>
      </c>
      <c r="J183" s="798">
        <f t="shared" si="790"/>
        <v>0</v>
      </c>
      <c r="K183" s="724">
        <f t="shared" si="791"/>
        <v>0</v>
      </c>
      <c r="L183" s="798">
        <f t="shared" si="792"/>
        <v>0</v>
      </c>
      <c r="M183" s="724">
        <f t="shared" si="793"/>
        <v>0</v>
      </c>
      <c r="N183" s="798">
        <f t="shared" si="794"/>
        <v>0</v>
      </c>
      <c r="O183" s="724">
        <f t="shared" si="795"/>
        <v>0</v>
      </c>
      <c r="P183" s="798">
        <f t="shared" si="796"/>
        <v>0</v>
      </c>
      <c r="Q183" s="724">
        <f t="shared" si="797"/>
        <v>0</v>
      </c>
      <c r="R183" s="798">
        <f t="shared" si="798"/>
        <v>0</v>
      </c>
      <c r="S183" s="724">
        <f t="shared" si="799"/>
        <v>0</v>
      </c>
      <c r="T183" s="798">
        <f t="shared" si="800"/>
        <v>0</v>
      </c>
      <c r="U183" s="724">
        <f t="shared" si="801"/>
        <v>0</v>
      </c>
      <c r="V183" s="798">
        <f t="shared" si="802"/>
        <v>0</v>
      </c>
      <c r="W183" s="724">
        <f t="shared" si="803"/>
        <v>0</v>
      </c>
      <c r="X183" s="798"/>
      <c r="Y183" s="724"/>
      <c r="Z183" s="798"/>
      <c r="AA183" s="724"/>
      <c r="AB183" s="798"/>
      <c r="AC183" s="724"/>
      <c r="AD183" s="724">
        <f t="shared" si="804"/>
        <v>0</v>
      </c>
      <c r="AE183" s="724">
        <f t="shared" si="805"/>
        <v>0</v>
      </c>
      <c r="AF183" s="798">
        <v>0</v>
      </c>
      <c r="AG183" s="724">
        <f t="shared" si="806"/>
        <v>0</v>
      </c>
      <c r="AH183" s="798">
        <f t="shared" si="807"/>
        <v>0</v>
      </c>
      <c r="AI183" s="724">
        <f t="shared" si="808"/>
        <v>0</v>
      </c>
      <c r="AJ183" s="798">
        <f t="shared" si="809"/>
        <v>0</v>
      </c>
      <c r="AK183" s="724">
        <f t="shared" si="810"/>
        <v>0</v>
      </c>
      <c r="AL183" s="724" t="s">
        <v>592</v>
      </c>
      <c r="AN183" s="806">
        <f t="shared" si="544"/>
        <v>0</v>
      </c>
    </row>
    <row r="184" s="699" customFormat="1" ht="32" hidden="1" customHeight="1" outlineLevel="2" spans="1:40">
      <c r="A184" s="724" t="s">
        <v>602</v>
      </c>
      <c r="B184" s="734" t="s">
        <v>603</v>
      </c>
      <c r="C184" s="724">
        <f t="shared" si="779"/>
        <v>0</v>
      </c>
      <c r="D184" s="724">
        <f t="shared" si="780"/>
        <v>0</v>
      </c>
      <c r="E184" s="742" t="s">
        <v>223</v>
      </c>
      <c r="F184" s="724">
        <f t="shared" si="781"/>
        <v>0</v>
      </c>
      <c r="G184" s="724">
        <f t="shared" si="788"/>
        <v>0</v>
      </c>
      <c r="H184" s="798"/>
      <c r="I184" s="724">
        <f t="shared" si="789"/>
        <v>0</v>
      </c>
      <c r="J184" s="798">
        <f t="shared" si="790"/>
        <v>0</v>
      </c>
      <c r="K184" s="724">
        <f t="shared" si="791"/>
        <v>0</v>
      </c>
      <c r="L184" s="798">
        <f t="shared" si="792"/>
        <v>0</v>
      </c>
      <c r="M184" s="724">
        <f t="shared" si="793"/>
        <v>0</v>
      </c>
      <c r="N184" s="798">
        <f t="shared" si="794"/>
        <v>0</v>
      </c>
      <c r="O184" s="724">
        <f t="shared" si="795"/>
        <v>0</v>
      </c>
      <c r="P184" s="798">
        <f t="shared" si="796"/>
        <v>0</v>
      </c>
      <c r="Q184" s="724">
        <f t="shared" si="797"/>
        <v>0</v>
      </c>
      <c r="R184" s="798">
        <f t="shared" si="798"/>
        <v>0</v>
      </c>
      <c r="S184" s="724">
        <f t="shared" si="799"/>
        <v>0</v>
      </c>
      <c r="T184" s="798">
        <f t="shared" si="800"/>
        <v>0</v>
      </c>
      <c r="U184" s="724">
        <f t="shared" si="801"/>
        <v>0</v>
      </c>
      <c r="V184" s="798">
        <f t="shared" si="802"/>
        <v>0</v>
      </c>
      <c r="W184" s="724">
        <f t="shared" si="803"/>
        <v>0</v>
      </c>
      <c r="X184" s="798"/>
      <c r="Y184" s="724"/>
      <c r="Z184" s="798"/>
      <c r="AA184" s="724"/>
      <c r="AB184" s="798"/>
      <c r="AC184" s="724"/>
      <c r="AD184" s="724">
        <f t="shared" si="804"/>
        <v>0</v>
      </c>
      <c r="AE184" s="724">
        <f t="shared" si="805"/>
        <v>0</v>
      </c>
      <c r="AF184" s="798">
        <v>0</v>
      </c>
      <c r="AG184" s="724">
        <f t="shared" si="806"/>
        <v>0</v>
      </c>
      <c r="AH184" s="798">
        <f t="shared" si="807"/>
        <v>0</v>
      </c>
      <c r="AI184" s="724">
        <f t="shared" si="808"/>
        <v>0</v>
      </c>
      <c r="AJ184" s="798">
        <f t="shared" si="809"/>
        <v>0</v>
      </c>
      <c r="AK184" s="724">
        <f t="shared" si="810"/>
        <v>0</v>
      </c>
      <c r="AL184" s="724" t="s">
        <v>592</v>
      </c>
      <c r="AN184" s="806">
        <f t="shared" si="544"/>
        <v>0</v>
      </c>
    </row>
    <row r="185" s="699" customFormat="1" ht="32" hidden="1" customHeight="1" outlineLevel="2" spans="1:41">
      <c r="A185" s="724" t="s">
        <v>604</v>
      </c>
      <c r="B185" s="734" t="s">
        <v>605</v>
      </c>
      <c r="C185" s="724">
        <f t="shared" si="779"/>
        <v>1.29005684504734</v>
      </c>
      <c r="D185" s="724">
        <f t="shared" si="780"/>
        <v>9.2082</v>
      </c>
      <c r="E185" s="742" t="s">
        <v>606</v>
      </c>
      <c r="F185" s="724">
        <f t="shared" si="781"/>
        <v>0</v>
      </c>
      <c r="G185" s="724">
        <f t="shared" si="788"/>
        <v>0</v>
      </c>
      <c r="H185" s="798"/>
      <c r="I185" s="724">
        <f t="shared" si="789"/>
        <v>0</v>
      </c>
      <c r="J185" s="798">
        <f t="shared" si="790"/>
        <v>0</v>
      </c>
      <c r="K185" s="724">
        <f t="shared" si="791"/>
        <v>0</v>
      </c>
      <c r="L185" s="798">
        <f t="shared" si="792"/>
        <v>0</v>
      </c>
      <c r="M185" s="724">
        <f t="shared" si="793"/>
        <v>0</v>
      </c>
      <c r="N185" s="798">
        <f t="shared" si="794"/>
        <v>0</v>
      </c>
      <c r="O185" s="724">
        <f t="shared" si="795"/>
        <v>0</v>
      </c>
      <c r="P185" s="798">
        <f t="shared" si="796"/>
        <v>0</v>
      </c>
      <c r="Q185" s="724">
        <f t="shared" si="797"/>
        <v>0</v>
      </c>
      <c r="R185" s="798">
        <f t="shared" si="798"/>
        <v>0</v>
      </c>
      <c r="S185" s="724">
        <f t="shared" si="799"/>
        <v>0</v>
      </c>
      <c r="T185" s="798">
        <f t="shared" si="800"/>
        <v>0</v>
      </c>
      <c r="U185" s="724">
        <f t="shared" si="801"/>
        <v>0</v>
      </c>
      <c r="V185" s="798">
        <f t="shared" si="802"/>
        <v>0</v>
      </c>
      <c r="W185" s="724">
        <f t="shared" si="803"/>
        <v>0</v>
      </c>
      <c r="X185" s="798"/>
      <c r="Y185" s="724"/>
      <c r="Z185" s="798"/>
      <c r="AA185" s="724"/>
      <c r="AB185" s="798"/>
      <c r="AC185" s="724"/>
      <c r="AD185" s="724">
        <f t="shared" si="804"/>
        <v>4.14121376123147</v>
      </c>
      <c r="AE185" s="724">
        <f t="shared" si="805"/>
        <v>9.2082</v>
      </c>
      <c r="AF185" s="798">
        <v>4.14121376123147</v>
      </c>
      <c r="AG185" s="724">
        <f t="shared" si="806"/>
        <v>0</v>
      </c>
      <c r="AH185" s="798">
        <f t="shared" si="807"/>
        <v>4.14121376123147</v>
      </c>
      <c r="AI185" s="724">
        <f t="shared" si="808"/>
        <v>1.63375438215719</v>
      </c>
      <c r="AJ185" s="798">
        <f t="shared" si="809"/>
        <v>4.14121376123147</v>
      </c>
      <c r="AK185" s="724">
        <f t="shared" si="810"/>
        <v>7.57444561784281</v>
      </c>
      <c r="AL185" s="724" t="s">
        <v>521</v>
      </c>
      <c r="AN185" s="806">
        <f t="shared" si="544"/>
        <v>92082</v>
      </c>
      <c r="AO185" s="699">
        <f>+AN185*2</f>
        <v>184164</v>
      </c>
    </row>
    <row r="186" s="699" customFormat="1" ht="32" hidden="1" customHeight="1" outlineLevel="2" spans="1:40">
      <c r="A186" s="724" t="s">
        <v>607</v>
      </c>
      <c r="B186" s="734" t="s">
        <v>608</v>
      </c>
      <c r="C186" s="724">
        <f t="shared" si="779"/>
        <v>1.29005684504734</v>
      </c>
      <c r="D186" s="724">
        <f t="shared" si="780"/>
        <v>9.2082</v>
      </c>
      <c r="E186" s="742" t="s">
        <v>606</v>
      </c>
      <c r="F186" s="724">
        <f t="shared" si="781"/>
        <v>1.87376609444243</v>
      </c>
      <c r="G186" s="724">
        <f t="shared" si="788"/>
        <v>9.2082</v>
      </c>
      <c r="H186" s="798">
        <f>17.88*1.03/2/(H8+J8)</f>
        <v>1.90506652278293</v>
      </c>
      <c r="I186" s="724">
        <f t="shared" si="789"/>
        <v>6.02817151697765</v>
      </c>
      <c r="J186" s="798">
        <f t="shared" si="790"/>
        <v>1.90506652278293</v>
      </c>
      <c r="K186" s="724">
        <f t="shared" si="791"/>
        <v>3.18002848302235</v>
      </c>
      <c r="L186" s="798">
        <f t="shared" si="792"/>
        <v>1.90506652278293</v>
      </c>
      <c r="M186" s="724">
        <f t="shared" si="793"/>
        <v>0</v>
      </c>
      <c r="N186" s="798">
        <f t="shared" si="794"/>
        <v>1.90506652278293</v>
      </c>
      <c r="O186" s="724">
        <f t="shared" si="795"/>
        <v>0</v>
      </c>
      <c r="P186" s="798">
        <f t="shared" si="796"/>
        <v>1.90506652278293</v>
      </c>
      <c r="Q186" s="724">
        <f t="shared" si="797"/>
        <v>0</v>
      </c>
      <c r="R186" s="798">
        <f t="shared" si="798"/>
        <v>1.90506652278293</v>
      </c>
      <c r="S186" s="724">
        <f t="shared" si="799"/>
        <v>0</v>
      </c>
      <c r="T186" s="798">
        <f t="shared" si="800"/>
        <v>1.90506652278293</v>
      </c>
      <c r="U186" s="724">
        <f t="shared" si="801"/>
        <v>0</v>
      </c>
      <c r="V186" s="798">
        <v>0</v>
      </c>
      <c r="W186" s="724">
        <f t="shared" si="803"/>
        <v>0</v>
      </c>
      <c r="X186" s="798"/>
      <c r="Y186" s="724"/>
      <c r="Z186" s="798"/>
      <c r="AA186" s="724"/>
      <c r="AB186" s="798"/>
      <c r="AC186" s="724"/>
      <c r="AD186" s="724">
        <f t="shared" si="804"/>
        <v>0</v>
      </c>
      <c r="AE186" s="724">
        <f t="shared" si="805"/>
        <v>0</v>
      </c>
      <c r="AF186" s="798">
        <v>0</v>
      </c>
      <c r="AG186" s="724">
        <f t="shared" si="806"/>
        <v>0</v>
      </c>
      <c r="AH186" s="798">
        <f t="shared" si="807"/>
        <v>0</v>
      </c>
      <c r="AI186" s="724">
        <f t="shared" si="808"/>
        <v>0</v>
      </c>
      <c r="AJ186" s="798">
        <f t="shared" si="809"/>
        <v>0</v>
      </c>
      <c r="AK186" s="724">
        <f t="shared" si="810"/>
        <v>0</v>
      </c>
      <c r="AL186" s="724" t="s">
        <v>532</v>
      </c>
      <c r="AN186" s="806">
        <f t="shared" si="544"/>
        <v>92082</v>
      </c>
    </row>
    <row r="187" s="699" customFormat="1" ht="32" hidden="1" customHeight="1" outlineLevel="2" spans="1:40">
      <c r="A187" s="724" t="s">
        <v>609</v>
      </c>
      <c r="B187" s="734" t="s">
        <v>610</v>
      </c>
      <c r="C187" s="724">
        <f t="shared" si="779"/>
        <v>0.155749455891676</v>
      </c>
      <c r="D187" s="724">
        <f t="shared" si="780"/>
        <v>1.11171236</v>
      </c>
      <c r="E187" s="742" t="s">
        <v>611</v>
      </c>
      <c r="F187" s="724">
        <f t="shared" si="781"/>
        <v>0.226221077620011</v>
      </c>
      <c r="G187" s="724">
        <f t="shared" si="788"/>
        <v>1.11171236</v>
      </c>
      <c r="H187" s="798">
        <v>0.23</v>
      </c>
      <c r="I187" s="724">
        <f t="shared" si="789"/>
        <v>0.72778532</v>
      </c>
      <c r="J187" s="798">
        <f t="shared" si="790"/>
        <v>0.23</v>
      </c>
      <c r="K187" s="724">
        <f t="shared" si="791"/>
        <v>0.38392704</v>
      </c>
      <c r="L187" s="798">
        <f t="shared" si="792"/>
        <v>0.23</v>
      </c>
      <c r="M187" s="724">
        <f t="shared" si="793"/>
        <v>0</v>
      </c>
      <c r="N187" s="798">
        <f t="shared" si="794"/>
        <v>0.23</v>
      </c>
      <c r="O187" s="724">
        <f t="shared" si="795"/>
        <v>0</v>
      </c>
      <c r="P187" s="798">
        <f t="shared" si="796"/>
        <v>0.23</v>
      </c>
      <c r="Q187" s="724">
        <f t="shared" si="797"/>
        <v>0</v>
      </c>
      <c r="R187" s="798">
        <f t="shared" si="798"/>
        <v>0.23</v>
      </c>
      <c r="S187" s="724">
        <f t="shared" si="799"/>
        <v>0</v>
      </c>
      <c r="T187" s="798">
        <f t="shared" si="800"/>
        <v>0.23</v>
      </c>
      <c r="U187" s="724">
        <f t="shared" si="801"/>
        <v>0</v>
      </c>
      <c r="V187" s="798">
        <v>0</v>
      </c>
      <c r="W187" s="724">
        <f t="shared" si="803"/>
        <v>0</v>
      </c>
      <c r="X187" s="798"/>
      <c r="Y187" s="724"/>
      <c r="Z187" s="798"/>
      <c r="AA187" s="724"/>
      <c r="AB187" s="798"/>
      <c r="AC187" s="724"/>
      <c r="AD187" s="724">
        <f t="shared" si="804"/>
        <v>0</v>
      </c>
      <c r="AE187" s="724">
        <f t="shared" si="805"/>
        <v>0</v>
      </c>
      <c r="AF187" s="798">
        <v>0</v>
      </c>
      <c r="AG187" s="724">
        <f t="shared" si="806"/>
        <v>0</v>
      </c>
      <c r="AH187" s="798">
        <f t="shared" si="807"/>
        <v>0</v>
      </c>
      <c r="AI187" s="724">
        <f t="shared" si="808"/>
        <v>0</v>
      </c>
      <c r="AJ187" s="798">
        <f t="shared" si="809"/>
        <v>0</v>
      </c>
      <c r="AK187" s="724">
        <f t="shared" si="810"/>
        <v>0</v>
      </c>
      <c r="AL187" s="724" t="s">
        <v>532</v>
      </c>
      <c r="AN187" s="806">
        <f t="shared" si="544"/>
        <v>11117.1236</v>
      </c>
    </row>
    <row r="188" s="699" customFormat="1" ht="32" hidden="1" customHeight="1" outlineLevel="2" spans="1:40">
      <c r="A188" s="724" t="s">
        <v>612</v>
      </c>
      <c r="B188" s="734" t="s">
        <v>613</v>
      </c>
      <c r="C188" s="724">
        <f t="shared" si="779"/>
        <v>0</v>
      </c>
      <c r="D188" s="724">
        <f t="shared" si="780"/>
        <v>0</v>
      </c>
      <c r="E188" s="742"/>
      <c r="F188" s="724">
        <f t="shared" si="781"/>
        <v>0</v>
      </c>
      <c r="G188" s="724">
        <f t="shared" si="788"/>
        <v>0</v>
      </c>
      <c r="H188" s="798"/>
      <c r="I188" s="724">
        <f t="shared" si="789"/>
        <v>0</v>
      </c>
      <c r="J188" s="798">
        <f t="shared" si="790"/>
        <v>0</v>
      </c>
      <c r="K188" s="724">
        <f t="shared" si="791"/>
        <v>0</v>
      </c>
      <c r="L188" s="798">
        <f t="shared" si="792"/>
        <v>0</v>
      </c>
      <c r="M188" s="724">
        <f t="shared" si="793"/>
        <v>0</v>
      </c>
      <c r="N188" s="798">
        <f t="shared" si="794"/>
        <v>0</v>
      </c>
      <c r="O188" s="724">
        <f t="shared" si="795"/>
        <v>0</v>
      </c>
      <c r="P188" s="798">
        <f t="shared" si="796"/>
        <v>0</v>
      </c>
      <c r="Q188" s="724">
        <f t="shared" si="797"/>
        <v>0</v>
      </c>
      <c r="R188" s="798">
        <f t="shared" si="798"/>
        <v>0</v>
      </c>
      <c r="S188" s="724">
        <f t="shared" si="799"/>
        <v>0</v>
      </c>
      <c r="T188" s="798">
        <f t="shared" si="800"/>
        <v>0</v>
      </c>
      <c r="U188" s="724">
        <f t="shared" si="801"/>
        <v>0</v>
      </c>
      <c r="V188" s="798">
        <f t="shared" si="802"/>
        <v>0</v>
      </c>
      <c r="W188" s="724">
        <f t="shared" si="803"/>
        <v>0</v>
      </c>
      <c r="X188" s="798"/>
      <c r="Y188" s="724"/>
      <c r="Z188" s="798"/>
      <c r="AA188" s="724"/>
      <c r="AB188" s="798"/>
      <c r="AC188" s="724"/>
      <c r="AD188" s="724">
        <f t="shared" si="804"/>
        <v>0</v>
      </c>
      <c r="AE188" s="724">
        <f t="shared" si="805"/>
        <v>0</v>
      </c>
      <c r="AF188" s="798">
        <v>0</v>
      </c>
      <c r="AG188" s="724">
        <f t="shared" si="806"/>
        <v>0</v>
      </c>
      <c r="AH188" s="798">
        <f t="shared" si="807"/>
        <v>0</v>
      </c>
      <c r="AI188" s="724">
        <f t="shared" si="808"/>
        <v>0</v>
      </c>
      <c r="AJ188" s="798">
        <f t="shared" si="809"/>
        <v>0</v>
      </c>
      <c r="AK188" s="724">
        <f t="shared" si="810"/>
        <v>0</v>
      </c>
      <c r="AL188" s="724" t="s">
        <v>592</v>
      </c>
      <c r="AN188" s="806">
        <f t="shared" si="544"/>
        <v>0</v>
      </c>
    </row>
    <row r="189" s="699" customFormat="1" ht="32" hidden="1" customHeight="1" outlineLevel="2" spans="1:40">
      <c r="A189" s="724" t="s">
        <v>614</v>
      </c>
      <c r="B189" s="734" t="s">
        <v>615</v>
      </c>
      <c r="C189" s="724">
        <f t="shared" si="779"/>
        <v>0</v>
      </c>
      <c r="D189" s="724">
        <f t="shared" si="780"/>
        <v>0</v>
      </c>
      <c r="E189" s="742"/>
      <c r="F189" s="724">
        <f t="shared" si="781"/>
        <v>0</v>
      </c>
      <c r="G189" s="724">
        <f t="shared" si="788"/>
        <v>0</v>
      </c>
      <c r="H189" s="798"/>
      <c r="I189" s="724">
        <f t="shared" si="789"/>
        <v>0</v>
      </c>
      <c r="J189" s="798">
        <f t="shared" si="790"/>
        <v>0</v>
      </c>
      <c r="K189" s="724">
        <f t="shared" si="791"/>
        <v>0</v>
      </c>
      <c r="L189" s="798">
        <f t="shared" si="792"/>
        <v>0</v>
      </c>
      <c r="M189" s="724">
        <f t="shared" si="793"/>
        <v>0</v>
      </c>
      <c r="N189" s="798">
        <f t="shared" si="794"/>
        <v>0</v>
      </c>
      <c r="O189" s="724">
        <f t="shared" si="795"/>
        <v>0</v>
      </c>
      <c r="P189" s="798">
        <f t="shared" si="796"/>
        <v>0</v>
      </c>
      <c r="Q189" s="724">
        <f t="shared" si="797"/>
        <v>0</v>
      </c>
      <c r="R189" s="798">
        <f t="shared" si="798"/>
        <v>0</v>
      </c>
      <c r="S189" s="724">
        <f t="shared" si="799"/>
        <v>0</v>
      </c>
      <c r="T189" s="798">
        <f t="shared" si="800"/>
        <v>0</v>
      </c>
      <c r="U189" s="724">
        <f t="shared" si="801"/>
        <v>0</v>
      </c>
      <c r="V189" s="798">
        <f t="shared" si="802"/>
        <v>0</v>
      </c>
      <c r="W189" s="724">
        <f t="shared" si="803"/>
        <v>0</v>
      </c>
      <c r="X189" s="798"/>
      <c r="Y189" s="724"/>
      <c r="Z189" s="798"/>
      <c r="AA189" s="724"/>
      <c r="AB189" s="798"/>
      <c r="AC189" s="724"/>
      <c r="AD189" s="724">
        <f t="shared" si="804"/>
        <v>0</v>
      </c>
      <c r="AE189" s="724">
        <f t="shared" si="805"/>
        <v>0</v>
      </c>
      <c r="AF189" s="798">
        <v>0</v>
      </c>
      <c r="AG189" s="724">
        <f t="shared" si="806"/>
        <v>0</v>
      </c>
      <c r="AH189" s="798">
        <f t="shared" si="807"/>
        <v>0</v>
      </c>
      <c r="AI189" s="724">
        <f t="shared" si="808"/>
        <v>0</v>
      </c>
      <c r="AJ189" s="798">
        <f t="shared" si="809"/>
        <v>0</v>
      </c>
      <c r="AK189" s="724">
        <f t="shared" si="810"/>
        <v>0</v>
      </c>
      <c r="AL189" s="724" t="s">
        <v>592</v>
      </c>
      <c r="AN189" s="806">
        <f t="shared" si="544"/>
        <v>0</v>
      </c>
    </row>
    <row r="190" s="699" customFormat="1" hidden="1" customHeight="1" outlineLevel="1" collapsed="1" spans="1:40">
      <c r="A190" s="797">
        <v>3.5</v>
      </c>
      <c r="B190" s="797" t="s">
        <v>616</v>
      </c>
      <c r="C190" s="797">
        <f t="shared" ref="C190:AK190" si="811">SUM(C191:C193)</f>
        <v>9.86909962068277</v>
      </c>
      <c r="D190" s="797">
        <f t="shared" si="811"/>
        <v>70.443906</v>
      </c>
      <c r="E190" s="742"/>
      <c r="F190" s="797">
        <f t="shared" si="811"/>
        <v>8</v>
      </c>
      <c r="G190" s="797">
        <f t="shared" si="811"/>
        <v>39.314192</v>
      </c>
      <c r="H190" s="797">
        <f t="shared" si="811"/>
        <v>8</v>
      </c>
      <c r="I190" s="797">
        <f t="shared" si="811"/>
        <v>25.314272</v>
      </c>
      <c r="J190" s="797">
        <f t="shared" si="811"/>
        <v>8</v>
      </c>
      <c r="K190" s="797">
        <f t="shared" si="811"/>
        <v>13.353984</v>
      </c>
      <c r="L190" s="797">
        <f t="shared" si="811"/>
        <v>8</v>
      </c>
      <c r="M190" s="797">
        <f t="shared" si="811"/>
        <v>0</v>
      </c>
      <c r="N190" s="797">
        <f t="shared" si="811"/>
        <v>8</v>
      </c>
      <c r="O190" s="797">
        <f t="shared" si="811"/>
        <v>0</v>
      </c>
      <c r="P190" s="797">
        <f t="shared" si="811"/>
        <v>8</v>
      </c>
      <c r="Q190" s="797">
        <f t="shared" si="811"/>
        <v>0</v>
      </c>
      <c r="R190" s="797">
        <f t="shared" si="811"/>
        <v>8</v>
      </c>
      <c r="S190" s="797">
        <f t="shared" si="811"/>
        <v>0</v>
      </c>
      <c r="T190" s="797">
        <f t="shared" si="811"/>
        <v>8</v>
      </c>
      <c r="U190" s="797">
        <f t="shared" si="811"/>
        <v>0</v>
      </c>
      <c r="V190" s="797">
        <f t="shared" si="811"/>
        <v>8</v>
      </c>
      <c r="W190" s="797">
        <f t="shared" si="811"/>
        <v>0.645936</v>
      </c>
      <c r="X190" s="797"/>
      <c r="Y190" s="797"/>
      <c r="Z190" s="797"/>
      <c r="AA190" s="797"/>
      <c r="AB190" s="797"/>
      <c r="AC190" s="797"/>
      <c r="AD190" s="797">
        <f t="shared" si="811"/>
        <v>14</v>
      </c>
      <c r="AE190" s="797">
        <f t="shared" si="811"/>
        <v>31.129714</v>
      </c>
      <c r="AF190" s="797">
        <f t="shared" si="811"/>
        <v>14</v>
      </c>
      <c r="AG190" s="797">
        <f t="shared" si="811"/>
        <v>0</v>
      </c>
      <c r="AH190" s="797">
        <f t="shared" si="811"/>
        <v>14</v>
      </c>
      <c r="AI190" s="797">
        <f t="shared" si="811"/>
        <v>5.523154</v>
      </c>
      <c r="AJ190" s="797">
        <f t="shared" si="811"/>
        <v>14</v>
      </c>
      <c r="AK190" s="797">
        <f t="shared" si="811"/>
        <v>25.60656</v>
      </c>
      <c r="AL190" s="724"/>
      <c r="AN190" s="806">
        <f t="shared" si="544"/>
        <v>704439.06</v>
      </c>
    </row>
    <row r="191" s="699" customFormat="1" ht="32" hidden="1" customHeight="1" outlineLevel="2" spans="1:40">
      <c r="A191" s="724" t="s">
        <v>617</v>
      </c>
      <c r="B191" s="757" t="s">
        <v>618</v>
      </c>
      <c r="C191" s="724">
        <f>D191/$C$8</f>
        <v>8</v>
      </c>
      <c r="D191" s="724">
        <f>G191+AE191</f>
        <v>57.1026</v>
      </c>
      <c r="E191" s="742" t="s">
        <v>619</v>
      </c>
      <c r="F191" s="724">
        <f>G191/$F$8</f>
        <v>8</v>
      </c>
      <c r="G191" s="724">
        <f t="shared" ref="G191:G193" si="812">I191+K191+M191+O191+Q191+S191+U191+W191</f>
        <v>39.314192</v>
      </c>
      <c r="H191" s="798">
        <v>8</v>
      </c>
      <c r="I191" s="724">
        <f t="shared" ref="I191:M191" si="813">H191*H$8</f>
        <v>25.314272</v>
      </c>
      <c r="J191" s="798">
        <f>+H191</f>
        <v>8</v>
      </c>
      <c r="K191" s="724">
        <f t="shared" si="813"/>
        <v>13.353984</v>
      </c>
      <c r="L191" s="798">
        <f>+H191</f>
        <v>8</v>
      </c>
      <c r="M191" s="724">
        <f t="shared" si="813"/>
        <v>0</v>
      </c>
      <c r="N191" s="798">
        <f t="shared" ref="N191:R191" si="814">+L191</f>
        <v>8</v>
      </c>
      <c r="O191" s="724">
        <f t="shared" ref="O191:S191" si="815">N191*N$8</f>
        <v>0</v>
      </c>
      <c r="P191" s="798">
        <f t="shared" si="814"/>
        <v>8</v>
      </c>
      <c r="Q191" s="724">
        <f t="shared" si="815"/>
        <v>0</v>
      </c>
      <c r="R191" s="798">
        <f t="shared" si="814"/>
        <v>8</v>
      </c>
      <c r="S191" s="724">
        <f t="shared" si="815"/>
        <v>0</v>
      </c>
      <c r="T191" s="798">
        <f t="shared" ref="T191:X191" si="816">+R191</f>
        <v>8</v>
      </c>
      <c r="U191" s="724">
        <f t="shared" ref="U191:Y191" si="817">T191*T$8</f>
        <v>0</v>
      </c>
      <c r="V191" s="798">
        <f t="shared" si="816"/>
        <v>8</v>
      </c>
      <c r="W191" s="724">
        <f t="shared" si="817"/>
        <v>0.645936</v>
      </c>
      <c r="X191" s="798"/>
      <c r="Y191" s="724"/>
      <c r="Z191" s="798"/>
      <c r="AA191" s="724"/>
      <c r="AB191" s="798"/>
      <c r="AC191" s="724"/>
      <c r="AD191" s="724">
        <f>AE191/AD$8</f>
        <v>8</v>
      </c>
      <c r="AE191" s="724">
        <f>AG191*0+AI191+AK191</f>
        <v>17.788408</v>
      </c>
      <c r="AF191" s="798">
        <v>8</v>
      </c>
      <c r="AG191" s="724">
        <f t="shared" ref="AG191:AK191" si="818">AF191*AF$8</f>
        <v>0</v>
      </c>
      <c r="AH191" s="798">
        <f>+AF191</f>
        <v>8</v>
      </c>
      <c r="AI191" s="724">
        <f t="shared" si="818"/>
        <v>3.156088</v>
      </c>
      <c r="AJ191" s="798">
        <f>+AH191</f>
        <v>8</v>
      </c>
      <c r="AK191" s="724">
        <f t="shared" si="818"/>
        <v>14.63232</v>
      </c>
      <c r="AL191" s="724" t="s">
        <v>178</v>
      </c>
      <c r="AN191" s="806">
        <f t="shared" si="544"/>
        <v>571026</v>
      </c>
    </row>
    <row r="192" s="699" customFormat="1" ht="32" hidden="1" customHeight="1" outlineLevel="2" spans="1:40">
      <c r="A192" s="724" t="s">
        <v>620</v>
      </c>
      <c r="B192" s="758" t="s">
        <v>621</v>
      </c>
      <c r="C192" s="724">
        <f>D192/$C$8</f>
        <v>1.86909962068277</v>
      </c>
      <c r="D192" s="724">
        <f>G192+AE192</f>
        <v>13.341306</v>
      </c>
      <c r="E192" s="742" t="s">
        <v>622</v>
      </c>
      <c r="F192" s="724">
        <f>G192/$F$8</f>
        <v>0</v>
      </c>
      <c r="G192" s="724">
        <f t="shared" si="812"/>
        <v>0</v>
      </c>
      <c r="H192" s="798"/>
      <c r="I192" s="724">
        <f t="shared" ref="I192:M192" si="819">H192*H$8</f>
        <v>0</v>
      </c>
      <c r="J192" s="798">
        <f>+H192</f>
        <v>0</v>
      </c>
      <c r="K192" s="724">
        <f t="shared" si="819"/>
        <v>0</v>
      </c>
      <c r="L192" s="798">
        <f>+H192</f>
        <v>0</v>
      </c>
      <c r="M192" s="724">
        <f t="shared" si="819"/>
        <v>0</v>
      </c>
      <c r="N192" s="798">
        <f t="shared" ref="N192:R192" si="820">+L192</f>
        <v>0</v>
      </c>
      <c r="O192" s="724">
        <f t="shared" ref="O192:S192" si="821">N192*N$8</f>
        <v>0</v>
      </c>
      <c r="P192" s="798">
        <f t="shared" si="820"/>
        <v>0</v>
      </c>
      <c r="Q192" s="724">
        <f t="shared" si="821"/>
        <v>0</v>
      </c>
      <c r="R192" s="798">
        <f t="shared" si="820"/>
        <v>0</v>
      </c>
      <c r="S192" s="724">
        <f t="shared" si="821"/>
        <v>0</v>
      </c>
      <c r="T192" s="798">
        <f t="shared" ref="T192:X192" si="822">+R192</f>
        <v>0</v>
      </c>
      <c r="U192" s="724">
        <f t="shared" ref="U192:Y192" si="823">T192*T$8</f>
        <v>0</v>
      </c>
      <c r="V192" s="798">
        <f t="shared" si="822"/>
        <v>0</v>
      </c>
      <c r="W192" s="724">
        <f t="shared" si="823"/>
        <v>0</v>
      </c>
      <c r="X192" s="798"/>
      <c r="Y192" s="724"/>
      <c r="Z192" s="798"/>
      <c r="AA192" s="724"/>
      <c r="AB192" s="798"/>
      <c r="AC192" s="724"/>
      <c r="AD192" s="724">
        <v>6</v>
      </c>
      <c r="AE192" s="724">
        <f>AG192*0+AI192+AK192</f>
        <v>13.341306</v>
      </c>
      <c r="AF192" s="798">
        <v>6</v>
      </c>
      <c r="AG192" s="724">
        <f t="shared" ref="AG192:AK192" si="824">AF192*AF$8</f>
        <v>0</v>
      </c>
      <c r="AH192" s="798">
        <f>+AF192</f>
        <v>6</v>
      </c>
      <c r="AI192" s="724">
        <f t="shared" si="824"/>
        <v>2.367066</v>
      </c>
      <c r="AJ192" s="798">
        <f>+AH192</f>
        <v>6</v>
      </c>
      <c r="AK192" s="724">
        <f t="shared" si="824"/>
        <v>10.97424</v>
      </c>
      <c r="AL192" s="724" t="s">
        <v>623</v>
      </c>
      <c r="AN192" s="806">
        <f t="shared" si="544"/>
        <v>133413.06</v>
      </c>
    </row>
    <row r="193" s="699" customFormat="1" ht="32" hidden="1" customHeight="1" outlineLevel="2" spans="1:40">
      <c r="A193" s="724" t="s">
        <v>624</v>
      </c>
      <c r="B193" s="757" t="s">
        <v>625</v>
      </c>
      <c r="C193" s="724">
        <f>D193/$C$8</f>
        <v>0</v>
      </c>
      <c r="D193" s="724">
        <f>G193+AE193</f>
        <v>0</v>
      </c>
      <c r="E193" s="742" t="s">
        <v>626</v>
      </c>
      <c r="F193" s="724">
        <f>G193/$F$8</f>
        <v>0</v>
      </c>
      <c r="G193" s="724">
        <f t="shared" si="812"/>
        <v>0</v>
      </c>
      <c r="H193" s="798"/>
      <c r="I193" s="724">
        <f t="shared" ref="I193:M193" si="825">H193*H$8</f>
        <v>0</v>
      </c>
      <c r="J193" s="798">
        <f>+H193</f>
        <v>0</v>
      </c>
      <c r="K193" s="724">
        <f t="shared" si="825"/>
        <v>0</v>
      </c>
      <c r="L193" s="798">
        <f>+H193</f>
        <v>0</v>
      </c>
      <c r="M193" s="724">
        <f t="shared" si="825"/>
        <v>0</v>
      </c>
      <c r="N193" s="798">
        <f t="shared" ref="N193:R193" si="826">+L193</f>
        <v>0</v>
      </c>
      <c r="O193" s="724">
        <f t="shared" ref="O193:S193" si="827">N193*N$8</f>
        <v>0</v>
      </c>
      <c r="P193" s="798">
        <f t="shared" si="826"/>
        <v>0</v>
      </c>
      <c r="Q193" s="724">
        <f t="shared" si="827"/>
        <v>0</v>
      </c>
      <c r="R193" s="798">
        <f t="shared" si="826"/>
        <v>0</v>
      </c>
      <c r="S193" s="724">
        <f t="shared" si="827"/>
        <v>0</v>
      </c>
      <c r="T193" s="798">
        <f t="shared" ref="T193:X193" si="828">+R193</f>
        <v>0</v>
      </c>
      <c r="U193" s="724">
        <f t="shared" ref="U193:Y193" si="829">T193*T$8</f>
        <v>0</v>
      </c>
      <c r="V193" s="798">
        <f t="shared" si="828"/>
        <v>0</v>
      </c>
      <c r="W193" s="724">
        <f t="shared" si="829"/>
        <v>0</v>
      </c>
      <c r="X193" s="798"/>
      <c r="Y193" s="724"/>
      <c r="Z193" s="798"/>
      <c r="AA193" s="724"/>
      <c r="AB193" s="798"/>
      <c r="AC193" s="724"/>
      <c r="AD193" s="724">
        <f>AE193/AD$8</f>
        <v>0</v>
      </c>
      <c r="AE193" s="724">
        <f>AG193*0+AI193+AK193</f>
        <v>0</v>
      </c>
      <c r="AF193" s="798">
        <v>0</v>
      </c>
      <c r="AG193" s="724">
        <f t="shared" ref="AG193:AK193" si="830">AF193*AF$8</f>
        <v>0</v>
      </c>
      <c r="AH193" s="798">
        <f>+AF193</f>
        <v>0</v>
      </c>
      <c r="AI193" s="724">
        <f t="shared" si="830"/>
        <v>0</v>
      </c>
      <c r="AJ193" s="798">
        <f>+AH193</f>
        <v>0</v>
      </c>
      <c r="AK193" s="724">
        <f t="shared" si="830"/>
        <v>0</v>
      </c>
      <c r="AL193" s="724"/>
      <c r="AN193" s="806">
        <f t="shared" si="544"/>
        <v>0</v>
      </c>
    </row>
    <row r="194" customHeight="1" collapsed="1" spans="1:40">
      <c r="A194" s="794">
        <v>4</v>
      </c>
      <c r="B194" s="795" t="s">
        <v>627</v>
      </c>
      <c r="C194" s="795">
        <f t="shared" ref="C194:Q194" si="831">+C195+C198+C201+C202+C205+C208+C213+C214+C215+C216+C217+C218+C219</f>
        <v>502.892869466539</v>
      </c>
      <c r="D194" s="795">
        <f t="shared" si="831"/>
        <v>3589.561296</v>
      </c>
      <c r="E194" s="742"/>
      <c r="F194" s="795">
        <f t="shared" si="831"/>
        <v>730.435725806091</v>
      </c>
      <c r="G194" s="795">
        <f t="shared" si="831"/>
        <v>3589.561296</v>
      </c>
      <c r="H194" s="795">
        <f t="shared" si="831"/>
        <v>747.357076430012</v>
      </c>
      <c r="I194" s="795">
        <f t="shared" si="831"/>
        <v>2364.85003923426</v>
      </c>
      <c r="J194" s="795">
        <f t="shared" si="831"/>
        <v>733.690414345704</v>
      </c>
      <c r="K194" s="795">
        <f t="shared" si="831"/>
        <v>1224.71125676574</v>
      </c>
      <c r="L194" s="795">
        <f t="shared" si="831"/>
        <v>586.704810064359</v>
      </c>
      <c r="M194" s="795">
        <f t="shared" si="831"/>
        <v>0</v>
      </c>
      <c r="N194" s="795">
        <f t="shared" si="831"/>
        <v>623.075957705463</v>
      </c>
      <c r="O194" s="795">
        <f t="shared" si="831"/>
        <v>0</v>
      </c>
      <c r="P194" s="795">
        <f t="shared" si="831"/>
        <v>586.704810064359</v>
      </c>
      <c r="Q194" s="795">
        <f t="shared" si="831"/>
        <v>0</v>
      </c>
      <c r="R194" s="795">
        <f t="shared" ref="R194:AL194" si="832">+R195+R198+R201+R202+R205+R208+R213+R214+R215+R216+R217+R218+R219</f>
        <v>135</v>
      </c>
      <c r="S194" s="795">
        <f t="shared" si="832"/>
        <v>0</v>
      </c>
      <c r="T194" s="795">
        <f t="shared" si="832"/>
        <v>605.704810064359</v>
      </c>
      <c r="U194" s="795">
        <f t="shared" si="832"/>
        <v>0</v>
      </c>
      <c r="V194" s="795">
        <f t="shared" si="832"/>
        <v>0</v>
      </c>
      <c r="W194" s="795">
        <f t="shared" si="832"/>
        <v>0</v>
      </c>
      <c r="X194" s="795"/>
      <c r="Y194" s="795"/>
      <c r="Z194" s="795"/>
      <c r="AA194" s="795"/>
      <c r="AB194" s="795"/>
      <c r="AC194" s="795"/>
      <c r="AD194" s="795">
        <f t="shared" si="832"/>
        <v>0</v>
      </c>
      <c r="AE194" s="795">
        <f t="shared" si="832"/>
        <v>0</v>
      </c>
      <c r="AF194" s="795">
        <f t="shared" si="832"/>
        <v>0</v>
      </c>
      <c r="AG194" s="795">
        <f t="shared" si="832"/>
        <v>0</v>
      </c>
      <c r="AH194" s="795">
        <f t="shared" si="832"/>
        <v>0</v>
      </c>
      <c r="AI194" s="795">
        <f t="shared" si="832"/>
        <v>0</v>
      </c>
      <c r="AJ194" s="795">
        <f t="shared" si="832"/>
        <v>0</v>
      </c>
      <c r="AK194" s="795">
        <f t="shared" si="832"/>
        <v>0</v>
      </c>
      <c r="AL194" s="724" t="s">
        <v>164</v>
      </c>
      <c r="AN194" s="806">
        <f t="shared" si="544"/>
        <v>35895612.96</v>
      </c>
    </row>
    <row r="195" hidden="1" customHeight="1" outlineLevel="1" collapsed="1" spans="1:40">
      <c r="A195" s="797">
        <v>4.1</v>
      </c>
      <c r="B195" s="797" t="s">
        <v>628</v>
      </c>
      <c r="C195" s="797">
        <f>SUM(C196:C197)</f>
        <v>105.725168381125</v>
      </c>
      <c r="D195" s="797">
        <f>SUM(D196:D197)</f>
        <v>754.64775</v>
      </c>
      <c r="E195" s="742"/>
      <c r="F195" s="797">
        <f t="shared" ref="F195:M195" si="833">SUM(F196:F197)</f>
        <v>153.562408201089</v>
      </c>
      <c r="G195" s="797">
        <f t="shared" si="833"/>
        <v>754.64775</v>
      </c>
      <c r="H195" s="797">
        <f t="shared" si="833"/>
        <v>156.127599858654</v>
      </c>
      <c r="I195" s="797">
        <f t="shared" si="833"/>
        <v>494.032066191142</v>
      </c>
      <c r="J195" s="797">
        <f t="shared" si="833"/>
        <v>156.127599858654</v>
      </c>
      <c r="K195" s="797">
        <f t="shared" si="833"/>
        <v>260.615683808858</v>
      </c>
      <c r="L195" s="797">
        <f t="shared" si="833"/>
        <v>67</v>
      </c>
      <c r="M195" s="797">
        <f t="shared" si="833"/>
        <v>0</v>
      </c>
      <c r="N195" s="797">
        <f t="shared" ref="N195:AK195" si="834">SUM(N196:N197)</f>
        <v>103.371147641104</v>
      </c>
      <c r="O195" s="797">
        <f t="shared" si="834"/>
        <v>0</v>
      </c>
      <c r="P195" s="797">
        <f t="shared" si="834"/>
        <v>67</v>
      </c>
      <c r="Q195" s="797">
        <f t="shared" si="834"/>
        <v>0</v>
      </c>
      <c r="R195" s="797">
        <f t="shared" si="834"/>
        <v>85</v>
      </c>
      <c r="S195" s="797">
        <f t="shared" si="834"/>
        <v>0</v>
      </c>
      <c r="T195" s="797">
        <f t="shared" si="834"/>
        <v>86</v>
      </c>
      <c r="U195" s="797">
        <f t="shared" si="834"/>
        <v>0</v>
      </c>
      <c r="V195" s="797">
        <f t="shared" si="834"/>
        <v>0</v>
      </c>
      <c r="W195" s="797">
        <f t="shared" si="834"/>
        <v>0</v>
      </c>
      <c r="X195" s="797"/>
      <c r="Y195" s="797"/>
      <c r="Z195" s="797"/>
      <c r="AA195" s="797"/>
      <c r="AB195" s="797"/>
      <c r="AC195" s="797"/>
      <c r="AD195" s="797">
        <f t="shared" si="834"/>
        <v>0</v>
      </c>
      <c r="AE195" s="797">
        <f t="shared" si="834"/>
        <v>0</v>
      </c>
      <c r="AF195" s="797">
        <f t="shared" si="834"/>
        <v>0</v>
      </c>
      <c r="AG195" s="797">
        <f t="shared" si="834"/>
        <v>0</v>
      </c>
      <c r="AH195" s="797">
        <f t="shared" si="834"/>
        <v>0</v>
      </c>
      <c r="AI195" s="797">
        <f t="shared" si="834"/>
        <v>0</v>
      </c>
      <c r="AJ195" s="797">
        <f t="shared" si="834"/>
        <v>0</v>
      </c>
      <c r="AK195" s="797">
        <f t="shared" si="834"/>
        <v>0</v>
      </c>
      <c r="AL195" s="724"/>
      <c r="AN195" s="806">
        <f t="shared" si="544"/>
        <v>7546477.5</v>
      </c>
    </row>
    <row r="196" s="699" customFormat="1" hidden="1" customHeight="1" outlineLevel="2" spans="1:40">
      <c r="A196" s="724" t="s">
        <v>629</v>
      </c>
      <c r="B196" s="759" t="s">
        <v>630</v>
      </c>
      <c r="C196" s="724">
        <f>D196/$C$8</f>
        <v>35.7251683811245</v>
      </c>
      <c r="D196" s="724">
        <f>G196+AE196</f>
        <v>255</v>
      </c>
      <c r="E196" s="742" t="s">
        <v>631</v>
      </c>
      <c r="F196" s="724">
        <f>G196/$F$8</f>
        <v>51.8896585741862</v>
      </c>
      <c r="G196" s="724">
        <f t="shared" ref="G196:G200" si="835">I196+K196+M196+O196+Q196+S196+U196+W196</f>
        <v>255</v>
      </c>
      <c r="H196" s="724">
        <f>1.5*170/(H8+J8)</f>
        <v>52.7564522175502</v>
      </c>
      <c r="I196" s="724">
        <f>H196*H$8</f>
        <v>166.936397648759</v>
      </c>
      <c r="J196" s="724">
        <f>+H196</f>
        <v>52.7564522175502</v>
      </c>
      <c r="K196" s="724">
        <f>J196*J$8</f>
        <v>88.0636023512413</v>
      </c>
      <c r="L196" s="724"/>
      <c r="M196" s="724">
        <f t="shared" ref="M196" si="836">L196*L$8</f>
        <v>0</v>
      </c>
      <c r="N196" s="724"/>
      <c r="O196" s="724">
        <f>N196*N$8</f>
        <v>0</v>
      </c>
      <c r="P196" s="724"/>
      <c r="Q196" s="724">
        <f>P196*P$8</f>
        <v>0</v>
      </c>
      <c r="R196" s="724"/>
      <c r="S196" s="724">
        <f>R196*R$8</f>
        <v>0</v>
      </c>
      <c r="T196" s="724"/>
      <c r="U196" s="724">
        <f>T196*T$8</f>
        <v>0</v>
      </c>
      <c r="V196" s="724"/>
      <c r="W196" s="724">
        <f>V196*V$8</f>
        <v>0</v>
      </c>
      <c r="X196" s="724"/>
      <c r="Y196" s="724"/>
      <c r="Z196" s="724"/>
      <c r="AA196" s="724"/>
      <c r="AB196" s="724"/>
      <c r="AC196" s="724"/>
      <c r="AD196" s="724">
        <f>AE196/AD$8</f>
        <v>0</v>
      </c>
      <c r="AE196" s="724">
        <f>AG196*0+AI196+AK196</f>
        <v>0</v>
      </c>
      <c r="AF196" s="724">
        <v>0</v>
      </c>
      <c r="AG196" s="724">
        <f t="shared" ref="AG196" si="837">AF196*AF$8</f>
        <v>0</v>
      </c>
      <c r="AH196" s="724"/>
      <c r="AI196" s="724">
        <f>AH196*AH$8</f>
        <v>0</v>
      </c>
      <c r="AJ196" s="724"/>
      <c r="AK196" s="724">
        <f>AJ196*AJ$8</f>
        <v>0</v>
      </c>
      <c r="AL196" s="724"/>
      <c r="AN196" s="806">
        <f t="shared" si="544"/>
        <v>2550000</v>
      </c>
    </row>
    <row r="197" s="699" customFormat="1" hidden="1" customHeight="1" outlineLevel="2" spans="1:40">
      <c r="A197" s="724" t="s">
        <v>632</v>
      </c>
      <c r="B197" s="759" t="s">
        <v>633</v>
      </c>
      <c r="C197" s="724">
        <f>D197/$C$8</f>
        <v>70</v>
      </c>
      <c r="D197" s="724">
        <f>G197+AE197</f>
        <v>499.64775</v>
      </c>
      <c r="E197" s="742" t="s">
        <v>634</v>
      </c>
      <c r="F197" s="724">
        <f>G197/$F$8</f>
        <v>101.672749626903</v>
      </c>
      <c r="G197" s="724">
        <f t="shared" si="835"/>
        <v>499.64775</v>
      </c>
      <c r="H197" s="724">
        <f>70*C8/(H8+J8)</f>
        <v>103.371147641104</v>
      </c>
      <c r="I197" s="724">
        <f>H197*H$8</f>
        <v>327.095668542383</v>
      </c>
      <c r="J197" s="724">
        <f>+H197</f>
        <v>103.371147641104</v>
      </c>
      <c r="K197" s="724">
        <f>J197*J$8</f>
        <v>172.552081457617</v>
      </c>
      <c r="L197" s="724">
        <v>67</v>
      </c>
      <c r="M197" s="724">
        <f t="shared" ref="M197" si="838">L197*L$8</f>
        <v>0</v>
      </c>
      <c r="N197" s="724">
        <f>H197</f>
        <v>103.371147641104</v>
      </c>
      <c r="O197" s="724">
        <f>N197*N$8</f>
        <v>0</v>
      </c>
      <c r="P197" s="724">
        <v>67</v>
      </c>
      <c r="Q197" s="724">
        <f>P197*P$8</f>
        <v>0</v>
      </c>
      <c r="R197" s="724">
        <v>85</v>
      </c>
      <c r="S197" s="724">
        <f>R197*R$8</f>
        <v>0</v>
      </c>
      <c r="T197" s="724">
        <v>86</v>
      </c>
      <c r="U197" s="724">
        <f>T197*T$8</f>
        <v>0</v>
      </c>
      <c r="V197" s="724">
        <v>0</v>
      </c>
      <c r="W197" s="724">
        <f>V197*V$8</f>
        <v>0</v>
      </c>
      <c r="X197" s="724"/>
      <c r="Y197" s="724"/>
      <c r="Z197" s="724"/>
      <c r="AA197" s="724"/>
      <c r="AB197" s="724"/>
      <c r="AC197" s="724"/>
      <c r="AD197" s="724">
        <f>AE197/AD$8</f>
        <v>0</v>
      </c>
      <c r="AE197" s="724">
        <f>AG197*0+AI197+AK197</f>
        <v>0</v>
      </c>
      <c r="AF197" s="724">
        <v>0</v>
      </c>
      <c r="AG197" s="724">
        <f t="shared" ref="AG197" si="839">AF197*AF$8</f>
        <v>0</v>
      </c>
      <c r="AH197" s="724">
        <v>0</v>
      </c>
      <c r="AI197" s="724">
        <f>AH197*AH$8</f>
        <v>0</v>
      </c>
      <c r="AJ197" s="724">
        <v>0</v>
      </c>
      <c r="AK197" s="724">
        <f>AJ197*AJ$8</f>
        <v>0</v>
      </c>
      <c r="AL197" s="724"/>
      <c r="AN197" s="806">
        <f t="shared" si="544"/>
        <v>4996477.5</v>
      </c>
    </row>
    <row r="198" hidden="1" customHeight="1" outlineLevel="1" collapsed="1" spans="1:40">
      <c r="A198" s="797">
        <v>4.2</v>
      </c>
      <c r="B198" s="797" t="s">
        <v>635</v>
      </c>
      <c r="C198" s="797">
        <f>SUM(C199:C200)</f>
        <v>50.7878660516334</v>
      </c>
      <c r="D198" s="797">
        <f>SUM(D199:D200)</f>
        <v>362.5149</v>
      </c>
      <c r="E198" s="742"/>
      <c r="F198" s="797">
        <f t="shared" ref="F198:AK198" si="840">SUM(F199:F200)</f>
        <v>73.7677427021774</v>
      </c>
      <c r="G198" s="797">
        <f t="shared" si="840"/>
        <v>362.5149</v>
      </c>
      <c r="H198" s="797">
        <f t="shared" si="840"/>
        <v>75</v>
      </c>
      <c r="I198" s="797">
        <f t="shared" si="840"/>
        <v>237.3213</v>
      </c>
      <c r="J198" s="797">
        <f t="shared" si="840"/>
        <v>75</v>
      </c>
      <c r="K198" s="797">
        <f t="shared" si="840"/>
        <v>125.1936</v>
      </c>
      <c r="L198" s="797">
        <f t="shared" si="840"/>
        <v>75</v>
      </c>
      <c r="M198" s="797">
        <f t="shared" si="840"/>
        <v>0</v>
      </c>
      <c r="N198" s="797">
        <f t="shared" si="840"/>
        <v>75</v>
      </c>
      <c r="O198" s="797">
        <f t="shared" si="840"/>
        <v>0</v>
      </c>
      <c r="P198" s="797">
        <f t="shared" si="840"/>
        <v>75</v>
      </c>
      <c r="Q198" s="797">
        <f t="shared" si="840"/>
        <v>0</v>
      </c>
      <c r="R198" s="797">
        <f t="shared" si="840"/>
        <v>50</v>
      </c>
      <c r="S198" s="797">
        <f t="shared" si="840"/>
        <v>0</v>
      </c>
      <c r="T198" s="797">
        <f t="shared" si="840"/>
        <v>75</v>
      </c>
      <c r="U198" s="797">
        <f t="shared" si="840"/>
        <v>0</v>
      </c>
      <c r="V198" s="797">
        <f t="shared" si="840"/>
        <v>0</v>
      </c>
      <c r="W198" s="797">
        <f t="shared" si="840"/>
        <v>0</v>
      </c>
      <c r="X198" s="797"/>
      <c r="Y198" s="797"/>
      <c r="Z198" s="797"/>
      <c r="AA198" s="797"/>
      <c r="AB198" s="797"/>
      <c r="AC198" s="797"/>
      <c r="AD198" s="797">
        <f t="shared" si="840"/>
        <v>0</v>
      </c>
      <c r="AE198" s="797">
        <f t="shared" si="840"/>
        <v>0</v>
      </c>
      <c r="AF198" s="797">
        <f t="shared" si="840"/>
        <v>0</v>
      </c>
      <c r="AG198" s="797">
        <f t="shared" si="840"/>
        <v>0</v>
      </c>
      <c r="AH198" s="797">
        <f t="shared" si="840"/>
        <v>0</v>
      </c>
      <c r="AI198" s="797">
        <f t="shared" si="840"/>
        <v>0</v>
      </c>
      <c r="AJ198" s="797">
        <f t="shared" si="840"/>
        <v>0</v>
      </c>
      <c r="AK198" s="797">
        <f t="shared" si="840"/>
        <v>0</v>
      </c>
      <c r="AL198" s="724"/>
      <c r="AN198" s="806">
        <f t="shared" si="544"/>
        <v>3625149</v>
      </c>
    </row>
    <row r="199" s="699" customFormat="1" hidden="1" customHeight="1" outlineLevel="2" spans="1:40">
      <c r="A199" s="724" t="s">
        <v>636</v>
      </c>
      <c r="B199" s="759" t="s">
        <v>637</v>
      </c>
      <c r="C199" s="724">
        <f>D199/$C$8</f>
        <v>0</v>
      </c>
      <c r="D199" s="724">
        <f>G199+AE199</f>
        <v>0</v>
      </c>
      <c r="E199" s="724"/>
      <c r="F199" s="724">
        <f>G199/$F$8</f>
        <v>0</v>
      </c>
      <c r="G199" s="724">
        <f t="shared" si="835"/>
        <v>0</v>
      </c>
      <c r="H199" s="724"/>
      <c r="I199" s="724">
        <f>H199*H$8</f>
        <v>0</v>
      </c>
      <c r="J199" s="724"/>
      <c r="K199" s="724">
        <f>J199*J$8</f>
        <v>0</v>
      </c>
      <c r="L199" s="724"/>
      <c r="M199" s="724">
        <f t="shared" ref="M199" si="841">L199*L$8</f>
        <v>0</v>
      </c>
      <c r="N199" s="724"/>
      <c r="O199" s="724">
        <f>N199*N$8</f>
        <v>0</v>
      </c>
      <c r="P199" s="724"/>
      <c r="Q199" s="724">
        <f>P199*P$8</f>
        <v>0</v>
      </c>
      <c r="R199" s="724"/>
      <c r="S199" s="724">
        <f>R199*R$8</f>
        <v>0</v>
      </c>
      <c r="T199" s="724"/>
      <c r="U199" s="724">
        <f>T199*T$8</f>
        <v>0</v>
      </c>
      <c r="V199" s="724"/>
      <c r="W199" s="724">
        <f>V199*V$8</f>
        <v>0</v>
      </c>
      <c r="X199" s="724"/>
      <c r="Y199" s="724"/>
      <c r="Z199" s="724"/>
      <c r="AA199" s="724"/>
      <c r="AB199" s="724"/>
      <c r="AC199" s="724"/>
      <c r="AD199" s="724">
        <f>AE199/AD$8</f>
        <v>0</v>
      </c>
      <c r="AE199" s="724">
        <f>AG199*0+AI199+AK199</f>
        <v>0</v>
      </c>
      <c r="AF199" s="724">
        <v>0</v>
      </c>
      <c r="AG199" s="724">
        <f t="shared" ref="AG199" si="842">AF199*AF$8</f>
        <v>0</v>
      </c>
      <c r="AH199" s="724"/>
      <c r="AI199" s="724">
        <f>AH199*AH$8</f>
        <v>0</v>
      </c>
      <c r="AJ199" s="724"/>
      <c r="AK199" s="724">
        <f>AJ199*AJ$8</f>
        <v>0</v>
      </c>
      <c r="AL199" s="724"/>
      <c r="AN199" s="806">
        <f t="shared" si="544"/>
        <v>0</v>
      </c>
    </row>
    <row r="200" s="699" customFormat="1" hidden="1" customHeight="1" outlineLevel="2" spans="1:40">
      <c r="A200" s="724" t="s">
        <v>638</v>
      </c>
      <c r="B200" s="759" t="s">
        <v>639</v>
      </c>
      <c r="C200" s="724">
        <f>D200/$C$8</f>
        <v>50.7878660516334</v>
      </c>
      <c r="D200" s="724">
        <f>G200+AE200</f>
        <v>362.5149</v>
      </c>
      <c r="E200" s="742" t="s">
        <v>640</v>
      </c>
      <c r="F200" s="724">
        <f>G200/$F$8</f>
        <v>73.7677427021774</v>
      </c>
      <c r="G200" s="724">
        <f t="shared" si="835"/>
        <v>362.5149</v>
      </c>
      <c r="H200" s="724">
        <f>75</f>
        <v>75</v>
      </c>
      <c r="I200" s="724">
        <f>H200*H$8</f>
        <v>237.3213</v>
      </c>
      <c r="J200" s="724">
        <f>H200</f>
        <v>75</v>
      </c>
      <c r="K200" s="724">
        <f>J200*J$8</f>
        <v>125.1936</v>
      </c>
      <c r="L200" s="724">
        <f>+J200</f>
        <v>75</v>
      </c>
      <c r="M200" s="724">
        <f t="shared" ref="M200" si="843">L200*L$8</f>
        <v>0</v>
      </c>
      <c r="N200" s="724">
        <f>H200</f>
        <v>75</v>
      </c>
      <c r="O200" s="724">
        <f>N200*N$8</f>
        <v>0</v>
      </c>
      <c r="P200" s="724">
        <f>H200</f>
        <v>75</v>
      </c>
      <c r="Q200" s="724">
        <f>P200*P$8</f>
        <v>0</v>
      </c>
      <c r="R200" s="724">
        <v>50</v>
      </c>
      <c r="S200" s="724">
        <f>R200*R$8</f>
        <v>0</v>
      </c>
      <c r="T200" s="724">
        <f>H200</f>
        <v>75</v>
      </c>
      <c r="U200" s="724">
        <f>T200*T$8</f>
        <v>0</v>
      </c>
      <c r="V200" s="724">
        <v>0</v>
      </c>
      <c r="W200" s="724">
        <f>V200*V$8</f>
        <v>0</v>
      </c>
      <c r="X200" s="724"/>
      <c r="Y200" s="724"/>
      <c r="Z200" s="724"/>
      <c r="AA200" s="724"/>
      <c r="AB200" s="724"/>
      <c r="AC200" s="724"/>
      <c r="AD200" s="724">
        <f>AE200/AD$8</f>
        <v>0</v>
      </c>
      <c r="AE200" s="724">
        <f>AG200*0+AI200+AK200</f>
        <v>0</v>
      </c>
      <c r="AF200" s="724">
        <v>0</v>
      </c>
      <c r="AG200" s="724">
        <f t="shared" ref="AG200" si="844">AF200*AF$8</f>
        <v>0</v>
      </c>
      <c r="AH200" s="724"/>
      <c r="AI200" s="724">
        <f>AH200*AH$8</f>
        <v>0</v>
      </c>
      <c r="AJ200" s="724"/>
      <c r="AK200" s="724">
        <f>AJ200*AJ$8</f>
        <v>0</v>
      </c>
      <c r="AL200" s="724"/>
      <c r="AN200" s="806">
        <f t="shared" si="544"/>
        <v>3625149</v>
      </c>
    </row>
    <row r="201" hidden="1" customHeight="1" outlineLevel="1" spans="1:40">
      <c r="A201" s="797">
        <v>4.4</v>
      </c>
      <c r="B201" s="797" t="s">
        <v>641</v>
      </c>
      <c r="C201" s="797">
        <f>D201/$C$8</f>
        <v>23.8167789207497</v>
      </c>
      <c r="D201" s="797">
        <f>G201+AE201</f>
        <v>170</v>
      </c>
      <c r="E201" s="742" t="s">
        <v>642</v>
      </c>
      <c r="F201" s="797">
        <f>G201/$F$8</f>
        <v>34.5931057161241</v>
      </c>
      <c r="G201" s="797">
        <f t="shared" ref="G201:G207" si="845">I201+K201+M201+O201+Q201+S201+U201+W201</f>
        <v>170</v>
      </c>
      <c r="H201" s="797">
        <f>184*6800/10000/H8</f>
        <v>39.5413306770189</v>
      </c>
      <c r="I201" s="797">
        <f>H201*H$8</f>
        <v>125.12</v>
      </c>
      <c r="J201" s="797">
        <f>6800*66/10000/J8</f>
        <v>26.8863584080975</v>
      </c>
      <c r="K201" s="797">
        <f>J201*J$8</f>
        <v>44.88</v>
      </c>
      <c r="L201" s="797"/>
      <c r="M201" s="797">
        <f t="shared" ref="M201" si="846">L201*L$8</f>
        <v>0</v>
      </c>
      <c r="N201" s="797"/>
      <c r="O201" s="797">
        <f>N201*N$8</f>
        <v>0</v>
      </c>
      <c r="P201" s="797"/>
      <c r="Q201" s="797">
        <f>P201*P$8</f>
        <v>0</v>
      </c>
      <c r="R201" s="797"/>
      <c r="S201" s="797">
        <f>R201*R$8</f>
        <v>0</v>
      </c>
      <c r="T201" s="797"/>
      <c r="U201" s="797">
        <f>T201*T$8</f>
        <v>0</v>
      </c>
      <c r="V201" s="797"/>
      <c r="W201" s="797">
        <f>V201*V$8</f>
        <v>0</v>
      </c>
      <c r="X201" s="797"/>
      <c r="Y201" s="797"/>
      <c r="Z201" s="797"/>
      <c r="AA201" s="797"/>
      <c r="AB201" s="797"/>
      <c r="AC201" s="797"/>
      <c r="AD201" s="797">
        <f>AE201/AD$8</f>
        <v>0</v>
      </c>
      <c r="AE201" s="797">
        <f>AG201*0+AI201+AK201</f>
        <v>0</v>
      </c>
      <c r="AF201" s="797">
        <v>0</v>
      </c>
      <c r="AG201" s="797">
        <f t="shared" ref="AG201" si="847">AF201*AF$8</f>
        <v>0</v>
      </c>
      <c r="AH201" s="797"/>
      <c r="AI201" s="797">
        <f>AH201*AH$8</f>
        <v>0</v>
      </c>
      <c r="AJ201" s="797"/>
      <c r="AK201" s="797">
        <f t="shared" ref="AK201" si="848">AJ201*AJ$8</f>
        <v>0</v>
      </c>
      <c r="AL201" s="724"/>
      <c r="AN201" s="806">
        <f t="shared" si="544"/>
        <v>1700000</v>
      </c>
    </row>
    <row r="202" hidden="1" customHeight="1" outlineLevel="1" collapsed="1" spans="1:40">
      <c r="A202" s="797">
        <v>4.8</v>
      </c>
      <c r="B202" s="797" t="s">
        <v>643</v>
      </c>
      <c r="C202" s="797">
        <f t="shared" ref="C202:AK202" si="849">SUM(C203:C204)</f>
        <v>91.4181588929401</v>
      </c>
      <c r="D202" s="797">
        <f t="shared" si="849"/>
        <v>652.52682</v>
      </c>
      <c r="E202" s="742"/>
      <c r="F202" s="797">
        <f t="shared" si="849"/>
        <v>132.781936863919</v>
      </c>
      <c r="G202" s="797">
        <f t="shared" si="849"/>
        <v>652.52682</v>
      </c>
      <c r="H202" s="797">
        <f t="shared" si="849"/>
        <v>135</v>
      </c>
      <c r="I202" s="797">
        <f t="shared" si="849"/>
        <v>427.17834</v>
      </c>
      <c r="J202" s="797">
        <f t="shared" si="849"/>
        <v>135</v>
      </c>
      <c r="K202" s="797">
        <f t="shared" si="849"/>
        <v>225.34848</v>
      </c>
      <c r="L202" s="797">
        <f t="shared" si="849"/>
        <v>130</v>
      </c>
      <c r="M202" s="797">
        <f t="shared" si="849"/>
        <v>0</v>
      </c>
      <c r="N202" s="797">
        <f t="shared" si="849"/>
        <v>130</v>
      </c>
      <c r="O202" s="797">
        <f t="shared" si="849"/>
        <v>0</v>
      </c>
      <c r="P202" s="797">
        <f t="shared" si="849"/>
        <v>130</v>
      </c>
      <c r="Q202" s="797">
        <f t="shared" si="849"/>
        <v>0</v>
      </c>
      <c r="R202" s="797">
        <f t="shared" si="849"/>
        <v>0</v>
      </c>
      <c r="S202" s="797">
        <f t="shared" si="849"/>
        <v>0</v>
      </c>
      <c r="T202" s="797">
        <f t="shared" si="849"/>
        <v>130</v>
      </c>
      <c r="U202" s="797">
        <f t="shared" si="849"/>
        <v>0</v>
      </c>
      <c r="V202" s="797">
        <f t="shared" si="849"/>
        <v>0</v>
      </c>
      <c r="W202" s="797">
        <f t="shared" si="849"/>
        <v>0</v>
      </c>
      <c r="X202" s="797"/>
      <c r="Y202" s="797"/>
      <c r="Z202" s="797"/>
      <c r="AA202" s="797"/>
      <c r="AB202" s="797"/>
      <c r="AC202" s="797"/>
      <c r="AD202" s="797">
        <f t="shared" si="849"/>
        <v>0</v>
      </c>
      <c r="AE202" s="797">
        <f t="shared" si="849"/>
        <v>0</v>
      </c>
      <c r="AF202" s="797">
        <f t="shared" si="849"/>
        <v>0</v>
      </c>
      <c r="AG202" s="797">
        <f t="shared" si="849"/>
        <v>0</v>
      </c>
      <c r="AH202" s="797">
        <f t="shared" si="849"/>
        <v>0</v>
      </c>
      <c r="AI202" s="797">
        <f t="shared" si="849"/>
        <v>0</v>
      </c>
      <c r="AJ202" s="797">
        <f t="shared" si="849"/>
        <v>0</v>
      </c>
      <c r="AK202" s="797">
        <f t="shared" si="849"/>
        <v>0</v>
      </c>
      <c r="AL202" s="724"/>
      <c r="AN202" s="806">
        <f t="shared" si="544"/>
        <v>6525268.2</v>
      </c>
    </row>
    <row r="203" s="699" customFormat="1" hidden="1" customHeight="1" outlineLevel="2" spans="1:40">
      <c r="A203" s="724" t="s">
        <v>644</v>
      </c>
      <c r="B203" s="757" t="s">
        <v>645</v>
      </c>
      <c r="C203" s="724">
        <f>D203/$C$8</f>
        <v>0</v>
      </c>
      <c r="D203" s="724">
        <f>G203+AE203</f>
        <v>0</v>
      </c>
      <c r="E203" s="742"/>
      <c r="F203" s="724">
        <f>G203/$F$8</f>
        <v>0</v>
      </c>
      <c r="G203" s="724">
        <f t="shared" si="845"/>
        <v>0</v>
      </c>
      <c r="H203" s="724"/>
      <c r="I203" s="724">
        <f>H203*H$8</f>
        <v>0</v>
      </c>
      <c r="J203" s="724"/>
      <c r="K203" s="724">
        <f>J203*J$8</f>
        <v>0</v>
      </c>
      <c r="L203" s="724"/>
      <c r="M203" s="724">
        <f>L203*L$8</f>
        <v>0</v>
      </c>
      <c r="N203" s="724"/>
      <c r="O203" s="724">
        <f>N203*N$8</f>
        <v>0</v>
      </c>
      <c r="P203" s="724"/>
      <c r="Q203" s="724">
        <f>P203*P$8</f>
        <v>0</v>
      </c>
      <c r="R203" s="724"/>
      <c r="S203" s="724">
        <f>R203*R$8</f>
        <v>0</v>
      </c>
      <c r="T203" s="724"/>
      <c r="U203" s="724">
        <f>T203*T$8</f>
        <v>0</v>
      </c>
      <c r="V203" s="724"/>
      <c r="W203" s="724">
        <f>V203*V$8</f>
        <v>0</v>
      </c>
      <c r="X203" s="724"/>
      <c r="Y203" s="724"/>
      <c r="Z203" s="724"/>
      <c r="AA203" s="724"/>
      <c r="AB203" s="724"/>
      <c r="AC203" s="724"/>
      <c r="AD203" s="724">
        <f>AE203/AD$8</f>
        <v>0</v>
      </c>
      <c r="AE203" s="724">
        <f>AG203*0+AI203+AK203</f>
        <v>0</v>
      </c>
      <c r="AF203" s="724">
        <v>0</v>
      </c>
      <c r="AG203" s="724">
        <f>AF203*AF$8</f>
        <v>0</v>
      </c>
      <c r="AH203" s="724"/>
      <c r="AI203" s="724">
        <f>AH203*AH$8</f>
        <v>0</v>
      </c>
      <c r="AJ203" s="724"/>
      <c r="AK203" s="724">
        <f>AJ203*AJ$8</f>
        <v>0</v>
      </c>
      <c r="AL203" s="724"/>
      <c r="AN203" s="806">
        <f t="shared" ref="AN203:AN240" si="850">+D203*10000</f>
        <v>0</v>
      </c>
    </row>
    <row r="204" s="699" customFormat="1" ht="22.5" hidden="1" outlineLevel="2" spans="1:40">
      <c r="A204" s="724" t="s">
        <v>646</v>
      </c>
      <c r="B204" s="757" t="s">
        <v>647</v>
      </c>
      <c r="C204" s="724">
        <f t="shared" ref="C204:C216" si="851">D204/$C$8</f>
        <v>91.4181588929401</v>
      </c>
      <c r="D204" s="724">
        <f t="shared" ref="D204:D216" si="852">G204+AE204</f>
        <v>652.52682</v>
      </c>
      <c r="E204" s="742" t="s">
        <v>648</v>
      </c>
      <c r="F204" s="724">
        <f>G204/$F$8</f>
        <v>132.781936863919</v>
      </c>
      <c r="G204" s="724">
        <f t="shared" si="845"/>
        <v>652.52682</v>
      </c>
      <c r="H204" s="724">
        <v>135</v>
      </c>
      <c r="I204" s="724">
        <f t="shared" ref="I204:I216" si="853">H204*H$8</f>
        <v>427.17834</v>
      </c>
      <c r="J204" s="724">
        <v>135</v>
      </c>
      <c r="K204" s="724">
        <f t="shared" ref="K204:K216" si="854">J204*J$8</f>
        <v>225.34848</v>
      </c>
      <c r="L204" s="724">
        <v>130</v>
      </c>
      <c r="M204" s="724">
        <f t="shared" ref="M204:M216" si="855">L204*L$8</f>
        <v>0</v>
      </c>
      <c r="N204" s="724">
        <v>130</v>
      </c>
      <c r="O204" s="724">
        <f>N204*N$8</f>
        <v>0</v>
      </c>
      <c r="P204" s="724">
        <v>130</v>
      </c>
      <c r="Q204" s="724">
        <f>P204*P$8</f>
        <v>0</v>
      </c>
      <c r="R204" s="724"/>
      <c r="S204" s="724">
        <f t="shared" ref="S204:S216" si="856">R204*R$8</f>
        <v>0</v>
      </c>
      <c r="T204" s="724">
        <v>130</v>
      </c>
      <c r="U204" s="724">
        <f>T204*T$8</f>
        <v>0</v>
      </c>
      <c r="V204" s="724"/>
      <c r="W204" s="724">
        <f t="shared" ref="W204:W216" si="857">V204*V$8</f>
        <v>0</v>
      </c>
      <c r="X204" s="724"/>
      <c r="Y204" s="724"/>
      <c r="Z204" s="724"/>
      <c r="AA204" s="724"/>
      <c r="AB204" s="724"/>
      <c r="AC204" s="724"/>
      <c r="AD204" s="724">
        <f t="shared" ref="AD204:AD216" si="858">AE204/AD$8</f>
        <v>0</v>
      </c>
      <c r="AE204" s="724">
        <f t="shared" ref="AE204:AE216" si="859">AG204*0+AI204+AK204</f>
        <v>0</v>
      </c>
      <c r="AF204" s="724">
        <v>0</v>
      </c>
      <c r="AG204" s="724">
        <f t="shared" ref="AG204:AG216" si="860">AF204*AF$8</f>
        <v>0</v>
      </c>
      <c r="AH204" s="724"/>
      <c r="AI204" s="724">
        <f t="shared" ref="AI204:AI216" si="861">AH204*AH$8</f>
        <v>0</v>
      </c>
      <c r="AJ204" s="724"/>
      <c r="AK204" s="724">
        <f t="shared" ref="AK204:AK216" si="862">AJ204*AJ$8</f>
        <v>0</v>
      </c>
      <c r="AL204" s="724"/>
      <c r="AN204" s="806">
        <f t="shared" si="850"/>
        <v>6525268.2</v>
      </c>
    </row>
    <row r="205" hidden="1" customHeight="1" outlineLevel="1" collapsed="1" spans="1:40">
      <c r="A205" s="797">
        <v>4.5</v>
      </c>
      <c r="B205" s="797" t="s">
        <v>649</v>
      </c>
      <c r="C205" s="797">
        <f>C206+C207</f>
        <v>15.4988467775548</v>
      </c>
      <c r="D205" s="797">
        <f>D206+D207</f>
        <v>110.628056</v>
      </c>
      <c r="E205" s="742"/>
      <c r="F205" s="797">
        <f t="shared" ref="F205:AK205" si="863">F206+F207</f>
        <v>22.5115766845723</v>
      </c>
      <c r="G205" s="797">
        <f t="shared" si="863"/>
        <v>110.628056</v>
      </c>
      <c r="H205" s="797">
        <f t="shared" si="863"/>
        <v>22.8876225501352</v>
      </c>
      <c r="I205" s="797">
        <f t="shared" si="863"/>
        <v>72.4229378334319</v>
      </c>
      <c r="J205" s="797">
        <f t="shared" si="863"/>
        <v>22.8876225501352</v>
      </c>
      <c r="K205" s="797">
        <f t="shared" si="863"/>
        <v>38.205118166568</v>
      </c>
      <c r="L205" s="797">
        <f t="shared" si="863"/>
        <v>0</v>
      </c>
      <c r="M205" s="797">
        <f t="shared" si="863"/>
        <v>0</v>
      </c>
      <c r="N205" s="797">
        <f t="shared" si="863"/>
        <v>0</v>
      </c>
      <c r="O205" s="797">
        <f t="shared" si="863"/>
        <v>0</v>
      </c>
      <c r="P205" s="797">
        <f t="shared" si="863"/>
        <v>0</v>
      </c>
      <c r="Q205" s="797">
        <f t="shared" si="863"/>
        <v>0</v>
      </c>
      <c r="R205" s="797">
        <f t="shared" si="863"/>
        <v>0</v>
      </c>
      <c r="S205" s="797">
        <f t="shared" si="863"/>
        <v>0</v>
      </c>
      <c r="T205" s="797">
        <f t="shared" si="863"/>
        <v>0</v>
      </c>
      <c r="U205" s="797">
        <f t="shared" si="863"/>
        <v>0</v>
      </c>
      <c r="V205" s="797">
        <f t="shared" si="863"/>
        <v>0</v>
      </c>
      <c r="W205" s="797">
        <f t="shared" si="863"/>
        <v>0</v>
      </c>
      <c r="X205" s="797"/>
      <c r="Y205" s="797"/>
      <c r="Z205" s="797"/>
      <c r="AA205" s="797"/>
      <c r="AB205" s="797"/>
      <c r="AC205" s="797"/>
      <c r="AD205" s="797">
        <f t="shared" si="863"/>
        <v>0</v>
      </c>
      <c r="AE205" s="797">
        <f t="shared" si="863"/>
        <v>0</v>
      </c>
      <c r="AF205" s="797">
        <f t="shared" si="863"/>
        <v>0</v>
      </c>
      <c r="AG205" s="797">
        <f t="shared" si="863"/>
        <v>0</v>
      </c>
      <c r="AH205" s="797">
        <f t="shared" si="863"/>
        <v>0</v>
      </c>
      <c r="AI205" s="797">
        <f t="shared" si="863"/>
        <v>0</v>
      </c>
      <c r="AJ205" s="797">
        <f t="shared" si="863"/>
        <v>0</v>
      </c>
      <c r="AK205" s="797">
        <f t="shared" si="863"/>
        <v>0</v>
      </c>
      <c r="AL205" s="724"/>
      <c r="AN205" s="806">
        <f t="shared" si="850"/>
        <v>1106280.56</v>
      </c>
    </row>
    <row r="206" s="699" customFormat="1" hidden="1" customHeight="1" outlineLevel="2" spans="1:40">
      <c r="A206" s="724" t="s">
        <v>650</v>
      </c>
      <c r="B206" s="724" t="s">
        <v>651</v>
      </c>
      <c r="C206" s="724">
        <f t="shared" si="851"/>
        <v>15.4988467775548</v>
      </c>
      <c r="D206" s="724">
        <f t="shared" si="852"/>
        <v>110.628056</v>
      </c>
      <c r="E206" s="742" t="s">
        <v>652</v>
      </c>
      <c r="F206" s="724">
        <f>G206/$F$8</f>
        <v>22.5115766845723</v>
      </c>
      <c r="G206" s="724">
        <f t="shared" si="845"/>
        <v>110.628056</v>
      </c>
      <c r="H206" s="724">
        <f>40*27657.014/10000/(H8+J8)</f>
        <v>22.8876225501352</v>
      </c>
      <c r="I206" s="724">
        <f t="shared" si="853"/>
        <v>72.4229378334319</v>
      </c>
      <c r="J206" s="724">
        <f>H206</f>
        <v>22.8876225501352</v>
      </c>
      <c r="K206" s="724">
        <f t="shared" si="854"/>
        <v>38.205118166568</v>
      </c>
      <c r="L206" s="724"/>
      <c r="M206" s="724">
        <f t="shared" ref="M206" si="864">L206*L$8</f>
        <v>0</v>
      </c>
      <c r="N206" s="724"/>
      <c r="O206" s="724">
        <f>N206*N$8</f>
        <v>0</v>
      </c>
      <c r="P206" s="724"/>
      <c r="Q206" s="724">
        <f>P206*P$8</f>
        <v>0</v>
      </c>
      <c r="R206" s="724"/>
      <c r="S206" s="724">
        <f t="shared" si="856"/>
        <v>0</v>
      </c>
      <c r="T206" s="724"/>
      <c r="U206" s="724">
        <f>T206*T$8</f>
        <v>0</v>
      </c>
      <c r="V206" s="724"/>
      <c r="W206" s="724">
        <f t="shared" si="857"/>
        <v>0</v>
      </c>
      <c r="X206" s="724"/>
      <c r="Y206" s="724"/>
      <c r="Z206" s="724"/>
      <c r="AA206" s="724"/>
      <c r="AB206" s="724"/>
      <c r="AC206" s="724"/>
      <c r="AD206" s="724">
        <f>AE206/AD$8</f>
        <v>0</v>
      </c>
      <c r="AE206" s="724">
        <f t="shared" si="859"/>
        <v>0</v>
      </c>
      <c r="AF206" s="724">
        <v>0</v>
      </c>
      <c r="AG206" s="724">
        <f t="shared" ref="AG206" si="865">AF206*AF$8</f>
        <v>0</v>
      </c>
      <c r="AH206" s="724">
        <v>0</v>
      </c>
      <c r="AI206" s="724">
        <f t="shared" si="861"/>
        <v>0</v>
      </c>
      <c r="AJ206" s="724">
        <v>0</v>
      </c>
      <c r="AK206" s="724">
        <f t="shared" si="862"/>
        <v>0</v>
      </c>
      <c r="AL206" s="724"/>
      <c r="AN206" s="806">
        <f t="shared" si="850"/>
        <v>1106280.56</v>
      </c>
    </row>
    <row r="207" s="699" customFormat="1" hidden="1" customHeight="1" outlineLevel="2" spans="1:40">
      <c r="A207" s="724" t="s">
        <v>653</v>
      </c>
      <c r="B207" s="761" t="s">
        <v>654</v>
      </c>
      <c r="C207" s="724">
        <f t="shared" si="851"/>
        <v>0</v>
      </c>
      <c r="D207" s="724">
        <f t="shared" si="852"/>
        <v>0</v>
      </c>
      <c r="E207" s="742"/>
      <c r="F207" s="724">
        <f>G207/$F$8</f>
        <v>0</v>
      </c>
      <c r="G207" s="724">
        <f t="shared" si="845"/>
        <v>0</v>
      </c>
      <c r="H207" s="724"/>
      <c r="I207" s="724">
        <f t="shared" si="853"/>
        <v>0</v>
      </c>
      <c r="J207" s="724"/>
      <c r="K207" s="724">
        <f t="shared" si="854"/>
        <v>0</v>
      </c>
      <c r="L207" s="724"/>
      <c r="M207" s="724">
        <f t="shared" si="855"/>
        <v>0</v>
      </c>
      <c r="N207" s="724"/>
      <c r="O207" s="724">
        <f>N207*N$8</f>
        <v>0</v>
      </c>
      <c r="P207" s="724"/>
      <c r="Q207" s="724">
        <f>P207*P$8</f>
        <v>0</v>
      </c>
      <c r="R207" s="724"/>
      <c r="S207" s="724">
        <f t="shared" si="856"/>
        <v>0</v>
      </c>
      <c r="T207" s="724"/>
      <c r="U207" s="724">
        <f>T207*T$8</f>
        <v>0</v>
      </c>
      <c r="V207" s="724"/>
      <c r="W207" s="724">
        <f t="shared" si="857"/>
        <v>0</v>
      </c>
      <c r="X207" s="724"/>
      <c r="Y207" s="724"/>
      <c r="Z207" s="724"/>
      <c r="AA207" s="724"/>
      <c r="AB207" s="724"/>
      <c r="AC207" s="724"/>
      <c r="AD207" s="724">
        <f t="shared" si="858"/>
        <v>0</v>
      </c>
      <c r="AE207" s="724">
        <f t="shared" si="859"/>
        <v>0</v>
      </c>
      <c r="AF207" s="724">
        <v>0</v>
      </c>
      <c r="AG207" s="724">
        <f t="shared" si="860"/>
        <v>0</v>
      </c>
      <c r="AH207" s="724"/>
      <c r="AI207" s="724">
        <f t="shared" si="861"/>
        <v>0</v>
      </c>
      <c r="AJ207" s="724"/>
      <c r="AK207" s="724">
        <f t="shared" si="862"/>
        <v>0</v>
      </c>
      <c r="AL207" s="724"/>
      <c r="AN207" s="806">
        <f t="shared" si="850"/>
        <v>0</v>
      </c>
    </row>
    <row r="208" s="699" customFormat="1" hidden="1" customHeight="1" outlineLevel="1" collapsed="1" spans="1:40">
      <c r="A208" s="797">
        <v>4.9</v>
      </c>
      <c r="B208" s="797" t="s">
        <v>655</v>
      </c>
      <c r="C208" s="797">
        <f t="shared" ref="C208:O208" si="866">SUM(C209:C212)</f>
        <v>213.109143191378</v>
      </c>
      <c r="D208" s="797">
        <f t="shared" si="866"/>
        <v>1521.13577</v>
      </c>
      <c r="E208" s="742"/>
      <c r="F208" s="797">
        <f t="shared" si="866"/>
        <v>309.534179412869</v>
      </c>
      <c r="G208" s="797">
        <f t="shared" si="866"/>
        <v>1521.13577</v>
      </c>
      <c r="H208" s="797">
        <f t="shared" si="866"/>
        <v>314.704810064359</v>
      </c>
      <c r="I208" s="797">
        <f t="shared" si="866"/>
        <v>995.815395209689</v>
      </c>
      <c r="J208" s="797">
        <f t="shared" si="866"/>
        <v>314.704810064359</v>
      </c>
      <c r="K208" s="797">
        <f t="shared" si="866"/>
        <v>525.320374790311</v>
      </c>
      <c r="L208" s="797">
        <f t="shared" si="866"/>
        <v>314.704810064359</v>
      </c>
      <c r="M208" s="797">
        <f t="shared" si="866"/>
        <v>0</v>
      </c>
      <c r="N208" s="797">
        <f t="shared" si="866"/>
        <v>314.704810064359</v>
      </c>
      <c r="O208" s="797">
        <f t="shared" si="866"/>
        <v>0</v>
      </c>
      <c r="P208" s="797">
        <f t="shared" ref="P208:AK208" si="867">SUM(P209:P212)</f>
        <v>314.704810064359</v>
      </c>
      <c r="Q208" s="797">
        <f t="shared" si="867"/>
        <v>0</v>
      </c>
      <c r="R208" s="797">
        <f t="shared" si="867"/>
        <v>0</v>
      </c>
      <c r="S208" s="797">
        <f t="shared" si="867"/>
        <v>0</v>
      </c>
      <c r="T208" s="797">
        <f t="shared" si="867"/>
        <v>314.704810064359</v>
      </c>
      <c r="U208" s="797">
        <f t="shared" si="867"/>
        <v>0</v>
      </c>
      <c r="V208" s="797">
        <f t="shared" si="867"/>
        <v>0</v>
      </c>
      <c r="W208" s="797">
        <f t="shared" si="867"/>
        <v>0</v>
      </c>
      <c r="X208" s="797"/>
      <c r="Y208" s="797"/>
      <c r="Z208" s="797"/>
      <c r="AA208" s="797"/>
      <c r="AB208" s="797"/>
      <c r="AC208" s="797"/>
      <c r="AD208" s="797">
        <f t="shared" si="867"/>
        <v>0</v>
      </c>
      <c r="AE208" s="797">
        <f t="shared" si="867"/>
        <v>0</v>
      </c>
      <c r="AF208" s="797">
        <f t="shared" si="867"/>
        <v>0</v>
      </c>
      <c r="AG208" s="797">
        <f t="shared" si="867"/>
        <v>0</v>
      </c>
      <c r="AH208" s="797">
        <f t="shared" si="867"/>
        <v>0</v>
      </c>
      <c r="AI208" s="797">
        <f t="shared" si="867"/>
        <v>0</v>
      </c>
      <c r="AJ208" s="797">
        <f t="shared" si="867"/>
        <v>0</v>
      </c>
      <c r="AK208" s="797">
        <f t="shared" si="867"/>
        <v>0</v>
      </c>
      <c r="AL208" s="724"/>
      <c r="AN208" s="806">
        <f t="shared" si="850"/>
        <v>15211357.7</v>
      </c>
    </row>
    <row r="209" s="699" customFormat="1" ht="33.75" hidden="1" outlineLevel="2" spans="1:40">
      <c r="A209" s="724" t="s">
        <v>656</v>
      </c>
      <c r="B209" s="762" t="s">
        <v>657</v>
      </c>
      <c r="C209" s="724">
        <f t="shared" si="851"/>
        <v>213.109143191378</v>
      </c>
      <c r="D209" s="724">
        <f t="shared" si="852"/>
        <v>1521.13577</v>
      </c>
      <c r="E209" s="742" t="s">
        <v>658</v>
      </c>
      <c r="F209" s="724">
        <f>G209/(F8)</f>
        <v>309.534179412869</v>
      </c>
      <c r="G209" s="724">
        <f t="shared" ref="G209:G213" si="868">I209+K209+M209+O209+Q209+S209+U209+W209</f>
        <v>1521.13577</v>
      </c>
      <c r="H209" s="724">
        <f>550*经济指标!K25/10000/(H8+J8)</f>
        <v>314.704810064359</v>
      </c>
      <c r="I209" s="724">
        <f>H209*H$8</f>
        <v>995.815395209689</v>
      </c>
      <c r="J209" s="724">
        <f>+H209</f>
        <v>314.704810064359</v>
      </c>
      <c r="K209" s="724">
        <f t="shared" si="854"/>
        <v>525.320374790311</v>
      </c>
      <c r="L209" s="724">
        <f>J209</f>
        <v>314.704810064359</v>
      </c>
      <c r="M209" s="724">
        <f t="shared" si="855"/>
        <v>0</v>
      </c>
      <c r="N209" s="724">
        <f>H209</f>
        <v>314.704810064359</v>
      </c>
      <c r="O209" s="724">
        <f>N209*N8</f>
        <v>0</v>
      </c>
      <c r="P209" s="724">
        <f>J209</f>
        <v>314.704810064359</v>
      </c>
      <c r="Q209" s="724">
        <f>P209*P8</f>
        <v>0</v>
      </c>
      <c r="R209" s="724"/>
      <c r="S209" s="724">
        <f t="shared" si="856"/>
        <v>0</v>
      </c>
      <c r="T209" s="724">
        <f>J209</f>
        <v>314.704810064359</v>
      </c>
      <c r="U209" s="724">
        <f>T209*T8</f>
        <v>0</v>
      </c>
      <c r="V209" s="724"/>
      <c r="W209" s="724">
        <f>V209*V$8</f>
        <v>0</v>
      </c>
      <c r="X209" s="724"/>
      <c r="Y209" s="724"/>
      <c r="Z209" s="724"/>
      <c r="AA209" s="724"/>
      <c r="AB209" s="724"/>
      <c r="AC209" s="724"/>
      <c r="AD209" s="724">
        <f t="shared" si="858"/>
        <v>0</v>
      </c>
      <c r="AE209" s="724">
        <f t="shared" si="859"/>
        <v>0</v>
      </c>
      <c r="AF209" s="724">
        <v>0</v>
      </c>
      <c r="AG209" s="724">
        <f t="shared" si="860"/>
        <v>0</v>
      </c>
      <c r="AH209" s="724"/>
      <c r="AI209" s="724">
        <f t="shared" si="861"/>
        <v>0</v>
      </c>
      <c r="AJ209" s="724"/>
      <c r="AK209" s="724">
        <f t="shared" si="862"/>
        <v>0</v>
      </c>
      <c r="AL209" s="724"/>
      <c r="AN209" s="806">
        <f t="shared" si="850"/>
        <v>15211357.7</v>
      </c>
    </row>
    <row r="210" s="699" customFormat="1" hidden="1" customHeight="1" outlineLevel="2" spans="1:40">
      <c r="A210" s="724" t="s">
        <v>659</v>
      </c>
      <c r="B210" s="762" t="s">
        <v>660</v>
      </c>
      <c r="C210" s="724">
        <f t="shared" si="851"/>
        <v>0</v>
      </c>
      <c r="D210" s="724">
        <f t="shared" si="852"/>
        <v>0</v>
      </c>
      <c r="E210" s="742"/>
      <c r="F210" s="724">
        <f>G210/$F$8</f>
        <v>0</v>
      </c>
      <c r="G210" s="724">
        <f t="shared" si="868"/>
        <v>0</v>
      </c>
      <c r="H210" s="724"/>
      <c r="I210" s="724">
        <f t="shared" si="853"/>
        <v>0</v>
      </c>
      <c r="J210" s="724"/>
      <c r="K210" s="724">
        <f t="shared" si="854"/>
        <v>0</v>
      </c>
      <c r="L210" s="724"/>
      <c r="M210" s="724">
        <f t="shared" si="855"/>
        <v>0</v>
      </c>
      <c r="N210" s="724"/>
      <c r="O210" s="724">
        <f>N210*N$8</f>
        <v>0</v>
      </c>
      <c r="P210" s="724"/>
      <c r="Q210" s="724">
        <f>P210*P$8</f>
        <v>0</v>
      </c>
      <c r="R210" s="724"/>
      <c r="S210" s="724">
        <f t="shared" si="856"/>
        <v>0</v>
      </c>
      <c r="T210" s="724"/>
      <c r="U210" s="724">
        <f>T210*T$8</f>
        <v>0</v>
      </c>
      <c r="V210" s="724"/>
      <c r="W210" s="724">
        <f t="shared" si="857"/>
        <v>0</v>
      </c>
      <c r="X210" s="724"/>
      <c r="Y210" s="724"/>
      <c r="Z210" s="724"/>
      <c r="AA210" s="724"/>
      <c r="AB210" s="724"/>
      <c r="AC210" s="724"/>
      <c r="AD210" s="724">
        <f t="shared" si="858"/>
        <v>0</v>
      </c>
      <c r="AE210" s="724">
        <f t="shared" si="859"/>
        <v>0</v>
      </c>
      <c r="AF210" s="724">
        <v>0</v>
      </c>
      <c r="AG210" s="724">
        <f t="shared" si="860"/>
        <v>0</v>
      </c>
      <c r="AH210" s="724"/>
      <c r="AI210" s="724">
        <f t="shared" si="861"/>
        <v>0</v>
      </c>
      <c r="AJ210" s="724"/>
      <c r="AK210" s="724">
        <f t="shared" si="862"/>
        <v>0</v>
      </c>
      <c r="AL210" s="724"/>
      <c r="AN210" s="806">
        <f t="shared" si="850"/>
        <v>0</v>
      </c>
    </row>
    <row r="211" s="699" customFormat="1" hidden="1" customHeight="1" outlineLevel="2" spans="1:40">
      <c r="A211" s="724" t="s">
        <v>661</v>
      </c>
      <c r="B211" s="761" t="s">
        <v>662</v>
      </c>
      <c r="C211" s="724">
        <f t="shared" si="851"/>
        <v>0</v>
      </c>
      <c r="D211" s="724">
        <f t="shared" si="852"/>
        <v>0</v>
      </c>
      <c r="E211" s="742"/>
      <c r="F211" s="724">
        <f t="shared" ref="F211:F219" si="869">G211/$F$8</f>
        <v>0</v>
      </c>
      <c r="G211" s="724">
        <f t="shared" si="868"/>
        <v>0</v>
      </c>
      <c r="H211" s="724"/>
      <c r="I211" s="724">
        <f t="shared" si="853"/>
        <v>0</v>
      </c>
      <c r="J211" s="724"/>
      <c r="K211" s="724">
        <f t="shared" si="854"/>
        <v>0</v>
      </c>
      <c r="L211" s="724"/>
      <c r="M211" s="724">
        <f t="shared" si="855"/>
        <v>0</v>
      </c>
      <c r="N211" s="724"/>
      <c r="O211" s="724">
        <f t="shared" ref="O211:O219" si="870">N211*N$8</f>
        <v>0</v>
      </c>
      <c r="P211" s="724"/>
      <c r="Q211" s="724">
        <f t="shared" ref="Q211:Q219" si="871">P211*P$8</f>
        <v>0</v>
      </c>
      <c r="R211" s="724"/>
      <c r="S211" s="724">
        <f t="shared" si="856"/>
        <v>0</v>
      </c>
      <c r="T211" s="724"/>
      <c r="U211" s="724">
        <f t="shared" ref="U211:U219" si="872">T211*T$8</f>
        <v>0</v>
      </c>
      <c r="V211" s="724"/>
      <c r="W211" s="724">
        <f t="shared" si="857"/>
        <v>0</v>
      </c>
      <c r="X211" s="724"/>
      <c r="Y211" s="724"/>
      <c r="Z211" s="724"/>
      <c r="AA211" s="724"/>
      <c r="AB211" s="724"/>
      <c r="AC211" s="724"/>
      <c r="AD211" s="724">
        <f t="shared" si="858"/>
        <v>0</v>
      </c>
      <c r="AE211" s="724">
        <f t="shared" si="859"/>
        <v>0</v>
      </c>
      <c r="AF211" s="724">
        <v>0</v>
      </c>
      <c r="AG211" s="724">
        <f t="shared" si="860"/>
        <v>0</v>
      </c>
      <c r="AH211" s="724"/>
      <c r="AI211" s="724">
        <f t="shared" si="861"/>
        <v>0</v>
      </c>
      <c r="AJ211" s="724"/>
      <c r="AK211" s="724">
        <f t="shared" si="862"/>
        <v>0</v>
      </c>
      <c r="AL211" s="724"/>
      <c r="AN211" s="806">
        <f t="shared" si="850"/>
        <v>0</v>
      </c>
    </row>
    <row r="212" s="699" customFormat="1" hidden="1" customHeight="1" outlineLevel="2" spans="1:40">
      <c r="A212" s="724" t="s">
        <v>663</v>
      </c>
      <c r="B212" s="762" t="s">
        <v>664</v>
      </c>
      <c r="C212" s="724">
        <f t="shared" si="851"/>
        <v>0</v>
      </c>
      <c r="D212" s="724">
        <f t="shared" si="852"/>
        <v>0</v>
      </c>
      <c r="E212" s="742"/>
      <c r="F212" s="724">
        <f t="shared" si="869"/>
        <v>0</v>
      </c>
      <c r="G212" s="724">
        <f t="shared" si="868"/>
        <v>0</v>
      </c>
      <c r="H212" s="724"/>
      <c r="I212" s="724">
        <f t="shared" si="853"/>
        <v>0</v>
      </c>
      <c r="J212" s="724"/>
      <c r="K212" s="724">
        <f t="shared" si="854"/>
        <v>0</v>
      </c>
      <c r="L212" s="724"/>
      <c r="M212" s="724">
        <f t="shared" si="855"/>
        <v>0</v>
      </c>
      <c r="N212" s="724"/>
      <c r="O212" s="724">
        <f t="shared" si="870"/>
        <v>0</v>
      </c>
      <c r="P212" s="724"/>
      <c r="Q212" s="724">
        <f t="shared" si="871"/>
        <v>0</v>
      </c>
      <c r="R212" s="724"/>
      <c r="S212" s="724">
        <f t="shared" si="856"/>
        <v>0</v>
      </c>
      <c r="T212" s="724"/>
      <c r="U212" s="724">
        <f t="shared" si="872"/>
        <v>0</v>
      </c>
      <c r="V212" s="724"/>
      <c r="W212" s="724">
        <f t="shared" si="857"/>
        <v>0</v>
      </c>
      <c r="X212" s="724"/>
      <c r="Y212" s="724"/>
      <c r="Z212" s="724"/>
      <c r="AA212" s="724"/>
      <c r="AB212" s="724"/>
      <c r="AC212" s="724"/>
      <c r="AD212" s="724">
        <f t="shared" si="858"/>
        <v>0</v>
      </c>
      <c r="AE212" s="724">
        <f t="shared" si="859"/>
        <v>0</v>
      </c>
      <c r="AF212" s="724">
        <v>0</v>
      </c>
      <c r="AG212" s="724">
        <f t="shared" si="860"/>
        <v>0</v>
      </c>
      <c r="AH212" s="724"/>
      <c r="AI212" s="724">
        <f t="shared" si="861"/>
        <v>0</v>
      </c>
      <c r="AJ212" s="724"/>
      <c r="AK212" s="724">
        <f t="shared" si="862"/>
        <v>0</v>
      </c>
      <c r="AL212" s="724"/>
      <c r="AN212" s="806">
        <f t="shared" si="850"/>
        <v>0</v>
      </c>
    </row>
    <row r="213" hidden="1" customHeight="1" outlineLevel="1" spans="1:40">
      <c r="A213" s="797">
        <v>4.6</v>
      </c>
      <c r="B213" s="797" t="s">
        <v>665</v>
      </c>
      <c r="C213" s="797">
        <f t="shared" ref="C213:C219" si="873">D213/$C$8</f>
        <v>0.64557480745185</v>
      </c>
      <c r="D213" s="797">
        <f t="shared" ref="D213:D219" si="874">G213+AE213</f>
        <v>4.608</v>
      </c>
      <c r="E213" s="742" t="s">
        <v>666</v>
      </c>
      <c r="F213" s="797">
        <f t="shared" si="869"/>
        <v>0.937676653764117</v>
      </c>
      <c r="G213" s="797">
        <f t="shared" si="868"/>
        <v>4.608</v>
      </c>
      <c r="H213" s="797">
        <f>126*240/10000/H8</f>
        <v>0.955666431963756</v>
      </c>
      <c r="I213" s="797">
        <f t="shared" ref="I213:I219" si="875">H213*H$8</f>
        <v>3.024</v>
      </c>
      <c r="J213" s="797">
        <f>66*240/10000/J8</f>
        <v>0.948930296756384</v>
      </c>
      <c r="K213" s="797">
        <f t="shared" ref="K213:K219" si="876">J213*J$8</f>
        <v>1.584</v>
      </c>
      <c r="L213" s="797"/>
      <c r="M213" s="797">
        <f t="shared" ref="M213:M219" si="877">L213*L$8</f>
        <v>0</v>
      </c>
      <c r="N213" s="797"/>
      <c r="O213" s="797">
        <f t="shared" si="870"/>
        <v>0</v>
      </c>
      <c r="P213" s="797"/>
      <c r="Q213" s="797">
        <f t="shared" si="871"/>
        <v>0</v>
      </c>
      <c r="R213" s="797"/>
      <c r="S213" s="797">
        <f t="shared" ref="S213:S219" si="878">R213*R$8</f>
        <v>0</v>
      </c>
      <c r="T213" s="797"/>
      <c r="U213" s="797">
        <f t="shared" si="872"/>
        <v>0</v>
      </c>
      <c r="V213" s="797"/>
      <c r="W213" s="797">
        <f t="shared" ref="W213:W219" si="879">V213*V$8</f>
        <v>0</v>
      </c>
      <c r="X213" s="797"/>
      <c r="Y213" s="797"/>
      <c r="Z213" s="797"/>
      <c r="AA213" s="797"/>
      <c r="AB213" s="797"/>
      <c r="AC213" s="797"/>
      <c r="AD213" s="797">
        <f t="shared" ref="AD213:AD219" si="880">AE213/AD$8</f>
        <v>0</v>
      </c>
      <c r="AE213" s="797">
        <f t="shared" ref="AE213:AE219" si="881">AG213*0+AI213+AK213</f>
        <v>0</v>
      </c>
      <c r="AF213" s="797">
        <v>0</v>
      </c>
      <c r="AG213" s="797">
        <f t="shared" ref="AG213:AG219" si="882">AF213*AF$8</f>
        <v>0</v>
      </c>
      <c r="AH213" s="797"/>
      <c r="AI213" s="797">
        <f t="shared" ref="AI213:AI219" si="883">AH213*AH$8</f>
        <v>0</v>
      </c>
      <c r="AJ213" s="797"/>
      <c r="AK213" s="797">
        <f t="shared" ref="AK213:AK219" si="884">AJ213*AJ$8</f>
        <v>0</v>
      </c>
      <c r="AL213" s="724"/>
      <c r="AN213" s="806">
        <f t="shared" si="850"/>
        <v>46080</v>
      </c>
    </row>
    <row r="214" hidden="1" customHeight="1" outlineLevel="1" spans="1:40">
      <c r="A214" s="797">
        <v>4.7</v>
      </c>
      <c r="B214" s="797" t="s">
        <v>667</v>
      </c>
      <c r="C214" s="797">
        <f t="shared" si="873"/>
        <v>0.840592197202929</v>
      </c>
      <c r="D214" s="797">
        <f t="shared" si="874"/>
        <v>6</v>
      </c>
      <c r="E214" s="742" t="s">
        <v>668</v>
      </c>
      <c r="F214" s="797">
        <f t="shared" si="869"/>
        <v>1.22093314292203</v>
      </c>
      <c r="G214" s="797">
        <f t="shared" ref="G214:G219" si="885">I214+K214+M214+O214+Q214+S214+U214+W214</f>
        <v>6</v>
      </c>
      <c r="H214" s="797">
        <f>经济指标!I9*240/10000/H8</f>
        <v>1.39557637683596</v>
      </c>
      <c r="I214" s="797">
        <f t="shared" si="875"/>
        <v>4.416</v>
      </c>
      <c r="J214" s="797">
        <f>经济指标!I10*240/10000/J8</f>
        <v>0.948930296756384</v>
      </c>
      <c r="K214" s="797">
        <f t="shared" si="876"/>
        <v>1.584</v>
      </c>
      <c r="L214" s="797"/>
      <c r="M214" s="797">
        <f t="shared" si="877"/>
        <v>0</v>
      </c>
      <c r="N214" s="797"/>
      <c r="O214" s="797">
        <f t="shared" si="870"/>
        <v>0</v>
      </c>
      <c r="P214" s="797"/>
      <c r="Q214" s="797">
        <f t="shared" si="871"/>
        <v>0</v>
      </c>
      <c r="R214" s="797"/>
      <c r="S214" s="797">
        <f t="shared" si="878"/>
        <v>0</v>
      </c>
      <c r="T214" s="797"/>
      <c r="U214" s="797">
        <f t="shared" si="872"/>
        <v>0</v>
      </c>
      <c r="V214" s="797"/>
      <c r="W214" s="797">
        <f t="shared" si="879"/>
        <v>0</v>
      </c>
      <c r="X214" s="797"/>
      <c r="Y214" s="797"/>
      <c r="Z214" s="797"/>
      <c r="AA214" s="797"/>
      <c r="AB214" s="797"/>
      <c r="AC214" s="797"/>
      <c r="AD214" s="797">
        <f t="shared" si="880"/>
        <v>0</v>
      </c>
      <c r="AE214" s="797">
        <f t="shared" si="881"/>
        <v>0</v>
      </c>
      <c r="AF214" s="797">
        <v>0</v>
      </c>
      <c r="AG214" s="797">
        <f t="shared" si="882"/>
        <v>0</v>
      </c>
      <c r="AH214" s="797"/>
      <c r="AI214" s="797">
        <f t="shared" si="883"/>
        <v>0</v>
      </c>
      <c r="AJ214" s="797"/>
      <c r="AK214" s="797">
        <f t="shared" si="884"/>
        <v>0</v>
      </c>
      <c r="AL214" s="724"/>
      <c r="AN214" s="806">
        <f t="shared" si="850"/>
        <v>60000</v>
      </c>
    </row>
    <row r="215" hidden="1" customHeight="1" outlineLevel="1" spans="1:40">
      <c r="A215" s="797">
        <v>4.3</v>
      </c>
      <c r="B215" s="797" t="s">
        <v>669</v>
      </c>
      <c r="C215" s="797">
        <f t="shared" si="873"/>
        <v>0</v>
      </c>
      <c r="D215" s="797">
        <f t="shared" si="874"/>
        <v>0</v>
      </c>
      <c r="E215" s="742"/>
      <c r="F215" s="797">
        <f t="shared" si="869"/>
        <v>0</v>
      </c>
      <c r="G215" s="797">
        <f t="shared" si="885"/>
        <v>0</v>
      </c>
      <c r="H215" s="797"/>
      <c r="I215" s="797">
        <f t="shared" si="875"/>
        <v>0</v>
      </c>
      <c r="J215" s="797"/>
      <c r="K215" s="797">
        <f t="shared" si="876"/>
        <v>0</v>
      </c>
      <c r="L215" s="797"/>
      <c r="M215" s="797">
        <f t="shared" si="877"/>
        <v>0</v>
      </c>
      <c r="N215" s="797"/>
      <c r="O215" s="797">
        <f t="shared" si="870"/>
        <v>0</v>
      </c>
      <c r="P215" s="797"/>
      <c r="Q215" s="797">
        <f t="shared" si="871"/>
        <v>0</v>
      </c>
      <c r="R215" s="797"/>
      <c r="S215" s="797">
        <f t="shared" si="878"/>
        <v>0</v>
      </c>
      <c r="T215" s="797"/>
      <c r="U215" s="797">
        <f t="shared" si="872"/>
        <v>0</v>
      </c>
      <c r="V215" s="797"/>
      <c r="W215" s="797">
        <f t="shared" si="879"/>
        <v>0</v>
      </c>
      <c r="X215" s="797"/>
      <c r="Y215" s="797"/>
      <c r="Z215" s="797"/>
      <c r="AA215" s="797"/>
      <c r="AB215" s="797"/>
      <c r="AC215" s="797"/>
      <c r="AD215" s="797">
        <f t="shared" si="880"/>
        <v>0</v>
      </c>
      <c r="AE215" s="797">
        <f t="shared" si="881"/>
        <v>0</v>
      </c>
      <c r="AF215" s="797">
        <v>0</v>
      </c>
      <c r="AG215" s="797">
        <f t="shared" si="882"/>
        <v>0</v>
      </c>
      <c r="AH215" s="797"/>
      <c r="AI215" s="797">
        <f t="shared" si="883"/>
        <v>0</v>
      </c>
      <c r="AJ215" s="797"/>
      <c r="AK215" s="797">
        <f t="shared" si="884"/>
        <v>0</v>
      </c>
      <c r="AL215" s="724"/>
      <c r="AN215" s="806">
        <f t="shared" si="850"/>
        <v>0</v>
      </c>
    </row>
    <row r="216" hidden="1" customHeight="1" outlineLevel="1" spans="1:40">
      <c r="A216" s="797">
        <v>4.7</v>
      </c>
      <c r="B216" s="797" t="s">
        <v>670</v>
      </c>
      <c r="C216" s="797">
        <f t="shared" si="873"/>
        <v>0</v>
      </c>
      <c r="D216" s="797">
        <f t="shared" si="874"/>
        <v>0</v>
      </c>
      <c r="E216" s="742"/>
      <c r="F216" s="797">
        <f t="shared" si="869"/>
        <v>0</v>
      </c>
      <c r="G216" s="797">
        <f t="shared" si="885"/>
        <v>0</v>
      </c>
      <c r="H216" s="797"/>
      <c r="I216" s="797">
        <f t="shared" si="875"/>
        <v>0</v>
      </c>
      <c r="J216" s="797"/>
      <c r="K216" s="797">
        <f t="shared" si="876"/>
        <v>0</v>
      </c>
      <c r="L216" s="797"/>
      <c r="M216" s="797">
        <f t="shared" si="877"/>
        <v>0</v>
      </c>
      <c r="N216" s="797"/>
      <c r="O216" s="797">
        <f t="shared" si="870"/>
        <v>0</v>
      </c>
      <c r="P216" s="797"/>
      <c r="Q216" s="797">
        <f t="shared" si="871"/>
        <v>0</v>
      </c>
      <c r="R216" s="797"/>
      <c r="S216" s="797">
        <f t="shared" si="878"/>
        <v>0</v>
      </c>
      <c r="T216" s="797"/>
      <c r="U216" s="797">
        <f t="shared" si="872"/>
        <v>0</v>
      </c>
      <c r="V216" s="797"/>
      <c r="W216" s="797">
        <f t="shared" si="879"/>
        <v>0</v>
      </c>
      <c r="X216" s="797"/>
      <c r="Y216" s="797"/>
      <c r="Z216" s="797"/>
      <c r="AA216" s="797"/>
      <c r="AB216" s="797"/>
      <c r="AC216" s="797"/>
      <c r="AD216" s="797">
        <f t="shared" si="880"/>
        <v>0</v>
      </c>
      <c r="AE216" s="797">
        <f t="shared" si="881"/>
        <v>0</v>
      </c>
      <c r="AF216" s="797">
        <v>0</v>
      </c>
      <c r="AG216" s="797">
        <f t="shared" si="882"/>
        <v>0</v>
      </c>
      <c r="AH216" s="797"/>
      <c r="AI216" s="797">
        <f t="shared" si="883"/>
        <v>0</v>
      </c>
      <c r="AJ216" s="797"/>
      <c r="AK216" s="797">
        <f t="shared" si="884"/>
        <v>0</v>
      </c>
      <c r="AL216" s="724"/>
      <c r="AN216" s="806">
        <f t="shared" si="850"/>
        <v>0</v>
      </c>
    </row>
    <row r="217" hidden="1" customHeight="1" outlineLevel="1" spans="1:40">
      <c r="A217" s="797">
        <v>4.3</v>
      </c>
      <c r="B217" s="797" t="s">
        <v>671</v>
      </c>
      <c r="C217" s="797">
        <f t="shared" si="873"/>
        <v>0</v>
      </c>
      <c r="D217" s="797">
        <f t="shared" si="874"/>
        <v>0</v>
      </c>
      <c r="E217" s="742"/>
      <c r="F217" s="797">
        <f t="shared" si="869"/>
        <v>0</v>
      </c>
      <c r="G217" s="797">
        <f t="shared" si="885"/>
        <v>0</v>
      </c>
      <c r="H217" s="797"/>
      <c r="I217" s="797">
        <f t="shared" si="875"/>
        <v>0</v>
      </c>
      <c r="J217" s="797"/>
      <c r="K217" s="797">
        <f t="shared" si="876"/>
        <v>0</v>
      </c>
      <c r="L217" s="797"/>
      <c r="M217" s="797">
        <f t="shared" si="877"/>
        <v>0</v>
      </c>
      <c r="N217" s="797"/>
      <c r="O217" s="797">
        <f t="shared" si="870"/>
        <v>0</v>
      </c>
      <c r="P217" s="797"/>
      <c r="Q217" s="797">
        <f t="shared" si="871"/>
        <v>0</v>
      </c>
      <c r="R217" s="797"/>
      <c r="S217" s="797">
        <f t="shared" si="878"/>
        <v>0</v>
      </c>
      <c r="T217" s="797"/>
      <c r="U217" s="797">
        <f t="shared" si="872"/>
        <v>0</v>
      </c>
      <c r="V217" s="797"/>
      <c r="W217" s="797">
        <f t="shared" si="879"/>
        <v>0</v>
      </c>
      <c r="X217" s="797"/>
      <c r="Y217" s="797"/>
      <c r="Z217" s="797"/>
      <c r="AA217" s="797"/>
      <c r="AB217" s="797"/>
      <c r="AC217" s="797"/>
      <c r="AD217" s="797">
        <f t="shared" si="880"/>
        <v>0</v>
      </c>
      <c r="AE217" s="797">
        <f t="shared" si="881"/>
        <v>0</v>
      </c>
      <c r="AF217" s="797">
        <v>0</v>
      </c>
      <c r="AG217" s="797">
        <f t="shared" si="882"/>
        <v>0</v>
      </c>
      <c r="AH217" s="797"/>
      <c r="AI217" s="797">
        <f t="shared" si="883"/>
        <v>0</v>
      </c>
      <c r="AJ217" s="797"/>
      <c r="AK217" s="797">
        <f t="shared" si="884"/>
        <v>0</v>
      </c>
      <c r="AL217" s="724"/>
      <c r="AN217" s="806">
        <f t="shared" si="850"/>
        <v>0</v>
      </c>
    </row>
    <row r="218" hidden="1" customHeight="1" outlineLevel="1" spans="1:40">
      <c r="A218" s="797">
        <v>4.7</v>
      </c>
      <c r="B218" s="797" t="s">
        <v>672</v>
      </c>
      <c r="C218" s="797">
        <f t="shared" si="873"/>
        <v>1.05074024650366</v>
      </c>
      <c r="D218" s="797">
        <f t="shared" si="874"/>
        <v>7.5</v>
      </c>
      <c r="E218" s="742" t="s">
        <v>673</v>
      </c>
      <c r="F218" s="797">
        <f t="shared" si="869"/>
        <v>1.52616642865253</v>
      </c>
      <c r="G218" s="797">
        <f t="shared" si="885"/>
        <v>7.5</v>
      </c>
      <c r="H218" s="797">
        <f>经济指标!I9*300/10000/H8</f>
        <v>1.74447047104495</v>
      </c>
      <c r="I218" s="797">
        <f t="shared" si="875"/>
        <v>5.52</v>
      </c>
      <c r="J218" s="797">
        <f>经济指标!I10*300/10000/J8</f>
        <v>1.18616287094548</v>
      </c>
      <c r="K218" s="797">
        <f t="shared" si="876"/>
        <v>1.98</v>
      </c>
      <c r="L218" s="797"/>
      <c r="M218" s="797">
        <f t="shared" si="877"/>
        <v>0</v>
      </c>
      <c r="N218" s="797"/>
      <c r="O218" s="797">
        <f t="shared" si="870"/>
        <v>0</v>
      </c>
      <c r="P218" s="797"/>
      <c r="Q218" s="797">
        <f t="shared" si="871"/>
        <v>0</v>
      </c>
      <c r="R218" s="797"/>
      <c r="S218" s="797">
        <f t="shared" si="878"/>
        <v>0</v>
      </c>
      <c r="T218" s="797"/>
      <c r="U218" s="797">
        <f t="shared" si="872"/>
        <v>0</v>
      </c>
      <c r="V218" s="797"/>
      <c r="W218" s="797">
        <f t="shared" si="879"/>
        <v>0</v>
      </c>
      <c r="X218" s="797"/>
      <c r="Y218" s="797"/>
      <c r="Z218" s="797"/>
      <c r="AA218" s="797"/>
      <c r="AB218" s="797"/>
      <c r="AC218" s="797"/>
      <c r="AD218" s="797">
        <f t="shared" si="880"/>
        <v>0</v>
      </c>
      <c r="AE218" s="797">
        <f t="shared" si="881"/>
        <v>0</v>
      </c>
      <c r="AF218" s="797">
        <v>0</v>
      </c>
      <c r="AG218" s="797">
        <f t="shared" si="882"/>
        <v>0</v>
      </c>
      <c r="AH218" s="797"/>
      <c r="AI218" s="797">
        <f t="shared" si="883"/>
        <v>0</v>
      </c>
      <c r="AJ218" s="797"/>
      <c r="AK218" s="797">
        <f t="shared" si="884"/>
        <v>0</v>
      </c>
      <c r="AL218" s="724"/>
      <c r="AN218" s="806">
        <f t="shared" si="850"/>
        <v>75000</v>
      </c>
    </row>
    <row r="219" hidden="1" customHeight="1" outlineLevel="1" spans="1:40">
      <c r="A219" s="797">
        <v>4.3</v>
      </c>
      <c r="B219" s="797" t="s">
        <v>674</v>
      </c>
      <c r="C219" s="797">
        <f t="shared" si="873"/>
        <v>0</v>
      </c>
      <c r="D219" s="797">
        <f t="shared" si="874"/>
        <v>0</v>
      </c>
      <c r="E219" s="742"/>
      <c r="F219" s="797">
        <f t="shared" si="869"/>
        <v>0</v>
      </c>
      <c r="G219" s="797">
        <f t="shared" si="885"/>
        <v>0</v>
      </c>
      <c r="H219" s="797"/>
      <c r="I219" s="797">
        <f t="shared" si="875"/>
        <v>0</v>
      </c>
      <c r="J219" s="797"/>
      <c r="K219" s="797">
        <f t="shared" si="876"/>
        <v>0</v>
      </c>
      <c r="L219" s="797"/>
      <c r="M219" s="797">
        <f t="shared" si="877"/>
        <v>0</v>
      </c>
      <c r="N219" s="797"/>
      <c r="O219" s="797">
        <f t="shared" si="870"/>
        <v>0</v>
      </c>
      <c r="P219" s="797"/>
      <c r="Q219" s="797">
        <f t="shared" si="871"/>
        <v>0</v>
      </c>
      <c r="R219" s="797"/>
      <c r="S219" s="797">
        <f t="shared" si="878"/>
        <v>0</v>
      </c>
      <c r="T219" s="797"/>
      <c r="U219" s="797">
        <f t="shared" si="872"/>
        <v>0</v>
      </c>
      <c r="V219" s="797"/>
      <c r="W219" s="797">
        <f t="shared" si="879"/>
        <v>0</v>
      </c>
      <c r="X219" s="797"/>
      <c r="Y219" s="797"/>
      <c r="Z219" s="797"/>
      <c r="AA219" s="797"/>
      <c r="AB219" s="797"/>
      <c r="AC219" s="797"/>
      <c r="AD219" s="797">
        <f t="shared" si="880"/>
        <v>0</v>
      </c>
      <c r="AE219" s="797">
        <f t="shared" si="881"/>
        <v>0</v>
      </c>
      <c r="AF219" s="797">
        <v>0</v>
      </c>
      <c r="AG219" s="797">
        <f t="shared" si="882"/>
        <v>0</v>
      </c>
      <c r="AH219" s="797"/>
      <c r="AI219" s="797">
        <f t="shared" si="883"/>
        <v>0</v>
      </c>
      <c r="AJ219" s="797"/>
      <c r="AK219" s="797">
        <f t="shared" si="884"/>
        <v>0</v>
      </c>
      <c r="AL219" s="724"/>
      <c r="AN219" s="806">
        <f t="shared" si="850"/>
        <v>0</v>
      </c>
    </row>
    <row r="220" customHeight="1" collapsed="1" spans="1:40">
      <c r="A220" s="794">
        <v>5</v>
      </c>
      <c r="B220" s="794" t="s">
        <v>675</v>
      </c>
      <c r="C220" s="794">
        <f t="shared" ref="C220:AK220" si="886">+C221+C222+C223+C224+C225+C226+C231+C233+C234+C235+C236+C237</f>
        <v>68.35132130586</v>
      </c>
      <c r="D220" s="794">
        <f t="shared" si="886"/>
        <v>487.87977</v>
      </c>
      <c r="E220" s="742"/>
      <c r="F220" s="794">
        <f t="shared" si="886"/>
        <v>75.2908771468585</v>
      </c>
      <c r="G220" s="794">
        <f t="shared" si="886"/>
        <v>403.264</v>
      </c>
      <c r="H220" s="794">
        <f t="shared" si="886"/>
        <v>76.5485777274258</v>
      </c>
      <c r="I220" s="794">
        <f t="shared" si="886"/>
        <v>242.22143972565</v>
      </c>
      <c r="J220" s="794">
        <f t="shared" si="886"/>
        <v>76.5485777274258</v>
      </c>
      <c r="K220" s="794">
        <f t="shared" si="886"/>
        <v>127.77856027435</v>
      </c>
      <c r="L220" s="794">
        <f t="shared" si="886"/>
        <v>0</v>
      </c>
      <c r="M220" s="794">
        <f t="shared" si="886"/>
        <v>0</v>
      </c>
      <c r="N220" s="794">
        <f t="shared" si="886"/>
        <v>0</v>
      </c>
      <c r="O220" s="794">
        <f t="shared" si="886"/>
        <v>0</v>
      </c>
      <c r="P220" s="794">
        <f t="shared" si="886"/>
        <v>0</v>
      </c>
      <c r="Q220" s="794">
        <f t="shared" si="886"/>
        <v>0</v>
      </c>
      <c r="R220" s="794">
        <f t="shared" si="886"/>
        <v>0</v>
      </c>
      <c r="S220" s="794">
        <f t="shared" si="886"/>
        <v>0</v>
      </c>
      <c r="T220" s="794">
        <f t="shared" si="886"/>
        <v>76.5485777274258</v>
      </c>
      <c r="U220" s="794">
        <f t="shared" si="886"/>
        <v>0</v>
      </c>
      <c r="V220" s="794">
        <f t="shared" si="886"/>
        <v>1000</v>
      </c>
      <c r="W220" s="794">
        <f t="shared" si="886"/>
        <v>33.264</v>
      </c>
      <c r="X220" s="794"/>
      <c r="Y220" s="794"/>
      <c r="Z220" s="794"/>
      <c r="AA220" s="794"/>
      <c r="AB220" s="794"/>
      <c r="AC220" s="794"/>
      <c r="AD220" s="794">
        <f t="shared" si="886"/>
        <v>38.0543419062572</v>
      </c>
      <c r="AE220" s="794">
        <f t="shared" si="886"/>
        <v>84.61577</v>
      </c>
      <c r="AF220" s="794">
        <f t="shared" si="886"/>
        <v>0</v>
      </c>
      <c r="AG220" s="794">
        <f t="shared" si="886"/>
        <v>0</v>
      </c>
      <c r="AH220" s="794">
        <f t="shared" si="886"/>
        <v>214.48266334779</v>
      </c>
      <c r="AI220" s="794">
        <f t="shared" si="886"/>
        <v>84.61577</v>
      </c>
      <c r="AJ220" s="794">
        <f t="shared" si="886"/>
        <v>0</v>
      </c>
      <c r="AK220" s="794">
        <f t="shared" si="886"/>
        <v>0</v>
      </c>
      <c r="AL220" s="724" t="s">
        <v>164</v>
      </c>
      <c r="AN220" s="806">
        <f t="shared" si="850"/>
        <v>4878797.7</v>
      </c>
    </row>
    <row r="221" s="775" customFormat="1" hidden="1" customHeight="1" outlineLevel="1" spans="1:56">
      <c r="A221" s="813">
        <v>5.1</v>
      </c>
      <c r="B221" s="813" t="s">
        <v>676</v>
      </c>
      <c r="C221" s="813">
        <f t="shared" ref="C221:C227" si="887">D221/$C$8</f>
        <v>0</v>
      </c>
      <c r="D221" s="813">
        <f t="shared" ref="D221:D227" si="888">G221+AE221</f>
        <v>0</v>
      </c>
      <c r="E221" s="814"/>
      <c r="F221" s="813">
        <f t="shared" ref="F221:F226" si="889">G221/$F$8</f>
        <v>0</v>
      </c>
      <c r="G221" s="813">
        <f>I221+K221+M221+O221+Q221+S221+U221+W221</f>
        <v>0</v>
      </c>
      <c r="H221" s="813"/>
      <c r="I221" s="813">
        <f t="shared" ref="I221:M221" si="890">H221*H$8</f>
        <v>0</v>
      </c>
      <c r="J221" s="813">
        <f>H221</f>
        <v>0</v>
      </c>
      <c r="K221" s="813">
        <f t="shared" si="890"/>
        <v>0</v>
      </c>
      <c r="L221" s="813"/>
      <c r="M221" s="813">
        <f t="shared" si="890"/>
        <v>0</v>
      </c>
      <c r="N221" s="813"/>
      <c r="O221" s="813">
        <f t="shared" ref="O221:S221" si="891">N221*N$8</f>
        <v>0</v>
      </c>
      <c r="P221" s="813"/>
      <c r="Q221" s="813">
        <f t="shared" si="891"/>
        <v>0</v>
      </c>
      <c r="R221" s="813"/>
      <c r="S221" s="813">
        <f t="shared" si="891"/>
        <v>0</v>
      </c>
      <c r="T221" s="813">
        <f>H221</f>
        <v>0</v>
      </c>
      <c r="U221" s="813">
        <f t="shared" ref="U221:Y221" si="892">T221*T$8</f>
        <v>0</v>
      </c>
      <c r="V221" s="813"/>
      <c r="W221" s="813">
        <f t="shared" si="892"/>
        <v>0</v>
      </c>
      <c r="X221" s="813"/>
      <c r="Y221" s="813"/>
      <c r="Z221" s="813"/>
      <c r="AA221" s="813"/>
      <c r="AB221" s="813"/>
      <c r="AC221" s="813"/>
      <c r="AD221" s="813">
        <f t="shared" ref="AD221:AD226" si="893">AE221/AD$8</f>
        <v>0</v>
      </c>
      <c r="AE221" s="813">
        <f t="shared" ref="AE221:AE226" si="894">AG221*0+AI221+AK221</f>
        <v>0</v>
      </c>
      <c r="AF221" s="813"/>
      <c r="AG221" s="813">
        <f>AF221*AF$8</f>
        <v>0</v>
      </c>
      <c r="AH221" s="813"/>
      <c r="AI221" s="813">
        <f>AH221*AH$8</f>
        <v>0</v>
      </c>
      <c r="AJ221" s="813"/>
      <c r="AK221" s="813">
        <f>AJ221*AJ$8</f>
        <v>0</v>
      </c>
      <c r="AL221" s="724"/>
      <c r="AM221" s="699"/>
      <c r="AN221" s="806">
        <f t="shared" si="850"/>
        <v>0</v>
      </c>
      <c r="AO221" s="699"/>
      <c r="AP221" s="699"/>
      <c r="AQ221" s="699"/>
      <c r="AR221" s="699"/>
      <c r="AS221" s="699"/>
      <c r="AT221" s="699"/>
      <c r="AU221" s="699"/>
      <c r="AV221" s="699"/>
      <c r="AW221" s="699"/>
      <c r="AX221" s="699"/>
      <c r="AY221" s="699"/>
      <c r="AZ221" s="699"/>
      <c r="BA221" s="699"/>
      <c r="BB221" s="699"/>
      <c r="BC221" s="699"/>
      <c r="BD221" s="699"/>
    </row>
    <row r="222" s="775" customFormat="1" hidden="1" customHeight="1" outlineLevel="1" spans="1:56">
      <c r="A222" s="813">
        <v>5.2</v>
      </c>
      <c r="B222" s="813" t="s">
        <v>122</v>
      </c>
      <c r="C222" s="813">
        <f t="shared" si="887"/>
        <v>0</v>
      </c>
      <c r="D222" s="813">
        <f t="shared" si="888"/>
        <v>0</v>
      </c>
      <c r="E222" s="814"/>
      <c r="F222" s="813">
        <f t="shared" si="889"/>
        <v>0</v>
      </c>
      <c r="G222" s="813">
        <f>I222+K222+M222+O222+Q222+S222+U222+W222</f>
        <v>0</v>
      </c>
      <c r="H222" s="813"/>
      <c r="I222" s="813">
        <f>H222*H$8</f>
        <v>0</v>
      </c>
      <c r="J222" s="813">
        <f t="shared" ref="J222:J236" si="895">H222</f>
        <v>0</v>
      </c>
      <c r="K222" s="813">
        <f>J222*J$8</f>
        <v>0</v>
      </c>
      <c r="L222" s="813"/>
      <c r="M222" s="813">
        <f t="shared" ref="M222:Q222" si="896">L222*L$8</f>
        <v>0</v>
      </c>
      <c r="N222" s="813"/>
      <c r="O222" s="813">
        <f t="shared" si="896"/>
        <v>0</v>
      </c>
      <c r="P222" s="813"/>
      <c r="Q222" s="813">
        <f t="shared" si="896"/>
        <v>0</v>
      </c>
      <c r="R222" s="813"/>
      <c r="S222" s="813">
        <f t="shared" ref="S222:W222" si="897">R222*R$8</f>
        <v>0</v>
      </c>
      <c r="T222" s="813">
        <f t="shared" ref="T222:T236" si="898">H222</f>
        <v>0</v>
      </c>
      <c r="U222" s="813">
        <f t="shared" si="897"/>
        <v>0</v>
      </c>
      <c r="V222" s="813"/>
      <c r="W222" s="813">
        <f t="shared" si="897"/>
        <v>0</v>
      </c>
      <c r="X222" s="813"/>
      <c r="Y222" s="813"/>
      <c r="Z222" s="813"/>
      <c r="AA222" s="813"/>
      <c r="AB222" s="813"/>
      <c r="AC222" s="813"/>
      <c r="AD222" s="813">
        <f t="shared" si="893"/>
        <v>0</v>
      </c>
      <c r="AE222" s="813">
        <f t="shared" si="894"/>
        <v>0</v>
      </c>
      <c r="AF222" s="813"/>
      <c r="AG222" s="813">
        <f t="shared" ref="AG222:AK222" si="899">AF222*AF$8</f>
        <v>0</v>
      </c>
      <c r="AH222" s="813"/>
      <c r="AI222" s="813">
        <f t="shared" si="899"/>
        <v>0</v>
      </c>
      <c r="AJ222" s="813"/>
      <c r="AK222" s="813">
        <f>AJ222*AJ$8</f>
        <v>0</v>
      </c>
      <c r="AL222" s="724"/>
      <c r="AM222" s="699"/>
      <c r="AN222" s="806">
        <f t="shared" si="850"/>
        <v>0</v>
      </c>
      <c r="AO222" s="699"/>
      <c r="AP222" s="699"/>
      <c r="AQ222" s="699"/>
      <c r="AR222" s="699"/>
      <c r="AS222" s="699"/>
      <c r="AT222" s="699"/>
      <c r="AU222" s="699"/>
      <c r="AV222" s="699"/>
      <c r="AW222" s="699"/>
      <c r="AX222" s="699"/>
      <c r="AY222" s="699"/>
      <c r="AZ222" s="699"/>
      <c r="BA222" s="699"/>
      <c r="BB222" s="699"/>
      <c r="BC222" s="699"/>
      <c r="BD222" s="699"/>
    </row>
    <row r="223" s="775" customFormat="1" hidden="1" customHeight="1" outlineLevel="1" spans="1:56">
      <c r="A223" s="813">
        <v>5.3</v>
      </c>
      <c r="B223" s="813" t="s">
        <v>677</v>
      </c>
      <c r="C223" s="813">
        <f t="shared" si="887"/>
        <v>0</v>
      </c>
      <c r="D223" s="813">
        <f t="shared" si="888"/>
        <v>0</v>
      </c>
      <c r="E223" s="815"/>
      <c r="F223" s="813">
        <f t="shared" si="889"/>
        <v>0</v>
      </c>
      <c r="G223" s="813">
        <f>I223+K223+M223+O223+Q223+S223+U223+W223</f>
        <v>0</v>
      </c>
      <c r="H223" s="813"/>
      <c r="I223" s="813">
        <f>H223*H$8</f>
        <v>0</v>
      </c>
      <c r="J223" s="813">
        <f t="shared" si="895"/>
        <v>0</v>
      </c>
      <c r="K223" s="813">
        <f>J223*J$8</f>
        <v>0</v>
      </c>
      <c r="L223" s="813"/>
      <c r="M223" s="813">
        <f>L223*L$8</f>
        <v>0</v>
      </c>
      <c r="N223" s="813"/>
      <c r="O223" s="813">
        <f t="shared" ref="O223:S223" si="900">N223*N$8</f>
        <v>0</v>
      </c>
      <c r="P223" s="813"/>
      <c r="Q223" s="813">
        <f t="shared" si="900"/>
        <v>0</v>
      </c>
      <c r="R223" s="813"/>
      <c r="S223" s="813">
        <f t="shared" si="900"/>
        <v>0</v>
      </c>
      <c r="T223" s="813">
        <f t="shared" si="898"/>
        <v>0</v>
      </c>
      <c r="U223" s="813">
        <f t="shared" ref="U223:Y223" si="901">T223*T$8</f>
        <v>0</v>
      </c>
      <c r="V223" s="813"/>
      <c r="W223" s="813">
        <f t="shared" si="901"/>
        <v>0</v>
      </c>
      <c r="X223" s="813"/>
      <c r="Y223" s="813"/>
      <c r="Z223" s="813"/>
      <c r="AA223" s="813"/>
      <c r="AB223" s="813"/>
      <c r="AC223" s="813"/>
      <c r="AD223" s="813">
        <f t="shared" si="893"/>
        <v>0</v>
      </c>
      <c r="AE223" s="813">
        <f t="shared" si="894"/>
        <v>0</v>
      </c>
      <c r="AF223" s="813"/>
      <c r="AG223" s="813">
        <f t="shared" ref="AG223:AK223" si="902">AF223*AF$8</f>
        <v>0</v>
      </c>
      <c r="AH223" s="813"/>
      <c r="AI223" s="813">
        <f t="shared" si="902"/>
        <v>0</v>
      </c>
      <c r="AJ223" s="813"/>
      <c r="AK223" s="813">
        <f t="shared" si="902"/>
        <v>0</v>
      </c>
      <c r="AL223" s="724"/>
      <c r="AM223" s="699"/>
      <c r="AN223" s="806">
        <f t="shared" si="850"/>
        <v>0</v>
      </c>
      <c r="AO223" s="699"/>
      <c r="AP223" s="699"/>
      <c r="AQ223" s="699"/>
      <c r="AR223" s="699"/>
      <c r="AS223" s="699"/>
      <c r="AT223" s="699"/>
      <c r="AU223" s="699"/>
      <c r="AV223" s="699"/>
      <c r="AW223" s="699"/>
      <c r="AX223" s="699"/>
      <c r="AY223" s="699"/>
      <c r="AZ223" s="699"/>
      <c r="BA223" s="699"/>
      <c r="BB223" s="699"/>
      <c r="BC223" s="699"/>
      <c r="BD223" s="699"/>
    </row>
    <row r="224" s="775" customFormat="1" hidden="1" customHeight="1" outlineLevel="1" spans="1:56">
      <c r="A224" s="813">
        <v>5.4</v>
      </c>
      <c r="B224" s="813" t="s">
        <v>678</v>
      </c>
      <c r="C224" s="813">
        <f t="shared" si="887"/>
        <v>0</v>
      </c>
      <c r="D224" s="813">
        <f t="shared" si="888"/>
        <v>0</v>
      </c>
      <c r="E224" s="814"/>
      <c r="F224" s="813">
        <f t="shared" si="889"/>
        <v>0</v>
      </c>
      <c r="G224" s="813">
        <f>I224+K224+M224+O224+Q224+S224+U224+W224</f>
        <v>0</v>
      </c>
      <c r="H224" s="813"/>
      <c r="I224" s="813">
        <f>H224*H$8</f>
        <v>0</v>
      </c>
      <c r="J224" s="813">
        <f t="shared" si="895"/>
        <v>0</v>
      </c>
      <c r="K224" s="813">
        <f>J224*J$8</f>
        <v>0</v>
      </c>
      <c r="L224" s="813"/>
      <c r="M224" s="813">
        <f t="shared" ref="M224" si="903">L224*L$8</f>
        <v>0</v>
      </c>
      <c r="N224" s="813"/>
      <c r="O224" s="813">
        <f>N224*N$8</f>
        <v>0</v>
      </c>
      <c r="P224" s="813"/>
      <c r="Q224" s="813">
        <f>P224*P$8</f>
        <v>0</v>
      </c>
      <c r="R224" s="813"/>
      <c r="S224" s="813">
        <f>R224*R$8</f>
        <v>0</v>
      </c>
      <c r="T224" s="813">
        <f t="shared" si="898"/>
        <v>0</v>
      </c>
      <c r="U224" s="813">
        <f>T224*T$8</f>
        <v>0</v>
      </c>
      <c r="V224" s="813"/>
      <c r="W224" s="813">
        <f t="shared" ref="W224" si="904">V224*V$8</f>
        <v>0</v>
      </c>
      <c r="X224" s="813"/>
      <c r="Y224" s="813"/>
      <c r="Z224" s="813"/>
      <c r="AA224" s="813"/>
      <c r="AB224" s="813"/>
      <c r="AC224" s="813"/>
      <c r="AD224" s="813">
        <f t="shared" si="893"/>
        <v>0</v>
      </c>
      <c r="AE224" s="813">
        <f t="shared" si="894"/>
        <v>0</v>
      </c>
      <c r="AF224" s="813"/>
      <c r="AG224" s="813">
        <f t="shared" ref="AG224" si="905">AF224*AF$8</f>
        <v>0</v>
      </c>
      <c r="AH224" s="813"/>
      <c r="AI224" s="813">
        <f t="shared" ref="AI224" si="906">AH224*AH$8</f>
        <v>0</v>
      </c>
      <c r="AJ224" s="813"/>
      <c r="AK224" s="813">
        <f t="shared" ref="AK224" si="907">AJ224*AJ$8</f>
        <v>0</v>
      </c>
      <c r="AL224" s="724"/>
      <c r="AM224" s="699"/>
      <c r="AN224" s="806">
        <f t="shared" si="850"/>
        <v>0</v>
      </c>
      <c r="AO224" s="699"/>
      <c r="AP224" s="699"/>
      <c r="AQ224" s="699"/>
      <c r="AR224" s="699"/>
      <c r="AS224" s="699"/>
      <c r="AT224" s="699"/>
      <c r="AU224" s="699"/>
      <c r="AV224" s="699"/>
      <c r="AW224" s="699"/>
      <c r="AX224" s="699"/>
      <c r="AY224" s="699"/>
      <c r="AZ224" s="699"/>
      <c r="BA224" s="699"/>
      <c r="BB224" s="699"/>
      <c r="BC224" s="699"/>
      <c r="BD224" s="699"/>
    </row>
    <row r="225" s="775" customFormat="1" hidden="1" customHeight="1" outlineLevel="1" spans="1:56">
      <c r="A225" s="813">
        <v>5.5</v>
      </c>
      <c r="B225" s="813" t="s">
        <v>679</v>
      </c>
      <c r="C225" s="813">
        <f t="shared" si="887"/>
        <v>0</v>
      </c>
      <c r="D225" s="813">
        <f t="shared" si="888"/>
        <v>0</v>
      </c>
      <c r="E225" s="814"/>
      <c r="F225" s="813">
        <f t="shared" si="889"/>
        <v>0</v>
      </c>
      <c r="G225" s="813">
        <f>I225+K225+M225+O225+Q225+S225+U225+W225</f>
        <v>0</v>
      </c>
      <c r="H225" s="813"/>
      <c r="I225" s="813">
        <f>H225*H$8</f>
        <v>0</v>
      </c>
      <c r="J225" s="813"/>
      <c r="K225" s="813">
        <f>J225*J$8</f>
        <v>0</v>
      </c>
      <c r="L225" s="813"/>
      <c r="M225" s="813">
        <f t="shared" ref="M225" si="908">L225*L$8</f>
        <v>0</v>
      </c>
      <c r="N225" s="813"/>
      <c r="O225" s="813">
        <f>N225*N$8</f>
        <v>0</v>
      </c>
      <c r="P225" s="813"/>
      <c r="Q225" s="813">
        <f>P225*P$8</f>
        <v>0</v>
      </c>
      <c r="R225" s="813"/>
      <c r="S225" s="813">
        <f>R225*R$8</f>
        <v>0</v>
      </c>
      <c r="T225" s="813">
        <f t="shared" si="898"/>
        <v>0</v>
      </c>
      <c r="U225" s="813">
        <f>T225*T$8</f>
        <v>0</v>
      </c>
      <c r="V225" s="813"/>
      <c r="W225" s="813">
        <f t="shared" ref="W225" si="909">V225*V$8</f>
        <v>0</v>
      </c>
      <c r="X225" s="813"/>
      <c r="Y225" s="813"/>
      <c r="Z225" s="813"/>
      <c r="AA225" s="813"/>
      <c r="AB225" s="813"/>
      <c r="AC225" s="813"/>
      <c r="AD225" s="813">
        <f t="shared" si="893"/>
        <v>0</v>
      </c>
      <c r="AE225" s="813">
        <f t="shared" si="894"/>
        <v>0</v>
      </c>
      <c r="AF225" s="813"/>
      <c r="AG225" s="813">
        <f t="shared" ref="AG225" si="910">AF225*AF$8</f>
        <v>0</v>
      </c>
      <c r="AH225" s="813"/>
      <c r="AI225" s="813">
        <f t="shared" ref="AI225" si="911">AH225*AH$8</f>
        <v>0</v>
      </c>
      <c r="AJ225" s="813"/>
      <c r="AK225" s="813">
        <f t="shared" ref="AK225" si="912">AJ225*AJ$8</f>
        <v>0</v>
      </c>
      <c r="AL225" s="724"/>
      <c r="AM225" s="699"/>
      <c r="AN225" s="806">
        <f t="shared" si="850"/>
        <v>0</v>
      </c>
      <c r="AO225" s="699"/>
      <c r="AP225" s="699"/>
      <c r="AQ225" s="699"/>
      <c r="AR225" s="699"/>
      <c r="AS225" s="699"/>
      <c r="AT225" s="699"/>
      <c r="AU225" s="699"/>
      <c r="AV225" s="699"/>
      <c r="AW225" s="699"/>
      <c r="AX225" s="699"/>
      <c r="AY225" s="699"/>
      <c r="AZ225" s="699"/>
      <c r="BA225" s="699"/>
      <c r="BB225" s="699"/>
      <c r="BC225" s="699"/>
      <c r="BD225" s="699"/>
    </row>
    <row r="226" s="775" customFormat="1" hidden="1" customHeight="1" outlineLevel="1" collapsed="1" spans="1:56">
      <c r="A226" s="813">
        <v>5.6</v>
      </c>
      <c r="B226" s="813" t="s">
        <v>449</v>
      </c>
      <c r="C226" s="813">
        <f t="shared" si="887"/>
        <v>11.854559337053</v>
      </c>
      <c r="D226" s="813">
        <f t="shared" si="888"/>
        <v>84.61577</v>
      </c>
      <c r="E226" s="814"/>
      <c r="F226" s="813">
        <f>SUM(F227:F230)</f>
        <v>0</v>
      </c>
      <c r="G226" s="813">
        <f t="shared" ref="G226:AK226" si="913">SUM(G227:G230)</f>
        <v>0</v>
      </c>
      <c r="H226" s="813">
        <f t="shared" si="913"/>
        <v>0</v>
      </c>
      <c r="I226" s="813">
        <f t="shared" si="913"/>
        <v>0</v>
      </c>
      <c r="J226" s="813">
        <f t="shared" si="913"/>
        <v>0</v>
      </c>
      <c r="K226" s="813">
        <f t="shared" si="913"/>
        <v>0</v>
      </c>
      <c r="L226" s="813">
        <f t="shared" si="913"/>
        <v>0</v>
      </c>
      <c r="M226" s="813">
        <f t="shared" si="913"/>
        <v>0</v>
      </c>
      <c r="N226" s="813">
        <f t="shared" si="913"/>
        <v>0</v>
      </c>
      <c r="O226" s="813">
        <f t="shared" si="913"/>
        <v>0</v>
      </c>
      <c r="P226" s="813">
        <f t="shared" si="913"/>
        <v>0</v>
      </c>
      <c r="Q226" s="813">
        <f t="shared" si="913"/>
        <v>0</v>
      </c>
      <c r="R226" s="813">
        <f t="shared" si="913"/>
        <v>0</v>
      </c>
      <c r="S226" s="813">
        <f t="shared" si="913"/>
        <v>0</v>
      </c>
      <c r="T226" s="813">
        <f t="shared" si="913"/>
        <v>0</v>
      </c>
      <c r="U226" s="813">
        <f t="shared" si="913"/>
        <v>0</v>
      </c>
      <c r="V226" s="813">
        <f t="shared" si="913"/>
        <v>0</v>
      </c>
      <c r="W226" s="813">
        <f t="shared" si="913"/>
        <v>0</v>
      </c>
      <c r="X226" s="813"/>
      <c r="Y226" s="813"/>
      <c r="Z226" s="813"/>
      <c r="AA226" s="813"/>
      <c r="AB226" s="813"/>
      <c r="AC226" s="813"/>
      <c r="AD226" s="813">
        <f t="shared" si="913"/>
        <v>38.0543419062572</v>
      </c>
      <c r="AE226" s="813">
        <f t="shared" si="913"/>
        <v>84.61577</v>
      </c>
      <c r="AF226" s="813">
        <f t="shared" si="913"/>
        <v>0</v>
      </c>
      <c r="AG226" s="813">
        <f t="shared" si="913"/>
        <v>0</v>
      </c>
      <c r="AH226" s="813">
        <f t="shared" si="913"/>
        <v>214.48266334779</v>
      </c>
      <c r="AI226" s="813">
        <f t="shared" si="913"/>
        <v>84.61577</v>
      </c>
      <c r="AJ226" s="813">
        <f t="shared" si="913"/>
        <v>0</v>
      </c>
      <c r="AK226" s="813">
        <f t="shared" si="913"/>
        <v>0</v>
      </c>
      <c r="AL226" s="724"/>
      <c r="AM226" s="699"/>
      <c r="AN226" s="806">
        <f t="shared" si="850"/>
        <v>846157.7</v>
      </c>
      <c r="AO226" s="699"/>
      <c r="AP226" s="699"/>
      <c r="AQ226" s="699"/>
      <c r="AR226" s="699"/>
      <c r="AS226" s="699"/>
      <c r="AT226" s="699"/>
      <c r="AU226" s="699"/>
      <c r="AV226" s="699"/>
      <c r="AW226" s="699"/>
      <c r="AX226" s="699"/>
      <c r="AY226" s="699"/>
      <c r="AZ226" s="699"/>
      <c r="BA226" s="699"/>
      <c r="BB226" s="699"/>
      <c r="BC226" s="699"/>
      <c r="BD226" s="699"/>
    </row>
    <row r="227" s="699" customFormat="1" hidden="1" customHeight="1" outlineLevel="2" spans="1:40">
      <c r="A227" s="724" t="s">
        <v>680</v>
      </c>
      <c r="B227" s="728" t="s">
        <v>681</v>
      </c>
      <c r="C227" s="724">
        <f t="shared" si="887"/>
        <v>7.98562587342783</v>
      </c>
      <c r="D227" s="724">
        <f t="shared" si="888"/>
        <v>57</v>
      </c>
      <c r="E227" s="742" t="s">
        <v>682</v>
      </c>
      <c r="F227" s="724"/>
      <c r="G227" s="724">
        <f t="shared" ref="G227:G237" si="914">I227+K227+M227+O227+Q227+S227+U227+W227</f>
        <v>0</v>
      </c>
      <c r="H227" s="724"/>
      <c r="I227" s="724"/>
      <c r="J227" s="724">
        <f t="shared" si="895"/>
        <v>0</v>
      </c>
      <c r="K227" s="724"/>
      <c r="L227" s="724"/>
      <c r="M227" s="724"/>
      <c r="N227" s="724"/>
      <c r="O227" s="724"/>
      <c r="P227" s="724"/>
      <c r="Q227" s="724"/>
      <c r="R227" s="724"/>
      <c r="S227" s="724"/>
      <c r="T227" s="724">
        <f t="shared" si="898"/>
        <v>0</v>
      </c>
      <c r="U227" s="724"/>
      <c r="V227" s="724"/>
      <c r="W227" s="724"/>
      <c r="X227" s="724"/>
      <c r="Y227" s="724"/>
      <c r="Z227" s="724"/>
      <c r="AA227" s="724"/>
      <c r="AB227" s="724"/>
      <c r="AC227" s="724"/>
      <c r="AD227" s="724">
        <f>AE227/AD$8</f>
        <v>25.6346717480283</v>
      </c>
      <c r="AE227" s="724">
        <f>AG227*0+AI227+AK227</f>
        <v>57</v>
      </c>
      <c r="AF227" s="724"/>
      <c r="AG227" s="724">
        <f>AF227*AF$8</f>
        <v>0</v>
      </c>
      <c r="AH227" s="724">
        <f>57/AH8</f>
        <v>144.48266334779</v>
      </c>
      <c r="AI227" s="724">
        <f>AH227*AH$8</f>
        <v>57</v>
      </c>
      <c r="AJ227" s="724"/>
      <c r="AK227" s="724"/>
      <c r="AL227" s="724"/>
      <c r="AN227" s="806">
        <f t="shared" si="850"/>
        <v>570000</v>
      </c>
    </row>
    <row r="228" s="699" customFormat="1" hidden="1" customHeight="1" outlineLevel="2" spans="1:40">
      <c r="A228" s="724" t="s">
        <v>683</v>
      </c>
      <c r="B228" s="728" t="s">
        <v>684</v>
      </c>
      <c r="C228" s="724">
        <f t="shared" ref="C228:C237" si="915">D228/$C$8</f>
        <v>3.86893346362512</v>
      </c>
      <c r="D228" s="724">
        <f t="shared" ref="D228:D237" si="916">G228+AE228</f>
        <v>27.61577</v>
      </c>
      <c r="E228" s="742" t="s">
        <v>685</v>
      </c>
      <c r="F228" s="724"/>
      <c r="G228" s="724">
        <f t="shared" si="914"/>
        <v>0</v>
      </c>
      <c r="H228" s="724"/>
      <c r="I228" s="724"/>
      <c r="J228" s="724">
        <f t="shared" si="895"/>
        <v>0</v>
      </c>
      <c r="K228" s="724"/>
      <c r="L228" s="724"/>
      <c r="M228" s="724"/>
      <c r="N228" s="724"/>
      <c r="O228" s="724"/>
      <c r="P228" s="724"/>
      <c r="Q228" s="724"/>
      <c r="R228" s="724"/>
      <c r="S228" s="724"/>
      <c r="T228" s="724">
        <f t="shared" si="898"/>
        <v>0</v>
      </c>
      <c r="U228" s="724"/>
      <c r="V228" s="724"/>
      <c r="W228" s="724"/>
      <c r="X228" s="724"/>
      <c r="Y228" s="724"/>
      <c r="Z228" s="724"/>
      <c r="AA228" s="724"/>
      <c r="AB228" s="724"/>
      <c r="AC228" s="724"/>
      <c r="AD228" s="724">
        <f>AE228/AD$8</f>
        <v>12.4196701582289</v>
      </c>
      <c r="AE228" s="724">
        <f>AG228*0+AI228+AK228</f>
        <v>27.61577</v>
      </c>
      <c r="AF228" s="724"/>
      <c r="AG228" s="724"/>
      <c r="AH228" s="724">
        <v>70</v>
      </c>
      <c r="AI228" s="724">
        <f>AH228*AH$8</f>
        <v>27.61577</v>
      </c>
      <c r="AJ228" s="724"/>
      <c r="AK228" s="724"/>
      <c r="AL228" s="724"/>
      <c r="AN228" s="806">
        <f t="shared" si="850"/>
        <v>276157.7</v>
      </c>
    </row>
    <row r="229" s="699" customFormat="1" hidden="1" customHeight="1" outlineLevel="2" spans="1:40">
      <c r="A229" s="724" t="s">
        <v>686</v>
      </c>
      <c r="B229" s="729" t="s">
        <v>687</v>
      </c>
      <c r="C229" s="724">
        <f t="shared" si="915"/>
        <v>0</v>
      </c>
      <c r="D229" s="724">
        <f t="shared" si="916"/>
        <v>0</v>
      </c>
      <c r="E229" s="742"/>
      <c r="F229" s="724"/>
      <c r="G229" s="724">
        <f t="shared" si="914"/>
        <v>0</v>
      </c>
      <c r="H229" s="724"/>
      <c r="I229" s="724"/>
      <c r="J229" s="724">
        <f t="shared" si="895"/>
        <v>0</v>
      </c>
      <c r="K229" s="724"/>
      <c r="L229" s="724"/>
      <c r="M229" s="724"/>
      <c r="N229" s="724"/>
      <c r="O229" s="724"/>
      <c r="P229" s="724"/>
      <c r="Q229" s="724"/>
      <c r="R229" s="724"/>
      <c r="S229" s="724"/>
      <c r="T229" s="724">
        <f t="shared" si="898"/>
        <v>0</v>
      </c>
      <c r="U229" s="724"/>
      <c r="V229" s="724"/>
      <c r="W229" s="724"/>
      <c r="X229" s="724"/>
      <c r="Y229" s="724"/>
      <c r="Z229" s="724"/>
      <c r="AA229" s="724"/>
      <c r="AB229" s="724"/>
      <c r="AC229" s="724"/>
      <c r="AD229" s="724">
        <f>AE229/AD$8</f>
        <v>0</v>
      </c>
      <c r="AE229" s="724">
        <f>AG229*0+AI229+AK229</f>
        <v>0</v>
      </c>
      <c r="AF229" s="724"/>
      <c r="AG229" s="724"/>
      <c r="AH229" s="724"/>
      <c r="AI229" s="724"/>
      <c r="AJ229" s="724"/>
      <c r="AK229" s="724"/>
      <c r="AL229" s="724"/>
      <c r="AN229" s="806">
        <f t="shared" si="850"/>
        <v>0</v>
      </c>
    </row>
    <row r="230" s="699" customFormat="1" hidden="1" customHeight="1" outlineLevel="2" spans="1:40">
      <c r="A230" s="724" t="s">
        <v>688</v>
      </c>
      <c r="B230" s="734" t="s">
        <v>689</v>
      </c>
      <c r="C230" s="724">
        <f t="shared" si="915"/>
        <v>0</v>
      </c>
      <c r="D230" s="724">
        <f t="shared" si="916"/>
        <v>0</v>
      </c>
      <c r="E230" s="742"/>
      <c r="F230" s="724"/>
      <c r="G230" s="724">
        <f t="shared" si="914"/>
        <v>0</v>
      </c>
      <c r="H230" s="724"/>
      <c r="I230" s="724"/>
      <c r="J230" s="724">
        <f t="shared" si="895"/>
        <v>0</v>
      </c>
      <c r="K230" s="724"/>
      <c r="L230" s="724"/>
      <c r="M230" s="724"/>
      <c r="N230" s="724"/>
      <c r="O230" s="724"/>
      <c r="P230" s="724"/>
      <c r="Q230" s="724"/>
      <c r="R230" s="724"/>
      <c r="S230" s="724"/>
      <c r="T230" s="724">
        <f t="shared" si="898"/>
        <v>0</v>
      </c>
      <c r="U230" s="724"/>
      <c r="V230" s="724"/>
      <c r="W230" s="724"/>
      <c r="X230" s="724"/>
      <c r="Y230" s="724"/>
      <c r="Z230" s="724"/>
      <c r="AA230" s="724"/>
      <c r="AB230" s="724"/>
      <c r="AC230" s="724"/>
      <c r="AD230" s="724">
        <f>AE230/AD$8</f>
        <v>0</v>
      </c>
      <c r="AE230" s="724">
        <f>AG230*0+AI230+AK230</f>
        <v>0</v>
      </c>
      <c r="AF230" s="724"/>
      <c r="AG230" s="724"/>
      <c r="AH230" s="724"/>
      <c r="AI230" s="724"/>
      <c r="AJ230" s="724"/>
      <c r="AK230" s="724"/>
      <c r="AL230" s="724"/>
      <c r="AN230" s="806">
        <f t="shared" si="850"/>
        <v>0</v>
      </c>
    </row>
    <row r="231" s="775" customFormat="1" hidden="1" customHeight="1" outlineLevel="1" spans="1:56">
      <c r="A231" s="813">
        <v>5.7</v>
      </c>
      <c r="B231" s="813" t="s">
        <v>125</v>
      </c>
      <c r="C231" s="813">
        <f t="shared" ref="C231:W231" si="917">+C232</f>
        <v>4.66024314129304</v>
      </c>
      <c r="D231" s="813">
        <f t="shared" si="916"/>
        <v>33.264</v>
      </c>
      <c r="E231" s="813"/>
      <c r="F231" s="813">
        <f t="shared" si="917"/>
        <v>0</v>
      </c>
      <c r="G231" s="813">
        <f>I231+K231+M231+O231+Q231+S231+U231+W231+Y231+AA231+AC231</f>
        <v>33.264</v>
      </c>
      <c r="H231" s="813">
        <f t="shared" si="917"/>
        <v>0</v>
      </c>
      <c r="I231" s="813">
        <f t="shared" si="917"/>
        <v>0</v>
      </c>
      <c r="J231" s="813">
        <f t="shared" si="917"/>
        <v>0</v>
      </c>
      <c r="K231" s="813">
        <f t="shared" si="917"/>
        <v>0</v>
      </c>
      <c r="L231" s="813">
        <f t="shared" si="917"/>
        <v>0</v>
      </c>
      <c r="M231" s="813">
        <f t="shared" si="917"/>
        <v>0</v>
      </c>
      <c r="N231" s="813">
        <f t="shared" si="917"/>
        <v>0</v>
      </c>
      <c r="O231" s="813">
        <f t="shared" si="917"/>
        <v>0</v>
      </c>
      <c r="P231" s="813">
        <f t="shared" si="917"/>
        <v>0</v>
      </c>
      <c r="Q231" s="813">
        <f t="shared" si="917"/>
        <v>0</v>
      </c>
      <c r="R231" s="813">
        <f t="shared" si="917"/>
        <v>0</v>
      </c>
      <c r="S231" s="813">
        <f t="shared" si="917"/>
        <v>0</v>
      </c>
      <c r="T231" s="813">
        <f t="shared" si="917"/>
        <v>0</v>
      </c>
      <c r="U231" s="813">
        <f t="shared" si="917"/>
        <v>0</v>
      </c>
      <c r="V231" s="813">
        <f t="shared" si="917"/>
        <v>1000</v>
      </c>
      <c r="W231" s="813">
        <f t="shared" si="917"/>
        <v>33.264</v>
      </c>
      <c r="X231" s="813"/>
      <c r="Y231" s="813"/>
      <c r="Z231" s="813"/>
      <c r="AA231" s="813"/>
      <c r="AB231" s="813"/>
      <c r="AC231" s="813"/>
      <c r="AD231" s="813">
        <f t="shared" ref="X231:AK231" si="918">+AD232</f>
        <v>0</v>
      </c>
      <c r="AE231" s="813">
        <f t="shared" si="918"/>
        <v>0</v>
      </c>
      <c r="AF231" s="813">
        <f t="shared" si="918"/>
        <v>0</v>
      </c>
      <c r="AG231" s="813">
        <f t="shared" si="918"/>
        <v>0</v>
      </c>
      <c r="AH231" s="813">
        <f t="shared" si="918"/>
        <v>0</v>
      </c>
      <c r="AI231" s="813">
        <f t="shared" si="918"/>
        <v>0</v>
      </c>
      <c r="AJ231" s="813">
        <f t="shared" si="918"/>
        <v>0</v>
      </c>
      <c r="AK231" s="813">
        <f t="shared" si="918"/>
        <v>0</v>
      </c>
      <c r="AL231" s="724"/>
      <c r="AM231" s="699"/>
      <c r="AN231" s="806">
        <f t="shared" si="850"/>
        <v>332640</v>
      </c>
      <c r="AO231" s="699"/>
      <c r="AP231" s="699"/>
      <c r="AQ231" s="699"/>
      <c r="AR231" s="699"/>
      <c r="AS231" s="699"/>
      <c r="AT231" s="699"/>
      <c r="AU231" s="699"/>
      <c r="AV231" s="699"/>
      <c r="AW231" s="699"/>
      <c r="AX231" s="699"/>
      <c r="AY231" s="699"/>
      <c r="AZ231" s="699"/>
      <c r="BA231" s="699"/>
      <c r="BB231" s="699"/>
      <c r="BC231" s="699"/>
      <c r="BD231" s="699"/>
    </row>
    <row r="232" s="699" customFormat="1" hidden="1" customHeight="1" outlineLevel="1" spans="1:40">
      <c r="A232" s="724" t="s">
        <v>690</v>
      </c>
      <c r="B232" s="724" t="s">
        <v>691</v>
      </c>
      <c r="C232" s="724">
        <f t="shared" si="915"/>
        <v>4.66024314129304</v>
      </c>
      <c r="D232" s="724">
        <f t="shared" si="916"/>
        <v>33.264</v>
      </c>
      <c r="E232" s="742" t="s">
        <v>692</v>
      </c>
      <c r="F232" s="724"/>
      <c r="G232" s="724">
        <f t="shared" si="914"/>
        <v>33.264</v>
      </c>
      <c r="H232" s="724"/>
      <c r="I232" s="724"/>
      <c r="J232" s="724"/>
      <c r="K232" s="724"/>
      <c r="L232" s="724"/>
      <c r="M232" s="724"/>
      <c r="N232" s="724"/>
      <c r="O232" s="724"/>
      <c r="P232" s="724"/>
      <c r="Q232" s="724"/>
      <c r="R232" s="724"/>
      <c r="S232" s="724"/>
      <c r="T232" s="724"/>
      <c r="U232" s="724"/>
      <c r="V232" s="724">
        <v>1000</v>
      </c>
      <c r="W232" s="724">
        <v>33.264</v>
      </c>
      <c r="X232" s="724"/>
      <c r="Y232" s="724"/>
      <c r="Z232" s="724"/>
      <c r="AA232" s="724"/>
      <c r="AB232" s="724"/>
      <c r="AC232" s="724"/>
      <c r="AD232" s="724"/>
      <c r="AE232" s="724"/>
      <c r="AF232" s="724"/>
      <c r="AG232" s="724"/>
      <c r="AH232" s="724"/>
      <c r="AI232" s="724"/>
      <c r="AJ232" s="724"/>
      <c r="AK232" s="724"/>
      <c r="AL232" s="724"/>
      <c r="AN232" s="806">
        <f t="shared" si="850"/>
        <v>332640</v>
      </c>
    </row>
    <row r="233" s="775" customFormat="1" hidden="1" customHeight="1" outlineLevel="1" spans="1:56">
      <c r="A233" s="813">
        <v>5.8</v>
      </c>
      <c r="B233" s="813" t="s">
        <v>693</v>
      </c>
      <c r="C233" s="813">
        <f t="shared" si="915"/>
        <v>0</v>
      </c>
      <c r="D233" s="813">
        <f t="shared" si="916"/>
        <v>0</v>
      </c>
      <c r="E233" s="814"/>
      <c r="F233" s="813">
        <f>G233/$F$8</f>
        <v>0</v>
      </c>
      <c r="G233" s="813">
        <f t="shared" si="914"/>
        <v>0</v>
      </c>
      <c r="H233" s="813"/>
      <c r="I233" s="813">
        <f>H233*H$8</f>
        <v>0</v>
      </c>
      <c r="J233" s="813">
        <f>H233</f>
        <v>0</v>
      </c>
      <c r="K233" s="813">
        <f>J233*J$8</f>
        <v>0</v>
      </c>
      <c r="L233" s="813"/>
      <c r="M233" s="813">
        <f>L233*L$8</f>
        <v>0</v>
      </c>
      <c r="N233" s="813"/>
      <c r="O233" s="813">
        <f>N233*N$8</f>
        <v>0</v>
      </c>
      <c r="P233" s="813"/>
      <c r="Q233" s="813">
        <f>P233*P$8</f>
        <v>0</v>
      </c>
      <c r="R233" s="813"/>
      <c r="S233" s="813">
        <f>R233*R$8</f>
        <v>0</v>
      </c>
      <c r="T233" s="813">
        <f>H233</f>
        <v>0</v>
      </c>
      <c r="U233" s="813">
        <f>T233*T$8</f>
        <v>0</v>
      </c>
      <c r="V233" s="813"/>
      <c r="W233" s="813">
        <f>V233*V$8</f>
        <v>0</v>
      </c>
      <c r="X233" s="813"/>
      <c r="Y233" s="813"/>
      <c r="Z233" s="813"/>
      <c r="AA233" s="813"/>
      <c r="AB233" s="813"/>
      <c r="AC233" s="813"/>
      <c r="AD233" s="813">
        <f>AE233/AD$8</f>
        <v>0</v>
      </c>
      <c r="AE233" s="813">
        <f>AG233*0+AI233+AK233</f>
        <v>0</v>
      </c>
      <c r="AF233" s="813"/>
      <c r="AG233" s="813">
        <f>AF233*AF$8</f>
        <v>0</v>
      </c>
      <c r="AH233" s="813"/>
      <c r="AI233" s="813">
        <f>AH233*AH$8</f>
        <v>0</v>
      </c>
      <c r="AJ233" s="813"/>
      <c r="AK233" s="813">
        <f>AJ233*AJ$8</f>
        <v>0</v>
      </c>
      <c r="AL233" s="724"/>
      <c r="AM233" s="699"/>
      <c r="AN233" s="806">
        <f t="shared" si="850"/>
        <v>0</v>
      </c>
      <c r="AO233" s="699"/>
      <c r="AP233" s="699"/>
      <c r="AQ233" s="699"/>
      <c r="AR233" s="699"/>
      <c r="AS233" s="699"/>
      <c r="AT233" s="699"/>
      <c r="AU233" s="699"/>
      <c r="AV233" s="699"/>
      <c r="AW233" s="699"/>
      <c r="AX233" s="699"/>
      <c r="AY233" s="699"/>
      <c r="AZ233" s="699"/>
      <c r="BA233" s="699"/>
      <c r="BB233" s="699"/>
      <c r="BC233" s="699"/>
      <c r="BD233" s="699"/>
    </row>
    <row r="234" s="775" customFormat="1" hidden="1" customHeight="1" outlineLevel="1" spans="1:56">
      <c r="A234" s="813">
        <v>5.9</v>
      </c>
      <c r="B234" s="813" t="s">
        <v>694</v>
      </c>
      <c r="C234" s="813">
        <f t="shared" si="915"/>
        <v>19.613817934735</v>
      </c>
      <c r="D234" s="813">
        <f t="shared" si="916"/>
        <v>140</v>
      </c>
      <c r="E234" s="814" t="s">
        <v>695</v>
      </c>
      <c r="F234" s="813">
        <f>G234/$F$8</f>
        <v>28.488440001514</v>
      </c>
      <c r="G234" s="813">
        <f t="shared" si="914"/>
        <v>140</v>
      </c>
      <c r="H234" s="813">
        <f>140/(H8+J8)</f>
        <v>28.9643267076746</v>
      </c>
      <c r="I234" s="813">
        <f>H234*H$8</f>
        <v>91.6513555718675</v>
      </c>
      <c r="J234" s="813">
        <f>H234</f>
        <v>28.9643267076746</v>
      </c>
      <c r="K234" s="813">
        <f>J234*J$8</f>
        <v>48.3486444281325</v>
      </c>
      <c r="L234" s="813"/>
      <c r="M234" s="813">
        <f>L234*L$8</f>
        <v>0</v>
      </c>
      <c r="N234" s="813"/>
      <c r="O234" s="813">
        <f>N234*N$8</f>
        <v>0</v>
      </c>
      <c r="P234" s="813"/>
      <c r="Q234" s="813">
        <f>P234*P$8</f>
        <v>0</v>
      </c>
      <c r="R234" s="813"/>
      <c r="S234" s="813">
        <f>R234*R$8</f>
        <v>0</v>
      </c>
      <c r="T234" s="813">
        <f>H234</f>
        <v>28.9643267076746</v>
      </c>
      <c r="U234" s="813">
        <f>T234*T$8</f>
        <v>0</v>
      </c>
      <c r="V234" s="813"/>
      <c r="W234" s="813">
        <f>V234*V$8</f>
        <v>0</v>
      </c>
      <c r="X234" s="813"/>
      <c r="Y234" s="813"/>
      <c r="Z234" s="813"/>
      <c r="AA234" s="813"/>
      <c r="AB234" s="813"/>
      <c r="AC234" s="813"/>
      <c r="AD234" s="813">
        <f>AE234/AD$8</f>
        <v>0</v>
      </c>
      <c r="AE234" s="813">
        <f>AG234*0+AI234+AK234</f>
        <v>0</v>
      </c>
      <c r="AF234" s="813"/>
      <c r="AG234" s="813">
        <f>AF234*AF$8</f>
        <v>0</v>
      </c>
      <c r="AH234" s="813"/>
      <c r="AI234" s="813">
        <f>AH234*AH$8</f>
        <v>0</v>
      </c>
      <c r="AJ234" s="813"/>
      <c r="AK234" s="813">
        <f>AJ234*AJ$8</f>
        <v>0</v>
      </c>
      <c r="AL234" s="724"/>
      <c r="AM234" s="699"/>
      <c r="AN234" s="806">
        <f t="shared" si="850"/>
        <v>1400000</v>
      </c>
      <c r="AO234" s="699"/>
      <c r="AP234" s="699"/>
      <c r="AQ234" s="699"/>
      <c r="AR234" s="699"/>
      <c r="AS234" s="699"/>
      <c r="AT234" s="699"/>
      <c r="AU234" s="699"/>
      <c r="AV234" s="699"/>
      <c r="AW234" s="699"/>
      <c r="AX234" s="699"/>
      <c r="AY234" s="699"/>
      <c r="AZ234" s="699"/>
      <c r="BA234" s="699"/>
      <c r="BB234" s="699"/>
      <c r="BC234" s="699"/>
      <c r="BD234" s="699"/>
    </row>
    <row r="235" s="775" customFormat="1" hidden="1" customHeight="1" outlineLevel="1" spans="1:56">
      <c r="A235" s="813">
        <v>5.1</v>
      </c>
      <c r="B235" s="813" t="s">
        <v>696</v>
      </c>
      <c r="C235" s="813">
        <f t="shared" si="915"/>
        <v>25.2177659160879</v>
      </c>
      <c r="D235" s="813">
        <f t="shared" si="916"/>
        <v>180</v>
      </c>
      <c r="E235" s="814" t="s">
        <v>697</v>
      </c>
      <c r="F235" s="813">
        <f>G235/$F$8</f>
        <v>36.6279942876609</v>
      </c>
      <c r="G235" s="813">
        <f t="shared" si="914"/>
        <v>180</v>
      </c>
      <c r="H235" s="813">
        <f>300*6*1000/10000/(H8+J8)</f>
        <v>37.2398486241531</v>
      </c>
      <c r="I235" s="813">
        <f>H235*H$8</f>
        <v>117.83745716383</v>
      </c>
      <c r="J235" s="813">
        <f>H235</f>
        <v>37.2398486241531</v>
      </c>
      <c r="K235" s="813">
        <f>J235*J$8</f>
        <v>62.1625428361703</v>
      </c>
      <c r="L235" s="813"/>
      <c r="M235" s="813">
        <f>L235*L$8</f>
        <v>0</v>
      </c>
      <c r="N235" s="813"/>
      <c r="O235" s="813">
        <f>N235*N$8</f>
        <v>0</v>
      </c>
      <c r="P235" s="813"/>
      <c r="Q235" s="813">
        <f>P235*P$8</f>
        <v>0</v>
      </c>
      <c r="R235" s="813"/>
      <c r="S235" s="813">
        <f>R235*R$8</f>
        <v>0</v>
      </c>
      <c r="T235" s="813">
        <f>H235</f>
        <v>37.2398486241531</v>
      </c>
      <c r="U235" s="813">
        <f>T235*T$8</f>
        <v>0</v>
      </c>
      <c r="V235" s="813"/>
      <c r="W235" s="813">
        <f>V235*V$8</f>
        <v>0</v>
      </c>
      <c r="X235" s="813"/>
      <c r="Y235" s="813"/>
      <c r="Z235" s="813"/>
      <c r="AA235" s="813"/>
      <c r="AB235" s="813"/>
      <c r="AC235" s="813"/>
      <c r="AD235" s="813">
        <f>AE235/AD$8</f>
        <v>0</v>
      </c>
      <c r="AE235" s="813">
        <f>AG235*0+AI235+AK235</f>
        <v>0</v>
      </c>
      <c r="AF235" s="813"/>
      <c r="AG235" s="813">
        <f>AF235*AF$8</f>
        <v>0</v>
      </c>
      <c r="AH235" s="813"/>
      <c r="AI235" s="813">
        <f>AH235*AH$8</f>
        <v>0</v>
      </c>
      <c r="AJ235" s="813"/>
      <c r="AK235" s="813">
        <f>AJ235*AJ$8</f>
        <v>0</v>
      </c>
      <c r="AL235" s="724"/>
      <c r="AM235" s="699"/>
      <c r="AN235" s="806">
        <f t="shared" si="850"/>
        <v>1800000</v>
      </c>
      <c r="AO235" s="699"/>
      <c r="AP235" s="699"/>
      <c r="AQ235" s="699"/>
      <c r="AR235" s="699"/>
      <c r="AS235" s="699"/>
      <c r="AT235" s="699"/>
      <c r="AU235" s="699"/>
      <c r="AV235" s="699"/>
      <c r="AW235" s="699"/>
      <c r="AX235" s="699"/>
      <c r="AY235" s="699"/>
      <c r="AZ235" s="699"/>
      <c r="BA235" s="699"/>
      <c r="BB235" s="699"/>
      <c r="BC235" s="699"/>
      <c r="BD235" s="699"/>
    </row>
    <row r="236" s="775" customFormat="1" hidden="1" customHeight="1" outlineLevel="1" spans="1:56">
      <c r="A236" s="813">
        <v>5.11</v>
      </c>
      <c r="B236" s="813" t="s">
        <v>698</v>
      </c>
      <c r="C236" s="813">
        <f t="shared" si="915"/>
        <v>0</v>
      </c>
      <c r="D236" s="813">
        <f t="shared" si="916"/>
        <v>0</v>
      </c>
      <c r="E236" s="814"/>
      <c r="F236" s="813">
        <f>G236/$F$8</f>
        <v>0</v>
      </c>
      <c r="G236" s="813">
        <f t="shared" si="914"/>
        <v>0</v>
      </c>
      <c r="H236" s="813"/>
      <c r="I236" s="813">
        <f>H236*H$8</f>
        <v>0</v>
      </c>
      <c r="J236" s="813">
        <f>H236</f>
        <v>0</v>
      </c>
      <c r="K236" s="813">
        <f>J236*J$8</f>
        <v>0</v>
      </c>
      <c r="L236" s="813"/>
      <c r="M236" s="813">
        <f>L236*L$8</f>
        <v>0</v>
      </c>
      <c r="N236" s="813"/>
      <c r="O236" s="813">
        <f>N236*N$8</f>
        <v>0</v>
      </c>
      <c r="P236" s="813"/>
      <c r="Q236" s="813">
        <f>P236*P$8</f>
        <v>0</v>
      </c>
      <c r="R236" s="813"/>
      <c r="S236" s="813">
        <f>R236*R$8</f>
        <v>0</v>
      </c>
      <c r="T236" s="813">
        <f>H236</f>
        <v>0</v>
      </c>
      <c r="U236" s="813">
        <f>T236*T$8</f>
        <v>0</v>
      </c>
      <c r="V236" s="813"/>
      <c r="W236" s="813">
        <f>V236*V$8</f>
        <v>0</v>
      </c>
      <c r="X236" s="813"/>
      <c r="Y236" s="813"/>
      <c r="Z236" s="813"/>
      <c r="AA236" s="813"/>
      <c r="AB236" s="813"/>
      <c r="AC236" s="813"/>
      <c r="AD236" s="813">
        <f>AE236/AD$8</f>
        <v>0</v>
      </c>
      <c r="AE236" s="813">
        <f>AG236*0+AI236+AK236</f>
        <v>0</v>
      </c>
      <c r="AF236" s="813"/>
      <c r="AG236" s="813">
        <f>AF236*AF$8</f>
        <v>0</v>
      </c>
      <c r="AH236" s="813"/>
      <c r="AI236" s="813">
        <f>AH236*AH$8</f>
        <v>0</v>
      </c>
      <c r="AJ236" s="813"/>
      <c r="AK236" s="813">
        <f>AJ236*AJ$8</f>
        <v>0</v>
      </c>
      <c r="AL236" s="724"/>
      <c r="AM236" s="699"/>
      <c r="AN236" s="806">
        <f t="shared" si="850"/>
        <v>0</v>
      </c>
      <c r="AO236" s="699"/>
      <c r="AP236" s="699"/>
      <c r="AQ236" s="699"/>
      <c r="AR236" s="699"/>
      <c r="AS236" s="699"/>
      <c r="AT236" s="699"/>
      <c r="AU236" s="699"/>
      <c r="AV236" s="699"/>
      <c r="AW236" s="699"/>
      <c r="AX236" s="699"/>
      <c r="AY236" s="699"/>
      <c r="AZ236" s="699"/>
      <c r="BA236" s="699"/>
      <c r="BB236" s="699"/>
      <c r="BC236" s="699"/>
      <c r="BD236" s="699"/>
    </row>
    <row r="237" s="775" customFormat="1" hidden="1" customHeight="1" outlineLevel="1" spans="1:56">
      <c r="A237" s="813">
        <v>5.12</v>
      </c>
      <c r="B237" s="813" t="s">
        <v>699</v>
      </c>
      <c r="C237" s="813">
        <f t="shared" si="915"/>
        <v>7.00493497669108</v>
      </c>
      <c r="D237" s="813">
        <f t="shared" si="916"/>
        <v>50</v>
      </c>
      <c r="E237" s="814"/>
      <c r="F237" s="813">
        <f>G237/$F$8</f>
        <v>10.1744428576836</v>
      </c>
      <c r="G237" s="813">
        <f t="shared" si="914"/>
        <v>50</v>
      </c>
      <c r="H237" s="813">
        <f>50/(H8+J8)</f>
        <v>10.3444023955981</v>
      </c>
      <c r="I237" s="813">
        <f>H237*H$8</f>
        <v>32.7326269899527</v>
      </c>
      <c r="J237" s="813">
        <f>H237</f>
        <v>10.3444023955981</v>
      </c>
      <c r="K237" s="813">
        <f>J237*J$8</f>
        <v>17.2673730100473</v>
      </c>
      <c r="L237" s="813"/>
      <c r="M237" s="813">
        <f>L237*L$8</f>
        <v>0</v>
      </c>
      <c r="N237" s="813"/>
      <c r="O237" s="813">
        <f>N237*N$8</f>
        <v>0</v>
      </c>
      <c r="P237" s="813"/>
      <c r="Q237" s="813">
        <f>P237*P$8</f>
        <v>0</v>
      </c>
      <c r="R237" s="813"/>
      <c r="S237" s="813">
        <f>R237*R$8</f>
        <v>0</v>
      </c>
      <c r="T237" s="813">
        <f>H237</f>
        <v>10.3444023955981</v>
      </c>
      <c r="U237" s="813">
        <f>T237*T$8</f>
        <v>0</v>
      </c>
      <c r="V237" s="813"/>
      <c r="W237" s="813">
        <f>V237*V$8</f>
        <v>0</v>
      </c>
      <c r="X237" s="813"/>
      <c r="Y237" s="813"/>
      <c r="Z237" s="813"/>
      <c r="AA237" s="813"/>
      <c r="AB237" s="813"/>
      <c r="AC237" s="813"/>
      <c r="AD237" s="813">
        <f>AE237/AD$8</f>
        <v>0</v>
      </c>
      <c r="AE237" s="813">
        <f>AG237*0+AI237+AK237</f>
        <v>0</v>
      </c>
      <c r="AF237" s="813"/>
      <c r="AG237" s="813">
        <f>AF237*AF$8</f>
        <v>0</v>
      </c>
      <c r="AH237" s="813"/>
      <c r="AI237" s="813">
        <f>AH237*AH$8</f>
        <v>0</v>
      </c>
      <c r="AJ237" s="813"/>
      <c r="AK237" s="813">
        <f>AJ237*AJ$8</f>
        <v>0</v>
      </c>
      <c r="AL237" s="724"/>
      <c r="AM237" s="699"/>
      <c r="AN237" s="806">
        <f t="shared" si="850"/>
        <v>500000</v>
      </c>
      <c r="AO237" s="699"/>
      <c r="AP237" s="699"/>
      <c r="AQ237" s="699"/>
      <c r="AR237" s="699"/>
      <c r="AS237" s="699"/>
      <c r="AT237" s="699"/>
      <c r="AU237" s="699"/>
      <c r="AV237" s="699"/>
      <c r="AW237" s="699"/>
      <c r="AX237" s="699"/>
      <c r="AY237" s="699"/>
      <c r="AZ237" s="699"/>
      <c r="BA237" s="699"/>
      <c r="BB237" s="699"/>
      <c r="BC237" s="699"/>
      <c r="BD237" s="699"/>
    </row>
    <row r="238" s="769" customFormat="1" customHeight="1" spans="1:56">
      <c r="A238" s="794">
        <v>6</v>
      </c>
      <c r="B238" s="794" t="s">
        <v>47</v>
      </c>
      <c r="C238" s="794">
        <f>+D238/C8</f>
        <v>69.1754220434406</v>
      </c>
      <c r="D238" s="794">
        <f>+G238+AE238</f>
        <v>493.762056847221</v>
      </c>
      <c r="E238" s="742"/>
      <c r="F238" s="794">
        <f>+G238/F8</f>
        <v>78.7731935335945</v>
      </c>
      <c r="G238" s="794">
        <f>+I238+K238+W238</f>
        <v>387.113056879111</v>
      </c>
      <c r="H238" s="794">
        <f t="shared" ref="H238:L238" si="919">+I238/H8</f>
        <v>76.9105052956007</v>
      </c>
      <c r="I238" s="794">
        <f t="shared" ref="I238:M238" si="920">(I19+I124+I194+I220)*0.015</f>
        <v>243.366681338785</v>
      </c>
      <c r="J238" s="794">
        <f t="shared" si="919"/>
        <v>83.4144440926464</v>
      </c>
      <c r="K238" s="794">
        <f t="shared" si="920"/>
        <v>139.239393972762</v>
      </c>
      <c r="L238" s="794" t="e">
        <f t="shared" ref="L238:P238" si="921">+M238/L8</f>
        <v>#DIV/0!</v>
      </c>
      <c r="M238" s="794">
        <f t="shared" ref="M238:Q238" si="922">(M19+M124+M194+M220)*0.015</f>
        <v>0</v>
      </c>
      <c r="N238" s="794" t="e">
        <f t="shared" si="921"/>
        <v>#DIV/0!</v>
      </c>
      <c r="O238" s="794">
        <f t="shared" si="922"/>
        <v>0</v>
      </c>
      <c r="P238" s="794" t="e">
        <f t="shared" si="921"/>
        <v>#DIV/0!</v>
      </c>
      <c r="Q238" s="794">
        <f t="shared" si="922"/>
        <v>0</v>
      </c>
      <c r="R238" s="794" t="e">
        <f t="shared" ref="R238:V238" si="923">+S238/R8</f>
        <v>#DIV/0!</v>
      </c>
      <c r="S238" s="794">
        <f t="shared" ref="S238:W238" si="924">(S19+S124+S194+S220)*0.015</f>
        <v>0</v>
      </c>
      <c r="T238" s="794" t="e">
        <f t="shared" si="923"/>
        <v>#DIV/0!</v>
      </c>
      <c r="U238" s="794">
        <f t="shared" si="924"/>
        <v>0</v>
      </c>
      <c r="V238" s="794">
        <f t="shared" si="923"/>
        <v>55.8195433301732</v>
      </c>
      <c r="W238" s="794">
        <f t="shared" si="924"/>
        <v>4.50698156756485</v>
      </c>
      <c r="X238" s="794"/>
      <c r="Y238" s="794"/>
      <c r="Z238" s="794"/>
      <c r="AA238" s="794"/>
      <c r="AB238" s="794"/>
      <c r="AC238" s="794"/>
      <c r="AD238" s="794">
        <f>+AE238/AD8</f>
        <v>47.9633702883855</v>
      </c>
      <c r="AE238" s="794">
        <f t="shared" ref="AC238:AG238" si="925">(AE19+AE124+AE194+AE220)*0.015</f>
        <v>106.64899996811</v>
      </c>
      <c r="AF238" s="794">
        <v>0</v>
      </c>
      <c r="AG238" s="794">
        <f t="shared" si="925"/>
        <v>4.5006</v>
      </c>
      <c r="AH238" s="794">
        <f t="shared" ref="AF238:AJ238" si="926">+AI238/AH8</f>
        <v>50.7876947828816</v>
      </c>
      <c r="AI238" s="794">
        <f>(AI19+AI124+AI194+AI220)*0.015</f>
        <v>20.0363042564894</v>
      </c>
      <c r="AJ238" s="794">
        <f t="shared" si="926"/>
        <v>44.8935483705226</v>
      </c>
      <c r="AK238" s="794">
        <f>(AK19+AK124+AK194+AK220)*0.015</f>
        <v>82.1120957116206</v>
      </c>
      <c r="AL238" s="724"/>
      <c r="AM238" s="699"/>
      <c r="AN238" s="806">
        <f t="shared" si="850"/>
        <v>4937620.56847221</v>
      </c>
      <c r="AO238" s="699">
        <f>+AN238-B250</f>
        <v>5106592.945904</v>
      </c>
      <c r="AP238" s="699"/>
      <c r="AQ238" s="699"/>
      <c r="AR238" s="699"/>
      <c r="AS238" s="699"/>
      <c r="AT238" s="699"/>
      <c r="AU238" s="699"/>
      <c r="AV238" s="699"/>
      <c r="AW238" s="699"/>
      <c r="AX238" s="699"/>
      <c r="AY238" s="699"/>
      <c r="AZ238" s="699"/>
      <c r="BA238" s="699"/>
      <c r="BB238" s="699"/>
      <c r="BC238" s="699"/>
      <c r="BD238" s="699"/>
    </row>
    <row r="239" customHeight="1" spans="1:40">
      <c r="A239" s="816" t="s">
        <v>700</v>
      </c>
      <c r="B239" s="817" t="s">
        <v>701</v>
      </c>
      <c r="C239" s="817">
        <f>C10+C19+C124+C194+C220+C238</f>
        <v>7826.01280264881</v>
      </c>
      <c r="D239" s="817">
        <f>+D10+D19+D124+D194+D220+D238</f>
        <v>55860.7098330667</v>
      </c>
      <c r="E239" s="742"/>
      <c r="F239" s="817">
        <f t="shared" ref="F239:AK239" si="927">F10+F19+F124+F194+F220+F238</f>
        <v>9968.07911508668</v>
      </c>
      <c r="G239" s="817">
        <f t="shared" si="927"/>
        <v>48644.1275018913</v>
      </c>
      <c r="H239" s="817">
        <f t="shared" si="927"/>
        <v>9848.8060643268</v>
      </c>
      <c r="I239" s="817">
        <f t="shared" si="927"/>
        <v>31164.4194484522</v>
      </c>
      <c r="J239" s="817">
        <f t="shared" si="927"/>
        <v>10283.5142735135</v>
      </c>
      <c r="K239" s="817">
        <f t="shared" si="927"/>
        <v>17174.7356340339</v>
      </c>
      <c r="L239" s="817" t="e">
        <f t="shared" si="927"/>
        <v>#DIV/0!</v>
      </c>
      <c r="M239" s="817">
        <f t="shared" si="927"/>
        <v>0</v>
      </c>
      <c r="N239" s="817" t="e">
        <f t="shared" si="927"/>
        <v>#DIV/0!</v>
      </c>
      <c r="O239" s="817">
        <f t="shared" si="927"/>
        <v>0</v>
      </c>
      <c r="P239" s="817" t="e">
        <f t="shared" si="927"/>
        <v>#DIV/0!</v>
      </c>
      <c r="Q239" s="817">
        <f t="shared" si="927"/>
        <v>0</v>
      </c>
      <c r="R239" s="817" t="e">
        <f t="shared" si="927"/>
        <v>#DIV/0!</v>
      </c>
      <c r="S239" s="817">
        <f t="shared" si="927"/>
        <v>0</v>
      </c>
      <c r="T239" s="817" t="e">
        <f t="shared" si="927"/>
        <v>#DIV/0!</v>
      </c>
      <c r="U239" s="817">
        <f t="shared" si="927"/>
        <v>0</v>
      </c>
      <c r="V239" s="817">
        <f t="shared" si="927"/>
        <v>4365.1435362664</v>
      </c>
      <c r="W239" s="817">
        <f t="shared" si="927"/>
        <v>304.972419405221</v>
      </c>
      <c r="X239" s="817"/>
      <c r="Y239" s="817"/>
      <c r="Z239" s="817"/>
      <c r="AA239" s="817"/>
      <c r="AB239" s="817"/>
      <c r="AC239" s="817"/>
      <c r="AD239" s="817">
        <f>AD10+AD19+AD124+AD194+AD220+AD238</f>
        <v>3245.52138951409</v>
      </c>
      <c r="AE239" s="817">
        <f>AE10+AE19+AE124+AE194+AE220+AE238</f>
        <v>7216.58233117544</v>
      </c>
      <c r="AF239" s="817">
        <f t="shared" si="927"/>
        <v>651.372617694549</v>
      </c>
      <c r="AG239" s="817">
        <f t="shared" si="927"/>
        <v>304.5406</v>
      </c>
      <c r="AH239" s="817">
        <f t="shared" si="927"/>
        <v>3422.63401364166</v>
      </c>
      <c r="AI239" s="817">
        <f t="shared" si="927"/>
        <v>1355.78992135578</v>
      </c>
      <c r="AJ239" s="817">
        <f t="shared" si="927"/>
        <v>3023.79677307203</v>
      </c>
      <c r="AK239" s="817">
        <f t="shared" si="927"/>
        <v>5556.25180981966</v>
      </c>
      <c r="AL239" s="833"/>
      <c r="AN239" s="806">
        <f t="shared" si="850"/>
        <v>558607098.330667</v>
      </c>
    </row>
    <row r="240" customHeight="1" spans="1:40">
      <c r="A240" s="816" t="s">
        <v>702</v>
      </c>
      <c r="B240" s="817" t="s">
        <v>703</v>
      </c>
      <c r="C240" s="817">
        <f>+C239-C10</f>
        <v>4680.87022493948</v>
      </c>
      <c r="D240" s="817">
        <f>+D239-D10</f>
        <v>33411.2325133286</v>
      </c>
      <c r="E240" s="742"/>
      <c r="F240" s="817">
        <f>+F239-F10</f>
        <v>5323.5505757622</v>
      </c>
      <c r="G240" s="817">
        <f>+G239-G10</f>
        <v>26194.6501821532</v>
      </c>
      <c r="H240" s="817">
        <f>+H239-H10</f>
        <v>5204.27752500232</v>
      </c>
      <c r="I240" s="817">
        <f t="shared" ref="I240:AK240" si="928">+I239-I10</f>
        <v>16467.8121039244</v>
      </c>
      <c r="J240" s="817">
        <f t="shared" si="928"/>
        <v>5638.98573418902</v>
      </c>
      <c r="K240" s="817">
        <f t="shared" si="928"/>
        <v>9421.86565882355</v>
      </c>
      <c r="L240" s="817" t="e">
        <f t="shared" si="928"/>
        <v>#DIV/0!</v>
      </c>
      <c r="M240" s="817">
        <f t="shared" si="928"/>
        <v>0</v>
      </c>
      <c r="N240" s="817" t="e">
        <f t="shared" si="928"/>
        <v>#DIV/0!</v>
      </c>
      <c r="O240" s="817">
        <f t="shared" si="928"/>
        <v>0</v>
      </c>
      <c r="P240" s="817" t="e">
        <f t="shared" si="928"/>
        <v>#DIV/0!</v>
      </c>
      <c r="Q240" s="817">
        <f t="shared" si="928"/>
        <v>0</v>
      </c>
      <c r="R240" s="817" t="e">
        <f t="shared" si="928"/>
        <v>#DIV/0!</v>
      </c>
      <c r="S240" s="817">
        <f t="shared" si="928"/>
        <v>0</v>
      </c>
      <c r="T240" s="817" t="e">
        <f t="shared" si="928"/>
        <v>#DIV/0!</v>
      </c>
      <c r="U240" s="817">
        <f t="shared" si="928"/>
        <v>0</v>
      </c>
      <c r="V240" s="817">
        <f t="shared" si="928"/>
        <v>4365.1435362664</v>
      </c>
      <c r="W240" s="817">
        <f t="shared" si="928"/>
        <v>304.972419405221</v>
      </c>
      <c r="X240" s="817"/>
      <c r="Y240" s="817"/>
      <c r="Z240" s="817"/>
      <c r="AA240" s="817"/>
      <c r="AB240" s="817"/>
      <c r="AC240" s="817"/>
      <c r="AD240" s="817">
        <f t="shared" si="928"/>
        <v>3245.52138951409</v>
      </c>
      <c r="AE240" s="817">
        <f t="shared" si="928"/>
        <v>7216.58233117544</v>
      </c>
      <c r="AF240" s="817">
        <f t="shared" si="928"/>
        <v>651.372617694549</v>
      </c>
      <c r="AG240" s="817">
        <f t="shared" si="928"/>
        <v>304.5406</v>
      </c>
      <c r="AH240" s="817">
        <f t="shared" si="928"/>
        <v>3422.63401364166</v>
      </c>
      <c r="AI240" s="817">
        <f t="shared" si="928"/>
        <v>1355.78992135578</v>
      </c>
      <c r="AJ240" s="817">
        <f t="shared" si="928"/>
        <v>3023.79677307203</v>
      </c>
      <c r="AK240" s="817">
        <f t="shared" si="928"/>
        <v>5556.25180981966</v>
      </c>
      <c r="AL240" s="833"/>
      <c r="AN240" s="806">
        <f t="shared" si="850"/>
        <v>334112325.133286</v>
      </c>
    </row>
    <row r="241" customHeight="1" spans="1:40">
      <c r="A241" s="816">
        <v>1</v>
      </c>
      <c r="B241" s="817" t="s">
        <v>704</v>
      </c>
      <c r="C241" s="817">
        <f>D241/C8</f>
        <v>295.265284410541</v>
      </c>
      <c r="D241" s="817">
        <f>项目资金筹措!C20</f>
        <v>2107.55192869767</v>
      </c>
      <c r="E241" s="742"/>
      <c r="F241" s="817">
        <f>G241/F8</f>
        <v>373.458961250658</v>
      </c>
      <c r="G241" s="817">
        <f>$D$241*G239/$D$239</f>
        <v>1835.27966334112</v>
      </c>
      <c r="H241" s="817">
        <f>I241/H8</f>
        <v>371.582643297422</v>
      </c>
      <c r="I241" s="817">
        <f>$D$241*I239/$D$239</f>
        <v>1175.79301286374</v>
      </c>
      <c r="J241" s="817">
        <f>K241/J8</f>
        <v>388.187038561715</v>
      </c>
      <c r="K241" s="817">
        <f>$D$241*K239/$D$239</f>
        <v>647.980437745066</v>
      </c>
      <c r="L241" s="817" t="e">
        <f>M241/L8</f>
        <v>#DIV/0!</v>
      </c>
      <c r="M241" s="817">
        <f>$D$241*M239/$D$239</f>
        <v>0</v>
      </c>
      <c r="N241" s="817" t="e">
        <f>O241/N8</f>
        <v>#DIV/0!</v>
      </c>
      <c r="O241" s="817">
        <f t="shared" ref="O241" si="929">$D$241*O239/$D$239</f>
        <v>0</v>
      </c>
      <c r="P241" s="817" t="e">
        <f>Q241/P8</f>
        <v>#DIV/0!</v>
      </c>
      <c r="Q241" s="817">
        <f>$D$241*Q239/$D$239</f>
        <v>0</v>
      </c>
      <c r="R241" s="817">
        <v>0</v>
      </c>
      <c r="S241" s="817">
        <f t="shared" ref="S241" si="930">$D$241*S239/$D$239</f>
        <v>0</v>
      </c>
      <c r="T241" s="817" t="e">
        <f>U241/T8</f>
        <v>#DIV/0!</v>
      </c>
      <c r="U241" s="817">
        <f>$D$241*U239/$D$239</f>
        <v>0</v>
      </c>
      <c r="V241" s="817">
        <f>W241/V8</f>
        <v>142.505916775771</v>
      </c>
      <c r="W241" s="817">
        <f>$D$241*W239/$D$239</f>
        <v>11.5062127323093</v>
      </c>
      <c r="X241" s="817"/>
      <c r="Y241" s="817"/>
      <c r="Z241" s="817"/>
      <c r="AA241" s="817"/>
      <c r="AB241" s="817"/>
      <c r="AC241" s="817"/>
      <c r="AD241" s="817">
        <f>AE241/AD8</f>
        <v>122.449300851006</v>
      </c>
      <c r="AE241" s="817">
        <f t="shared" ref="AE241" si="931">$D$241*AE239/$D$239</f>
        <v>272.272265356556</v>
      </c>
      <c r="AF241" s="817">
        <v>0</v>
      </c>
      <c r="AG241" s="817">
        <f t="shared" ref="AG241" si="932">$D$241*AG239/$D$239</f>
        <v>11.4899207477813</v>
      </c>
      <c r="AH241" s="817">
        <f>AI241/AH8</f>
        <v>129.659731595302</v>
      </c>
      <c r="AI241" s="817">
        <f t="shared" ref="AI241" si="933">$D$241*AI239/$D$239</f>
        <v>51.1521903713942</v>
      </c>
      <c r="AJ241" s="817">
        <f>AK241/AJ8</f>
        <v>114.612121242499</v>
      </c>
      <c r="AK241" s="817">
        <f t="shared" ref="AK241" si="934">$D$241*AK239/$D$239</f>
        <v>209.630154237381</v>
      </c>
      <c r="AL241" s="833"/>
      <c r="AN241" s="806">
        <f>+D241*10000</f>
        <v>21075519.2869767</v>
      </c>
    </row>
    <row r="242" customHeight="1" spans="1:40">
      <c r="A242" s="816">
        <v>2</v>
      </c>
      <c r="B242" s="817" t="s">
        <v>705</v>
      </c>
      <c r="C242" s="817">
        <f>D242/C8</f>
        <v>201.430410524214</v>
      </c>
      <c r="D242" s="817">
        <f>预计销售收入及费用情况表!H23</f>
        <v>1437.77502</v>
      </c>
      <c r="E242" s="742"/>
      <c r="F242" s="817">
        <f>G242/F8</f>
        <v>274.208361194349</v>
      </c>
      <c r="G242" s="817">
        <f>预计销售收入及费用情况表!H18</f>
        <v>1347.53502</v>
      </c>
      <c r="H242" s="817">
        <f>I242/H8</f>
        <v>405</v>
      </c>
      <c r="I242" s="817">
        <f>预计销售收入及费用情况表!H7</f>
        <v>1281.53502</v>
      </c>
      <c r="J242" s="817">
        <f>K242/J8</f>
        <v>39.5387623648493</v>
      </c>
      <c r="K242" s="817">
        <f>预计销售收入及费用情况表!H8</f>
        <v>66</v>
      </c>
      <c r="L242" s="817" t="e">
        <f>M242/L8</f>
        <v>#DIV/0!</v>
      </c>
      <c r="M242" s="817">
        <f>预计销售收入及费用情况表!H9</f>
        <v>0</v>
      </c>
      <c r="N242" s="817" t="e">
        <f>O242/N8</f>
        <v>#DIV/0!</v>
      </c>
      <c r="O242" s="817">
        <f>预计销售收入及费用情况表!H10</f>
        <v>0</v>
      </c>
      <c r="P242" s="817" t="e">
        <f>Q242/P8</f>
        <v>#DIV/0!</v>
      </c>
      <c r="Q242" s="817">
        <f>预计销售收入及费用情况表!H11</f>
        <v>0</v>
      </c>
      <c r="R242" s="817">
        <v>0</v>
      </c>
      <c r="S242" s="817">
        <f>预计销售收入及费用情况表!H12</f>
        <v>0</v>
      </c>
      <c r="T242" s="817" t="e">
        <f>U242/T8</f>
        <v>#DIV/0!</v>
      </c>
      <c r="U242" s="817">
        <f>预计销售收入及费用情况表!H13</f>
        <v>0</v>
      </c>
      <c r="V242" s="817">
        <f>W242/V8</f>
        <v>0</v>
      </c>
      <c r="W242" s="817">
        <f>预计销售收入及费用情况表!H14</f>
        <v>0</v>
      </c>
      <c r="X242" s="817"/>
      <c r="Y242" s="817"/>
      <c r="Z242" s="817"/>
      <c r="AA242" s="817"/>
      <c r="AB242" s="817"/>
      <c r="AC242" s="817"/>
      <c r="AD242" s="817">
        <f>AE242/AD8</f>
        <v>40.5837329568784</v>
      </c>
      <c r="AE242" s="817">
        <f>预计销售收入及费用情况表!H22</f>
        <v>90.24</v>
      </c>
      <c r="AF242" s="817">
        <v>0</v>
      </c>
      <c r="AG242" s="817">
        <f>预计销售收入及费用情况表!H19</f>
        <v>0</v>
      </c>
      <c r="AH242" s="817">
        <f>AI242/AH8</f>
        <v>0</v>
      </c>
      <c r="AI242" s="817">
        <f>预计销售收入及费用情况表!H20</f>
        <v>0</v>
      </c>
      <c r="AJ242" s="817">
        <f>AK242/AJ8</f>
        <v>49.3373573021913</v>
      </c>
      <c r="AK242" s="817">
        <f>预计销售收入及费用情况表!H21</f>
        <v>90.24</v>
      </c>
      <c r="AL242" s="833"/>
      <c r="AN242" s="806">
        <f>+D242*10000</f>
        <v>14377750.2</v>
      </c>
    </row>
    <row r="243" customHeight="1" spans="1:40">
      <c r="A243" s="816">
        <v>3</v>
      </c>
      <c r="B243" s="817" t="s">
        <v>706</v>
      </c>
      <c r="C243" s="817">
        <f>D243/C8</f>
        <v>182.448255596067</v>
      </c>
      <c r="D243" s="817">
        <f>预计销售收入及费用情况表!I23</f>
        <v>1302.28372</v>
      </c>
      <c r="E243" s="742"/>
      <c r="F243" s="817">
        <f>G243/F8</f>
        <v>251.976939014796</v>
      </c>
      <c r="G243" s="817">
        <f>预计销售收入及费用情况表!I18</f>
        <v>1238.28372</v>
      </c>
      <c r="H243" s="817">
        <f>I243/H8</f>
        <v>270</v>
      </c>
      <c r="I243" s="817">
        <f>预计销售收入及费用情况表!I7</f>
        <v>854.35668</v>
      </c>
      <c r="J243" s="817">
        <f>K243/J8</f>
        <v>230</v>
      </c>
      <c r="K243" s="817">
        <f>预计销售收入及费用情况表!I8</f>
        <v>383.92704</v>
      </c>
      <c r="L243" s="817" t="e">
        <f>M243/L8</f>
        <v>#DIV/0!</v>
      </c>
      <c r="M243" s="817">
        <f>预计销售收入及费用情况表!I9</f>
        <v>0</v>
      </c>
      <c r="N243" s="817" t="e">
        <f>O243/N8</f>
        <v>#DIV/0!</v>
      </c>
      <c r="O243" s="817">
        <f>预计销售收入及费用情况表!I10</f>
        <v>0</v>
      </c>
      <c r="P243" s="817" t="e">
        <f>Q243/P8</f>
        <v>#DIV/0!</v>
      </c>
      <c r="Q243" s="817">
        <f>预计销售收入及费用情况表!I11</f>
        <v>0</v>
      </c>
      <c r="R243" s="817">
        <v>0</v>
      </c>
      <c r="S243" s="817">
        <f>预计销售收入及费用情况表!I12</f>
        <v>0</v>
      </c>
      <c r="T243" s="817" t="e">
        <f>U243/T8</f>
        <v>#DIV/0!</v>
      </c>
      <c r="U243" s="817">
        <f>预计销售收入及费用情况表!I13</f>
        <v>0</v>
      </c>
      <c r="V243" s="817">
        <v>0</v>
      </c>
      <c r="W243" s="817">
        <f>预计销售收入及费用情况表!I14</f>
        <v>0</v>
      </c>
      <c r="X243" s="817"/>
      <c r="Y243" s="817"/>
      <c r="Z243" s="817"/>
      <c r="AA243" s="817"/>
      <c r="AB243" s="817"/>
      <c r="AC243" s="817"/>
      <c r="AD243" s="817">
        <f>AE243/AD8</f>
        <v>28.7827893311195</v>
      </c>
      <c r="AE243" s="817">
        <f>预计销售收入及费用情况表!I22</f>
        <v>64</v>
      </c>
      <c r="AF243" s="817">
        <v>0</v>
      </c>
      <c r="AG243" s="817">
        <f>预计销售收入及费用情况表!I19</f>
        <v>0</v>
      </c>
      <c r="AH243" s="817">
        <f>AI243/AH8</f>
        <v>40.1509717092806</v>
      </c>
      <c r="AI243" s="817">
        <f>预计销售收入及费用情况表!I20</f>
        <v>15.84</v>
      </c>
      <c r="AJ243" s="817">
        <f>AK243/AJ8</f>
        <v>26.3307527446092</v>
      </c>
      <c r="AK243" s="817">
        <f>预计销售收入及费用情况表!I21</f>
        <v>48.16</v>
      </c>
      <c r="AL243" s="833"/>
      <c r="AN243" s="806">
        <f>+D243*10000</f>
        <v>13022837.2</v>
      </c>
    </row>
    <row r="244" customHeight="1" spans="1:38">
      <c r="A244" s="816" t="s">
        <v>702</v>
      </c>
      <c r="B244" s="817" t="s">
        <v>707</v>
      </c>
      <c r="C244" s="817">
        <f>C241+C242+C243</f>
        <v>679.143950530823</v>
      </c>
      <c r="D244" s="817">
        <f>D241+D242+D243</f>
        <v>4847.61066869767</v>
      </c>
      <c r="E244" s="742"/>
      <c r="F244" s="817">
        <f t="shared" ref="F244:X244" si="935">F241+F242+F243</f>
        <v>899.644261459803</v>
      </c>
      <c r="G244" s="817">
        <f t="shared" si="935"/>
        <v>4421.09840334112</v>
      </c>
      <c r="H244" s="817">
        <f t="shared" si="935"/>
        <v>1046.58264329742</v>
      </c>
      <c r="I244" s="817">
        <f t="shared" si="935"/>
        <v>3311.68471286374</v>
      </c>
      <c r="J244" s="817">
        <f t="shared" si="935"/>
        <v>657.725800926564</v>
      </c>
      <c r="K244" s="817">
        <f t="shared" si="935"/>
        <v>1097.90747774507</v>
      </c>
      <c r="L244" s="817" t="e">
        <f t="shared" si="935"/>
        <v>#DIV/0!</v>
      </c>
      <c r="M244" s="817">
        <f t="shared" si="935"/>
        <v>0</v>
      </c>
      <c r="N244" s="817" t="e">
        <f>O244/N8</f>
        <v>#DIV/0!</v>
      </c>
      <c r="O244" s="817">
        <f t="shared" si="935"/>
        <v>0</v>
      </c>
      <c r="P244" s="817" t="e">
        <f>Q244/P8</f>
        <v>#DIV/0!</v>
      </c>
      <c r="Q244" s="817">
        <f t="shared" si="935"/>
        <v>0</v>
      </c>
      <c r="R244" s="817">
        <v>0</v>
      </c>
      <c r="S244" s="817">
        <f t="shared" si="935"/>
        <v>0</v>
      </c>
      <c r="T244" s="817" t="e">
        <f t="shared" si="935"/>
        <v>#DIV/0!</v>
      </c>
      <c r="U244" s="817">
        <f t="shared" ref="U244:V244" si="936">U241+U242+U243</f>
        <v>0</v>
      </c>
      <c r="V244" s="817">
        <f t="shared" si="936"/>
        <v>142.505916775771</v>
      </c>
      <c r="W244" s="817">
        <f t="shared" si="935"/>
        <v>11.5062127323093</v>
      </c>
      <c r="X244" s="817"/>
      <c r="Y244" s="817"/>
      <c r="Z244" s="817"/>
      <c r="AA244" s="817"/>
      <c r="AB244" s="817"/>
      <c r="AC244" s="817"/>
      <c r="AD244" s="817">
        <f t="shared" ref="Y244:AK244" si="937">AD241+AD242+AD243</f>
        <v>191.815823139004</v>
      </c>
      <c r="AE244" s="817">
        <f t="shared" si="937"/>
        <v>426.512265356556</v>
      </c>
      <c r="AF244" s="817">
        <v>0</v>
      </c>
      <c r="AG244" s="817">
        <f t="shared" si="937"/>
        <v>11.4899207477813</v>
      </c>
      <c r="AH244" s="817">
        <f t="shared" si="937"/>
        <v>169.810703304583</v>
      </c>
      <c r="AI244" s="817">
        <f t="shared" si="937"/>
        <v>66.9921903713942</v>
      </c>
      <c r="AJ244" s="817">
        <f t="shared" si="937"/>
        <v>190.2802312893</v>
      </c>
      <c r="AK244" s="817">
        <f t="shared" si="937"/>
        <v>348.030154237381</v>
      </c>
      <c r="AL244" s="833"/>
    </row>
    <row r="245" ht="9" customHeight="1" spans="26:27">
      <c r="Z245" s="769"/>
      <c r="AA245" s="769"/>
    </row>
    <row r="246" customHeight="1" spans="2:41">
      <c r="B246" s="776">
        <v>33577.885838113</v>
      </c>
      <c r="D246" s="818" t="s">
        <v>0</v>
      </c>
      <c r="E246" s="819"/>
      <c r="F246" s="818" t="s">
        <v>708</v>
      </c>
      <c r="G246" s="818"/>
      <c r="H246" s="818" t="s">
        <v>90</v>
      </c>
      <c r="I246" s="818"/>
      <c r="J246" s="818" t="str">
        <f>J7</f>
        <v>别墅</v>
      </c>
      <c r="K246" s="818"/>
      <c r="L246" s="826" t="s">
        <v>709</v>
      </c>
      <c r="Z246" s="769"/>
      <c r="AA246" s="769"/>
      <c r="AN246" s="834" t="s">
        <v>710</v>
      </c>
      <c r="AO246" s="835"/>
    </row>
    <row r="247" customHeight="1" spans="2:41">
      <c r="B247" s="776">
        <f>D240-B246</f>
        <v>-166.653324784376</v>
      </c>
      <c r="D247" s="818"/>
      <c r="E247" s="819"/>
      <c r="F247" s="818"/>
      <c r="G247" s="818"/>
      <c r="H247" s="818" t="s">
        <v>157</v>
      </c>
      <c r="I247" s="818" t="s">
        <v>711</v>
      </c>
      <c r="J247" s="818" t="s">
        <v>157</v>
      </c>
      <c r="K247" s="818" t="s">
        <v>711</v>
      </c>
      <c r="L247" s="826"/>
      <c r="Z247" s="769"/>
      <c r="AA247" s="769"/>
      <c r="AN247" s="835">
        <f>(AI240+AK240)/AS248</f>
        <v>17.2801043279386</v>
      </c>
      <c r="AO247" s="835"/>
    </row>
    <row r="248" customHeight="1" spans="2:45">
      <c r="B248" s="776">
        <v>55877.6070708099</v>
      </c>
      <c r="D248" s="820">
        <v>1</v>
      </c>
      <c r="E248" s="821"/>
      <c r="F248" s="822" t="s">
        <v>712</v>
      </c>
      <c r="G248" s="822"/>
      <c r="H248" s="823">
        <f>H239</f>
        <v>9848.8060643268</v>
      </c>
      <c r="I248" s="823">
        <f>I239</f>
        <v>31164.4194484522</v>
      </c>
      <c r="J248" s="823">
        <f>J239</f>
        <v>10283.5142735135</v>
      </c>
      <c r="K248" s="823">
        <f>K239</f>
        <v>17174.7356340339</v>
      </c>
      <c r="L248" s="827"/>
      <c r="AN248" s="771"/>
      <c r="AO248" s="769"/>
      <c r="AP248" s="769"/>
      <c r="AQ248" s="769"/>
      <c r="AR248" s="769" t="s">
        <v>713</v>
      </c>
      <c r="AS248" s="769">
        <f>经济指标!I22+经济指标!I23</f>
        <v>400</v>
      </c>
    </row>
    <row r="249" customHeight="1" spans="2:45">
      <c r="B249" s="776">
        <f>+D239-B248</f>
        <v>-16.8972377431783</v>
      </c>
      <c r="D249" s="820"/>
      <c r="E249" s="821"/>
      <c r="F249" s="822" t="s">
        <v>714</v>
      </c>
      <c r="G249" s="822"/>
      <c r="H249" s="823">
        <f>H240</f>
        <v>5204.27752500232</v>
      </c>
      <c r="I249" s="823">
        <f>I240</f>
        <v>16467.8121039244</v>
      </c>
      <c r="J249" s="823">
        <f>J240</f>
        <v>5638.98573418902</v>
      </c>
      <c r="K249" s="823">
        <f>K240</f>
        <v>9421.86565882355</v>
      </c>
      <c r="L249" s="827"/>
      <c r="W249" s="832"/>
      <c r="X249" s="832"/>
      <c r="Y249" s="832"/>
      <c r="AN249" s="771" t="s">
        <v>715</v>
      </c>
      <c r="AO249" s="836"/>
      <c r="AP249" s="832">
        <f>W240+Y240+AA240+AC240</f>
        <v>304.972419405221</v>
      </c>
      <c r="AQ249" s="832"/>
      <c r="AR249" s="769"/>
      <c r="AS249" s="769"/>
    </row>
    <row r="250" customHeight="1" spans="2:45">
      <c r="B250" s="776">
        <f>+B249*10000</f>
        <v>-168972.377431783</v>
      </c>
      <c r="D250" s="820">
        <v>2</v>
      </c>
      <c r="E250" s="821"/>
      <c r="F250" s="822" t="s">
        <v>716</v>
      </c>
      <c r="G250" s="822"/>
      <c r="H250" s="823">
        <f>AP250</f>
        <v>63.0951485177343</v>
      </c>
      <c r="I250" s="823">
        <f>H250*H8</f>
        <v>199.65096893229</v>
      </c>
      <c r="J250" s="823">
        <f>H250</f>
        <v>63.0951485177343</v>
      </c>
      <c r="K250" s="823">
        <f>J250*J8</f>
        <v>105.321450472931</v>
      </c>
      <c r="L250" s="828" t="s">
        <v>717</v>
      </c>
      <c r="M250" s="829"/>
      <c r="N250" s="829"/>
      <c r="AN250" s="771" t="s">
        <v>718</v>
      </c>
      <c r="AO250" s="836"/>
      <c r="AP250" s="769">
        <f>AP249/(H8+J8)</f>
        <v>63.0951485177343</v>
      </c>
      <c r="AQ250" s="769"/>
      <c r="AR250" s="769" t="s">
        <v>719</v>
      </c>
      <c r="AS250" s="769">
        <f>预计销售收入及费用情况表!E20+预计销售收入及费用情况表!E21</f>
        <v>3200</v>
      </c>
    </row>
    <row r="251" customHeight="1" spans="4:45">
      <c r="D251" s="820">
        <v>3</v>
      </c>
      <c r="E251" s="821"/>
      <c r="F251" s="822" t="s">
        <v>720</v>
      </c>
      <c r="G251" s="822"/>
      <c r="H251" s="823">
        <f>I251/H8</f>
        <v>30.5914386951361</v>
      </c>
      <c r="I251" s="823">
        <v>96.8</v>
      </c>
      <c r="J251" s="823">
        <f>K251/J8</f>
        <v>124.451609347443</v>
      </c>
      <c r="K251" s="823">
        <f>+AG239-I251</f>
        <v>207.7406</v>
      </c>
      <c r="L251" s="830" t="s">
        <v>721</v>
      </c>
      <c r="AN251" s="771"/>
      <c r="AO251" s="769"/>
      <c r="AP251" s="769"/>
      <c r="AQ251" s="769"/>
      <c r="AR251" s="769" t="s">
        <v>722</v>
      </c>
      <c r="AS251" s="837">
        <f>AI240+AK240-AS250</f>
        <v>3712.04173117544</v>
      </c>
    </row>
    <row r="252" customHeight="1" spans="4:45">
      <c r="D252" s="820">
        <v>4</v>
      </c>
      <c r="E252" s="821"/>
      <c r="F252" s="822" t="s">
        <v>723</v>
      </c>
      <c r="G252" s="822"/>
      <c r="H252" s="823">
        <f>AS252</f>
        <v>767.977067530626</v>
      </c>
      <c r="I252" s="823">
        <f>H252*H8</f>
        <v>2430.09754715408</v>
      </c>
      <c r="J252" s="823">
        <f>AS252</f>
        <v>767.977067530626</v>
      </c>
      <c r="K252" s="823">
        <f>J252*J8</f>
        <v>1281.94418402136</v>
      </c>
      <c r="L252" s="828" t="s">
        <v>724</v>
      </c>
      <c r="AN252" s="771"/>
      <c r="AO252" s="769"/>
      <c r="AP252" s="769"/>
      <c r="AQ252" s="769"/>
      <c r="AR252" s="769" t="s">
        <v>725</v>
      </c>
      <c r="AS252" s="837">
        <f>AS251/(H8+J8)</f>
        <v>767.977067530626</v>
      </c>
    </row>
    <row r="253" customHeight="1" spans="4:45">
      <c r="D253" s="820">
        <v>5</v>
      </c>
      <c r="E253" s="821"/>
      <c r="F253" s="824" t="s">
        <v>707</v>
      </c>
      <c r="G253" s="825"/>
      <c r="H253" s="823">
        <f>H244</f>
        <v>1046.58264329742</v>
      </c>
      <c r="I253" s="823">
        <f>I244</f>
        <v>3311.68471286374</v>
      </c>
      <c r="J253" s="823">
        <f>J244</f>
        <v>657.725800926564</v>
      </c>
      <c r="K253" s="823">
        <f>K244</f>
        <v>1097.90747774507</v>
      </c>
      <c r="L253" s="827"/>
      <c r="AN253" s="771" t="s">
        <v>715</v>
      </c>
      <c r="AO253" s="836"/>
      <c r="AP253" s="769">
        <f>W244+Y244+AA244+AC244+AG244</f>
        <v>22.9961334800907</v>
      </c>
      <c r="AQ253" s="769"/>
      <c r="AR253" s="769"/>
      <c r="AS253" s="769"/>
    </row>
    <row r="254" customHeight="1" spans="4:45">
      <c r="D254" s="820">
        <v>6</v>
      </c>
      <c r="E254" s="821"/>
      <c r="F254" s="824" t="s">
        <v>726</v>
      </c>
      <c r="G254" s="825"/>
      <c r="H254" s="823">
        <f>AP254</f>
        <v>4.75762516521886</v>
      </c>
      <c r="I254" s="823">
        <f>H254*H8</f>
        <v>15.0544771882994</v>
      </c>
      <c r="J254" s="823">
        <f>H254</f>
        <v>4.75762516521886</v>
      </c>
      <c r="K254" s="823">
        <f>J254*J8</f>
        <v>7.94165629179125</v>
      </c>
      <c r="L254" s="831" t="s">
        <v>727</v>
      </c>
      <c r="AN254" s="771" t="s">
        <v>718</v>
      </c>
      <c r="AO254" s="836"/>
      <c r="AP254" s="769">
        <f>AP253/(H8+J8)</f>
        <v>4.75762516521886</v>
      </c>
      <c r="AQ254" s="769"/>
      <c r="AR254" s="769"/>
      <c r="AS254" s="769"/>
    </row>
    <row r="255" customHeight="1" spans="4:45">
      <c r="D255" s="820">
        <v>7</v>
      </c>
      <c r="E255" s="821"/>
      <c r="F255" s="824" t="s">
        <v>728</v>
      </c>
      <c r="G255" s="825"/>
      <c r="H255" s="823">
        <f>+AP258+AK242/H8</f>
        <v>82.4710500804879</v>
      </c>
      <c r="I255" s="823">
        <f>+H255*H8</f>
        <v>260.961824232887</v>
      </c>
      <c r="J255" s="823">
        <f>+AP258</f>
        <v>53.9527502060139</v>
      </c>
      <c r="K255" s="823">
        <f>+J255*J8</f>
        <v>90.0605203758883</v>
      </c>
      <c r="L255" s="831"/>
      <c r="AN255" s="771"/>
      <c r="AO255" s="836"/>
      <c r="AP255" s="769"/>
      <c r="AQ255" s="769"/>
      <c r="AR255" s="769"/>
      <c r="AS255" s="769"/>
    </row>
    <row r="256" customHeight="1" spans="4:45">
      <c r="D256" s="820">
        <v>8</v>
      </c>
      <c r="E256" s="821"/>
      <c r="F256" s="824" t="s">
        <v>729</v>
      </c>
      <c r="G256" s="825"/>
      <c r="H256" s="823">
        <f>+I256/H8</f>
        <v>13.5512488765231</v>
      </c>
      <c r="I256" s="823">
        <f>+AP260</f>
        <v>42.88</v>
      </c>
      <c r="J256" s="823">
        <f>+K256/J8</f>
        <v>12.6524039567518</v>
      </c>
      <c r="K256" s="823">
        <f>+AP259</f>
        <v>21.12</v>
      </c>
      <c r="L256" s="831"/>
      <c r="AN256" s="771"/>
      <c r="AO256" s="836"/>
      <c r="AP256" s="769"/>
      <c r="AQ256" s="769"/>
      <c r="AR256" s="769"/>
      <c r="AS256" s="769"/>
    </row>
    <row r="257" customHeight="1" spans="4:45">
      <c r="D257" s="838">
        <v>9</v>
      </c>
      <c r="E257" s="839"/>
      <c r="F257" s="818" t="s">
        <v>730</v>
      </c>
      <c r="G257" s="818"/>
      <c r="H257" s="840">
        <f t="shared" ref="H257:K257" si="938">H248+H250+H251+H252+H253+H254+H255+H256</f>
        <v>11857.8322864899</v>
      </c>
      <c r="I257" s="840">
        <f t="shared" si="938"/>
        <v>37521.5489788235</v>
      </c>
      <c r="J257" s="840">
        <f t="shared" si="938"/>
        <v>11968.1266791639</v>
      </c>
      <c r="K257" s="840">
        <f t="shared" si="938"/>
        <v>19986.7715229409</v>
      </c>
      <c r="L257" s="827"/>
      <c r="AN257" s="771" t="s">
        <v>731</v>
      </c>
      <c r="AO257" s="769"/>
      <c r="AP257" s="769">
        <f>+AI241+AK241</f>
        <v>260.782344608775</v>
      </c>
      <c r="AQ257" s="769"/>
      <c r="AR257" s="769"/>
      <c r="AS257" s="769"/>
    </row>
    <row r="258" customHeight="1" spans="4:45">
      <c r="D258" s="838"/>
      <c r="E258" s="839"/>
      <c r="F258" s="841" t="s">
        <v>732</v>
      </c>
      <c r="G258" s="841"/>
      <c r="H258" s="842">
        <f t="shared" ref="H258:K258" si="939">H249+H250+H251+H252+H253+H254+H255+H256</f>
        <v>7213.30374716547</v>
      </c>
      <c r="I258" s="842">
        <f t="shared" si="939"/>
        <v>22824.9416342957</v>
      </c>
      <c r="J258" s="842">
        <f t="shared" si="939"/>
        <v>7323.59813983937</v>
      </c>
      <c r="K258" s="842">
        <f t="shared" si="939"/>
        <v>12233.9015477306</v>
      </c>
      <c r="L258" s="827"/>
      <c r="AN258" s="771" t="s">
        <v>733</v>
      </c>
      <c r="AO258" s="843"/>
      <c r="AP258" s="769">
        <f>AP257/(H8+J8)</f>
        <v>53.9527502060139</v>
      </c>
      <c r="AQ258" s="769"/>
      <c r="AR258" s="769"/>
      <c r="AS258" s="769"/>
    </row>
    <row r="259" customHeight="1" spans="40:45">
      <c r="AN259" s="771" t="s">
        <v>734</v>
      </c>
      <c r="AO259" s="769" t="s">
        <v>97</v>
      </c>
      <c r="AP259" s="769">
        <f>132*8*2%</f>
        <v>21.12</v>
      </c>
      <c r="AQ259" s="769"/>
      <c r="AR259" s="769"/>
      <c r="AS259" s="769"/>
    </row>
    <row r="260" customHeight="1" spans="40:45">
      <c r="AN260" s="771"/>
      <c r="AO260" s="769" t="s">
        <v>90</v>
      </c>
      <c r="AP260" s="769">
        <f>268*8*2%</f>
        <v>42.88</v>
      </c>
      <c r="AQ260" s="769"/>
      <c r="AR260" s="769"/>
      <c r="AS260" s="769"/>
    </row>
  </sheetData>
  <autoFilter ref="A8:BD260">
    <extLst/>
  </autoFilter>
  <mergeCells count="66">
    <mergeCell ref="A4:AL4"/>
    <mergeCell ref="F5:AC5"/>
    <mergeCell ref="AD5:AK5"/>
    <mergeCell ref="F6:G6"/>
    <mergeCell ref="H6:I6"/>
    <mergeCell ref="J6:K6"/>
    <mergeCell ref="L6:M6"/>
    <mergeCell ref="N6:O6"/>
    <mergeCell ref="P6:Q6"/>
    <mergeCell ref="R6:S6"/>
    <mergeCell ref="T6:U6"/>
    <mergeCell ref="V6:W6"/>
    <mergeCell ref="X6:Y6"/>
    <mergeCell ref="Z6:AA6"/>
    <mergeCell ref="AB6:AC6"/>
    <mergeCell ref="AD6:AE6"/>
    <mergeCell ref="AF6:AG6"/>
    <mergeCell ref="AH6:AI6"/>
    <mergeCell ref="AJ6:AK6"/>
    <mergeCell ref="F7:G7"/>
    <mergeCell ref="H7:I7"/>
    <mergeCell ref="J7:K7"/>
    <mergeCell ref="L7:M7"/>
    <mergeCell ref="N7:O7"/>
    <mergeCell ref="P7:Q7"/>
    <mergeCell ref="R7:S7"/>
    <mergeCell ref="T7:U7"/>
    <mergeCell ref="V7:W7"/>
    <mergeCell ref="X7:Y7"/>
    <mergeCell ref="Z7:AA7"/>
    <mergeCell ref="AB7:AC7"/>
    <mergeCell ref="AD7:AE7"/>
    <mergeCell ref="AF7:AG7"/>
    <mergeCell ref="AH7:AI7"/>
    <mergeCell ref="AJ7:AK7"/>
    <mergeCell ref="H246:I246"/>
    <mergeCell ref="J246:K246"/>
    <mergeCell ref="AN246:AO246"/>
    <mergeCell ref="AN247:AO247"/>
    <mergeCell ref="F248:G248"/>
    <mergeCell ref="F249:G249"/>
    <mergeCell ref="AN249:AO249"/>
    <mergeCell ref="F250:G250"/>
    <mergeCell ref="AN250:AO250"/>
    <mergeCell ref="F251:G251"/>
    <mergeCell ref="F252:G252"/>
    <mergeCell ref="F253:G253"/>
    <mergeCell ref="AN253:AO253"/>
    <mergeCell ref="F254:G254"/>
    <mergeCell ref="AN254:AO254"/>
    <mergeCell ref="F255:G255"/>
    <mergeCell ref="F256:G256"/>
    <mergeCell ref="F257:G257"/>
    <mergeCell ref="F258:G258"/>
    <mergeCell ref="AN258:AO258"/>
    <mergeCell ref="A5:A9"/>
    <mergeCell ref="C1:C3"/>
    <mergeCell ref="D246:D247"/>
    <mergeCell ref="D248:D249"/>
    <mergeCell ref="D257:D258"/>
    <mergeCell ref="L246:L247"/>
    <mergeCell ref="AL5:AL9"/>
    <mergeCell ref="AL33:AL34"/>
    <mergeCell ref="AN259:AN260"/>
    <mergeCell ref="C5:D7"/>
    <mergeCell ref="F246:G247"/>
  </mergeCells>
  <hyperlinks>
    <hyperlink ref="C1:C3" location="目录!A1" display="返回目录"/>
  </hyperlinks>
  <pageMargins left="0.629166666666667" right="0.313888888888889" top="0.471527777777778" bottom="0.393055555555556" header="0.354166666666667" footer="0.275"/>
  <pageSetup paperSize="8" scale="80" orientation="landscape"/>
  <headerFooter/>
  <colBreaks count="1" manualBreakCount="1">
    <brk id="38"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outlinePr summaryBelow="0" summaryRight="0"/>
  </sheetPr>
  <dimension ref="A1:AQ236"/>
  <sheetViews>
    <sheetView view="pageBreakPreview" zoomScale="145" zoomScaleNormal="145" topLeftCell="A4" workbookViewId="0">
      <pane xSplit="2" ySplit="4" topLeftCell="D8" activePane="bottomRight" state="frozen"/>
      <selection/>
      <selection pane="topRight"/>
      <selection pane="bottomLeft"/>
      <selection pane="bottomRight" activeCell="D173" sqref="D173"/>
    </sheetView>
  </sheetViews>
  <sheetFormatPr defaultColWidth="9" defaultRowHeight="24" customHeight="1"/>
  <cols>
    <col min="1" max="1" width="6.975" style="699" customWidth="1"/>
    <col min="2" max="2" width="25.3583333333333" style="703" customWidth="1"/>
    <col min="3" max="3" width="12.1416666666667" style="704" customWidth="1" outlineLevel="1"/>
    <col min="4" max="4" width="11.875" style="704" customWidth="1" outlineLevel="1"/>
    <col min="5" max="5" width="11.875" style="704" customWidth="1" collapsed="1"/>
    <col min="6" max="6" width="5.375" style="705" hidden="1" customWidth="1" outlineLevel="1"/>
    <col min="7" max="7" width="9.025" style="705" hidden="1" customWidth="1" outlineLevel="1"/>
    <col min="8" max="8" width="13.125" style="704" customWidth="1"/>
    <col min="9" max="9" width="11.25" style="704" customWidth="1" outlineLevel="1"/>
    <col min="10" max="10" width="10" style="704" customWidth="1" outlineLevel="1"/>
    <col min="11" max="11" width="13.3666666666667" style="704" customWidth="1" outlineLevel="1"/>
    <col min="12" max="12" width="8.75" style="704" customWidth="1" outlineLevel="1"/>
    <col min="13" max="14" width="10.475" style="704" customWidth="1" outlineLevel="1"/>
    <col min="15" max="15" width="24.625" style="706" customWidth="1" outlineLevel="1"/>
    <col min="16" max="16" width="1.2" style="705" customWidth="1"/>
    <col min="17" max="17" width="16.6333333333333" style="704" customWidth="1"/>
    <col min="18" max="18" width="10.2833333333333" style="704" customWidth="1"/>
    <col min="19" max="19" width="15.7666666666667" style="704" customWidth="1"/>
    <col min="20" max="20" width="15.1916666666667" style="704" customWidth="1"/>
    <col min="21" max="21" width="10.2833333333333" style="699" customWidth="1"/>
    <col min="22" max="22" width="8.875" style="699" customWidth="1"/>
    <col min="23" max="39" width="7.01666666666667" style="699" customWidth="1"/>
    <col min="40" max="40" width="11.5" style="699"/>
    <col min="41" max="41" width="10.375" style="699"/>
    <col min="42" max="42" width="9.375" style="699" customWidth="1"/>
    <col min="43" max="43" width="11.5" style="699" customWidth="1"/>
    <col min="44" max="16384" width="9" style="699"/>
  </cols>
  <sheetData>
    <row r="1" customHeight="1" spans="1:21">
      <c r="A1" s="707" t="s">
        <v>49</v>
      </c>
      <c r="B1" s="708" t="str">
        <f>目录!C5</f>
        <v>成本中心</v>
      </c>
      <c r="C1" s="709" t="s">
        <v>50</v>
      </c>
      <c r="D1" s="710"/>
      <c r="E1" s="710"/>
      <c r="F1" s="711"/>
      <c r="G1" s="711"/>
      <c r="H1" s="710"/>
      <c r="I1" s="710"/>
      <c r="J1" s="710"/>
      <c r="K1" s="710"/>
      <c r="L1" s="710"/>
      <c r="M1" s="710"/>
      <c r="N1" s="710"/>
      <c r="O1" s="736"/>
      <c r="P1" s="711"/>
      <c r="Q1" s="710"/>
      <c r="R1" s="710"/>
      <c r="S1" s="710"/>
      <c r="T1" s="710"/>
      <c r="U1" s="711"/>
    </row>
    <row r="2" customHeight="1" spans="1:21">
      <c r="A2" s="707" t="s">
        <v>3</v>
      </c>
      <c r="B2" s="708" t="str">
        <f>目录!D5</f>
        <v>陈海民</v>
      </c>
      <c r="C2" s="709"/>
      <c r="D2" s="710"/>
      <c r="E2" s="710"/>
      <c r="F2" s="711"/>
      <c r="G2" s="711"/>
      <c r="H2" s="710"/>
      <c r="I2" s="710"/>
      <c r="J2" s="710"/>
      <c r="K2" s="710"/>
      <c r="L2" s="710"/>
      <c r="M2" s="710"/>
      <c r="N2" s="710"/>
      <c r="O2" s="736"/>
      <c r="P2" s="711"/>
      <c r="Q2" s="710"/>
      <c r="R2" s="710"/>
      <c r="S2" s="710"/>
      <c r="T2" s="710"/>
      <c r="U2" s="711"/>
    </row>
    <row r="3" customHeight="1" spans="1:21">
      <c r="A3" s="712" t="s">
        <v>4</v>
      </c>
      <c r="B3" s="713" t="str">
        <f>目录!E5</f>
        <v>2022.10.31</v>
      </c>
      <c r="C3" s="714"/>
      <c r="D3" s="710" t="e">
        <f>#REF!+#REF!</f>
        <v>#REF!</v>
      </c>
      <c r="E3" s="710"/>
      <c r="F3" s="711"/>
      <c r="G3" s="711"/>
      <c r="H3" s="710" t="e">
        <f>#REF!+#REF!</f>
        <v>#REF!</v>
      </c>
      <c r="I3" s="710"/>
      <c r="J3" s="710"/>
      <c r="K3" s="710"/>
      <c r="L3" s="710"/>
      <c r="M3" s="710"/>
      <c r="N3" s="710"/>
      <c r="O3" s="736"/>
      <c r="P3" s="711"/>
      <c r="Q3" s="710" t="e">
        <f>#REF!+#REF!</f>
        <v>#REF!</v>
      </c>
      <c r="R3" s="710"/>
      <c r="S3" s="710" t="e">
        <f>#REF!+#REF!</f>
        <v>#REF!</v>
      </c>
      <c r="T3" s="710"/>
      <c r="U3" s="711"/>
    </row>
    <row r="4" ht="29" customHeight="1" spans="1:28">
      <c r="A4" s="715" t="s">
        <v>735</v>
      </c>
      <c r="B4" s="715"/>
      <c r="C4" s="716"/>
      <c r="D4" s="716"/>
      <c r="E4" s="716"/>
      <c r="F4" s="715"/>
      <c r="G4" s="715"/>
      <c r="H4" s="717"/>
      <c r="I4" s="717"/>
      <c r="J4" s="717"/>
      <c r="K4" s="717"/>
      <c r="L4" s="717"/>
      <c r="M4" s="717"/>
      <c r="N4" s="717"/>
      <c r="O4" s="737"/>
      <c r="P4" s="738"/>
      <c r="Q4" s="717"/>
      <c r="R4" s="717"/>
      <c r="S4" s="717"/>
      <c r="T4" s="717"/>
      <c r="U4" s="738"/>
      <c r="Y4" s="750"/>
      <c r="Z4" s="750"/>
      <c r="AA4" s="750"/>
      <c r="AB4" s="750"/>
    </row>
    <row r="5" s="697" customFormat="1" ht="21" customHeight="1" spans="1:21">
      <c r="A5" s="718" t="s">
        <v>0</v>
      </c>
      <c r="B5" s="718" t="s">
        <v>77</v>
      </c>
      <c r="C5" s="718">
        <f>经济指标!E7/10000</f>
        <v>7.137825</v>
      </c>
      <c r="D5" s="718" t="s">
        <v>736</v>
      </c>
      <c r="E5" s="718" t="s">
        <v>736</v>
      </c>
      <c r="F5" s="719" t="s">
        <v>51</v>
      </c>
      <c r="G5" s="719" t="s">
        <v>737</v>
      </c>
      <c r="H5" s="718" t="s">
        <v>738</v>
      </c>
      <c r="I5" s="718"/>
      <c r="J5" s="718"/>
      <c r="K5" s="718"/>
      <c r="L5" s="718"/>
      <c r="M5" s="718"/>
      <c r="N5" s="718"/>
      <c r="O5" s="739"/>
      <c r="P5" s="740"/>
      <c r="Q5" s="718" t="s">
        <v>739</v>
      </c>
      <c r="R5" s="718"/>
      <c r="S5" s="718" t="s">
        <v>740</v>
      </c>
      <c r="T5" s="718"/>
      <c r="U5" s="718"/>
    </row>
    <row r="6" s="697" customFormat="1" ht="21" customHeight="1" spans="1:21">
      <c r="A6" s="718"/>
      <c r="B6" s="718" t="s">
        <v>76</v>
      </c>
      <c r="C6" s="718" t="s">
        <v>157</v>
      </c>
      <c r="D6" s="718" t="s">
        <v>741</v>
      </c>
      <c r="E6" s="718" t="s">
        <v>742</v>
      </c>
      <c r="F6" s="719"/>
      <c r="G6" s="719"/>
      <c r="H6" s="718"/>
      <c r="I6" s="718"/>
      <c r="J6" s="718"/>
      <c r="K6" s="718"/>
      <c r="L6" s="718"/>
      <c r="M6" s="718"/>
      <c r="N6" s="718"/>
      <c r="O6" s="739"/>
      <c r="P6" s="719"/>
      <c r="Q6" s="718"/>
      <c r="R6" s="718"/>
      <c r="S6" s="718"/>
      <c r="T6" s="718"/>
      <c r="U6" s="718"/>
    </row>
    <row r="7" s="697" customFormat="1" ht="22.5" spans="1:21">
      <c r="A7" s="718"/>
      <c r="B7" s="718" t="s">
        <v>743</v>
      </c>
      <c r="C7" s="718" t="s">
        <v>44</v>
      </c>
      <c r="D7" s="718"/>
      <c r="E7" s="718"/>
      <c r="F7" s="720"/>
      <c r="G7" s="720"/>
      <c r="H7" s="718" t="s">
        <v>744</v>
      </c>
      <c r="I7" s="718" t="s">
        <v>745</v>
      </c>
      <c r="J7" s="718" t="s">
        <v>746</v>
      </c>
      <c r="K7" s="718" t="s">
        <v>747</v>
      </c>
      <c r="L7" s="718" t="s">
        <v>748</v>
      </c>
      <c r="M7" s="718" t="s">
        <v>749</v>
      </c>
      <c r="N7" s="718" t="s">
        <v>750</v>
      </c>
      <c r="O7" s="718" t="s">
        <v>751</v>
      </c>
      <c r="P7" s="720"/>
      <c r="Q7" s="718" t="s">
        <v>752</v>
      </c>
      <c r="R7" s="718" t="s">
        <v>753</v>
      </c>
      <c r="S7" s="718" t="s">
        <v>754</v>
      </c>
      <c r="T7" s="718" t="s">
        <v>752</v>
      </c>
      <c r="U7" s="718" t="s">
        <v>753</v>
      </c>
    </row>
    <row r="8" s="698" customFormat="1" ht="30" customHeight="1" collapsed="1" spans="1:21">
      <c r="A8" s="721">
        <v>1</v>
      </c>
      <c r="B8" s="722" t="s">
        <v>163</v>
      </c>
      <c r="C8" s="723" t="s">
        <v>755</v>
      </c>
      <c r="D8" s="723">
        <f>SUM(D9:D16)</f>
        <v>22449.4773197381</v>
      </c>
      <c r="E8" s="723">
        <f>+D8*10000</f>
        <v>224494773.197381</v>
      </c>
      <c r="F8" s="722" t="s">
        <v>756</v>
      </c>
      <c r="G8" s="722"/>
      <c r="H8" s="723">
        <f>SUM(H9:H16)</f>
        <v>224494773.197381</v>
      </c>
      <c r="I8" s="723">
        <f>SUM(I9:I16)</f>
        <v>213525646.602</v>
      </c>
      <c r="J8" s="723">
        <f>SUM(J9:J16)</f>
        <v>0</v>
      </c>
      <c r="K8" s="723">
        <f t="shared" ref="K8:N8" si="0">SUM(K9:K16)</f>
        <v>10969126.595381</v>
      </c>
      <c r="L8" s="723">
        <f t="shared" si="0"/>
        <v>0</v>
      </c>
      <c r="M8" s="723">
        <f t="shared" si="0"/>
        <v>224494773.197381</v>
      </c>
      <c r="N8" s="723">
        <f t="shared" si="0"/>
        <v>0</v>
      </c>
      <c r="O8" s="741"/>
      <c r="P8" s="722"/>
      <c r="Q8" s="723">
        <f t="shared" ref="Q8:Q18" si="1">+H8-E8</f>
        <v>0</v>
      </c>
      <c r="R8" s="723"/>
      <c r="S8" s="723"/>
      <c r="T8" s="723"/>
      <c r="U8" s="722"/>
    </row>
    <row r="9" s="699" customFormat="1" hidden="1" customHeight="1" outlineLevel="1" spans="1:21">
      <c r="A9" s="724">
        <v>1.1</v>
      </c>
      <c r="B9" s="724" t="s">
        <v>165</v>
      </c>
      <c r="C9" s="725">
        <f t="shared" ref="C9:C16" si="2">D9/$C$5</f>
        <v>2991.46654060586</v>
      </c>
      <c r="D9" s="725">
        <v>21352.5646602</v>
      </c>
      <c r="E9" s="725">
        <f t="shared" ref="E9:E18" si="3">+D9*10000</f>
        <v>213525646.602</v>
      </c>
      <c r="F9" s="724" t="s">
        <v>757</v>
      </c>
      <c r="G9" s="724" t="s">
        <v>758</v>
      </c>
      <c r="H9" s="725">
        <f>+I9+J9+K9</f>
        <v>213525646.602</v>
      </c>
      <c r="I9" s="725">
        <v>213525646.602</v>
      </c>
      <c r="J9" s="725">
        <f>SUMPRODUCT(ISNUMBER(FIND(B9,'表1-签证变更'!$B$5:$B$64))*'表1-签证变更'!$G$5:$G$64)</f>
        <v>0</v>
      </c>
      <c r="K9" s="725">
        <f>+E9-I9-J9</f>
        <v>0</v>
      </c>
      <c r="L9" s="725">
        <f>SUMPRODUCT(ISNUMBER(FIND(B9,'表2-合同及付款台账'!$B$5:$B$104))*'表2-合同及付款台账'!$M$5:$M$104)</f>
        <v>0</v>
      </c>
      <c r="M9" s="725">
        <f>+E9</f>
        <v>213525646.602</v>
      </c>
      <c r="N9" s="725">
        <f t="shared" ref="N9:N16" si="4">+E9-M9</f>
        <v>0</v>
      </c>
      <c r="O9" s="742" t="s">
        <v>163</v>
      </c>
      <c r="P9" s="724"/>
      <c r="Q9" s="725">
        <f t="shared" si="1"/>
        <v>0</v>
      </c>
      <c r="R9" s="725"/>
      <c r="S9" s="725"/>
      <c r="T9" s="725"/>
      <c r="U9" s="724"/>
    </row>
    <row r="10" s="699" customFormat="1" hidden="1" customHeight="1" outlineLevel="1" spans="1:21">
      <c r="A10" s="724">
        <v>1.2</v>
      </c>
      <c r="B10" s="724" t="s">
        <v>166</v>
      </c>
      <c r="C10" s="725">
        <f t="shared" si="2"/>
        <v>119.658661624234</v>
      </c>
      <c r="D10" s="725">
        <v>854.102586408</v>
      </c>
      <c r="E10" s="725">
        <f t="shared" si="3"/>
        <v>8541025.86408</v>
      </c>
      <c r="F10" s="724"/>
      <c r="G10" s="724"/>
      <c r="H10" s="725">
        <f t="shared" ref="H10:H16" si="5">+I10+J10+K10</f>
        <v>8541025.86408</v>
      </c>
      <c r="I10" s="725">
        <f>SUMPRODUCT(ISNUMBER(FIND(B10,'表2-合同及付款台账'!$B$5:$B$104))*'表2-合同及付款台账'!$G$5:$G$104)</f>
        <v>0</v>
      </c>
      <c r="J10" s="725">
        <f>SUMPRODUCT(ISNUMBER(FIND(B10,'表1-签证变更'!$B$5:$B$64))*'表1-签证变更'!$G$5:$G$64)</f>
        <v>0</v>
      </c>
      <c r="K10" s="725">
        <f>+E10-I10-J10</f>
        <v>8541025.86408</v>
      </c>
      <c r="L10" s="725">
        <f>SUMPRODUCT(ISNUMBER(FIND(B10,'表2-合同及付款台账'!$B$5:$B$104))*'表2-合同及付款台账'!$M$5:$M$104)</f>
        <v>0</v>
      </c>
      <c r="M10" s="725">
        <f t="shared" ref="M10:M16" si="6">+E10</f>
        <v>8541025.86408</v>
      </c>
      <c r="N10" s="725">
        <f t="shared" si="4"/>
        <v>0</v>
      </c>
      <c r="O10" s="742" t="s">
        <v>167</v>
      </c>
      <c r="P10" s="724"/>
      <c r="Q10" s="725">
        <f t="shared" si="1"/>
        <v>0</v>
      </c>
      <c r="R10" s="725"/>
      <c r="S10" s="725"/>
      <c r="T10" s="725"/>
      <c r="U10" s="724"/>
    </row>
    <row r="11" s="699" customFormat="1" hidden="1" customHeight="1" outlineLevel="1" spans="1:21">
      <c r="A11" s="724">
        <v>1.3</v>
      </c>
      <c r="B11" s="724" t="s">
        <v>168</v>
      </c>
      <c r="C11" s="725">
        <f t="shared" si="2"/>
        <v>0</v>
      </c>
      <c r="D11" s="725">
        <v>0</v>
      </c>
      <c r="E11" s="725">
        <f t="shared" si="3"/>
        <v>0</v>
      </c>
      <c r="F11" s="724"/>
      <c r="G11" s="724"/>
      <c r="H11" s="725">
        <f t="shared" si="5"/>
        <v>0</v>
      </c>
      <c r="I11" s="725">
        <f>SUMPRODUCT(ISNUMBER(FIND(B11,'表2-合同及付款台账'!$B$5:$B$104))*'表2-合同及付款台账'!$G$5:$G$104)</f>
        <v>0</v>
      </c>
      <c r="J11" s="725">
        <f>SUMPRODUCT(ISNUMBER(FIND(B11,'表1-签证变更'!$B$5:$B$64))*'表1-签证变更'!$G$5:$G$64)</f>
        <v>0</v>
      </c>
      <c r="K11" s="725">
        <f>+E11-I11-J11</f>
        <v>0</v>
      </c>
      <c r="L11" s="725">
        <f>SUMPRODUCT(ISNUMBER(FIND(B11,'表2-合同及付款台账'!$B$5:$B$104))*'表2-合同及付款台账'!$M$5:$M$104)</f>
        <v>0</v>
      </c>
      <c r="M11" s="725">
        <f t="shared" si="6"/>
        <v>0</v>
      </c>
      <c r="N11" s="725">
        <f t="shared" si="4"/>
        <v>0</v>
      </c>
      <c r="O11" s="742"/>
      <c r="P11" s="724"/>
      <c r="Q11" s="725">
        <f t="shared" si="1"/>
        <v>0</v>
      </c>
      <c r="R11" s="725"/>
      <c r="S11" s="725"/>
      <c r="T11" s="725"/>
      <c r="U11" s="724"/>
    </row>
    <row r="12" s="699" customFormat="1" hidden="1" customHeight="1" outlineLevel="1" spans="1:21">
      <c r="A12" s="724">
        <v>1.4</v>
      </c>
      <c r="B12" s="724" t="s">
        <v>169</v>
      </c>
      <c r="C12" s="725">
        <f t="shared" si="2"/>
        <v>0</v>
      </c>
      <c r="D12" s="725">
        <v>0</v>
      </c>
      <c r="E12" s="725">
        <f t="shared" si="3"/>
        <v>0</v>
      </c>
      <c r="F12" s="724"/>
      <c r="G12" s="724"/>
      <c r="H12" s="725">
        <f t="shared" si="5"/>
        <v>0</v>
      </c>
      <c r="I12" s="725">
        <f>SUMPRODUCT(ISNUMBER(FIND(B12,'表2-合同及付款台账'!$B$5:$B$104))*'表2-合同及付款台账'!$G$5:$G$104)</f>
        <v>0</v>
      </c>
      <c r="J12" s="725">
        <f>SUMPRODUCT(ISNUMBER(FIND(B12,'表1-签证变更'!$B$5:$B$64))*'表1-签证变更'!$G$5:$G$64)</f>
        <v>0</v>
      </c>
      <c r="K12" s="725">
        <f>+E12-I12-J12</f>
        <v>0</v>
      </c>
      <c r="L12" s="725">
        <f>SUMPRODUCT(ISNUMBER(FIND(B12,'表2-合同及付款台账'!$B$5:$B$104))*'表2-合同及付款台账'!$M$5:$M$104)</f>
        <v>0</v>
      </c>
      <c r="M12" s="725">
        <f t="shared" si="6"/>
        <v>0</v>
      </c>
      <c r="N12" s="725">
        <f t="shared" si="4"/>
        <v>0</v>
      </c>
      <c r="O12" s="742"/>
      <c r="P12" s="724"/>
      <c r="Q12" s="725">
        <f t="shared" si="1"/>
        <v>0</v>
      </c>
      <c r="R12" s="725"/>
      <c r="S12" s="725"/>
      <c r="T12" s="725"/>
      <c r="U12" s="724"/>
    </row>
    <row r="13" s="699" customFormat="1" ht="27" hidden="1" customHeight="1" outlineLevel="1" spans="1:21">
      <c r="A13" s="724">
        <v>1.5</v>
      </c>
      <c r="B13" s="724" t="s">
        <v>170</v>
      </c>
      <c r="C13" s="725">
        <f t="shared" si="2"/>
        <v>0</v>
      </c>
      <c r="D13" s="725">
        <v>0</v>
      </c>
      <c r="E13" s="725">
        <f t="shared" si="3"/>
        <v>0</v>
      </c>
      <c r="F13" s="724"/>
      <c r="G13" s="724"/>
      <c r="H13" s="725">
        <f t="shared" si="5"/>
        <v>0</v>
      </c>
      <c r="I13" s="725">
        <f>SUMPRODUCT(ISNUMBER(FIND(B13,'表2-合同及付款台账'!$B$5:$B$104))*'表2-合同及付款台账'!$G$5:$G$104)</f>
        <v>0</v>
      </c>
      <c r="J13" s="725">
        <f>SUMPRODUCT(ISNUMBER(FIND(B13,'表1-签证变更'!$B$5:$B$64))*'表1-签证变更'!$G$5:$G$64)</f>
        <v>0</v>
      </c>
      <c r="K13" s="725">
        <f t="shared" ref="K10:K16" si="7">+E13-I13-J13</f>
        <v>0</v>
      </c>
      <c r="L13" s="725">
        <f>SUMPRODUCT(ISNUMBER(FIND(B13,'表2-合同及付款台账'!$B$5:$B$104))*'表2-合同及付款台账'!$M$5:$M$104)</f>
        <v>0</v>
      </c>
      <c r="M13" s="725">
        <f t="shared" si="6"/>
        <v>0</v>
      </c>
      <c r="N13" s="725">
        <f t="shared" si="4"/>
        <v>0</v>
      </c>
      <c r="O13" s="742"/>
      <c r="P13" s="724"/>
      <c r="Q13" s="725">
        <f t="shared" si="1"/>
        <v>0</v>
      </c>
      <c r="R13" s="725"/>
      <c r="S13" s="725"/>
      <c r="T13" s="725"/>
      <c r="U13" s="724"/>
    </row>
    <row r="14" s="699" customFormat="1" hidden="1" customHeight="1" outlineLevel="1" spans="1:21">
      <c r="A14" s="724">
        <v>1.6</v>
      </c>
      <c r="B14" s="724" t="s">
        <v>171</v>
      </c>
      <c r="C14" s="725">
        <f t="shared" si="2"/>
        <v>19.9326194183802</v>
      </c>
      <c r="D14" s="725">
        <v>142.2755492</v>
      </c>
      <c r="E14" s="725">
        <f t="shared" si="3"/>
        <v>1422755.492</v>
      </c>
      <c r="F14" s="724"/>
      <c r="G14" s="724"/>
      <c r="H14" s="725">
        <f t="shared" si="5"/>
        <v>1422755.492</v>
      </c>
      <c r="I14" s="725">
        <f>SUMPRODUCT(ISNUMBER(FIND(B14,'表2-合同及付款台账'!$B$5:$B$104))*'表2-合同及付款台账'!$G$5:$G$104)</f>
        <v>0</v>
      </c>
      <c r="J14" s="725">
        <f>SUMPRODUCT(ISNUMBER(FIND(B14,'表1-签证变更'!$B$5:$B$64))*'表1-签证变更'!$G$5:$G$64)</f>
        <v>0</v>
      </c>
      <c r="K14" s="725">
        <f t="shared" si="7"/>
        <v>1422755.492</v>
      </c>
      <c r="L14" s="725">
        <f>SUMPRODUCT(ISNUMBER(FIND(B14,'表2-合同及付款台账'!$B$5:$B$104))*'表2-合同及付款台账'!$M$5:$M$104)</f>
        <v>0</v>
      </c>
      <c r="M14" s="725">
        <f t="shared" si="6"/>
        <v>1422755.492</v>
      </c>
      <c r="N14" s="725">
        <f t="shared" si="4"/>
        <v>0</v>
      </c>
      <c r="O14" s="742" t="s">
        <v>172</v>
      </c>
      <c r="P14" s="724"/>
      <c r="Q14" s="725">
        <f t="shared" si="1"/>
        <v>0</v>
      </c>
      <c r="R14" s="725"/>
      <c r="S14" s="725"/>
      <c r="T14" s="725"/>
      <c r="U14" s="724"/>
    </row>
    <row r="15" s="699" customFormat="1" ht="36" hidden="1" customHeight="1" outlineLevel="1" spans="1:21">
      <c r="A15" s="724">
        <v>1.7</v>
      </c>
      <c r="B15" s="724" t="s">
        <v>173</v>
      </c>
      <c r="C15" s="725">
        <f t="shared" si="2"/>
        <v>12.5890227905559</v>
      </c>
      <c r="D15" s="725">
        <v>89.8582416</v>
      </c>
      <c r="E15" s="725">
        <f t="shared" si="3"/>
        <v>898582.416</v>
      </c>
      <c r="F15" s="724"/>
      <c r="G15" s="724"/>
      <c r="H15" s="725">
        <f t="shared" si="5"/>
        <v>898582.416</v>
      </c>
      <c r="I15" s="725">
        <f>SUMPRODUCT(ISNUMBER(FIND(B15,'表2-合同及付款台账'!$B$5:$B$104))*'表2-合同及付款台账'!$G$5:$G$104)</f>
        <v>0</v>
      </c>
      <c r="J15" s="725">
        <f>SUMPRODUCT(ISNUMBER(FIND(B15,'表1-签证变更'!$B$5:$B$64))*'表1-签证变更'!$G$5:$G$64)</f>
        <v>0</v>
      </c>
      <c r="K15" s="725">
        <f t="shared" si="7"/>
        <v>898582.416</v>
      </c>
      <c r="L15" s="725">
        <f>SUMPRODUCT(ISNUMBER(FIND(B15,'表2-合同及付款台账'!$B$5:$B$104))*'表2-合同及付款台账'!$M$5:$M$104)</f>
        <v>0</v>
      </c>
      <c r="M15" s="725">
        <f t="shared" si="6"/>
        <v>898582.416</v>
      </c>
      <c r="N15" s="725">
        <f t="shared" si="4"/>
        <v>0</v>
      </c>
      <c r="O15" s="742" t="s">
        <v>174</v>
      </c>
      <c r="P15" s="724"/>
      <c r="Q15" s="725">
        <f t="shared" si="1"/>
        <v>0</v>
      </c>
      <c r="R15" s="725"/>
      <c r="S15" s="725"/>
      <c r="T15" s="725"/>
      <c r="U15" s="724"/>
    </row>
    <row r="16" s="699" customFormat="1" hidden="1" customHeight="1" outlineLevel="1" spans="1:21">
      <c r="A16" s="724">
        <v>1.8</v>
      </c>
      <c r="B16" s="724" t="s">
        <v>175</v>
      </c>
      <c r="C16" s="725">
        <f t="shared" si="2"/>
        <v>1.49573327030293</v>
      </c>
      <c r="D16" s="725">
        <v>10.6762823301</v>
      </c>
      <c r="E16" s="725">
        <f t="shared" si="3"/>
        <v>106762.823301</v>
      </c>
      <c r="F16" s="724"/>
      <c r="G16" s="724"/>
      <c r="H16" s="725">
        <f t="shared" si="5"/>
        <v>106762.823301</v>
      </c>
      <c r="I16" s="725">
        <f>SUMPRODUCT(ISNUMBER(FIND(B16,'表2-合同及付款台账'!$B$5:$B$104))*'表2-合同及付款台账'!$G$5:$G$104)</f>
        <v>0</v>
      </c>
      <c r="J16" s="725">
        <f>SUMPRODUCT(ISNUMBER(FIND(B16,'表1-签证变更'!$B$5:$B$64))*'表1-签证变更'!$G$5:$G$64)</f>
        <v>0</v>
      </c>
      <c r="K16" s="725">
        <f t="shared" si="7"/>
        <v>106762.823301</v>
      </c>
      <c r="L16" s="725">
        <f>SUMPRODUCT(ISNUMBER(FIND(B16,'表2-合同及付款台账'!$B$5:$B$104))*'表2-合同及付款台账'!$M$5:$M$104)</f>
        <v>0</v>
      </c>
      <c r="M16" s="725">
        <f t="shared" si="6"/>
        <v>106762.823301</v>
      </c>
      <c r="N16" s="725">
        <f t="shared" si="4"/>
        <v>0</v>
      </c>
      <c r="O16" s="742" t="s">
        <v>176</v>
      </c>
      <c r="P16" s="724"/>
      <c r="Q16" s="725">
        <f t="shared" si="1"/>
        <v>0</v>
      </c>
      <c r="R16" s="725"/>
      <c r="S16" s="725"/>
      <c r="T16" s="725"/>
      <c r="U16" s="724"/>
    </row>
    <row r="17" s="698" customFormat="1" customHeight="1" spans="1:21">
      <c r="A17" s="721">
        <v>2</v>
      </c>
      <c r="B17" s="722" t="s">
        <v>177</v>
      </c>
      <c r="C17" s="723">
        <f>+C18+C23+C27+C30+C55+C116</f>
        <v>302.464911248174</v>
      </c>
      <c r="D17" s="723">
        <f>+D18+D23+D27+D30+D55+D116</f>
        <v>2158.94160513</v>
      </c>
      <c r="E17" s="723">
        <f t="shared" si="3"/>
        <v>21589416.0513</v>
      </c>
      <c r="F17" s="722" t="s">
        <v>756</v>
      </c>
      <c r="G17" s="722"/>
      <c r="H17" s="723">
        <f>+H18+H23+H27+H30+H55+H116</f>
        <v>21589416.0513</v>
      </c>
      <c r="I17" s="723">
        <f t="shared" ref="I17:N17" si="8">+I18+I23+I27+I30+I55+I116</f>
        <v>7182575.69</v>
      </c>
      <c r="J17" s="723">
        <f t="shared" si="8"/>
        <v>0</v>
      </c>
      <c r="K17" s="723">
        <f t="shared" si="8"/>
        <v>14406840.3613</v>
      </c>
      <c r="L17" s="723">
        <f t="shared" si="8"/>
        <v>135000</v>
      </c>
      <c r="M17" s="723">
        <f t="shared" si="8"/>
        <v>21589416.0513</v>
      </c>
      <c r="N17" s="723">
        <f t="shared" si="8"/>
        <v>0</v>
      </c>
      <c r="O17" s="741"/>
      <c r="P17" s="722"/>
      <c r="Q17" s="723">
        <f t="shared" si="1"/>
        <v>0</v>
      </c>
      <c r="R17" s="723"/>
      <c r="S17" s="723"/>
      <c r="T17" s="723"/>
      <c r="U17" s="722"/>
    </row>
    <row r="18" s="700" customFormat="1" customHeight="1" outlineLevel="1" spans="1:21">
      <c r="A18" s="726">
        <v>2.1</v>
      </c>
      <c r="B18" s="726" t="s">
        <v>179</v>
      </c>
      <c r="C18" s="727">
        <f>SUM(C19:C22)</f>
        <v>22.3378688536073</v>
      </c>
      <c r="D18" s="727">
        <f>SUM(D19:D22)</f>
        <v>159.44379875</v>
      </c>
      <c r="E18" s="727">
        <f t="shared" si="3"/>
        <v>1594437.9875</v>
      </c>
      <c r="F18" s="726" t="s">
        <v>756</v>
      </c>
      <c r="G18" s="726"/>
      <c r="H18" s="727">
        <f>SUM(H19:H22)</f>
        <v>1594437.9875</v>
      </c>
      <c r="I18" s="727">
        <f t="shared" ref="I18:N18" si="9">SUM(I19:I22)</f>
        <v>699184</v>
      </c>
      <c r="J18" s="727">
        <f t="shared" si="9"/>
        <v>0</v>
      </c>
      <c r="K18" s="727">
        <f t="shared" si="9"/>
        <v>895253.9875</v>
      </c>
      <c r="L18" s="727">
        <f t="shared" si="9"/>
        <v>65000</v>
      </c>
      <c r="M18" s="727">
        <f t="shared" si="9"/>
        <v>1594437.9875</v>
      </c>
      <c r="N18" s="727">
        <f t="shared" si="9"/>
        <v>0</v>
      </c>
      <c r="O18" s="743"/>
      <c r="P18" s="726"/>
      <c r="Q18" s="727">
        <f t="shared" si="1"/>
        <v>0</v>
      </c>
      <c r="R18" s="727"/>
      <c r="S18" s="727"/>
      <c r="T18" s="727"/>
      <c r="U18" s="726"/>
    </row>
    <row r="19" s="699" customFormat="1" ht="37" customHeight="1" outlineLevel="2" spans="1:21">
      <c r="A19" s="724" t="s">
        <v>180</v>
      </c>
      <c r="B19" s="728" t="s">
        <v>181</v>
      </c>
      <c r="C19" s="725">
        <f>D19/$C$5</f>
        <v>5.0216977860903</v>
      </c>
      <c r="D19" s="725">
        <v>35.844</v>
      </c>
      <c r="E19" s="725">
        <f t="shared" ref="E19:E82" si="10">+D19*10000</f>
        <v>358440</v>
      </c>
      <c r="F19" s="724" t="s">
        <v>757</v>
      </c>
      <c r="G19" s="724" t="s">
        <v>759</v>
      </c>
      <c r="H19" s="725">
        <f>+I19+J19+K19</f>
        <v>358440</v>
      </c>
      <c r="I19" s="725">
        <f>SUMPRODUCT(ISNUMBER(FIND(B19,'表2-合同及付款台账'!$B$5:$B$104))*'表2-合同及付款台账'!$G$5:$G$104)</f>
        <v>348000</v>
      </c>
      <c r="J19" s="725">
        <f>SUMPRODUCT(ISNUMBER(FIND(B19,'表1-签证变更'!$B$5:$B$64))*'表1-签证变更'!$G$5:$G$64)</f>
        <v>0</v>
      </c>
      <c r="K19" s="725">
        <f>+E19-I19-J19</f>
        <v>10440</v>
      </c>
      <c r="L19" s="725">
        <f>SUMPRODUCT(ISNUMBER(FIND(B19,'表2-合同及付款台账'!$B$5:$B$104))*'表2-合同及付款台账'!$M$5:$M$104)</f>
        <v>0</v>
      </c>
      <c r="M19" s="725">
        <f>+E19</f>
        <v>358440</v>
      </c>
      <c r="N19" s="725">
        <f>+E19-M19</f>
        <v>0</v>
      </c>
      <c r="O19" s="742" t="s">
        <v>182</v>
      </c>
      <c r="P19" s="724"/>
      <c r="Q19" s="725">
        <f t="shared" ref="Q9:Q72" si="11">+H19-E19</f>
        <v>0</v>
      </c>
      <c r="R19" s="725"/>
      <c r="S19" s="725"/>
      <c r="T19" s="725"/>
      <c r="U19" s="724"/>
    </row>
    <row r="20" s="699" customFormat="1" ht="45" outlineLevel="2" spans="1:21">
      <c r="A20" s="724" t="s">
        <v>183</v>
      </c>
      <c r="B20" s="728" t="s">
        <v>184</v>
      </c>
      <c r="C20" s="725">
        <f>D20/$C$5</f>
        <v>5.15</v>
      </c>
      <c r="D20" s="725">
        <v>36.75979875</v>
      </c>
      <c r="E20" s="725">
        <f t="shared" si="10"/>
        <v>367597.9875</v>
      </c>
      <c r="F20" s="724" t="s">
        <v>760</v>
      </c>
      <c r="G20" s="724"/>
      <c r="H20" s="725">
        <f>+I20+J20+K20</f>
        <v>367597.9875</v>
      </c>
      <c r="I20" s="725">
        <f>SUMPRODUCT(ISNUMBER(FIND(B20,'表2-合同及付款台账'!$B$5:$B$104))*'表2-合同及付款台账'!$G$5:$G$104)</f>
        <v>0</v>
      </c>
      <c r="J20" s="725">
        <f>SUMPRODUCT(ISNUMBER(FIND(B20,'表1-签证变更'!$B$5:$B$64))*'表1-签证变更'!$G$5:$G$64)</f>
        <v>0</v>
      </c>
      <c r="K20" s="725">
        <f>+E20-I20-J20</f>
        <v>367597.9875</v>
      </c>
      <c r="L20" s="725">
        <f>SUMPRODUCT(ISNUMBER(FIND(B20,'表2-合同及付款台账'!$B$5:$B$104))*'表2-合同及付款台账'!$M$5:$M$104)</f>
        <v>0</v>
      </c>
      <c r="M20" s="725">
        <f>+E20</f>
        <v>367597.9875</v>
      </c>
      <c r="N20" s="725">
        <f t="shared" ref="N19:N26" si="12">+E20-M20</f>
        <v>0</v>
      </c>
      <c r="O20" s="742" t="s">
        <v>185</v>
      </c>
      <c r="P20" s="724"/>
      <c r="Q20" s="725">
        <f t="shared" si="11"/>
        <v>0</v>
      </c>
      <c r="R20" s="725"/>
      <c r="S20" s="725"/>
      <c r="T20" s="725"/>
      <c r="U20" s="724"/>
    </row>
    <row r="21" s="699" customFormat="1" ht="59" customHeight="1" outlineLevel="2" spans="1:21">
      <c r="A21" s="724" t="s">
        <v>186</v>
      </c>
      <c r="B21" s="728" t="s">
        <v>187</v>
      </c>
      <c r="C21" s="725">
        <f>D21/$C$5</f>
        <v>11.2555295205472</v>
      </c>
      <c r="D21" s="725">
        <v>80.34</v>
      </c>
      <c r="E21" s="725">
        <f t="shared" si="10"/>
        <v>803400</v>
      </c>
      <c r="F21" s="724" t="s">
        <v>757</v>
      </c>
      <c r="G21" s="724" t="s">
        <v>759</v>
      </c>
      <c r="H21" s="725">
        <f>+I21+J21+K21</f>
        <v>803400</v>
      </c>
      <c r="I21" s="725">
        <f>SUMPRODUCT(ISNUMBER(FIND(B21,'表2-合同及付款台账'!$B$5:$B$104))*'表2-合同及付款台账'!$G$5:$G$104)</f>
        <v>286184</v>
      </c>
      <c r="J21" s="725">
        <f>SUMPRODUCT(ISNUMBER(FIND(B21,'表1-签证变更'!$B$5:$B$64))*'表1-签证变更'!$G$5:$G$64)</f>
        <v>0</v>
      </c>
      <c r="K21" s="725">
        <f>+E21-I21-J21</f>
        <v>517216</v>
      </c>
      <c r="L21" s="725">
        <f>SUMPRODUCT(ISNUMBER(FIND(B21,'表2-合同及付款台账'!$B$5:$B$104))*'表2-合同及付款台账'!$M$5:$M$104)</f>
        <v>0</v>
      </c>
      <c r="M21" s="725">
        <f>+E21</f>
        <v>803400</v>
      </c>
      <c r="N21" s="725">
        <f t="shared" si="12"/>
        <v>0</v>
      </c>
      <c r="O21" s="742" t="s">
        <v>188</v>
      </c>
      <c r="P21" s="724" t="s">
        <v>761</v>
      </c>
      <c r="Q21" s="725">
        <f t="shared" si="11"/>
        <v>0</v>
      </c>
      <c r="R21" s="725"/>
      <c r="S21" s="725"/>
      <c r="T21" s="725"/>
      <c r="U21" s="724"/>
    </row>
    <row r="22" s="699" customFormat="1" ht="33" customHeight="1" outlineLevel="2" spans="1:21">
      <c r="A22" s="724" t="s">
        <v>189</v>
      </c>
      <c r="B22" s="729" t="s">
        <v>190</v>
      </c>
      <c r="C22" s="725">
        <f>D22/$C$5</f>
        <v>0.91064154696984</v>
      </c>
      <c r="D22" s="725">
        <v>6.5</v>
      </c>
      <c r="E22" s="725">
        <f t="shared" si="10"/>
        <v>65000</v>
      </c>
      <c r="F22" s="724" t="s">
        <v>757</v>
      </c>
      <c r="G22" s="724" t="s">
        <v>758</v>
      </c>
      <c r="H22" s="725">
        <f>+I22+J22+K22</f>
        <v>65000</v>
      </c>
      <c r="I22" s="725">
        <f>SUMPRODUCT(ISNUMBER(FIND(B22,'表2-合同及付款台账'!$B$5:$B$104))*'表2-合同及付款台账'!$G$5:$G$104)</f>
        <v>65000</v>
      </c>
      <c r="J22" s="725">
        <f>SUMPRODUCT(ISNUMBER(FIND(B22,'表1-签证变更'!$B$5:$B$64))*'表1-签证变更'!$G$5:$G$64)</f>
        <v>0</v>
      </c>
      <c r="K22" s="725">
        <f>+E22-I22-J22</f>
        <v>0</v>
      </c>
      <c r="L22" s="725">
        <f>SUMPRODUCT(ISNUMBER(FIND(B22,'表2-合同及付款台账'!$B$5:$B$104))*'表2-合同及付款台账'!$M$5:$M$104)</f>
        <v>65000</v>
      </c>
      <c r="M22" s="725">
        <f>+E22</f>
        <v>65000</v>
      </c>
      <c r="N22" s="725">
        <f t="shared" si="12"/>
        <v>0</v>
      </c>
      <c r="O22" s="742" t="s">
        <v>191</v>
      </c>
      <c r="P22" s="724"/>
      <c r="Q22" s="725">
        <f t="shared" si="11"/>
        <v>0</v>
      </c>
      <c r="R22" s="725"/>
      <c r="S22" s="725"/>
      <c r="T22" s="725"/>
      <c r="U22" s="724"/>
    </row>
    <row r="23" s="700" customFormat="1" customHeight="1" outlineLevel="1" spans="1:21">
      <c r="A23" s="726">
        <v>2.2</v>
      </c>
      <c r="B23" s="726" t="s">
        <v>192</v>
      </c>
      <c r="C23" s="727">
        <f>SUM(C24:C26)</f>
        <v>7.61572682574874</v>
      </c>
      <c r="D23" s="727">
        <f>SUM(D24:D26)</f>
        <v>54.35972533</v>
      </c>
      <c r="E23" s="727">
        <f t="shared" si="10"/>
        <v>543597.2533</v>
      </c>
      <c r="F23" s="726" t="s">
        <v>756</v>
      </c>
      <c r="G23" s="726"/>
      <c r="H23" s="727">
        <f t="shared" ref="H23:N23" si="13">SUM(H24:H26)</f>
        <v>543597.2533</v>
      </c>
      <c r="I23" s="727">
        <f t="shared" si="13"/>
        <v>209637.81</v>
      </c>
      <c r="J23" s="727">
        <f t="shared" si="13"/>
        <v>0</v>
      </c>
      <c r="K23" s="727">
        <f t="shared" si="13"/>
        <v>333959.4433</v>
      </c>
      <c r="L23" s="727">
        <f t="shared" si="13"/>
        <v>65000</v>
      </c>
      <c r="M23" s="727">
        <f t="shared" si="13"/>
        <v>543597.2533</v>
      </c>
      <c r="N23" s="727">
        <f t="shared" si="13"/>
        <v>0</v>
      </c>
      <c r="O23" s="743"/>
      <c r="P23" s="726"/>
      <c r="Q23" s="727">
        <f t="shared" si="11"/>
        <v>0</v>
      </c>
      <c r="R23" s="727"/>
      <c r="S23" s="727"/>
      <c r="T23" s="727"/>
      <c r="U23" s="726"/>
    </row>
    <row r="24" s="699" customFormat="1" ht="71" customHeight="1" outlineLevel="2" spans="1:21">
      <c r="A24" s="724" t="s">
        <v>193</v>
      </c>
      <c r="B24" s="728" t="s">
        <v>194</v>
      </c>
      <c r="C24" s="725">
        <f>D24/C5</f>
        <v>7.19543072714728</v>
      </c>
      <c r="D24" s="725">
        <v>51.35972533</v>
      </c>
      <c r="E24" s="725">
        <f t="shared" si="10"/>
        <v>513597.2533</v>
      </c>
      <c r="F24" s="724" t="s">
        <v>757</v>
      </c>
      <c r="G24" s="724" t="s">
        <v>759</v>
      </c>
      <c r="H24" s="725">
        <f>+I24+J24+K24</f>
        <v>513597.2533</v>
      </c>
      <c r="I24" s="725">
        <f>SUMPRODUCT(ISNUMBER(FIND(B24,'表2-合同及付款台账'!$B$5:$B$104))*'表2-合同及付款台账'!$G$5:$G$104)</f>
        <v>194637.81</v>
      </c>
      <c r="J24" s="725">
        <f>SUMPRODUCT(ISNUMBER(FIND(B24,'表1-签证变更'!$B$5:$B$64))*'表1-签证变更'!$G$5:$G$64)</f>
        <v>0</v>
      </c>
      <c r="K24" s="725">
        <f>+D24*10000-I24-J24</f>
        <v>318959.4433</v>
      </c>
      <c r="L24" s="725">
        <f>SUMPRODUCT(ISNUMBER(FIND(B24,'表2-合同及付款台账'!$B$5:$B$104))*'表2-合同及付款台账'!$M$5:$M$104)</f>
        <v>50000</v>
      </c>
      <c r="M24" s="725">
        <f t="shared" ref="M24:M26" si="14">+E24</f>
        <v>513597.2533</v>
      </c>
      <c r="N24" s="725">
        <f t="shared" si="12"/>
        <v>0</v>
      </c>
      <c r="O24" s="744" t="s">
        <v>195</v>
      </c>
      <c r="P24" s="724"/>
      <c r="Q24" s="725">
        <f t="shared" si="11"/>
        <v>0</v>
      </c>
      <c r="R24" s="725"/>
      <c r="S24" s="725"/>
      <c r="T24" s="725"/>
      <c r="U24" s="724"/>
    </row>
    <row r="25" s="699" customFormat="1" ht="29" customHeight="1" outlineLevel="2" spans="1:21">
      <c r="A25" s="724" t="s">
        <v>196</v>
      </c>
      <c r="B25" s="729" t="s">
        <v>197</v>
      </c>
      <c r="C25" s="725">
        <f t="shared" ref="C25:C29" si="15">D25/$C$5</f>
        <v>0</v>
      </c>
      <c r="D25" s="725">
        <v>0</v>
      </c>
      <c r="E25" s="725">
        <f t="shared" si="10"/>
        <v>0</v>
      </c>
      <c r="F25" s="724" t="s">
        <v>762</v>
      </c>
      <c r="G25" s="724"/>
      <c r="H25" s="725">
        <f t="shared" ref="H24:H29" si="16">+I25+J25+K25</f>
        <v>0</v>
      </c>
      <c r="I25" s="725">
        <f>SUMPRODUCT(ISNUMBER(FIND(B25,'表2-合同及付款台账'!$B$5:$B$104))*'表2-合同及付款台账'!$G$5:$G$104)</f>
        <v>0</v>
      </c>
      <c r="J25" s="725">
        <f>SUMPRODUCT(ISNUMBER(FIND(B25,'表1-签证变更'!$B$5:$B$64))*'表1-签证变更'!$G$5:$G$64)</f>
        <v>0</v>
      </c>
      <c r="K25" s="725">
        <f t="shared" ref="K25:K29" si="17">+E25-I25-J25</f>
        <v>0</v>
      </c>
      <c r="L25" s="725">
        <f>SUMPRODUCT(ISNUMBER(FIND(B25,'表2-合同及付款台账'!$B$5:$B$104))*'表2-合同及付款台账'!$M$5:$M$104)</f>
        <v>0</v>
      </c>
      <c r="M25" s="725">
        <f t="shared" si="14"/>
        <v>0</v>
      </c>
      <c r="N25" s="725">
        <f t="shared" si="12"/>
        <v>0</v>
      </c>
      <c r="O25" s="742"/>
      <c r="P25" s="724"/>
      <c r="Q25" s="725">
        <f t="shared" si="11"/>
        <v>0</v>
      </c>
      <c r="R25" s="725"/>
      <c r="S25" s="725"/>
      <c r="T25" s="725"/>
      <c r="U25" s="724"/>
    </row>
    <row r="26" s="699" customFormat="1" ht="33.75" outlineLevel="2" spans="1:21">
      <c r="A26" s="724" t="s">
        <v>198</v>
      </c>
      <c r="B26" s="729" t="s">
        <v>199</v>
      </c>
      <c r="C26" s="725">
        <f t="shared" si="15"/>
        <v>0.420296098601465</v>
      </c>
      <c r="D26" s="725">
        <v>3</v>
      </c>
      <c r="E26" s="725">
        <f t="shared" si="10"/>
        <v>30000</v>
      </c>
      <c r="F26" s="724" t="s">
        <v>757</v>
      </c>
      <c r="G26" s="724" t="s">
        <v>758</v>
      </c>
      <c r="H26" s="725">
        <f t="shared" si="16"/>
        <v>30000</v>
      </c>
      <c r="I26" s="725">
        <f>SUMPRODUCT(ISNUMBER(FIND(B26,'表2-合同及付款台账'!$B$5:$B$104))*'表2-合同及付款台账'!$G$5:$G$104)</f>
        <v>15000</v>
      </c>
      <c r="J26" s="725">
        <f>SUMPRODUCT(ISNUMBER(FIND(B26,'表1-签证变更'!$B$5:$B$64))*'表1-签证变更'!$G$5:$G$64)</f>
        <v>0</v>
      </c>
      <c r="K26" s="725">
        <f t="shared" si="17"/>
        <v>15000</v>
      </c>
      <c r="L26" s="725">
        <f>SUMPRODUCT(ISNUMBER(FIND(B26,'表2-合同及付款台账'!$B$5:$B$104))*'表2-合同及付款台账'!$M$5:$M$104)</f>
        <v>15000</v>
      </c>
      <c r="M26" s="725">
        <f t="shared" si="14"/>
        <v>30000</v>
      </c>
      <c r="N26" s="725">
        <f t="shared" si="12"/>
        <v>0</v>
      </c>
      <c r="O26" s="742" t="s">
        <v>200</v>
      </c>
      <c r="P26" s="724"/>
      <c r="Q26" s="725">
        <f t="shared" si="11"/>
        <v>0</v>
      </c>
      <c r="R26" s="725"/>
      <c r="S26" s="725"/>
      <c r="T26" s="725"/>
      <c r="U26" s="724"/>
    </row>
    <row r="27" s="700" customFormat="1" customHeight="1" outlineLevel="1" spans="1:21">
      <c r="A27" s="726">
        <v>2.3</v>
      </c>
      <c r="B27" s="726" t="s">
        <v>201</v>
      </c>
      <c r="C27" s="727">
        <f>SUM(C28:C29)</f>
        <v>13.4077061289679</v>
      </c>
      <c r="D27" s="727">
        <f>SUM(D28:D29)</f>
        <v>95.70186</v>
      </c>
      <c r="E27" s="727">
        <f t="shared" si="10"/>
        <v>957018.6</v>
      </c>
      <c r="F27" s="726" t="s">
        <v>756</v>
      </c>
      <c r="G27" s="726"/>
      <c r="H27" s="727">
        <f>SUM(H28:H29)</f>
        <v>957018.6</v>
      </c>
      <c r="I27" s="727">
        <f t="shared" ref="I27:N27" si="18">SUM(I28:I29)</f>
        <v>346620</v>
      </c>
      <c r="J27" s="727">
        <f t="shared" si="18"/>
        <v>0</v>
      </c>
      <c r="K27" s="727">
        <f t="shared" si="18"/>
        <v>610398.6</v>
      </c>
      <c r="L27" s="727">
        <f t="shared" si="18"/>
        <v>0</v>
      </c>
      <c r="M27" s="727">
        <f t="shared" si="18"/>
        <v>957018.6</v>
      </c>
      <c r="N27" s="727">
        <f t="shared" si="18"/>
        <v>0</v>
      </c>
      <c r="O27" s="743"/>
      <c r="P27" s="726"/>
      <c r="Q27" s="727">
        <f t="shared" si="11"/>
        <v>0</v>
      </c>
      <c r="R27" s="727"/>
      <c r="S27" s="727"/>
      <c r="T27" s="727"/>
      <c r="U27" s="726"/>
    </row>
    <row r="28" s="699" customFormat="1" ht="33" customHeight="1" outlineLevel="2" spans="1:21">
      <c r="A28" s="724" t="s">
        <v>193</v>
      </c>
      <c r="B28" s="728" t="s">
        <v>202</v>
      </c>
      <c r="C28" s="725">
        <f t="shared" si="15"/>
        <v>8.40592197202929</v>
      </c>
      <c r="D28" s="725">
        <v>60</v>
      </c>
      <c r="E28" s="725">
        <f t="shared" si="10"/>
        <v>600000</v>
      </c>
      <c r="F28" s="724" t="s">
        <v>760</v>
      </c>
      <c r="G28" s="724"/>
      <c r="H28" s="725">
        <f t="shared" si="16"/>
        <v>600000</v>
      </c>
      <c r="I28" s="725">
        <f>SUMPRODUCT(ISNUMBER(FIND(B28,'表2-合同及付款台账'!$B$5:$B$104))*'表2-合同及付款台账'!$G$5:$G$104)</f>
        <v>0</v>
      </c>
      <c r="J28" s="725">
        <f>SUMPRODUCT(ISNUMBER(FIND(B28,'表1-签证变更'!$B$5:$B$64))*'表1-签证变更'!$G$5:$G$64)</f>
        <v>0</v>
      </c>
      <c r="K28" s="725">
        <f t="shared" si="17"/>
        <v>600000</v>
      </c>
      <c r="L28" s="725">
        <f>SUMPRODUCT(ISNUMBER(FIND(B28,'表2-合同及付款台账'!$B$5:$B$104))*'表2-合同及付款台账'!$M$5:$M$104)</f>
        <v>0</v>
      </c>
      <c r="M28" s="725">
        <f t="shared" ref="M28:M54" si="19">+E28</f>
        <v>600000</v>
      </c>
      <c r="N28" s="725">
        <f t="shared" ref="N28:N54" si="20">+E28-M28</f>
        <v>0</v>
      </c>
      <c r="O28" s="744" t="s">
        <v>203</v>
      </c>
      <c r="P28" s="724"/>
      <c r="Q28" s="725">
        <f t="shared" si="11"/>
        <v>0</v>
      </c>
      <c r="R28" s="725"/>
      <c r="S28" s="725"/>
      <c r="T28" s="725"/>
      <c r="U28" s="724"/>
    </row>
    <row r="29" s="699" customFormat="1" ht="50" customHeight="1" outlineLevel="2" spans="1:21">
      <c r="A29" s="724" t="s">
        <v>196</v>
      </c>
      <c r="B29" s="728" t="s">
        <v>204</v>
      </c>
      <c r="C29" s="725">
        <f t="shared" si="15"/>
        <v>5.00178415693856</v>
      </c>
      <c r="D29" s="725">
        <v>35.70186</v>
      </c>
      <c r="E29" s="725">
        <f t="shared" si="10"/>
        <v>357018.6</v>
      </c>
      <c r="F29" s="724" t="s">
        <v>757</v>
      </c>
      <c r="G29" s="724" t="s">
        <v>759</v>
      </c>
      <c r="H29" s="725">
        <f t="shared" si="16"/>
        <v>357018.6</v>
      </c>
      <c r="I29" s="725">
        <f>SUMPRODUCT(ISNUMBER(FIND(B29,'表2-合同及付款台账'!$B$5:$B$104))*'表2-合同及付款台账'!$G$5:$G$104)</f>
        <v>346620</v>
      </c>
      <c r="J29" s="725">
        <f>SUMPRODUCT(ISNUMBER(FIND(B29,'表1-签证变更'!$B$5:$B$64))*'表1-签证变更'!$G$5:$G$64)</f>
        <v>0</v>
      </c>
      <c r="K29" s="725">
        <f t="shared" si="17"/>
        <v>10398.6</v>
      </c>
      <c r="L29" s="725">
        <f>SUMPRODUCT(ISNUMBER(FIND(B29,'表2-合同及付款台账'!$B$5:$B$104))*'表2-合同及付款台账'!$M$5:$M$104)</f>
        <v>0</v>
      </c>
      <c r="M29" s="725">
        <f t="shared" si="19"/>
        <v>357018.6</v>
      </c>
      <c r="N29" s="725">
        <f t="shared" si="20"/>
        <v>0</v>
      </c>
      <c r="O29" s="742" t="s">
        <v>205</v>
      </c>
      <c r="P29" s="724"/>
      <c r="Q29" s="725">
        <f t="shared" si="11"/>
        <v>0</v>
      </c>
      <c r="R29" s="725"/>
      <c r="S29" s="725"/>
      <c r="T29" s="725"/>
      <c r="U29" s="724"/>
    </row>
    <row r="30" s="700" customFormat="1" customHeight="1" outlineLevel="1" spans="1:21">
      <c r="A30" s="726">
        <v>2.3</v>
      </c>
      <c r="B30" s="726" t="s">
        <v>206</v>
      </c>
      <c r="C30" s="727">
        <f>SUM(C31:C37)</f>
        <v>68.601546031179</v>
      </c>
      <c r="D30" s="727">
        <f>SUM(D31:D37)</f>
        <v>489.6658303</v>
      </c>
      <c r="E30" s="727">
        <f t="shared" si="10"/>
        <v>4896658.303</v>
      </c>
      <c r="F30" s="726" t="s">
        <v>756</v>
      </c>
      <c r="G30" s="726"/>
      <c r="H30" s="727">
        <f>SUM(H31:H37)</f>
        <v>4896658.303</v>
      </c>
      <c r="I30" s="727">
        <f t="shared" ref="I30:N30" si="21">SUM(I31:I37)</f>
        <v>3935446.94</v>
      </c>
      <c r="J30" s="727">
        <f t="shared" si="21"/>
        <v>0</v>
      </c>
      <c r="K30" s="727">
        <f t="shared" si="21"/>
        <v>961211.363000001</v>
      </c>
      <c r="L30" s="727">
        <f t="shared" si="21"/>
        <v>0</v>
      </c>
      <c r="M30" s="727">
        <f t="shared" si="21"/>
        <v>4896658.303</v>
      </c>
      <c r="N30" s="727">
        <f t="shared" si="21"/>
        <v>0</v>
      </c>
      <c r="O30" s="743"/>
      <c r="P30" s="726"/>
      <c r="Q30" s="727">
        <f t="shared" si="11"/>
        <v>0</v>
      </c>
      <c r="R30" s="727"/>
      <c r="S30" s="727"/>
      <c r="T30" s="727"/>
      <c r="U30" s="726"/>
    </row>
    <row r="31" s="699" customFormat="1" ht="78.75" outlineLevel="2" spans="1:40">
      <c r="A31" s="724" t="s">
        <v>207</v>
      </c>
      <c r="B31" s="724" t="s">
        <v>208</v>
      </c>
      <c r="C31" s="725">
        <f t="shared" ref="C31:C54" si="22">D31/$C$5</f>
        <v>18.6134905240742</v>
      </c>
      <c r="D31" s="725">
        <v>132.859838</v>
      </c>
      <c r="E31" s="725">
        <f t="shared" si="10"/>
        <v>1328598.38</v>
      </c>
      <c r="F31" s="724" t="s">
        <v>757</v>
      </c>
      <c r="G31" s="724" t="s">
        <v>759</v>
      </c>
      <c r="H31" s="725">
        <f>+I31+J31+K31</f>
        <v>1328598.38</v>
      </c>
      <c r="I31" s="725">
        <f>SUMPRODUCT(ISNUMBER(FIND(B31,'表2-合同及付款台账'!$B$5:$B$104))*'表2-合同及付款台账'!$G$5:$G$104)</f>
        <v>1237356</v>
      </c>
      <c r="J31" s="725">
        <f>SUMPRODUCT(ISNUMBER(FIND(B31,'表1-签证变更'!$B$5:$B$64))*'表1-签证变更'!$G$5:$G$64)</f>
        <v>0</v>
      </c>
      <c r="K31" s="725">
        <f t="shared" ref="K31:K54" si="23">+E31-I31-J31</f>
        <v>91242.3799999999</v>
      </c>
      <c r="L31" s="725">
        <f>SUMPRODUCT(ISNUMBER(FIND(B31,'表2-合同及付款台账'!$B$5:$B$104))*'表2-合同及付款台账'!$M$5:$M$104)</f>
        <v>0</v>
      </c>
      <c r="M31" s="725">
        <f t="shared" si="19"/>
        <v>1328598.38</v>
      </c>
      <c r="N31" s="725">
        <f t="shared" si="20"/>
        <v>0</v>
      </c>
      <c r="O31" s="742" t="s">
        <v>209</v>
      </c>
      <c r="P31" s="724"/>
      <c r="Q31" s="725">
        <f t="shared" si="11"/>
        <v>0</v>
      </c>
      <c r="R31" s="725"/>
      <c r="S31" s="725"/>
      <c r="T31" s="725"/>
      <c r="U31" s="724"/>
      <c r="AM31" s="751" t="s">
        <v>210</v>
      </c>
      <c r="AN31" s="751" t="s">
        <v>211</v>
      </c>
    </row>
    <row r="32" s="699" customFormat="1" ht="78.75" outlineLevel="2" spans="1:40">
      <c r="A32" s="724" t="s">
        <v>212</v>
      </c>
      <c r="B32" s="724" t="s">
        <v>213</v>
      </c>
      <c r="C32" s="725">
        <f t="shared" si="22"/>
        <v>12.4903426463944</v>
      </c>
      <c r="D32" s="725">
        <v>89.15388</v>
      </c>
      <c r="E32" s="725">
        <f t="shared" si="10"/>
        <v>891538.8</v>
      </c>
      <c r="F32" s="724" t="s">
        <v>757</v>
      </c>
      <c r="G32" s="724" t="s">
        <v>759</v>
      </c>
      <c r="H32" s="725">
        <f t="shared" ref="H31:H36" si="24">+I32+J32+K32</f>
        <v>891538.8</v>
      </c>
      <c r="I32" s="725">
        <f>SUMPRODUCT(ISNUMBER(FIND(B32,'表2-合同及付款台账'!$B$5:$B$104))*'表2-合同及付款台账'!$G$5:$G$104)</f>
        <v>875809.72</v>
      </c>
      <c r="J32" s="725">
        <f>SUMPRODUCT(ISNUMBER(FIND(B32,'表1-签证变更'!$B$5:$B$64))*'表1-签证变更'!$G$5:$G$64)</f>
        <v>0</v>
      </c>
      <c r="K32" s="725">
        <f t="shared" si="23"/>
        <v>15729.0800000001</v>
      </c>
      <c r="L32" s="725">
        <f>SUMPRODUCT(ISNUMBER(FIND(B32,'表2-合同及付款台账'!$B$5:$B$104))*'表2-合同及付款台账'!$M$5:$M$104)</f>
        <v>0</v>
      </c>
      <c r="M32" s="725">
        <f t="shared" si="19"/>
        <v>891538.8</v>
      </c>
      <c r="N32" s="725">
        <f t="shared" si="20"/>
        <v>0</v>
      </c>
      <c r="O32" s="742" t="s">
        <v>214</v>
      </c>
      <c r="P32" s="745" t="s">
        <v>763</v>
      </c>
      <c r="Q32" s="725">
        <f t="shared" si="11"/>
        <v>0</v>
      </c>
      <c r="R32" s="725"/>
      <c r="S32" s="725"/>
      <c r="T32" s="725"/>
      <c r="U32" s="724"/>
      <c r="AM32" s="751">
        <f>+经济指标!J26+经济指标!J27</f>
        <v>9451.28</v>
      </c>
      <c r="AN32" s="751">
        <f>+经济指标!E20</f>
        <v>22235.51</v>
      </c>
    </row>
    <row r="33" s="699" customFormat="1" ht="38" customHeight="1" outlineLevel="2" spans="1:21">
      <c r="A33" s="724" t="s">
        <v>215</v>
      </c>
      <c r="B33" s="724" t="s">
        <v>216</v>
      </c>
      <c r="C33" s="725">
        <f t="shared" si="22"/>
        <v>0.355296172153282</v>
      </c>
      <c r="D33" s="725">
        <f>+成本测算明细!D35</f>
        <v>2.5360419</v>
      </c>
      <c r="E33" s="725">
        <f t="shared" si="10"/>
        <v>25360.419</v>
      </c>
      <c r="F33" s="724" t="s">
        <v>757</v>
      </c>
      <c r="G33" s="724" t="s">
        <v>759</v>
      </c>
      <c r="H33" s="725">
        <f t="shared" si="24"/>
        <v>25360.419</v>
      </c>
      <c r="I33" s="725">
        <f>SUMPRODUCT(ISNUMBER(FIND(B33,'表2-合同及付款台账'!$B$5:$B$104))*'表2-合同及付款台账'!$G$5:$G$104)</f>
        <v>0</v>
      </c>
      <c r="J33" s="725">
        <f>SUMPRODUCT(ISNUMBER(FIND(B33,'表1-签证变更'!$B$5:$B$64))*'表1-签证变更'!$G$5:$G$64)</f>
        <v>0</v>
      </c>
      <c r="K33" s="725">
        <f t="shared" si="23"/>
        <v>25360.419</v>
      </c>
      <c r="L33" s="725">
        <f>SUMPRODUCT(ISNUMBER(FIND(B33,'表2-合同及付款台账'!$B$5:$B$104))*'表2-合同及付款台账'!$M$5:$M$104)</f>
        <v>0</v>
      </c>
      <c r="M33" s="725">
        <f t="shared" si="19"/>
        <v>25360.419</v>
      </c>
      <c r="N33" s="725">
        <f t="shared" si="20"/>
        <v>0</v>
      </c>
      <c r="O33" s="742" t="s">
        <v>217</v>
      </c>
      <c r="P33" s="746"/>
      <c r="Q33" s="725">
        <f t="shared" si="11"/>
        <v>0</v>
      </c>
      <c r="R33" s="725"/>
      <c r="S33" s="725"/>
      <c r="T33" s="725"/>
      <c r="U33" s="724"/>
    </row>
    <row r="34" s="699" customFormat="1" ht="33.75" outlineLevel="2" spans="1:21">
      <c r="A34" s="724" t="s">
        <v>218</v>
      </c>
      <c r="B34" s="724" t="s">
        <v>219</v>
      </c>
      <c r="C34" s="725">
        <f t="shared" si="22"/>
        <v>8.82621807063077</v>
      </c>
      <c r="D34" s="725">
        <f>+成本测算明细!D36</f>
        <v>63.0000000000001</v>
      </c>
      <c r="E34" s="725">
        <f t="shared" si="10"/>
        <v>630000.000000001</v>
      </c>
      <c r="F34" s="724" t="s">
        <v>757</v>
      </c>
      <c r="G34" s="724" t="s">
        <v>759</v>
      </c>
      <c r="H34" s="725">
        <f t="shared" si="24"/>
        <v>630000.000000001</v>
      </c>
      <c r="I34" s="725">
        <f>SUMPRODUCT(ISNUMBER(FIND(B34,'表2-合同及付款台账'!$B$5:$B$104))*'表2-合同及付款台账'!$G$5:$G$104)</f>
        <v>600000</v>
      </c>
      <c r="J34" s="725">
        <f>SUMPRODUCT(ISNUMBER(FIND(B34,'表1-签证变更'!$B$5:$B$64))*'表1-签证变更'!$G$5:$G$64)</f>
        <v>0</v>
      </c>
      <c r="K34" s="725">
        <f t="shared" si="23"/>
        <v>30000.000000001</v>
      </c>
      <c r="L34" s="725">
        <f>SUMPRODUCT(ISNUMBER(FIND(B34,'表2-合同及付款台账'!$B$5:$B$104))*'表2-合同及付款台账'!$M$5:$M$104)</f>
        <v>0</v>
      </c>
      <c r="M34" s="725">
        <f t="shared" si="19"/>
        <v>630000.000000001</v>
      </c>
      <c r="N34" s="725">
        <f t="shared" si="20"/>
        <v>0</v>
      </c>
      <c r="O34" s="742" t="s">
        <v>764</v>
      </c>
      <c r="P34" s="724"/>
      <c r="Q34" s="725">
        <f t="shared" si="11"/>
        <v>0</v>
      </c>
      <c r="R34" s="725"/>
      <c r="S34" s="725"/>
      <c r="T34" s="725"/>
      <c r="U34" s="724"/>
    </row>
    <row r="35" s="699" customFormat="1" ht="27" customHeight="1" outlineLevel="2" spans="1:21">
      <c r="A35" s="724" t="s">
        <v>221</v>
      </c>
      <c r="B35" s="729" t="s">
        <v>222</v>
      </c>
      <c r="C35" s="725">
        <f t="shared" si="22"/>
        <v>0</v>
      </c>
      <c r="D35" s="725">
        <v>0</v>
      </c>
      <c r="E35" s="725">
        <f t="shared" si="10"/>
        <v>0</v>
      </c>
      <c r="F35" s="724" t="s">
        <v>762</v>
      </c>
      <c r="G35" s="724"/>
      <c r="H35" s="725">
        <f t="shared" si="24"/>
        <v>0</v>
      </c>
      <c r="I35" s="725">
        <f>SUMPRODUCT(ISNUMBER(FIND(B35,'表2-合同及付款台账'!$B$5:$B$104))*'表2-合同及付款台账'!$G$5:$G$104)</f>
        <v>0</v>
      </c>
      <c r="J35" s="725">
        <f>SUMPRODUCT(ISNUMBER(FIND(B35,'表1-签证变更'!$B$5:$B$64))*'表1-签证变更'!$G$5:$G$64)</f>
        <v>0</v>
      </c>
      <c r="K35" s="725">
        <f t="shared" si="23"/>
        <v>0</v>
      </c>
      <c r="L35" s="725">
        <f>SUMPRODUCT(ISNUMBER(FIND(B35,'表2-合同及付款台账'!$B$5:$B$104))*'表2-合同及付款台账'!$M$5:$M$104)</f>
        <v>0</v>
      </c>
      <c r="M35" s="725">
        <f t="shared" si="19"/>
        <v>0</v>
      </c>
      <c r="N35" s="725">
        <f t="shared" si="20"/>
        <v>0</v>
      </c>
      <c r="O35" s="747" t="s">
        <v>223</v>
      </c>
      <c r="P35" s="724"/>
      <c r="Q35" s="725">
        <f t="shared" si="11"/>
        <v>0</v>
      </c>
      <c r="R35" s="725"/>
      <c r="S35" s="725"/>
      <c r="T35" s="725"/>
      <c r="U35" s="724"/>
    </row>
    <row r="36" s="699" customFormat="1" ht="27" customHeight="1" outlineLevel="2" spans="1:21">
      <c r="A36" s="724" t="s">
        <v>224</v>
      </c>
      <c r="B36" s="728" t="s">
        <v>225</v>
      </c>
      <c r="C36" s="725">
        <f t="shared" si="22"/>
        <v>0</v>
      </c>
      <c r="D36" s="725">
        <v>0</v>
      </c>
      <c r="E36" s="725">
        <f t="shared" si="10"/>
        <v>0</v>
      </c>
      <c r="F36" s="724" t="s">
        <v>762</v>
      </c>
      <c r="G36" s="724"/>
      <c r="H36" s="725">
        <f t="shared" si="24"/>
        <v>0</v>
      </c>
      <c r="I36" s="725">
        <f>SUMPRODUCT(ISNUMBER(FIND(B36,'表2-合同及付款台账'!$B$5:$B$104))*'表2-合同及付款台账'!$G$5:$G$104)</f>
        <v>0</v>
      </c>
      <c r="J36" s="725">
        <f>SUMPRODUCT(ISNUMBER(FIND(B36,'表1-签证变更'!$B$5:$B$64))*'表1-签证变更'!$G$5:$G$64)</f>
        <v>0</v>
      </c>
      <c r="K36" s="725">
        <f t="shared" si="23"/>
        <v>0</v>
      </c>
      <c r="L36" s="725">
        <f>SUMPRODUCT(ISNUMBER(FIND(B36,'表2-合同及付款台账'!$B$5:$B$104))*'表2-合同及付款台账'!$M$5:$M$104)</f>
        <v>0</v>
      </c>
      <c r="M36" s="725">
        <f t="shared" si="19"/>
        <v>0</v>
      </c>
      <c r="N36" s="725">
        <f t="shared" si="20"/>
        <v>0</v>
      </c>
      <c r="O36" s="747" t="s">
        <v>223</v>
      </c>
      <c r="P36" s="724"/>
      <c r="Q36" s="725">
        <f t="shared" si="11"/>
        <v>0</v>
      </c>
      <c r="R36" s="725"/>
      <c r="S36" s="725"/>
      <c r="T36" s="725"/>
      <c r="U36" s="724"/>
    </row>
    <row r="37" s="699" customFormat="1" ht="27" customHeight="1" outlineLevel="2" spans="1:21">
      <c r="A37" s="724" t="s">
        <v>226</v>
      </c>
      <c r="B37" s="724" t="s">
        <v>227</v>
      </c>
      <c r="C37" s="725">
        <f t="shared" si="22"/>
        <v>28.3161986179263</v>
      </c>
      <c r="D37" s="725">
        <f>SUM(D38:D54)</f>
        <v>202.1160704</v>
      </c>
      <c r="E37" s="725">
        <f t="shared" si="10"/>
        <v>2021160.704</v>
      </c>
      <c r="F37" s="724" t="s">
        <v>756</v>
      </c>
      <c r="G37" s="724"/>
      <c r="H37" s="725">
        <f>SUM(H38:H54)</f>
        <v>2021160.704</v>
      </c>
      <c r="I37" s="725">
        <f t="shared" ref="I37:N37" si="25">SUM(I38:I54)</f>
        <v>1222281.22</v>
      </c>
      <c r="J37" s="725">
        <f t="shared" si="25"/>
        <v>0</v>
      </c>
      <c r="K37" s="725">
        <f t="shared" si="25"/>
        <v>798879.484</v>
      </c>
      <c r="L37" s="725">
        <f t="shared" si="25"/>
        <v>0</v>
      </c>
      <c r="M37" s="725">
        <f t="shared" si="25"/>
        <v>2021160.704</v>
      </c>
      <c r="N37" s="725">
        <f t="shared" si="25"/>
        <v>0</v>
      </c>
      <c r="O37" s="748"/>
      <c r="P37" s="724"/>
      <c r="Q37" s="725">
        <f t="shared" si="11"/>
        <v>0</v>
      </c>
      <c r="R37" s="725"/>
      <c r="S37" s="725"/>
      <c r="T37" s="725"/>
      <c r="U37" s="724"/>
    </row>
    <row r="38" s="699" customFormat="1" ht="36" customHeight="1" outlineLevel="3" spans="1:21">
      <c r="A38" s="724" t="s">
        <v>228</v>
      </c>
      <c r="B38" s="730" t="s">
        <v>229</v>
      </c>
      <c r="C38" s="725">
        <f t="shared" si="22"/>
        <v>11.7376196530456</v>
      </c>
      <c r="D38" s="725">
        <v>83.781075</v>
      </c>
      <c r="E38" s="725">
        <f t="shared" si="10"/>
        <v>837810.75</v>
      </c>
      <c r="F38" s="724" t="s">
        <v>757</v>
      </c>
      <c r="G38" s="724" t="s">
        <v>759</v>
      </c>
      <c r="H38" s="725">
        <f t="shared" ref="H38:H40" si="26">+I38+J38+K38</f>
        <v>837810.75</v>
      </c>
      <c r="I38" s="725">
        <f>SUMPRODUCT(ISNUMBER(FIND(B38,'表2-合同及付款台账'!$B$5:$B$104))*'表2-合同及付款台账'!$G$5:$G$104)</f>
        <v>797915</v>
      </c>
      <c r="J38" s="725">
        <f>SUMPRODUCT(ISNUMBER(FIND(B38,'表1-签证变更'!$B$5:$B$64))*'表1-签证变更'!$G$5:$G$64)</f>
        <v>0</v>
      </c>
      <c r="K38" s="725">
        <f t="shared" si="23"/>
        <v>39895.75</v>
      </c>
      <c r="L38" s="725">
        <f>SUMPRODUCT(ISNUMBER(FIND(B38,'表2-合同及付款台账'!$B$5:$B$104))*'表2-合同及付款台账'!$M$5:$M$104)</f>
        <v>0</v>
      </c>
      <c r="M38" s="725">
        <f t="shared" si="19"/>
        <v>837810.75</v>
      </c>
      <c r="N38" s="725">
        <f t="shared" si="20"/>
        <v>0</v>
      </c>
      <c r="O38" s="742" t="s">
        <v>230</v>
      </c>
      <c r="P38" s="724"/>
      <c r="Q38" s="725">
        <f t="shared" si="11"/>
        <v>0</v>
      </c>
      <c r="R38" s="725"/>
      <c r="S38" s="725"/>
      <c r="T38" s="725"/>
      <c r="U38" s="724"/>
    </row>
    <row r="39" s="699" customFormat="1" ht="60" customHeight="1" outlineLevel="3" spans="1:21">
      <c r="A39" s="724" t="s">
        <v>231</v>
      </c>
      <c r="B39" s="730" t="s">
        <v>232</v>
      </c>
      <c r="C39" s="725">
        <f t="shared" si="22"/>
        <v>2.40623018916827</v>
      </c>
      <c r="D39" s="725">
        <v>17.17525</v>
      </c>
      <c r="E39" s="725">
        <f t="shared" si="10"/>
        <v>171752.5</v>
      </c>
      <c r="F39" s="724" t="s">
        <v>757</v>
      </c>
      <c r="G39" s="724" t="s">
        <v>759</v>
      </c>
      <c r="H39" s="725">
        <f t="shared" ref="H39:H54" si="27">+I39+J39+K39</f>
        <v>171752.5</v>
      </c>
      <c r="I39" s="725">
        <f>SUMPRODUCT(ISNUMBER(FIND(B39,'表2-合同及付款台账'!$B$5:$B$104))*'表2-合同及付款台账'!$G$5:$G$104)</f>
        <v>166150</v>
      </c>
      <c r="J39" s="725">
        <f>SUMPRODUCT(ISNUMBER(FIND(B39,'表1-签证变更'!$B$5:$B$64))*'表1-签证变更'!$G$5:$G$64)</f>
        <v>0</v>
      </c>
      <c r="K39" s="725">
        <f t="shared" si="23"/>
        <v>5602.49999999997</v>
      </c>
      <c r="L39" s="725">
        <f>SUMPRODUCT(ISNUMBER(FIND(B39,'表2-合同及付款台账'!$B$5:$B$104))*'表2-合同及付款台账'!$M$5:$M$104)</f>
        <v>0</v>
      </c>
      <c r="M39" s="725">
        <f t="shared" si="19"/>
        <v>171752.5</v>
      </c>
      <c r="N39" s="725">
        <f t="shared" si="20"/>
        <v>0</v>
      </c>
      <c r="O39" s="748" t="s">
        <v>233</v>
      </c>
      <c r="P39" s="724"/>
      <c r="Q39" s="725">
        <f t="shared" si="11"/>
        <v>0</v>
      </c>
      <c r="R39" s="725"/>
      <c r="S39" s="725"/>
      <c r="T39" s="725"/>
      <c r="U39" s="724"/>
    </row>
    <row r="40" s="699" customFormat="1" ht="30" customHeight="1" outlineLevel="3" spans="1:21">
      <c r="A40" s="724" t="s">
        <v>234</v>
      </c>
      <c r="B40" s="730" t="s">
        <v>235</v>
      </c>
      <c r="C40" s="725">
        <f t="shared" si="22"/>
        <v>0.224157919254115</v>
      </c>
      <c r="D40" s="725">
        <v>1.6</v>
      </c>
      <c r="E40" s="725">
        <f t="shared" si="10"/>
        <v>16000</v>
      </c>
      <c r="F40" s="724" t="s">
        <v>760</v>
      </c>
      <c r="G40" s="724"/>
      <c r="H40" s="725">
        <f t="shared" si="27"/>
        <v>16000</v>
      </c>
      <c r="I40" s="725">
        <f>SUMPRODUCT(ISNUMBER(FIND(B40,'表2-合同及付款台账'!$B$5:$B$104))*'表2-合同及付款台账'!$G$5:$G$104)</f>
        <v>0</v>
      </c>
      <c r="J40" s="725">
        <f>SUMPRODUCT(ISNUMBER(FIND(B40,'表1-签证变更'!$B$5:$B$64))*'表1-签证变更'!$G$5:$G$64)</f>
        <v>0</v>
      </c>
      <c r="K40" s="725">
        <f t="shared" si="23"/>
        <v>16000</v>
      </c>
      <c r="L40" s="725">
        <f>SUMPRODUCT(ISNUMBER(FIND(B40,'表2-合同及付款台账'!$B$5:$B$104))*'表2-合同及付款台账'!$M$5:$M$104)</f>
        <v>0</v>
      </c>
      <c r="M40" s="725">
        <f t="shared" si="19"/>
        <v>16000</v>
      </c>
      <c r="N40" s="725">
        <f t="shared" si="20"/>
        <v>0</v>
      </c>
      <c r="O40" s="748" t="s">
        <v>765</v>
      </c>
      <c r="P40" s="724"/>
      <c r="Q40" s="725">
        <f t="shared" si="11"/>
        <v>0</v>
      </c>
      <c r="R40" s="725"/>
      <c r="S40" s="725"/>
      <c r="T40" s="725"/>
      <c r="U40" s="724"/>
    </row>
    <row r="41" s="699" customFormat="1" ht="39" customHeight="1" outlineLevel="3" spans="1:21">
      <c r="A41" s="724" t="s">
        <v>237</v>
      </c>
      <c r="B41" s="730" t="s">
        <v>238</v>
      </c>
      <c r="C41" s="725">
        <f t="shared" si="22"/>
        <v>1.69589475785691</v>
      </c>
      <c r="D41" s="725">
        <v>12.105</v>
      </c>
      <c r="E41" s="725">
        <f t="shared" si="10"/>
        <v>121050</v>
      </c>
      <c r="F41" s="724" t="s">
        <v>760</v>
      </c>
      <c r="G41" s="724"/>
      <c r="H41" s="725">
        <f t="shared" si="27"/>
        <v>121050</v>
      </c>
      <c r="I41" s="725">
        <f>SUMPRODUCT(ISNUMBER(FIND(B41,'表2-合同及付款台账'!$B$5:$B$104))*'表2-合同及付款台账'!$G$5:$G$104)</f>
        <v>0</v>
      </c>
      <c r="J41" s="725">
        <f>SUMPRODUCT(ISNUMBER(FIND(B41,'表1-签证变更'!$B$5:$B$64))*'表1-签证变更'!$G$5:$G$64)</f>
        <v>0</v>
      </c>
      <c r="K41" s="725">
        <f t="shared" si="23"/>
        <v>121050</v>
      </c>
      <c r="L41" s="725">
        <f>SUMPRODUCT(ISNUMBER(FIND(B41,'表2-合同及付款台账'!$B$5:$B$104))*'表2-合同及付款台账'!$M$5:$M$104)</f>
        <v>0</v>
      </c>
      <c r="M41" s="725">
        <f t="shared" si="19"/>
        <v>121050</v>
      </c>
      <c r="N41" s="725">
        <f t="shared" si="20"/>
        <v>0</v>
      </c>
      <c r="O41" s="742" t="s">
        <v>239</v>
      </c>
      <c r="P41" s="724"/>
      <c r="Q41" s="725">
        <f t="shared" si="11"/>
        <v>0</v>
      </c>
      <c r="R41" s="725"/>
      <c r="S41" s="725"/>
      <c r="T41" s="725"/>
      <c r="U41" s="724"/>
    </row>
    <row r="42" s="699" customFormat="1" ht="33.75" outlineLevel="3" spans="1:21">
      <c r="A42" s="724" t="s">
        <v>240</v>
      </c>
      <c r="B42" s="728" t="s">
        <v>241</v>
      </c>
      <c r="C42" s="725">
        <f t="shared" si="22"/>
        <v>0.740098699533822</v>
      </c>
      <c r="D42" s="725">
        <v>5.282695</v>
      </c>
      <c r="E42" s="725">
        <f t="shared" si="10"/>
        <v>52826.95</v>
      </c>
      <c r="F42" s="724" t="s">
        <v>757</v>
      </c>
      <c r="G42" s="724" t="s">
        <v>759</v>
      </c>
      <c r="H42" s="725">
        <f t="shared" si="27"/>
        <v>52826.95</v>
      </c>
      <c r="I42" s="725">
        <f>SUMPRODUCT(ISNUMBER(FIND(B42,'表2-合同及付款台账'!$B$5:$B$104))*'表2-合同及付款台账'!$G$5:$G$104)</f>
        <v>52148.72</v>
      </c>
      <c r="J42" s="725">
        <f>SUMPRODUCT(ISNUMBER(FIND(B42,'表1-签证变更'!$B$5:$B$64))*'表1-签证变更'!$G$5:$G$64)</f>
        <v>0</v>
      </c>
      <c r="K42" s="725">
        <f t="shared" si="23"/>
        <v>678.230000000003</v>
      </c>
      <c r="L42" s="725">
        <f>SUMPRODUCT(ISNUMBER(FIND(B42,'表2-合同及付款台账'!$B$5:$B$104))*'表2-合同及付款台账'!$M$5:$M$104)</f>
        <v>0</v>
      </c>
      <c r="M42" s="725">
        <f t="shared" si="19"/>
        <v>52826.95</v>
      </c>
      <c r="N42" s="725">
        <f t="shared" si="20"/>
        <v>0</v>
      </c>
      <c r="O42" s="742" t="s">
        <v>242</v>
      </c>
      <c r="P42" s="724"/>
      <c r="Q42" s="725">
        <f t="shared" si="11"/>
        <v>0</v>
      </c>
      <c r="R42" s="725"/>
      <c r="S42" s="725"/>
      <c r="T42" s="725"/>
      <c r="U42" s="724"/>
    </row>
    <row r="43" s="699" customFormat="1" ht="27" customHeight="1" outlineLevel="3" spans="1:21">
      <c r="A43" s="724" t="s">
        <v>243</v>
      </c>
      <c r="B43" s="728" t="s">
        <v>244</v>
      </c>
      <c r="C43" s="725">
        <f t="shared" si="22"/>
        <v>0.412</v>
      </c>
      <c r="D43" s="725">
        <v>2.9407839</v>
      </c>
      <c r="E43" s="725">
        <f t="shared" si="10"/>
        <v>29407.839</v>
      </c>
      <c r="F43" s="724" t="s">
        <v>757</v>
      </c>
      <c r="G43" s="724" t="s">
        <v>759</v>
      </c>
      <c r="H43" s="725">
        <f t="shared" si="27"/>
        <v>29407.839</v>
      </c>
      <c r="I43" s="725">
        <f>SUMPRODUCT(ISNUMBER(FIND(B43,'表2-合同及付款台账'!$B$5:$B$104))*'表2-合同及付款台账'!$G$5:$G$104)</f>
        <v>28688</v>
      </c>
      <c r="J43" s="725">
        <f>SUMPRODUCT(ISNUMBER(FIND(B43,'表1-签证变更'!$B$5:$B$64))*'表1-签证变更'!$G$5:$G$64)</f>
        <v>0</v>
      </c>
      <c r="K43" s="725">
        <f t="shared" si="23"/>
        <v>719.839</v>
      </c>
      <c r="L43" s="725">
        <f>SUMPRODUCT(ISNUMBER(FIND(B43,'表2-合同及付款台账'!$B$5:$B$104))*'表2-合同及付款台账'!$M$5:$M$104)</f>
        <v>0</v>
      </c>
      <c r="M43" s="725">
        <f t="shared" si="19"/>
        <v>29407.839</v>
      </c>
      <c r="N43" s="725">
        <f t="shared" si="20"/>
        <v>0</v>
      </c>
      <c r="O43" s="742" t="s">
        <v>245</v>
      </c>
      <c r="P43" s="724"/>
      <c r="Q43" s="725">
        <f t="shared" si="11"/>
        <v>0</v>
      </c>
      <c r="R43" s="725"/>
      <c r="S43" s="725"/>
      <c r="T43" s="725"/>
      <c r="U43" s="724"/>
    </row>
    <row r="44" s="699" customFormat="1" ht="27" customHeight="1" outlineLevel="3" spans="1:21">
      <c r="A44" s="724" t="s">
        <v>246</v>
      </c>
      <c r="B44" s="728" t="s">
        <v>247</v>
      </c>
      <c r="C44" s="725">
        <f t="shared" si="22"/>
        <v>2</v>
      </c>
      <c r="D44" s="725">
        <v>14.27565</v>
      </c>
      <c r="E44" s="725">
        <f t="shared" si="10"/>
        <v>142756.5</v>
      </c>
      <c r="F44" s="724" t="s">
        <v>760</v>
      </c>
      <c r="G44" s="724"/>
      <c r="H44" s="725">
        <f t="shared" si="27"/>
        <v>142756.5</v>
      </c>
      <c r="I44" s="725">
        <f>SUMPRODUCT(ISNUMBER(FIND(B44,'表2-合同及付款台账'!$B$5:$B$104))*'表2-合同及付款台账'!$G$5:$G$104)</f>
        <v>0</v>
      </c>
      <c r="J44" s="725">
        <f>SUMPRODUCT(ISNUMBER(FIND(B44,'表1-签证变更'!$B$5:$B$64))*'表1-签证变更'!$G$5:$G$64)</f>
        <v>0</v>
      </c>
      <c r="K44" s="725">
        <f t="shared" si="23"/>
        <v>142756.5</v>
      </c>
      <c r="L44" s="725">
        <f>SUMPRODUCT(ISNUMBER(FIND(B44,'表2-合同及付款台账'!$B$5:$B$104))*'表2-合同及付款台账'!$M$5:$M$104)</f>
        <v>0</v>
      </c>
      <c r="M44" s="725">
        <f t="shared" si="19"/>
        <v>142756.5</v>
      </c>
      <c r="N44" s="725">
        <f t="shared" si="20"/>
        <v>0</v>
      </c>
      <c r="O44" s="742" t="s">
        <v>248</v>
      </c>
      <c r="P44" s="724"/>
      <c r="Q44" s="725">
        <f t="shared" si="11"/>
        <v>0</v>
      </c>
      <c r="R44" s="725"/>
      <c r="S44" s="725"/>
      <c r="T44" s="725"/>
      <c r="U44" s="724"/>
    </row>
    <row r="45" s="699" customFormat="1" ht="27" customHeight="1" outlineLevel="3" spans="1:21">
      <c r="A45" s="724" t="s">
        <v>249</v>
      </c>
      <c r="B45" s="729" t="s">
        <v>250</v>
      </c>
      <c r="C45" s="725">
        <f t="shared" si="22"/>
        <v>0</v>
      </c>
      <c r="D45" s="725">
        <v>0</v>
      </c>
      <c r="E45" s="725">
        <f t="shared" si="10"/>
        <v>0</v>
      </c>
      <c r="F45" s="724" t="s">
        <v>762</v>
      </c>
      <c r="G45" s="724"/>
      <c r="H45" s="725">
        <f t="shared" si="27"/>
        <v>0</v>
      </c>
      <c r="I45" s="725">
        <f>SUMPRODUCT(ISNUMBER(FIND(B45,'表2-合同及付款台账'!$B$5:$B$104))*'表2-合同及付款台账'!$G$5:$G$104)</f>
        <v>0</v>
      </c>
      <c r="J45" s="725">
        <f>SUMPRODUCT(ISNUMBER(FIND(B45,'表1-签证变更'!$B$5:$B$64))*'表1-签证变更'!$G$5:$G$64)</f>
        <v>0</v>
      </c>
      <c r="K45" s="725">
        <f t="shared" si="23"/>
        <v>0</v>
      </c>
      <c r="L45" s="725">
        <f>SUMPRODUCT(ISNUMBER(FIND(B45,'表2-合同及付款台账'!$B$5:$B$104))*'表2-合同及付款台账'!$M$5:$M$104)</f>
        <v>0</v>
      </c>
      <c r="M45" s="725">
        <f t="shared" si="19"/>
        <v>0</v>
      </c>
      <c r="N45" s="725">
        <f t="shared" si="20"/>
        <v>0</v>
      </c>
      <c r="O45" s="742" t="s">
        <v>223</v>
      </c>
      <c r="P45" s="724"/>
      <c r="Q45" s="725">
        <f t="shared" si="11"/>
        <v>0</v>
      </c>
      <c r="R45" s="725"/>
      <c r="S45" s="725"/>
      <c r="T45" s="725"/>
      <c r="U45" s="724"/>
    </row>
    <row r="46" s="699" customFormat="1" ht="27" customHeight="1" outlineLevel="3" spans="1:21">
      <c r="A46" s="724" t="s">
        <v>251</v>
      </c>
      <c r="B46" s="729" t="s">
        <v>252</v>
      </c>
      <c r="C46" s="725">
        <f t="shared" si="22"/>
        <v>0</v>
      </c>
      <c r="D46" s="725">
        <v>0</v>
      </c>
      <c r="E46" s="725">
        <f t="shared" si="10"/>
        <v>0</v>
      </c>
      <c r="F46" s="724" t="s">
        <v>762</v>
      </c>
      <c r="G46" s="724"/>
      <c r="H46" s="725">
        <f t="shared" si="27"/>
        <v>0</v>
      </c>
      <c r="I46" s="725">
        <f>SUMPRODUCT(ISNUMBER(FIND(B46,'表2-合同及付款台账'!$B$5:$B$104))*'表2-合同及付款台账'!$G$5:$G$104)</f>
        <v>0</v>
      </c>
      <c r="J46" s="725">
        <f>SUMPRODUCT(ISNUMBER(FIND(B46,'表1-签证变更'!$B$5:$B$64))*'表1-签证变更'!$G$5:$G$64)</f>
        <v>0</v>
      </c>
      <c r="K46" s="725">
        <f t="shared" si="23"/>
        <v>0</v>
      </c>
      <c r="L46" s="725">
        <f>SUMPRODUCT(ISNUMBER(FIND(B46,'表2-合同及付款台账'!$B$5:$B$104))*'表2-合同及付款台账'!$M$5:$M$104)</f>
        <v>0</v>
      </c>
      <c r="M46" s="725">
        <f t="shared" si="19"/>
        <v>0</v>
      </c>
      <c r="N46" s="725">
        <f t="shared" si="20"/>
        <v>0</v>
      </c>
      <c r="O46" s="742" t="s">
        <v>223</v>
      </c>
      <c r="P46" s="724"/>
      <c r="Q46" s="725">
        <f t="shared" si="11"/>
        <v>0</v>
      </c>
      <c r="R46" s="725"/>
      <c r="S46" s="725"/>
      <c r="T46" s="725"/>
      <c r="U46" s="724"/>
    </row>
    <row r="47" s="699" customFormat="1" ht="27" customHeight="1" outlineLevel="3" spans="1:21">
      <c r="A47" s="724" t="s">
        <v>253</v>
      </c>
      <c r="B47" s="729" t="s">
        <v>254</v>
      </c>
      <c r="C47" s="725">
        <f t="shared" si="22"/>
        <v>0.280197399067643</v>
      </c>
      <c r="D47" s="725">
        <v>2</v>
      </c>
      <c r="E47" s="725">
        <f t="shared" si="10"/>
        <v>20000</v>
      </c>
      <c r="F47" s="724" t="s">
        <v>757</v>
      </c>
      <c r="G47" s="724" t="s">
        <v>759</v>
      </c>
      <c r="H47" s="725">
        <f t="shared" si="27"/>
        <v>20000</v>
      </c>
      <c r="I47" s="725">
        <f>SUMPRODUCT(ISNUMBER(FIND(B47,'表2-合同及付款台账'!$B$5:$B$104))*'表2-合同及付款台账'!$G$5:$G$104)</f>
        <v>20000</v>
      </c>
      <c r="J47" s="725">
        <f>SUMPRODUCT(ISNUMBER(FIND(B47,'表1-签证变更'!$B$5:$B$64))*'表1-签证变更'!$G$5:$G$64)</f>
        <v>0</v>
      </c>
      <c r="K47" s="725">
        <f t="shared" si="23"/>
        <v>0</v>
      </c>
      <c r="L47" s="725">
        <f>SUMPRODUCT(ISNUMBER(FIND(B47,'表2-合同及付款台账'!$B$5:$B$104))*'表2-合同及付款台账'!$M$5:$M$104)</f>
        <v>0</v>
      </c>
      <c r="M47" s="725">
        <f t="shared" si="19"/>
        <v>20000</v>
      </c>
      <c r="N47" s="725">
        <f t="shared" si="20"/>
        <v>0</v>
      </c>
      <c r="O47" s="742" t="s">
        <v>255</v>
      </c>
      <c r="P47" s="724"/>
      <c r="Q47" s="725">
        <f t="shared" si="11"/>
        <v>0</v>
      </c>
      <c r="R47" s="725"/>
      <c r="S47" s="725"/>
      <c r="T47" s="725"/>
      <c r="U47" s="724"/>
    </row>
    <row r="48" s="699" customFormat="1" ht="27" customHeight="1" outlineLevel="3" spans="1:21">
      <c r="A48" s="724" t="s">
        <v>256</v>
      </c>
      <c r="B48" s="728" t="s">
        <v>257</v>
      </c>
      <c r="C48" s="725">
        <f t="shared" si="22"/>
        <v>0</v>
      </c>
      <c r="D48" s="725">
        <v>0</v>
      </c>
      <c r="E48" s="725">
        <f t="shared" si="10"/>
        <v>0</v>
      </c>
      <c r="F48" s="724" t="s">
        <v>762</v>
      </c>
      <c r="G48" s="724" t="s">
        <v>759</v>
      </c>
      <c r="H48" s="725">
        <f t="shared" si="27"/>
        <v>0</v>
      </c>
      <c r="I48" s="725">
        <f>SUMPRODUCT(ISNUMBER(FIND(B48,'表2-合同及付款台账'!$B$5:$B$104))*'表2-合同及付款台账'!$G$5:$G$104)</f>
        <v>0</v>
      </c>
      <c r="J48" s="725">
        <f>SUMPRODUCT(ISNUMBER(FIND(B48,'表1-签证变更'!$B$5:$B$64))*'表1-签证变更'!$G$5:$G$64)</f>
        <v>0</v>
      </c>
      <c r="K48" s="725">
        <f t="shared" si="23"/>
        <v>0</v>
      </c>
      <c r="L48" s="725">
        <f>SUMPRODUCT(ISNUMBER(FIND(B48,'表2-合同及付款台账'!$B$5:$B$104))*'表2-合同及付款台账'!$M$5:$M$104)</f>
        <v>0</v>
      </c>
      <c r="M48" s="725">
        <f t="shared" si="19"/>
        <v>0</v>
      </c>
      <c r="N48" s="725">
        <f t="shared" si="20"/>
        <v>0</v>
      </c>
      <c r="O48" s="742" t="s">
        <v>258</v>
      </c>
      <c r="P48" s="724"/>
      <c r="Q48" s="725">
        <f t="shared" si="11"/>
        <v>0</v>
      </c>
      <c r="R48" s="725"/>
      <c r="S48" s="725"/>
      <c r="T48" s="725"/>
      <c r="U48" s="724"/>
    </row>
    <row r="49" s="699" customFormat="1" ht="27" customHeight="1" outlineLevel="3" spans="1:21">
      <c r="A49" s="724" t="s">
        <v>259</v>
      </c>
      <c r="B49" s="728" t="s">
        <v>260</v>
      </c>
      <c r="C49" s="725">
        <f t="shared" si="22"/>
        <v>0.5</v>
      </c>
      <c r="D49" s="725">
        <v>3.5689125</v>
      </c>
      <c r="E49" s="725">
        <f t="shared" si="10"/>
        <v>35689.125</v>
      </c>
      <c r="F49" s="724" t="s">
        <v>760</v>
      </c>
      <c r="G49" s="724"/>
      <c r="H49" s="725">
        <f t="shared" si="27"/>
        <v>35689.125</v>
      </c>
      <c r="I49" s="725">
        <f>SUMPRODUCT(ISNUMBER(FIND(B49,'表2-合同及付款台账'!$B$5:$B$104))*'表2-合同及付款台账'!$G$5:$G$104)</f>
        <v>0</v>
      </c>
      <c r="J49" s="725">
        <f>SUMPRODUCT(ISNUMBER(FIND(B49,'表1-签证变更'!$B$5:$B$64))*'表1-签证变更'!$G$5:$G$64)</f>
        <v>0</v>
      </c>
      <c r="K49" s="725">
        <f t="shared" si="23"/>
        <v>35689.125</v>
      </c>
      <c r="L49" s="725">
        <f>SUMPRODUCT(ISNUMBER(FIND(B49,'表2-合同及付款台账'!$B$5:$B$104))*'表2-合同及付款台账'!$M$5:$M$104)</f>
        <v>0</v>
      </c>
      <c r="M49" s="725">
        <f t="shared" si="19"/>
        <v>35689.125</v>
      </c>
      <c r="N49" s="725">
        <f t="shared" si="20"/>
        <v>0</v>
      </c>
      <c r="O49" s="742" t="s">
        <v>261</v>
      </c>
      <c r="P49" s="724"/>
      <c r="Q49" s="725">
        <f t="shared" si="11"/>
        <v>0</v>
      </c>
      <c r="R49" s="725"/>
      <c r="S49" s="725"/>
      <c r="T49" s="725"/>
      <c r="U49" s="724"/>
    </row>
    <row r="50" s="699" customFormat="1" ht="27" customHeight="1" outlineLevel="3" spans="1:21">
      <c r="A50" s="724" t="s">
        <v>262</v>
      </c>
      <c r="B50" s="728" t="s">
        <v>263</v>
      </c>
      <c r="C50" s="725">
        <f t="shared" si="22"/>
        <v>0.5</v>
      </c>
      <c r="D50" s="725">
        <v>3.5689125</v>
      </c>
      <c r="E50" s="725">
        <f t="shared" si="10"/>
        <v>35689.125</v>
      </c>
      <c r="F50" s="724" t="s">
        <v>757</v>
      </c>
      <c r="G50" s="724" t="s">
        <v>759</v>
      </c>
      <c r="H50" s="725">
        <f t="shared" si="27"/>
        <v>35689.125</v>
      </c>
      <c r="I50" s="725">
        <f>SUMPRODUCT(ISNUMBER(FIND(B50,'表2-合同及付款台账'!$B$5:$B$104))*'表2-合同及付款台账'!$G$5:$G$104)</f>
        <v>34429.5</v>
      </c>
      <c r="J50" s="725">
        <f>SUMPRODUCT(ISNUMBER(FIND(B50,'表1-签证变更'!$B$5:$B$64))*'表1-签证变更'!$G$5:$G$64)</f>
        <v>0</v>
      </c>
      <c r="K50" s="725">
        <f t="shared" si="23"/>
        <v>1259.625</v>
      </c>
      <c r="L50" s="725">
        <f>SUMPRODUCT(ISNUMBER(FIND(B50,'表2-合同及付款台账'!$B$5:$B$104))*'表2-合同及付款台账'!$M$5:$M$104)</f>
        <v>0</v>
      </c>
      <c r="M50" s="725">
        <f t="shared" si="19"/>
        <v>35689.125</v>
      </c>
      <c r="N50" s="725">
        <f t="shared" si="20"/>
        <v>0</v>
      </c>
      <c r="O50" s="742" t="s">
        <v>264</v>
      </c>
      <c r="P50" s="724"/>
      <c r="Q50" s="725">
        <f t="shared" si="11"/>
        <v>0</v>
      </c>
      <c r="R50" s="725"/>
      <c r="S50" s="725"/>
      <c r="T50" s="725"/>
      <c r="U50" s="724"/>
    </row>
    <row r="51" s="699" customFormat="1" ht="78.75" outlineLevel="3" spans="1:21">
      <c r="A51" s="724" t="s">
        <v>265</v>
      </c>
      <c r="B51" s="729" t="s">
        <v>266</v>
      </c>
      <c r="C51" s="725">
        <f t="shared" si="22"/>
        <v>1.82</v>
      </c>
      <c r="D51" s="725">
        <v>12.9908415</v>
      </c>
      <c r="E51" s="725">
        <f t="shared" si="10"/>
        <v>129908.415</v>
      </c>
      <c r="F51" s="724" t="s">
        <v>757</v>
      </c>
      <c r="G51" s="724" t="s">
        <v>759</v>
      </c>
      <c r="H51" s="725">
        <f t="shared" si="27"/>
        <v>129908.415</v>
      </c>
      <c r="I51" s="725">
        <f>SUMPRODUCT(ISNUMBER(FIND(B51,'表2-合同及付款台账'!$B$5:$B$104))*'表2-合同及付款台账'!$G$5:$G$104)</f>
        <v>122950</v>
      </c>
      <c r="J51" s="725">
        <f>SUMPRODUCT(ISNUMBER(FIND(B51,'表1-签证变更'!$B$5:$B$64))*'表1-签证变更'!$G$5:$G$64)</f>
        <v>0</v>
      </c>
      <c r="K51" s="725">
        <f t="shared" si="23"/>
        <v>6958.41500000001</v>
      </c>
      <c r="L51" s="725">
        <f>SUMPRODUCT(ISNUMBER(FIND(B51,'表2-合同及付款台账'!$B$5:$B$104))*'表2-合同及付款台账'!$M$5:$M$104)</f>
        <v>0</v>
      </c>
      <c r="M51" s="725">
        <f t="shared" si="19"/>
        <v>129908.415</v>
      </c>
      <c r="N51" s="725">
        <f t="shared" si="20"/>
        <v>0</v>
      </c>
      <c r="O51" s="748" t="s">
        <v>267</v>
      </c>
      <c r="P51" s="724"/>
      <c r="Q51" s="725">
        <f t="shared" si="11"/>
        <v>0</v>
      </c>
      <c r="R51" s="725"/>
      <c r="S51" s="725"/>
      <c r="T51" s="725"/>
      <c r="U51" s="724"/>
    </row>
    <row r="52" s="699" customFormat="1" ht="32" customHeight="1" outlineLevel="3" spans="1:21">
      <c r="A52" s="724" t="s">
        <v>268</v>
      </c>
      <c r="B52" s="729" t="s">
        <v>269</v>
      </c>
      <c r="C52" s="725">
        <f t="shared" si="22"/>
        <v>0</v>
      </c>
      <c r="D52" s="725">
        <v>0</v>
      </c>
      <c r="E52" s="725">
        <f t="shared" si="10"/>
        <v>0</v>
      </c>
      <c r="F52" s="724" t="s">
        <v>762</v>
      </c>
      <c r="G52" s="724" t="s">
        <v>759</v>
      </c>
      <c r="H52" s="725">
        <f t="shared" si="27"/>
        <v>0</v>
      </c>
      <c r="I52" s="725">
        <f>SUMPRODUCT(ISNUMBER(FIND(B52,'表2-合同及付款台账'!$B$5:$B$104))*'表2-合同及付款台账'!$G$5:$G$104)</f>
        <v>0</v>
      </c>
      <c r="J52" s="725">
        <f>SUMPRODUCT(ISNUMBER(FIND(B52,'表1-签证变更'!$B$5:$B$64))*'表1-签证变更'!$G$5:$G$64)</f>
        <v>0</v>
      </c>
      <c r="K52" s="725">
        <f t="shared" si="23"/>
        <v>0</v>
      </c>
      <c r="L52" s="725">
        <f>SUMPRODUCT(ISNUMBER(FIND(B52,'表2-合同及付款台账'!$B$5:$B$104))*'表2-合同及付款台账'!$M$5:$M$104)</f>
        <v>0</v>
      </c>
      <c r="M52" s="725">
        <f t="shared" si="19"/>
        <v>0</v>
      </c>
      <c r="N52" s="725">
        <f t="shared" si="20"/>
        <v>0</v>
      </c>
      <c r="O52" s="742" t="s">
        <v>270</v>
      </c>
      <c r="P52" s="724"/>
      <c r="Q52" s="725">
        <f t="shared" si="11"/>
        <v>0</v>
      </c>
      <c r="R52" s="725"/>
      <c r="S52" s="725"/>
      <c r="T52" s="725"/>
      <c r="U52" s="724"/>
    </row>
    <row r="53" s="699" customFormat="1" ht="31" customHeight="1" outlineLevel="3" spans="1:21">
      <c r="A53" s="724" t="s">
        <v>271</v>
      </c>
      <c r="B53" s="728" t="s">
        <v>272</v>
      </c>
      <c r="C53" s="725">
        <f t="shared" si="22"/>
        <v>4.5</v>
      </c>
      <c r="D53" s="725">
        <v>32.1202125</v>
      </c>
      <c r="E53" s="725">
        <f t="shared" si="10"/>
        <v>321202.125</v>
      </c>
      <c r="F53" s="724" t="s">
        <v>760</v>
      </c>
      <c r="G53" s="724"/>
      <c r="H53" s="725">
        <f t="shared" si="27"/>
        <v>321202.125</v>
      </c>
      <c r="I53" s="725">
        <f>SUMPRODUCT(ISNUMBER(FIND(B53,'表2-合同及付款台账'!$B$5:$B$104))*'表2-合同及付款台账'!$G$5:$G$104)</f>
        <v>0</v>
      </c>
      <c r="J53" s="725">
        <f>SUMPRODUCT(ISNUMBER(FIND(B53,'表1-签证变更'!$B$5:$B$64))*'表1-签证变更'!$G$5:$G$64)</f>
        <v>0</v>
      </c>
      <c r="K53" s="725">
        <f t="shared" si="23"/>
        <v>321202.125</v>
      </c>
      <c r="L53" s="725">
        <f>SUMPRODUCT(ISNUMBER(FIND(B53,'表2-合同及付款台账'!$B$5:$B$104))*'表2-合同及付款台账'!$M$5:$M$104)</f>
        <v>0</v>
      </c>
      <c r="M53" s="725">
        <f t="shared" si="19"/>
        <v>321202.125</v>
      </c>
      <c r="N53" s="725">
        <f t="shared" si="20"/>
        <v>0</v>
      </c>
      <c r="O53" s="742" t="s">
        <v>273</v>
      </c>
      <c r="P53" s="724"/>
      <c r="Q53" s="725">
        <f t="shared" si="11"/>
        <v>0</v>
      </c>
      <c r="R53" s="725"/>
      <c r="S53" s="725"/>
      <c r="T53" s="725"/>
      <c r="U53" s="724"/>
    </row>
    <row r="54" s="699" customFormat="1" ht="31" customHeight="1" outlineLevel="3" spans="1:21">
      <c r="A54" s="724" t="s">
        <v>274</v>
      </c>
      <c r="B54" s="724" t="s">
        <v>275</v>
      </c>
      <c r="C54" s="725">
        <f t="shared" si="22"/>
        <v>1.5</v>
      </c>
      <c r="D54" s="725">
        <v>10.7067375</v>
      </c>
      <c r="E54" s="725">
        <f t="shared" si="10"/>
        <v>107067.375</v>
      </c>
      <c r="F54" s="724" t="s">
        <v>760</v>
      </c>
      <c r="G54" s="724"/>
      <c r="H54" s="725">
        <f t="shared" si="27"/>
        <v>107067.375</v>
      </c>
      <c r="I54" s="725">
        <f>SUMPRODUCT(ISNUMBER(FIND(B54,'表2-合同及付款台账'!$B$5:$B$104))*'表2-合同及付款台账'!$G$5:$G$104)</f>
        <v>0</v>
      </c>
      <c r="J54" s="725">
        <f>SUMPRODUCT(ISNUMBER(FIND(B54,'表1-签证变更'!$B$5:$B$64))*'表1-签证变更'!$G$5:$G$64)</f>
        <v>0</v>
      </c>
      <c r="K54" s="725">
        <f t="shared" si="23"/>
        <v>107067.375</v>
      </c>
      <c r="L54" s="725">
        <f>SUMPRODUCT(ISNUMBER(FIND(B54,'表2-合同及付款台账'!$B$5:$B$104))*'表2-合同及付款台账'!$M$5:$M$104)</f>
        <v>0</v>
      </c>
      <c r="M54" s="725">
        <f t="shared" si="19"/>
        <v>107067.375</v>
      </c>
      <c r="N54" s="725">
        <f t="shared" si="20"/>
        <v>0</v>
      </c>
      <c r="O54" s="742" t="s">
        <v>276</v>
      </c>
      <c r="P54" s="724"/>
      <c r="Q54" s="725">
        <f t="shared" si="11"/>
        <v>0</v>
      </c>
      <c r="R54" s="725"/>
      <c r="S54" s="725"/>
      <c r="T54" s="725"/>
      <c r="U54" s="724"/>
    </row>
    <row r="55" s="700" customFormat="1" customHeight="1" outlineLevel="1" spans="1:21">
      <c r="A55" s="726">
        <v>2.4</v>
      </c>
      <c r="B55" s="726" t="s">
        <v>277</v>
      </c>
      <c r="C55" s="727">
        <f>SUM(C56:C115)</f>
        <v>176.161471211468</v>
      </c>
      <c r="D55" s="727">
        <f>SUM(D56:D115)</f>
        <v>1257.40975325</v>
      </c>
      <c r="E55" s="727">
        <f t="shared" si="10"/>
        <v>12574097.5325</v>
      </c>
      <c r="F55" s="726" t="s">
        <v>756</v>
      </c>
      <c r="G55" s="726"/>
      <c r="H55" s="727">
        <f>SUM(H56:H115)</f>
        <v>12574097.5325</v>
      </c>
      <c r="I55" s="727">
        <f t="shared" ref="I55:N55" si="28">SUM(I56:I115)</f>
        <v>1098389.44</v>
      </c>
      <c r="J55" s="727">
        <f t="shared" si="28"/>
        <v>0</v>
      </c>
      <c r="K55" s="727">
        <f t="shared" si="28"/>
        <v>11475708.0925</v>
      </c>
      <c r="L55" s="727">
        <f t="shared" si="28"/>
        <v>5000</v>
      </c>
      <c r="M55" s="727">
        <f t="shared" si="28"/>
        <v>12574097.5325</v>
      </c>
      <c r="N55" s="727">
        <f t="shared" si="28"/>
        <v>0</v>
      </c>
      <c r="O55" s="743"/>
      <c r="P55" s="726"/>
      <c r="Q55" s="727">
        <f t="shared" si="11"/>
        <v>0</v>
      </c>
      <c r="R55" s="727"/>
      <c r="S55" s="727"/>
      <c r="T55" s="727"/>
      <c r="U55" s="726"/>
    </row>
    <row r="56" s="701" customFormat="1" customHeight="1" outlineLevel="2" spans="1:21">
      <c r="A56" s="731" t="s">
        <v>278</v>
      </c>
      <c r="B56" s="732" t="s">
        <v>279</v>
      </c>
      <c r="C56" s="733"/>
      <c r="D56" s="733"/>
      <c r="E56" s="733">
        <f t="shared" si="10"/>
        <v>0</v>
      </c>
      <c r="F56" s="731" t="s">
        <v>756</v>
      </c>
      <c r="G56" s="731"/>
      <c r="H56" s="733"/>
      <c r="I56" s="733"/>
      <c r="J56" s="733"/>
      <c r="K56" s="733"/>
      <c r="L56" s="733"/>
      <c r="M56" s="733"/>
      <c r="N56" s="733"/>
      <c r="O56" s="749"/>
      <c r="P56" s="731"/>
      <c r="Q56" s="733">
        <f t="shared" si="11"/>
        <v>0</v>
      </c>
      <c r="R56" s="733"/>
      <c r="S56" s="733"/>
      <c r="T56" s="733"/>
      <c r="U56" s="731"/>
    </row>
    <row r="57" s="699" customFormat="1" customHeight="1" outlineLevel="3" spans="1:21">
      <c r="A57" s="724" t="s">
        <v>280</v>
      </c>
      <c r="B57" s="734" t="s">
        <v>281</v>
      </c>
      <c r="C57" s="725">
        <f t="shared" ref="C57:C59" si="29">D57/$C$5</f>
        <v>0.280197399067643</v>
      </c>
      <c r="D57" s="725">
        <v>2</v>
      </c>
      <c r="E57" s="725">
        <f t="shared" si="10"/>
        <v>20000</v>
      </c>
      <c r="F57" s="724" t="s">
        <v>760</v>
      </c>
      <c r="G57" s="724"/>
      <c r="H57" s="725">
        <f t="shared" ref="H57:H59" si="30">+I57+J57+K57</f>
        <v>20000</v>
      </c>
      <c r="I57" s="725">
        <f>SUMPRODUCT(ISNUMBER(FIND(B57,'表2-合同及付款台账'!$B$5:$B$104))*'表2-合同及付款台账'!$G$5:$G$104)</f>
        <v>0</v>
      </c>
      <c r="J57" s="725">
        <f>SUMPRODUCT(ISNUMBER(FIND(B57,'表1-签证变更'!$B$5:$B$64))*'表1-签证变更'!$G$5:$G$64)</f>
        <v>0</v>
      </c>
      <c r="K57" s="725">
        <f t="shared" ref="K57:K59" si="31">+E57-I57-J57</f>
        <v>20000</v>
      </c>
      <c r="L57" s="725">
        <f>SUMPRODUCT(ISNUMBER(FIND(B57,'表2-合同及付款台账'!$B$5:$B$104))*'表2-合同及付款台账'!$M$5:$M$104)</f>
        <v>0</v>
      </c>
      <c r="M57" s="725">
        <f t="shared" ref="M57:M59" si="32">+E57</f>
        <v>20000</v>
      </c>
      <c r="N57" s="725">
        <f t="shared" ref="N57:N59" si="33">+E57-M57</f>
        <v>0</v>
      </c>
      <c r="O57" s="742" t="s">
        <v>282</v>
      </c>
      <c r="P57" s="724"/>
      <c r="Q57" s="725">
        <f t="shared" si="11"/>
        <v>0</v>
      </c>
      <c r="R57" s="725"/>
      <c r="S57" s="725"/>
      <c r="T57" s="725"/>
      <c r="U57" s="724"/>
    </row>
    <row r="58" s="699" customFormat="1" customHeight="1" outlineLevel="3" spans="1:21">
      <c r="A58" s="724" t="s">
        <v>283</v>
      </c>
      <c r="B58" s="734" t="s">
        <v>284</v>
      </c>
      <c r="C58" s="725">
        <f t="shared" si="29"/>
        <v>0.185967013761195</v>
      </c>
      <c r="D58" s="725">
        <v>1.3274</v>
      </c>
      <c r="E58" s="725">
        <f t="shared" si="10"/>
        <v>13274</v>
      </c>
      <c r="F58" s="724" t="s">
        <v>757</v>
      </c>
      <c r="G58" s="724" t="s">
        <v>759</v>
      </c>
      <c r="H58" s="725">
        <f t="shared" si="30"/>
        <v>13274</v>
      </c>
      <c r="I58" s="725">
        <f>SUMPRODUCT(ISNUMBER(FIND(B58,'表2-合同及付款台账'!$B$5:$B$104))*'表2-合同及付款台账'!$G$5:$G$104)</f>
        <v>13274</v>
      </c>
      <c r="J58" s="725">
        <f>SUMPRODUCT(ISNUMBER(FIND(B58,'表1-签证变更'!$B$5:$B$64))*'表1-签证变更'!$G$5:$G$64)</f>
        <v>0</v>
      </c>
      <c r="K58" s="725">
        <f t="shared" si="31"/>
        <v>0</v>
      </c>
      <c r="L58" s="725">
        <f>SUMPRODUCT(ISNUMBER(FIND(B58,'表2-合同及付款台账'!$B$5:$B$104))*'表2-合同及付款台账'!$M$5:$M$104)</f>
        <v>0</v>
      </c>
      <c r="M58" s="725">
        <f t="shared" si="32"/>
        <v>13274</v>
      </c>
      <c r="N58" s="725">
        <f t="shared" si="33"/>
        <v>0</v>
      </c>
      <c r="O58" s="742" t="s">
        <v>285</v>
      </c>
      <c r="P58" s="724"/>
      <c r="Q58" s="725">
        <f t="shared" si="11"/>
        <v>0</v>
      </c>
      <c r="R58" s="725"/>
      <c r="S58" s="725"/>
      <c r="T58" s="725"/>
      <c r="U58" s="724"/>
    </row>
    <row r="59" s="699" customFormat="1" customHeight="1" outlineLevel="3" spans="1:21">
      <c r="A59" s="724" t="s">
        <v>286</v>
      </c>
      <c r="B59" s="734" t="s">
        <v>287</v>
      </c>
      <c r="C59" s="725">
        <f t="shared" si="29"/>
        <v>0.193336205356674</v>
      </c>
      <c r="D59" s="725">
        <v>1.38</v>
      </c>
      <c r="E59" s="725">
        <f t="shared" si="10"/>
        <v>13800</v>
      </c>
      <c r="F59" s="724" t="s">
        <v>757</v>
      </c>
      <c r="G59" s="724" t="s">
        <v>759</v>
      </c>
      <c r="H59" s="725">
        <f t="shared" si="30"/>
        <v>13800</v>
      </c>
      <c r="I59" s="725">
        <f>SUMPRODUCT(ISNUMBER(FIND(B59,'表2-合同及付款台账'!$B$5:$B$104))*'表2-合同及付款台账'!$G$5:$G$104)</f>
        <v>13800</v>
      </c>
      <c r="J59" s="725">
        <f>SUMPRODUCT(ISNUMBER(FIND(B59,'表1-签证变更'!$B$5:$B$64))*'表1-签证变更'!$G$5:$G$64)</f>
        <v>0</v>
      </c>
      <c r="K59" s="725">
        <f t="shared" si="31"/>
        <v>0</v>
      </c>
      <c r="L59" s="725">
        <f>SUMPRODUCT(ISNUMBER(FIND(B59,'表2-合同及付款台账'!$B$5:$B$104))*'表2-合同及付款台账'!$M$5:$M$104)</f>
        <v>0</v>
      </c>
      <c r="M59" s="725">
        <f t="shared" si="32"/>
        <v>13800</v>
      </c>
      <c r="N59" s="725">
        <f t="shared" si="33"/>
        <v>0</v>
      </c>
      <c r="O59" s="742" t="s">
        <v>288</v>
      </c>
      <c r="P59" s="724"/>
      <c r="Q59" s="725">
        <f t="shared" si="11"/>
        <v>0</v>
      </c>
      <c r="R59" s="725"/>
      <c r="S59" s="725"/>
      <c r="T59" s="725"/>
      <c r="U59" s="724"/>
    </row>
    <row r="60" s="701" customFormat="1" customHeight="1" outlineLevel="2" spans="1:21">
      <c r="A60" s="731" t="s">
        <v>289</v>
      </c>
      <c r="B60" s="731" t="s">
        <v>290</v>
      </c>
      <c r="C60" s="735"/>
      <c r="D60" s="733"/>
      <c r="E60" s="733">
        <f t="shared" si="10"/>
        <v>0</v>
      </c>
      <c r="F60" s="731" t="s">
        <v>756</v>
      </c>
      <c r="G60" s="731"/>
      <c r="H60" s="733"/>
      <c r="I60" s="733"/>
      <c r="J60" s="733"/>
      <c r="K60" s="733"/>
      <c r="L60" s="733"/>
      <c r="M60" s="733"/>
      <c r="N60" s="733"/>
      <c r="O60" s="749"/>
      <c r="P60" s="731"/>
      <c r="Q60" s="733">
        <f t="shared" si="11"/>
        <v>0</v>
      </c>
      <c r="R60" s="733"/>
      <c r="S60" s="733"/>
      <c r="T60" s="733"/>
      <c r="U60" s="731"/>
    </row>
    <row r="61" s="699" customFormat="1" customHeight="1" outlineLevel="3" spans="1:21">
      <c r="A61" s="724" t="s">
        <v>291</v>
      </c>
      <c r="B61" s="728" t="s">
        <v>292</v>
      </c>
      <c r="C61" s="725">
        <f t="shared" ref="C61:C74" si="34">D61/$C$5</f>
        <v>1.5</v>
      </c>
      <c r="D61" s="725">
        <v>10.7067375</v>
      </c>
      <c r="E61" s="725">
        <f t="shared" si="10"/>
        <v>107067.375</v>
      </c>
      <c r="F61" s="724" t="s">
        <v>757</v>
      </c>
      <c r="G61" s="724" t="s">
        <v>759</v>
      </c>
      <c r="H61" s="725">
        <f t="shared" ref="H61:H74" si="35">+I61+J61+K61</f>
        <v>107067.375</v>
      </c>
      <c r="I61" s="725">
        <f>SUMPRODUCT(ISNUMBER(FIND(B61,'表2-合同及付款台账'!$B$5:$B$104))*'表2-合同及付款台账'!$G$5:$G$104)</f>
        <v>60000</v>
      </c>
      <c r="J61" s="725">
        <f>SUMPRODUCT(ISNUMBER(FIND(B61,'表1-签证变更'!$B$5:$B$64))*'表1-签证变更'!$G$5:$G$64)</f>
        <v>0</v>
      </c>
      <c r="K61" s="725">
        <f t="shared" ref="K61:K74" si="36">+E61-I61-J61</f>
        <v>47067.375</v>
      </c>
      <c r="L61" s="725">
        <f>SUMPRODUCT(ISNUMBER(FIND(B61,'表2-合同及付款台账'!$B$5:$B$104))*'表2-合同及付款台账'!$M$5:$M$104)</f>
        <v>0</v>
      </c>
      <c r="M61" s="725">
        <f t="shared" ref="M61:M74" si="37">+E61</f>
        <v>107067.375</v>
      </c>
      <c r="N61" s="725">
        <f t="shared" ref="N61:N74" si="38">+E61-M61</f>
        <v>0</v>
      </c>
      <c r="O61" s="742" t="s">
        <v>293</v>
      </c>
      <c r="P61" s="724"/>
      <c r="Q61" s="725">
        <f t="shared" si="11"/>
        <v>0</v>
      </c>
      <c r="R61" s="725"/>
      <c r="S61" s="725"/>
      <c r="T61" s="725"/>
      <c r="U61" s="724"/>
    </row>
    <row r="62" s="699" customFormat="1" customHeight="1" outlineLevel="3" spans="1:21">
      <c r="A62" s="724" t="s">
        <v>294</v>
      </c>
      <c r="B62" s="728" t="s">
        <v>295</v>
      </c>
      <c r="C62" s="725">
        <f t="shared" si="34"/>
        <v>0</v>
      </c>
      <c r="D62" s="725">
        <v>0</v>
      </c>
      <c r="E62" s="725">
        <f t="shared" si="10"/>
        <v>0</v>
      </c>
      <c r="F62" s="724" t="s">
        <v>762</v>
      </c>
      <c r="G62" s="724"/>
      <c r="H62" s="725">
        <f t="shared" si="35"/>
        <v>0</v>
      </c>
      <c r="I62" s="725">
        <f>SUMPRODUCT(ISNUMBER(FIND(B62,'表2-合同及付款台账'!$B$5:$B$104))*'表2-合同及付款台账'!$G$5:$G$104)</f>
        <v>0</v>
      </c>
      <c r="J62" s="725">
        <f>SUMPRODUCT(ISNUMBER(FIND(B62,'表1-签证变更'!$B$5:$B$64))*'表1-签证变更'!$G$5:$G$64)</f>
        <v>0</v>
      </c>
      <c r="K62" s="725">
        <f t="shared" si="36"/>
        <v>0</v>
      </c>
      <c r="L62" s="725">
        <f>SUMPRODUCT(ISNUMBER(FIND(B62,'表2-合同及付款台账'!$B$5:$B$104))*'表2-合同及付款台账'!$M$5:$M$104)</f>
        <v>0</v>
      </c>
      <c r="M62" s="725">
        <f t="shared" si="37"/>
        <v>0</v>
      </c>
      <c r="N62" s="725">
        <f t="shared" si="38"/>
        <v>0</v>
      </c>
      <c r="O62" s="742" t="s">
        <v>223</v>
      </c>
      <c r="P62" s="724"/>
      <c r="Q62" s="725">
        <f t="shared" si="11"/>
        <v>0</v>
      </c>
      <c r="R62" s="725"/>
      <c r="S62" s="725"/>
      <c r="T62" s="725"/>
      <c r="U62" s="724"/>
    </row>
    <row r="63" s="699" customFormat="1" customHeight="1" outlineLevel="3" spans="1:21">
      <c r="A63" s="724" t="s">
        <v>296</v>
      </c>
      <c r="B63" s="728" t="s">
        <v>297</v>
      </c>
      <c r="C63" s="725">
        <f t="shared" si="34"/>
        <v>0</v>
      </c>
      <c r="D63" s="725">
        <v>0</v>
      </c>
      <c r="E63" s="725">
        <f t="shared" si="10"/>
        <v>0</v>
      </c>
      <c r="F63" s="724" t="s">
        <v>762</v>
      </c>
      <c r="G63" s="724"/>
      <c r="H63" s="725">
        <f t="shared" si="35"/>
        <v>0</v>
      </c>
      <c r="I63" s="725">
        <f>SUMPRODUCT(ISNUMBER(FIND(B63,'表2-合同及付款台账'!$B$5:$B$104))*'表2-合同及付款台账'!$G$5:$G$104)</f>
        <v>0</v>
      </c>
      <c r="J63" s="725">
        <f>SUMPRODUCT(ISNUMBER(FIND(B63,'表1-签证变更'!$B$5:$B$64))*'表1-签证变更'!$G$5:$G$64)</f>
        <v>0</v>
      </c>
      <c r="K63" s="725">
        <f t="shared" si="36"/>
        <v>0</v>
      </c>
      <c r="L63" s="725">
        <f>SUMPRODUCT(ISNUMBER(FIND(B63,'表2-合同及付款台账'!$B$5:$B$104))*'表2-合同及付款台账'!$M$5:$M$104)</f>
        <v>0</v>
      </c>
      <c r="M63" s="725">
        <f t="shared" si="37"/>
        <v>0</v>
      </c>
      <c r="N63" s="725">
        <f t="shared" si="38"/>
        <v>0</v>
      </c>
      <c r="O63" s="742" t="s">
        <v>223</v>
      </c>
      <c r="P63" s="724"/>
      <c r="Q63" s="725">
        <f t="shared" si="11"/>
        <v>0</v>
      </c>
      <c r="R63" s="725"/>
      <c r="S63" s="725"/>
      <c r="T63" s="725"/>
      <c r="U63" s="724"/>
    </row>
    <row r="64" s="699" customFormat="1" customHeight="1" outlineLevel="3" spans="1:21">
      <c r="A64" s="724" t="s">
        <v>298</v>
      </c>
      <c r="B64" s="734" t="s">
        <v>299</v>
      </c>
      <c r="C64" s="725">
        <f t="shared" si="34"/>
        <v>124.8</v>
      </c>
      <c r="D64" s="725">
        <v>890.80056</v>
      </c>
      <c r="E64" s="725">
        <f t="shared" si="10"/>
        <v>8908005.6</v>
      </c>
      <c r="F64" s="724" t="s">
        <v>760</v>
      </c>
      <c r="G64" s="724"/>
      <c r="H64" s="725">
        <f t="shared" si="35"/>
        <v>8908005.6</v>
      </c>
      <c r="I64" s="725">
        <f>SUMPRODUCT(ISNUMBER(FIND(B64,'表2-合同及付款台账'!$B$5:$B$104))*'表2-合同及付款台账'!$G$5:$G$104)</f>
        <v>0</v>
      </c>
      <c r="J64" s="725">
        <f>SUMPRODUCT(ISNUMBER(FIND(B64,'表1-签证变更'!$B$5:$B$64))*'表1-签证变更'!$G$5:$G$64)</f>
        <v>0</v>
      </c>
      <c r="K64" s="725">
        <f t="shared" si="36"/>
        <v>8908005.6</v>
      </c>
      <c r="L64" s="725">
        <f>SUMPRODUCT(ISNUMBER(FIND(B64,'表2-合同及付款台账'!$B$5:$B$104))*'表2-合同及付款台账'!$M$5:$M$104)</f>
        <v>0</v>
      </c>
      <c r="M64" s="725">
        <f t="shared" si="37"/>
        <v>8908005.6</v>
      </c>
      <c r="N64" s="725">
        <f t="shared" si="38"/>
        <v>0</v>
      </c>
      <c r="O64" s="742" t="s">
        <v>300</v>
      </c>
      <c r="P64" s="724"/>
      <c r="Q64" s="725">
        <f t="shared" si="11"/>
        <v>0</v>
      </c>
      <c r="R64" s="725"/>
      <c r="S64" s="725"/>
      <c r="T64" s="725"/>
      <c r="U64" s="724"/>
    </row>
    <row r="65" s="699" customFormat="1" customHeight="1" outlineLevel="3" spans="1:21">
      <c r="A65" s="724" t="s">
        <v>301</v>
      </c>
      <c r="B65" s="734" t="s">
        <v>302</v>
      </c>
      <c r="C65" s="725">
        <f t="shared" si="34"/>
        <v>0</v>
      </c>
      <c r="D65" s="725">
        <v>0</v>
      </c>
      <c r="E65" s="725">
        <f t="shared" si="10"/>
        <v>0</v>
      </c>
      <c r="F65" s="724" t="s">
        <v>762</v>
      </c>
      <c r="G65" s="724"/>
      <c r="H65" s="725">
        <f t="shared" si="35"/>
        <v>0</v>
      </c>
      <c r="I65" s="725">
        <f>SUMPRODUCT(ISNUMBER(FIND(B65,'表2-合同及付款台账'!$B$5:$B$104))*'表2-合同及付款台账'!$G$5:$G$104)</f>
        <v>0</v>
      </c>
      <c r="J65" s="725">
        <f>SUMPRODUCT(ISNUMBER(FIND(B65,'表1-签证变更'!$B$5:$B$64))*'表1-签证变更'!$G$5:$G$64)</f>
        <v>0</v>
      </c>
      <c r="K65" s="725">
        <f t="shared" si="36"/>
        <v>0</v>
      </c>
      <c r="L65" s="725">
        <f>SUMPRODUCT(ISNUMBER(FIND(B65,'表2-合同及付款台账'!$B$5:$B$104))*'表2-合同及付款台账'!$M$5:$M$104)</f>
        <v>0</v>
      </c>
      <c r="M65" s="725">
        <f t="shared" si="37"/>
        <v>0</v>
      </c>
      <c r="N65" s="725">
        <f t="shared" si="38"/>
        <v>0</v>
      </c>
      <c r="O65" s="742" t="s">
        <v>223</v>
      </c>
      <c r="P65" s="724"/>
      <c r="Q65" s="725">
        <f t="shared" si="11"/>
        <v>0</v>
      </c>
      <c r="R65" s="725"/>
      <c r="S65" s="725"/>
      <c r="T65" s="725"/>
      <c r="U65" s="724"/>
    </row>
    <row r="66" s="699" customFormat="1" customHeight="1" outlineLevel="3" spans="1:21">
      <c r="A66" s="724" t="s">
        <v>303</v>
      </c>
      <c r="B66" s="734" t="s">
        <v>304</v>
      </c>
      <c r="C66" s="725">
        <f t="shared" si="34"/>
        <v>0</v>
      </c>
      <c r="D66" s="725">
        <v>0</v>
      </c>
      <c r="E66" s="725">
        <f t="shared" si="10"/>
        <v>0</v>
      </c>
      <c r="F66" s="724" t="s">
        <v>762</v>
      </c>
      <c r="G66" s="724"/>
      <c r="H66" s="725">
        <f t="shared" si="35"/>
        <v>0</v>
      </c>
      <c r="I66" s="725">
        <f>SUMPRODUCT(ISNUMBER(FIND(B66,'表2-合同及付款台账'!$B$5:$B$104))*'表2-合同及付款台账'!$G$5:$G$104)</f>
        <v>0</v>
      </c>
      <c r="J66" s="725">
        <f>SUMPRODUCT(ISNUMBER(FIND(B66,'表1-签证变更'!$B$5:$B$64))*'表1-签证变更'!$G$5:$G$64)</f>
        <v>0</v>
      </c>
      <c r="K66" s="725">
        <f t="shared" si="36"/>
        <v>0</v>
      </c>
      <c r="L66" s="725">
        <f>SUMPRODUCT(ISNUMBER(FIND(B66,'表2-合同及付款台账'!$B$5:$B$104))*'表2-合同及付款台账'!$M$5:$M$104)</f>
        <v>0</v>
      </c>
      <c r="M66" s="725">
        <f t="shared" si="37"/>
        <v>0</v>
      </c>
      <c r="N66" s="725">
        <f t="shared" si="38"/>
        <v>0</v>
      </c>
      <c r="O66" s="742" t="s">
        <v>223</v>
      </c>
      <c r="P66" s="724"/>
      <c r="Q66" s="725">
        <f t="shared" si="11"/>
        <v>0</v>
      </c>
      <c r="R66" s="725"/>
      <c r="S66" s="725"/>
      <c r="T66" s="725"/>
      <c r="U66" s="724"/>
    </row>
    <row r="67" s="699" customFormat="1" customHeight="1" outlineLevel="3" spans="1:21">
      <c r="A67" s="724" t="s">
        <v>305</v>
      </c>
      <c r="B67" s="734" t="s">
        <v>306</v>
      </c>
      <c r="C67" s="725">
        <f t="shared" si="34"/>
        <v>0.3</v>
      </c>
      <c r="D67" s="725">
        <v>2.1413475</v>
      </c>
      <c r="E67" s="725">
        <f t="shared" si="10"/>
        <v>21413.475</v>
      </c>
      <c r="F67" s="724" t="s">
        <v>760</v>
      </c>
      <c r="G67" s="724"/>
      <c r="H67" s="725">
        <f t="shared" si="35"/>
        <v>21413.475</v>
      </c>
      <c r="I67" s="725">
        <f>SUMPRODUCT(ISNUMBER(FIND(B67,'表2-合同及付款台账'!$B$5:$B$104))*'表2-合同及付款台账'!$G$5:$G$104)</f>
        <v>0</v>
      </c>
      <c r="J67" s="725">
        <f>SUMPRODUCT(ISNUMBER(FIND(B67,'表1-签证变更'!$B$5:$B$64))*'表1-签证变更'!$G$5:$G$64)</f>
        <v>0</v>
      </c>
      <c r="K67" s="725">
        <f t="shared" si="36"/>
        <v>21413.475</v>
      </c>
      <c r="L67" s="725">
        <f>SUMPRODUCT(ISNUMBER(FIND(B67,'表2-合同及付款台账'!$B$5:$B$104))*'表2-合同及付款台账'!$M$5:$M$104)</f>
        <v>0</v>
      </c>
      <c r="M67" s="725">
        <f t="shared" si="37"/>
        <v>21413.475</v>
      </c>
      <c r="N67" s="725">
        <f t="shared" si="38"/>
        <v>0</v>
      </c>
      <c r="O67" s="742" t="s">
        <v>307</v>
      </c>
      <c r="P67" s="724"/>
      <c r="Q67" s="725">
        <f t="shared" si="11"/>
        <v>0</v>
      </c>
      <c r="R67" s="725"/>
      <c r="S67" s="725"/>
      <c r="T67" s="725"/>
      <c r="U67" s="724"/>
    </row>
    <row r="68" s="699" customFormat="1" customHeight="1" outlineLevel="3" spans="1:21">
      <c r="A68" s="724" t="s">
        <v>308</v>
      </c>
      <c r="B68" s="734" t="s">
        <v>309</v>
      </c>
      <c r="C68" s="725">
        <f t="shared" si="34"/>
        <v>0.98</v>
      </c>
      <c r="D68" s="725">
        <v>6.9950685</v>
      </c>
      <c r="E68" s="725">
        <f t="shared" si="10"/>
        <v>69950.685</v>
      </c>
      <c r="F68" s="724"/>
      <c r="G68" s="724"/>
      <c r="H68" s="725">
        <f t="shared" si="35"/>
        <v>69950.685</v>
      </c>
      <c r="I68" s="725">
        <f>SUMPRODUCT(ISNUMBER(FIND(B68,'表2-合同及付款台账'!$B$5:$B$104))*'表2-合同及付款台账'!$G$5:$G$104)</f>
        <v>0</v>
      </c>
      <c r="J68" s="725">
        <f>SUMPRODUCT(ISNUMBER(FIND(B68,'表1-签证变更'!$B$5:$B$64))*'表1-签证变更'!$G$5:$G$64)</f>
        <v>0</v>
      </c>
      <c r="K68" s="725">
        <f t="shared" si="36"/>
        <v>69950.685</v>
      </c>
      <c r="L68" s="725">
        <f>SUMPRODUCT(ISNUMBER(FIND(B68,'表2-合同及付款台账'!$B$5:$B$104))*'表2-合同及付款台账'!$M$5:$M$104)</f>
        <v>0</v>
      </c>
      <c r="M68" s="725">
        <f t="shared" si="37"/>
        <v>69950.685</v>
      </c>
      <c r="N68" s="725">
        <f t="shared" si="38"/>
        <v>0</v>
      </c>
      <c r="O68" s="742" t="s">
        <v>310</v>
      </c>
      <c r="P68" s="724"/>
      <c r="Q68" s="725">
        <f t="shared" si="11"/>
        <v>0</v>
      </c>
      <c r="R68" s="725"/>
      <c r="S68" s="725"/>
      <c r="T68" s="725"/>
      <c r="U68" s="724"/>
    </row>
    <row r="69" s="699" customFormat="1" customHeight="1" outlineLevel="3" spans="1:21">
      <c r="A69" s="724" t="s">
        <v>311</v>
      </c>
      <c r="B69" s="734" t="s">
        <v>312</v>
      </c>
      <c r="C69" s="725">
        <f t="shared" si="34"/>
        <v>0.630444147902197</v>
      </c>
      <c r="D69" s="725">
        <v>4.5</v>
      </c>
      <c r="E69" s="725">
        <f t="shared" si="10"/>
        <v>45000</v>
      </c>
      <c r="F69" s="724" t="s">
        <v>757</v>
      </c>
      <c r="G69" s="724" t="s">
        <v>759</v>
      </c>
      <c r="H69" s="725">
        <f t="shared" si="35"/>
        <v>45000</v>
      </c>
      <c r="I69" s="725">
        <f>SUMPRODUCT(ISNUMBER(FIND(B69,'表2-合同及付款台账'!$B$5:$B$104))*'表2-合同及付款台账'!$G$5:$G$104)</f>
        <v>45000</v>
      </c>
      <c r="J69" s="725">
        <f>SUMPRODUCT(ISNUMBER(FIND(B69,'表1-签证变更'!$B$5:$B$64))*'表1-签证变更'!$G$5:$G$64)</f>
        <v>0</v>
      </c>
      <c r="K69" s="725">
        <f t="shared" si="36"/>
        <v>0</v>
      </c>
      <c r="L69" s="725">
        <f>SUMPRODUCT(ISNUMBER(FIND(B69,'表2-合同及付款台账'!$B$5:$B$104))*'表2-合同及付款台账'!$M$5:$M$104)</f>
        <v>0</v>
      </c>
      <c r="M69" s="725">
        <f t="shared" si="37"/>
        <v>45000</v>
      </c>
      <c r="N69" s="725">
        <f t="shared" si="38"/>
        <v>0</v>
      </c>
      <c r="O69" s="742" t="s">
        <v>313</v>
      </c>
      <c r="P69" s="724"/>
      <c r="Q69" s="725">
        <f t="shared" si="11"/>
        <v>0</v>
      </c>
      <c r="R69" s="725"/>
      <c r="S69" s="725"/>
      <c r="T69" s="725"/>
      <c r="U69" s="724"/>
    </row>
    <row r="70" s="699" customFormat="1" customHeight="1" outlineLevel="3" spans="1:21">
      <c r="A70" s="724" t="s">
        <v>314</v>
      </c>
      <c r="B70" s="734" t="s">
        <v>315</v>
      </c>
      <c r="C70" s="725">
        <f t="shared" si="34"/>
        <v>0</v>
      </c>
      <c r="D70" s="725">
        <v>0</v>
      </c>
      <c r="E70" s="725">
        <f t="shared" si="10"/>
        <v>0</v>
      </c>
      <c r="F70" s="724" t="s">
        <v>762</v>
      </c>
      <c r="G70" s="724"/>
      <c r="H70" s="725">
        <f t="shared" si="35"/>
        <v>0</v>
      </c>
      <c r="I70" s="725">
        <f>SUMPRODUCT(ISNUMBER(FIND(B70,'表2-合同及付款台账'!$B$5:$B$104))*'表2-合同及付款台账'!$G$5:$G$104)</f>
        <v>0</v>
      </c>
      <c r="J70" s="725">
        <f>SUMPRODUCT(ISNUMBER(FIND(B70,'表1-签证变更'!$B$5:$B$64))*'表1-签证变更'!$G$5:$G$64)</f>
        <v>0</v>
      </c>
      <c r="K70" s="725">
        <f t="shared" si="36"/>
        <v>0</v>
      </c>
      <c r="L70" s="725">
        <f>SUMPRODUCT(ISNUMBER(FIND(B70,'表2-合同及付款台账'!$B$5:$B$104))*'表2-合同及付款台账'!$M$5:$M$104)</f>
        <v>0</v>
      </c>
      <c r="M70" s="725">
        <f t="shared" si="37"/>
        <v>0</v>
      </c>
      <c r="N70" s="725">
        <f t="shared" si="38"/>
        <v>0</v>
      </c>
      <c r="O70" s="742">
        <v>0</v>
      </c>
      <c r="P70" s="724"/>
      <c r="Q70" s="725">
        <f t="shared" si="11"/>
        <v>0</v>
      </c>
      <c r="R70" s="725"/>
      <c r="S70" s="725"/>
      <c r="T70" s="725"/>
      <c r="U70" s="724"/>
    </row>
    <row r="71" s="699" customFormat="1" customHeight="1" outlineLevel="3" spans="1:21">
      <c r="A71" s="724" t="s">
        <v>316</v>
      </c>
      <c r="B71" s="729" t="s">
        <v>317</v>
      </c>
      <c r="C71" s="725">
        <f t="shared" si="34"/>
        <v>0</v>
      </c>
      <c r="D71" s="725">
        <v>0</v>
      </c>
      <c r="E71" s="725">
        <f t="shared" si="10"/>
        <v>0</v>
      </c>
      <c r="F71" s="724" t="s">
        <v>762</v>
      </c>
      <c r="G71" s="724"/>
      <c r="H71" s="725">
        <f t="shared" si="35"/>
        <v>0</v>
      </c>
      <c r="I71" s="725">
        <f>SUMPRODUCT(ISNUMBER(FIND(B71,'表2-合同及付款台账'!$B$5:$B$104))*'表2-合同及付款台账'!$G$5:$G$104)</f>
        <v>0</v>
      </c>
      <c r="J71" s="725">
        <f>SUMPRODUCT(ISNUMBER(FIND(B71,'表1-签证变更'!$B$5:$B$64))*'表1-签证变更'!$G$5:$G$64)</f>
        <v>0</v>
      </c>
      <c r="K71" s="725">
        <f t="shared" si="36"/>
        <v>0</v>
      </c>
      <c r="L71" s="725">
        <f>SUMPRODUCT(ISNUMBER(FIND(B71,'表2-合同及付款台账'!$B$5:$B$104))*'表2-合同及付款台账'!$M$5:$M$104)</f>
        <v>0</v>
      </c>
      <c r="M71" s="725">
        <f t="shared" si="37"/>
        <v>0</v>
      </c>
      <c r="N71" s="725">
        <f t="shared" si="38"/>
        <v>0</v>
      </c>
      <c r="O71" s="742" t="s">
        <v>223</v>
      </c>
      <c r="P71" s="724"/>
      <c r="Q71" s="725">
        <f t="shared" si="11"/>
        <v>0</v>
      </c>
      <c r="R71" s="725"/>
      <c r="S71" s="725"/>
      <c r="T71" s="725"/>
      <c r="U71" s="724"/>
    </row>
    <row r="72" s="699" customFormat="1" customHeight="1" outlineLevel="3" spans="1:21">
      <c r="A72" s="724" t="s">
        <v>318</v>
      </c>
      <c r="B72" s="729" t="s">
        <v>319</v>
      </c>
      <c r="C72" s="725">
        <f t="shared" si="34"/>
        <v>0</v>
      </c>
      <c r="D72" s="725">
        <v>0</v>
      </c>
      <c r="E72" s="725">
        <f t="shared" si="10"/>
        <v>0</v>
      </c>
      <c r="F72" s="724" t="s">
        <v>762</v>
      </c>
      <c r="G72" s="724"/>
      <c r="H72" s="725">
        <f t="shared" si="35"/>
        <v>0</v>
      </c>
      <c r="I72" s="725">
        <f>SUMPRODUCT(ISNUMBER(FIND(B72,'表2-合同及付款台账'!$B$5:$B$104))*'表2-合同及付款台账'!$G$5:$G$104)</f>
        <v>0</v>
      </c>
      <c r="J72" s="725">
        <f>SUMPRODUCT(ISNUMBER(FIND(B72,'表1-签证变更'!$B$5:$B$64))*'表1-签证变更'!$G$5:$G$64)</f>
        <v>0</v>
      </c>
      <c r="K72" s="725">
        <f t="shared" si="36"/>
        <v>0</v>
      </c>
      <c r="L72" s="725">
        <f>SUMPRODUCT(ISNUMBER(FIND(B72,'表2-合同及付款台账'!$B$5:$B$104))*'表2-合同及付款台账'!$M$5:$M$104)</f>
        <v>0</v>
      </c>
      <c r="M72" s="725">
        <f t="shared" si="37"/>
        <v>0</v>
      </c>
      <c r="N72" s="725">
        <f t="shared" si="38"/>
        <v>0</v>
      </c>
      <c r="O72" s="742" t="s">
        <v>223</v>
      </c>
      <c r="P72" s="724"/>
      <c r="Q72" s="725">
        <f t="shared" si="11"/>
        <v>0</v>
      </c>
      <c r="R72" s="725"/>
      <c r="S72" s="725"/>
      <c r="T72" s="725"/>
      <c r="U72" s="724"/>
    </row>
    <row r="73" s="699" customFormat="1" customHeight="1" outlineLevel="3" spans="1:21">
      <c r="A73" s="724" t="s">
        <v>320</v>
      </c>
      <c r="B73" s="734" t="s">
        <v>321</v>
      </c>
      <c r="C73" s="725">
        <f t="shared" si="34"/>
        <v>0</v>
      </c>
      <c r="D73" s="725">
        <v>0</v>
      </c>
      <c r="E73" s="725">
        <f t="shared" si="10"/>
        <v>0</v>
      </c>
      <c r="F73" s="724" t="s">
        <v>762</v>
      </c>
      <c r="G73" s="724"/>
      <c r="H73" s="725">
        <f t="shared" si="35"/>
        <v>0</v>
      </c>
      <c r="I73" s="725">
        <f>SUMPRODUCT(ISNUMBER(FIND(B73,'表2-合同及付款台账'!$B$5:$B$104))*'表2-合同及付款台账'!$G$5:$G$104)</f>
        <v>0</v>
      </c>
      <c r="J73" s="725">
        <f>SUMPRODUCT(ISNUMBER(FIND(B73,'表1-签证变更'!$B$5:$B$64))*'表1-签证变更'!$G$5:$G$64)</f>
        <v>0</v>
      </c>
      <c r="K73" s="725">
        <f t="shared" si="36"/>
        <v>0</v>
      </c>
      <c r="L73" s="725">
        <f>SUMPRODUCT(ISNUMBER(FIND(B73,'表2-合同及付款台账'!$B$5:$B$104))*'表2-合同及付款台账'!$M$5:$M$104)</f>
        <v>0</v>
      </c>
      <c r="M73" s="725">
        <f t="shared" si="37"/>
        <v>0</v>
      </c>
      <c r="N73" s="725">
        <f t="shared" si="38"/>
        <v>0</v>
      </c>
      <c r="O73" s="742"/>
      <c r="P73" s="724"/>
      <c r="Q73" s="725">
        <f t="shared" ref="Q73:Q136" si="39">+H73-E73</f>
        <v>0</v>
      </c>
      <c r="R73" s="725"/>
      <c r="S73" s="725"/>
      <c r="T73" s="725"/>
      <c r="U73" s="724"/>
    </row>
    <row r="74" s="699" customFormat="1" customHeight="1" outlineLevel="3" spans="1:21">
      <c r="A74" s="724" t="s">
        <v>322</v>
      </c>
      <c r="B74" s="734" t="s">
        <v>323</v>
      </c>
      <c r="C74" s="725">
        <f t="shared" si="34"/>
        <v>0</v>
      </c>
      <c r="D74" s="725">
        <v>0</v>
      </c>
      <c r="E74" s="725">
        <f t="shared" si="10"/>
        <v>0</v>
      </c>
      <c r="F74" s="724" t="s">
        <v>762</v>
      </c>
      <c r="G74" s="724"/>
      <c r="H74" s="725">
        <f t="shared" si="35"/>
        <v>0</v>
      </c>
      <c r="I74" s="725">
        <f>SUMPRODUCT(ISNUMBER(FIND(B74,'表2-合同及付款台账'!$B$5:$B$104))*'表2-合同及付款台账'!$G$5:$G$104)</f>
        <v>0</v>
      </c>
      <c r="J74" s="725">
        <f>SUMPRODUCT(ISNUMBER(FIND(B74,'表1-签证变更'!$B$5:$B$64))*'表1-签证变更'!$G$5:$G$64)</f>
        <v>0</v>
      </c>
      <c r="K74" s="725">
        <f t="shared" si="36"/>
        <v>0</v>
      </c>
      <c r="L74" s="725">
        <f>SUMPRODUCT(ISNUMBER(FIND(B74,'表2-合同及付款台账'!$B$5:$B$104))*'表2-合同及付款台账'!$M$5:$M$104)</f>
        <v>0</v>
      </c>
      <c r="M74" s="725">
        <f t="shared" si="37"/>
        <v>0</v>
      </c>
      <c r="N74" s="725">
        <f t="shared" si="38"/>
        <v>0</v>
      </c>
      <c r="O74" s="742"/>
      <c r="P74" s="724"/>
      <c r="Q74" s="725">
        <f t="shared" si="39"/>
        <v>0</v>
      </c>
      <c r="R74" s="725"/>
      <c r="S74" s="725"/>
      <c r="T74" s="725"/>
      <c r="U74" s="724"/>
    </row>
    <row r="75" s="701" customFormat="1" customHeight="1" outlineLevel="2" spans="1:21">
      <c r="A75" s="731" t="s">
        <v>324</v>
      </c>
      <c r="B75" s="731" t="s">
        <v>325</v>
      </c>
      <c r="C75" s="735"/>
      <c r="D75" s="733"/>
      <c r="E75" s="733">
        <f t="shared" si="10"/>
        <v>0</v>
      </c>
      <c r="F75" s="731" t="s">
        <v>756</v>
      </c>
      <c r="G75" s="731"/>
      <c r="H75" s="733"/>
      <c r="I75" s="733"/>
      <c r="J75" s="733"/>
      <c r="K75" s="733"/>
      <c r="L75" s="733"/>
      <c r="M75" s="733"/>
      <c r="N75" s="733"/>
      <c r="O75" s="749"/>
      <c r="P75" s="731"/>
      <c r="Q75" s="733">
        <f t="shared" si="39"/>
        <v>0</v>
      </c>
      <c r="R75" s="733"/>
      <c r="S75" s="733"/>
      <c r="T75" s="733"/>
      <c r="U75" s="731"/>
    </row>
    <row r="76" s="699" customFormat="1" customHeight="1" outlineLevel="3" spans="1:21">
      <c r="A76" s="724" t="s">
        <v>326</v>
      </c>
      <c r="B76" s="728" t="s">
        <v>327</v>
      </c>
      <c r="C76" s="725">
        <f t="shared" ref="C76:C115" si="40">D76/$C$5</f>
        <v>1</v>
      </c>
      <c r="D76" s="725">
        <v>7.137825</v>
      </c>
      <c r="E76" s="725">
        <f t="shared" si="10"/>
        <v>71378.25</v>
      </c>
      <c r="F76" s="724" t="s">
        <v>757</v>
      </c>
      <c r="G76" s="724" t="s">
        <v>759</v>
      </c>
      <c r="H76" s="725">
        <f t="shared" ref="H76:H90" si="41">+I76+J76+K76</f>
        <v>71378.25</v>
      </c>
      <c r="I76" s="725">
        <f>SUMPRODUCT(ISNUMBER(FIND(B76,'表2-合同及付款台账'!$B$5:$B$104))*'表2-合同及付款台账'!$G$5:$G$104)</f>
        <v>70247.86</v>
      </c>
      <c r="J76" s="725">
        <f>SUMPRODUCT(ISNUMBER(FIND(B76,'表1-签证变更'!$B$5:$B$64))*'表1-签证变更'!$G$5:$G$64)</f>
        <v>0</v>
      </c>
      <c r="K76" s="725">
        <f t="shared" ref="K76:K89" si="42">+E76-I76-J76</f>
        <v>1130.39</v>
      </c>
      <c r="L76" s="725">
        <f>SUMPRODUCT(ISNUMBER(FIND(B76,'表2-合同及付款台账'!$B$5:$B$104))*'表2-合同及付款台账'!$M$5:$M$104)</f>
        <v>0</v>
      </c>
      <c r="M76" s="725">
        <f t="shared" ref="M76:M89" si="43">+E76</f>
        <v>71378.25</v>
      </c>
      <c r="N76" s="725">
        <f t="shared" ref="N76:N89" si="44">+E76-M76</f>
        <v>0</v>
      </c>
      <c r="O76" s="742" t="s">
        <v>328</v>
      </c>
      <c r="P76" s="724"/>
      <c r="Q76" s="725">
        <f t="shared" si="39"/>
        <v>0</v>
      </c>
      <c r="R76" s="725"/>
      <c r="S76" s="725"/>
      <c r="T76" s="725"/>
      <c r="U76" s="724"/>
    </row>
    <row r="77" s="699" customFormat="1" customHeight="1" outlineLevel="3" spans="1:21">
      <c r="A77" s="724" t="s">
        <v>329</v>
      </c>
      <c r="B77" s="729" t="s">
        <v>330</v>
      </c>
      <c r="C77" s="725">
        <f t="shared" si="40"/>
        <v>0</v>
      </c>
      <c r="D77" s="725">
        <v>0</v>
      </c>
      <c r="E77" s="725">
        <f t="shared" si="10"/>
        <v>0</v>
      </c>
      <c r="F77" s="724" t="s">
        <v>762</v>
      </c>
      <c r="G77" s="724"/>
      <c r="H77" s="725">
        <f t="shared" si="41"/>
        <v>0</v>
      </c>
      <c r="I77" s="725">
        <f>SUMPRODUCT(ISNUMBER(FIND(B77,'表2-合同及付款台账'!$B$5:$B$104))*'表2-合同及付款台账'!$G$5:$G$104)</f>
        <v>0</v>
      </c>
      <c r="J77" s="725">
        <f>SUMPRODUCT(ISNUMBER(FIND(B77,'表1-签证变更'!$B$5:$B$64))*'表1-签证变更'!$G$5:$G$64)</f>
        <v>0</v>
      </c>
      <c r="K77" s="725">
        <f t="shared" si="42"/>
        <v>0</v>
      </c>
      <c r="L77" s="725">
        <f>SUMPRODUCT(ISNUMBER(FIND(B77,'表2-合同及付款台账'!$B$5:$B$104))*'表2-合同及付款台账'!$M$5:$M$104)</f>
        <v>0</v>
      </c>
      <c r="M77" s="725">
        <f t="shared" si="43"/>
        <v>0</v>
      </c>
      <c r="N77" s="725">
        <f t="shared" si="44"/>
        <v>0</v>
      </c>
      <c r="O77" s="742" t="s">
        <v>331</v>
      </c>
      <c r="P77" s="724"/>
      <c r="Q77" s="725">
        <f t="shared" si="39"/>
        <v>0</v>
      </c>
      <c r="R77" s="725"/>
      <c r="S77" s="725"/>
      <c r="T77" s="725"/>
      <c r="U77" s="724"/>
    </row>
    <row r="78" s="699" customFormat="1" customHeight="1" outlineLevel="3" spans="1:21">
      <c r="A78" s="724" t="s">
        <v>332</v>
      </c>
      <c r="B78" s="729" t="s">
        <v>333</v>
      </c>
      <c r="C78" s="725">
        <f t="shared" si="40"/>
        <v>0</v>
      </c>
      <c r="D78" s="725">
        <v>0</v>
      </c>
      <c r="E78" s="725">
        <f t="shared" si="10"/>
        <v>0</v>
      </c>
      <c r="F78" s="724" t="s">
        <v>762</v>
      </c>
      <c r="G78" s="724"/>
      <c r="H78" s="725">
        <f t="shared" si="41"/>
        <v>0</v>
      </c>
      <c r="I78" s="725">
        <f>SUMPRODUCT(ISNUMBER(FIND(B78,'表2-合同及付款台账'!$B$5:$B$104))*'表2-合同及付款台账'!$G$5:$G$104)</f>
        <v>0</v>
      </c>
      <c r="J78" s="725">
        <f>SUMPRODUCT(ISNUMBER(FIND(B78,'表1-签证变更'!$B$5:$B$64))*'表1-签证变更'!$G$5:$G$64)</f>
        <v>0</v>
      </c>
      <c r="K78" s="725">
        <f t="shared" si="42"/>
        <v>0</v>
      </c>
      <c r="L78" s="725">
        <f>SUMPRODUCT(ISNUMBER(FIND(B78,'表2-合同及付款台账'!$B$5:$B$104))*'表2-合同及付款台账'!$M$5:$M$104)</f>
        <v>0</v>
      </c>
      <c r="M78" s="725">
        <f t="shared" si="43"/>
        <v>0</v>
      </c>
      <c r="N78" s="725">
        <f t="shared" si="44"/>
        <v>0</v>
      </c>
      <c r="O78" s="742" t="s">
        <v>223</v>
      </c>
      <c r="P78" s="724"/>
      <c r="Q78" s="725">
        <f t="shared" si="39"/>
        <v>0</v>
      </c>
      <c r="R78" s="725"/>
      <c r="S78" s="725"/>
      <c r="T78" s="725"/>
      <c r="U78" s="724"/>
    </row>
    <row r="79" s="699" customFormat="1" customHeight="1" outlineLevel="3" spans="1:21">
      <c r="A79" s="724" t="s">
        <v>334</v>
      </c>
      <c r="B79" s="729" t="s">
        <v>335</v>
      </c>
      <c r="C79" s="725">
        <f t="shared" si="40"/>
        <v>0</v>
      </c>
      <c r="D79" s="725">
        <v>0</v>
      </c>
      <c r="E79" s="725">
        <f t="shared" si="10"/>
        <v>0</v>
      </c>
      <c r="F79" s="724" t="s">
        <v>762</v>
      </c>
      <c r="G79" s="724"/>
      <c r="H79" s="725">
        <f t="shared" si="41"/>
        <v>0</v>
      </c>
      <c r="I79" s="725">
        <f>SUMPRODUCT(ISNUMBER(FIND(B79,'表2-合同及付款台账'!$B$5:$B$104))*'表2-合同及付款台账'!$G$5:$G$104)</f>
        <v>0</v>
      </c>
      <c r="J79" s="725">
        <f>SUMPRODUCT(ISNUMBER(FIND(B79,'表1-签证变更'!$B$5:$B$64))*'表1-签证变更'!$G$5:$G$64)</f>
        <v>0</v>
      </c>
      <c r="K79" s="725">
        <f t="shared" si="42"/>
        <v>0</v>
      </c>
      <c r="L79" s="725">
        <f>SUMPRODUCT(ISNUMBER(FIND(B79,'表2-合同及付款台账'!$B$5:$B$104))*'表2-合同及付款台账'!$M$5:$M$104)</f>
        <v>0</v>
      </c>
      <c r="M79" s="725">
        <f t="shared" si="43"/>
        <v>0</v>
      </c>
      <c r="N79" s="725">
        <f t="shared" si="44"/>
        <v>0</v>
      </c>
      <c r="O79" s="742" t="s">
        <v>223</v>
      </c>
      <c r="P79" s="724"/>
      <c r="Q79" s="725">
        <f t="shared" si="39"/>
        <v>0</v>
      </c>
      <c r="R79" s="725"/>
      <c r="S79" s="725"/>
      <c r="T79" s="725"/>
      <c r="U79" s="724"/>
    </row>
    <row r="80" s="699" customFormat="1" customHeight="1" outlineLevel="3" spans="1:21">
      <c r="A80" s="724" t="s">
        <v>336</v>
      </c>
      <c r="B80" s="729" t="s">
        <v>337</v>
      </c>
      <c r="C80" s="725">
        <f t="shared" si="40"/>
        <v>0.3</v>
      </c>
      <c r="D80" s="725">
        <v>2.1413475</v>
      </c>
      <c r="E80" s="725">
        <f t="shared" si="10"/>
        <v>21413.475</v>
      </c>
      <c r="F80" s="724" t="s">
        <v>760</v>
      </c>
      <c r="G80" s="724"/>
      <c r="H80" s="725">
        <f t="shared" si="41"/>
        <v>21413.475</v>
      </c>
      <c r="I80" s="725">
        <f>SUMPRODUCT(ISNUMBER(FIND(B80,'表2-合同及付款台账'!$B$5:$B$104))*'表2-合同及付款台账'!$G$5:$G$104)</f>
        <v>0</v>
      </c>
      <c r="J80" s="725">
        <f>SUMPRODUCT(ISNUMBER(FIND(B80,'表1-签证变更'!$B$5:$B$64))*'表1-签证变更'!$G$5:$G$64)</f>
        <v>0</v>
      </c>
      <c r="K80" s="725">
        <f t="shared" si="42"/>
        <v>21413.475</v>
      </c>
      <c r="L80" s="725">
        <f>SUMPRODUCT(ISNUMBER(FIND(B80,'表2-合同及付款台账'!$B$5:$B$104))*'表2-合同及付款台账'!$M$5:$M$104)</f>
        <v>0</v>
      </c>
      <c r="M80" s="725">
        <f t="shared" si="43"/>
        <v>21413.475</v>
      </c>
      <c r="N80" s="725">
        <f t="shared" si="44"/>
        <v>0</v>
      </c>
      <c r="O80" s="742" t="s">
        <v>338</v>
      </c>
      <c r="P80" s="724"/>
      <c r="Q80" s="725">
        <f t="shared" si="39"/>
        <v>0</v>
      </c>
      <c r="R80" s="725"/>
      <c r="S80" s="725"/>
      <c r="T80" s="725"/>
      <c r="U80" s="724"/>
    </row>
    <row r="81" s="699" customFormat="1" customHeight="1" outlineLevel="3" spans="1:21">
      <c r="A81" s="724" t="s">
        <v>339</v>
      </c>
      <c r="B81" s="728" t="s">
        <v>340</v>
      </c>
      <c r="C81" s="725">
        <f t="shared" si="40"/>
        <v>1.65</v>
      </c>
      <c r="D81" s="725">
        <f>+成本测算明细!D83</f>
        <v>11.77741125</v>
      </c>
      <c r="E81" s="725">
        <f t="shared" si="10"/>
        <v>117774.1125</v>
      </c>
      <c r="F81" s="724" t="s">
        <v>757</v>
      </c>
      <c r="G81" s="724" t="s">
        <v>759</v>
      </c>
      <c r="H81" s="725">
        <f t="shared" si="41"/>
        <v>117774.1125</v>
      </c>
      <c r="I81" s="725">
        <f>SUMPRODUCT(ISNUMBER(FIND(B81,'表2-合同及付款台账'!$B$5:$B$104))*'表2-合同及付款台账'!$G$5:$G$104)</f>
        <v>118000</v>
      </c>
      <c r="J81" s="725">
        <f>SUMPRODUCT(ISNUMBER(FIND(B81,'表1-签证变更'!$B$5:$B$64))*'表1-签证变更'!$G$5:$G$64)</f>
        <v>0</v>
      </c>
      <c r="K81" s="725">
        <f t="shared" si="42"/>
        <v>-225.887500000012</v>
      </c>
      <c r="L81" s="725">
        <f>SUMPRODUCT(ISNUMBER(FIND(B81,'表2-合同及付款台账'!$B$5:$B$104))*'表2-合同及付款台账'!$M$5:$M$104)</f>
        <v>0</v>
      </c>
      <c r="M81" s="725">
        <f t="shared" si="43"/>
        <v>117774.1125</v>
      </c>
      <c r="N81" s="725">
        <f t="shared" si="44"/>
        <v>0</v>
      </c>
      <c r="O81" s="742" t="s">
        <v>341</v>
      </c>
      <c r="P81" s="724"/>
      <c r="Q81" s="725">
        <f t="shared" si="39"/>
        <v>0</v>
      </c>
      <c r="R81" s="725"/>
      <c r="S81" s="725"/>
      <c r="T81" s="725"/>
      <c r="U81" s="724"/>
    </row>
    <row r="82" s="699" customFormat="1" customHeight="1" outlineLevel="3" spans="1:21">
      <c r="A82" s="724" t="s">
        <v>342</v>
      </c>
      <c r="B82" s="728" t="s">
        <v>343</v>
      </c>
      <c r="C82" s="725">
        <f t="shared" si="40"/>
        <v>0</v>
      </c>
      <c r="D82" s="725">
        <v>0</v>
      </c>
      <c r="E82" s="725">
        <f t="shared" si="10"/>
        <v>0</v>
      </c>
      <c r="F82" s="724" t="s">
        <v>762</v>
      </c>
      <c r="G82" s="724"/>
      <c r="H82" s="725">
        <f t="shared" si="41"/>
        <v>0</v>
      </c>
      <c r="I82" s="725">
        <f>SUMPRODUCT(ISNUMBER(FIND(B82,'表2-合同及付款台账'!$B$5:$B$104))*'表2-合同及付款台账'!$G$5:$G$104)</f>
        <v>0</v>
      </c>
      <c r="J82" s="725">
        <f>SUMPRODUCT(ISNUMBER(FIND(B82,'表1-签证变更'!$B$5:$B$64))*'表1-签证变更'!$G$5:$G$64)</f>
        <v>0</v>
      </c>
      <c r="K82" s="725">
        <f t="shared" si="42"/>
        <v>0</v>
      </c>
      <c r="L82" s="725">
        <f>SUMPRODUCT(ISNUMBER(FIND(B82,'表2-合同及付款台账'!$B$5:$B$104))*'表2-合同及付款台账'!$M$5:$M$104)</f>
        <v>0</v>
      </c>
      <c r="M82" s="725">
        <f t="shared" si="43"/>
        <v>0</v>
      </c>
      <c r="N82" s="725">
        <f t="shared" si="44"/>
        <v>0</v>
      </c>
      <c r="O82" s="742" t="s">
        <v>223</v>
      </c>
      <c r="P82" s="724"/>
      <c r="Q82" s="725">
        <f t="shared" si="39"/>
        <v>0</v>
      </c>
      <c r="R82" s="725"/>
      <c r="S82" s="725"/>
      <c r="T82" s="725"/>
      <c r="U82" s="724"/>
    </row>
    <row r="83" s="699" customFormat="1" customHeight="1" outlineLevel="3" spans="1:21">
      <c r="A83" s="724" t="s">
        <v>344</v>
      </c>
      <c r="B83" s="728" t="s">
        <v>345</v>
      </c>
      <c r="C83" s="725">
        <f t="shared" si="40"/>
        <v>0</v>
      </c>
      <c r="D83" s="725">
        <v>0</v>
      </c>
      <c r="E83" s="725">
        <f t="shared" ref="E83:E146" si="45">+D83*10000</f>
        <v>0</v>
      </c>
      <c r="F83" s="724" t="s">
        <v>762</v>
      </c>
      <c r="G83" s="724"/>
      <c r="H83" s="725">
        <f t="shared" si="41"/>
        <v>0</v>
      </c>
      <c r="I83" s="725">
        <f>SUMPRODUCT(ISNUMBER(FIND(B83,'表2-合同及付款台账'!$B$5:$B$104))*'表2-合同及付款台账'!$G$5:$G$104)</f>
        <v>0</v>
      </c>
      <c r="J83" s="725">
        <f>SUMPRODUCT(ISNUMBER(FIND(B83,'表1-签证变更'!$B$5:$B$64))*'表1-签证变更'!$G$5:$G$64)</f>
        <v>0</v>
      </c>
      <c r="K83" s="725">
        <f t="shared" si="42"/>
        <v>0</v>
      </c>
      <c r="L83" s="725">
        <f>SUMPRODUCT(ISNUMBER(FIND(B83,'表2-合同及付款台账'!$B$5:$B$104))*'表2-合同及付款台账'!$M$5:$M$104)</f>
        <v>0</v>
      </c>
      <c r="M83" s="725">
        <f t="shared" si="43"/>
        <v>0</v>
      </c>
      <c r="N83" s="725">
        <f t="shared" si="44"/>
        <v>0</v>
      </c>
      <c r="O83" s="742" t="s">
        <v>223</v>
      </c>
      <c r="P83" s="724"/>
      <c r="Q83" s="725">
        <f t="shared" si="39"/>
        <v>0</v>
      </c>
      <c r="R83" s="725"/>
      <c r="S83" s="725"/>
      <c r="T83" s="725"/>
      <c r="U83" s="724"/>
    </row>
    <row r="84" s="699" customFormat="1" customHeight="1" outlineLevel="3" spans="1:21">
      <c r="A84" s="724" t="s">
        <v>346</v>
      </c>
      <c r="B84" s="734" t="s">
        <v>347</v>
      </c>
      <c r="C84" s="725">
        <f t="shared" si="40"/>
        <v>0</v>
      </c>
      <c r="D84" s="725">
        <v>0</v>
      </c>
      <c r="E84" s="725">
        <f t="shared" si="45"/>
        <v>0</v>
      </c>
      <c r="F84" s="724" t="s">
        <v>762</v>
      </c>
      <c r="G84" s="724"/>
      <c r="H84" s="725">
        <f t="shared" si="41"/>
        <v>0</v>
      </c>
      <c r="I84" s="725">
        <f>SUMPRODUCT(ISNUMBER(FIND(B84,'表2-合同及付款台账'!$B$5:$B$104))*'表2-合同及付款台账'!$G$5:$G$104)</f>
        <v>0</v>
      </c>
      <c r="J84" s="725">
        <f>SUMPRODUCT(ISNUMBER(FIND(B84,'表1-签证变更'!$B$5:$B$64))*'表1-签证变更'!$G$5:$G$64)</f>
        <v>0</v>
      </c>
      <c r="K84" s="725">
        <f t="shared" si="42"/>
        <v>0</v>
      </c>
      <c r="L84" s="725">
        <f>SUMPRODUCT(ISNUMBER(FIND(B84,'表2-合同及付款台账'!$B$5:$B$104))*'表2-合同及付款台账'!$M$5:$M$104)</f>
        <v>0</v>
      </c>
      <c r="M84" s="725">
        <f t="shared" si="43"/>
        <v>0</v>
      </c>
      <c r="N84" s="725">
        <f t="shared" si="44"/>
        <v>0</v>
      </c>
      <c r="O84" s="742" t="s">
        <v>223</v>
      </c>
      <c r="P84" s="724"/>
      <c r="Q84" s="725">
        <f t="shared" si="39"/>
        <v>0</v>
      </c>
      <c r="R84" s="725"/>
      <c r="S84" s="725"/>
      <c r="T84" s="725"/>
      <c r="U84" s="724"/>
    </row>
    <row r="85" s="699" customFormat="1" customHeight="1" outlineLevel="3" spans="1:21">
      <c r="A85" s="724" t="s">
        <v>348</v>
      </c>
      <c r="B85" s="728" t="s">
        <v>349</v>
      </c>
      <c r="C85" s="725">
        <f t="shared" si="40"/>
        <v>0</v>
      </c>
      <c r="D85" s="725">
        <v>0</v>
      </c>
      <c r="E85" s="725">
        <f t="shared" si="45"/>
        <v>0</v>
      </c>
      <c r="F85" s="724" t="s">
        <v>762</v>
      </c>
      <c r="G85" s="724"/>
      <c r="H85" s="725">
        <f t="shared" si="41"/>
        <v>0</v>
      </c>
      <c r="I85" s="725">
        <f>SUMPRODUCT(ISNUMBER(FIND(B85,'表2-合同及付款台账'!$B$5:$B$104))*'表2-合同及付款台账'!$G$5:$G$104)</f>
        <v>0</v>
      </c>
      <c r="J85" s="725">
        <f>SUMPRODUCT(ISNUMBER(FIND(B85,'表1-签证变更'!$B$5:$B$64))*'表1-签证变更'!$G$5:$G$64)</f>
        <v>0</v>
      </c>
      <c r="K85" s="725">
        <f t="shared" si="42"/>
        <v>0</v>
      </c>
      <c r="L85" s="725">
        <f>SUMPRODUCT(ISNUMBER(FIND(B85,'表2-合同及付款台账'!$B$5:$B$104))*'表2-合同及付款台账'!$M$5:$M$104)</f>
        <v>0</v>
      </c>
      <c r="M85" s="725">
        <f t="shared" si="43"/>
        <v>0</v>
      </c>
      <c r="N85" s="725">
        <f t="shared" si="44"/>
        <v>0</v>
      </c>
      <c r="O85" s="742" t="s">
        <v>223</v>
      </c>
      <c r="P85" s="724"/>
      <c r="Q85" s="725">
        <f t="shared" si="39"/>
        <v>0</v>
      </c>
      <c r="R85" s="725"/>
      <c r="S85" s="725"/>
      <c r="T85" s="725"/>
      <c r="U85" s="724"/>
    </row>
    <row r="86" s="699" customFormat="1" customHeight="1" outlineLevel="3" spans="1:21">
      <c r="A86" s="724" t="s">
        <v>350</v>
      </c>
      <c r="B86" s="728" t="s">
        <v>351</v>
      </c>
      <c r="C86" s="725">
        <f t="shared" si="40"/>
        <v>11.3479946622395</v>
      </c>
      <c r="D86" s="725">
        <v>81</v>
      </c>
      <c r="E86" s="725">
        <f t="shared" si="45"/>
        <v>810000</v>
      </c>
      <c r="F86" s="724" t="s">
        <v>757</v>
      </c>
      <c r="G86" s="724" t="s">
        <v>759</v>
      </c>
      <c r="H86" s="725">
        <f t="shared" si="41"/>
        <v>810000</v>
      </c>
      <c r="I86" s="725">
        <f>SUMPRODUCT(ISNUMBER(FIND(B86,'表2-合同及付款台账'!$B$5:$B$104))*'表2-合同及付款台账'!$G$5:$G$104)</f>
        <v>656700</v>
      </c>
      <c r="J86" s="725">
        <f>SUMPRODUCT(ISNUMBER(FIND(B86,'表1-签证变更'!$B$5:$B$64))*'表1-签证变更'!$G$5:$G$64)</f>
        <v>0</v>
      </c>
      <c r="K86" s="725">
        <f t="shared" si="42"/>
        <v>153300</v>
      </c>
      <c r="L86" s="725">
        <f>SUMPRODUCT(ISNUMBER(FIND(B86,'表2-合同及付款台账'!$B$5:$B$104))*'表2-合同及付款台账'!$M$5:$M$104)</f>
        <v>0</v>
      </c>
      <c r="M86" s="725">
        <f t="shared" si="43"/>
        <v>810000</v>
      </c>
      <c r="N86" s="725">
        <f t="shared" si="44"/>
        <v>0</v>
      </c>
      <c r="O86" s="742" t="s">
        <v>766</v>
      </c>
      <c r="P86" s="724"/>
      <c r="Q86" s="725">
        <f t="shared" si="39"/>
        <v>0</v>
      </c>
      <c r="R86" s="725"/>
      <c r="S86" s="725"/>
      <c r="T86" s="725"/>
      <c r="U86" s="724"/>
    </row>
    <row r="87" s="699" customFormat="1" customHeight="1" outlineLevel="3" spans="1:21">
      <c r="A87" s="724" t="s">
        <v>353</v>
      </c>
      <c r="B87" s="734" t="s">
        <v>354</v>
      </c>
      <c r="C87" s="725">
        <f t="shared" si="40"/>
        <v>1.40098699533822</v>
      </c>
      <c r="D87" s="725">
        <v>10</v>
      </c>
      <c r="E87" s="725">
        <f t="shared" si="45"/>
        <v>100000</v>
      </c>
      <c r="F87" s="724" t="s">
        <v>760</v>
      </c>
      <c r="G87" s="724"/>
      <c r="H87" s="725">
        <f t="shared" si="41"/>
        <v>100000</v>
      </c>
      <c r="I87" s="725">
        <f>SUMPRODUCT(ISNUMBER(FIND(B87,'表2-合同及付款台账'!$B$5:$B$104))*'表2-合同及付款台账'!$G$5:$G$104)</f>
        <v>0</v>
      </c>
      <c r="J87" s="725">
        <f>SUMPRODUCT(ISNUMBER(FIND(B87,'表1-签证变更'!$B$5:$B$64))*'表1-签证变更'!$G$5:$G$64)</f>
        <v>0</v>
      </c>
      <c r="K87" s="725">
        <f t="shared" si="42"/>
        <v>100000</v>
      </c>
      <c r="L87" s="725">
        <f>SUMPRODUCT(ISNUMBER(FIND(B87,'表2-合同及付款台账'!$B$5:$B$104))*'表2-合同及付款台账'!$M$5:$M$104)</f>
        <v>0</v>
      </c>
      <c r="M87" s="725">
        <f t="shared" si="43"/>
        <v>100000</v>
      </c>
      <c r="N87" s="725">
        <f t="shared" si="44"/>
        <v>0</v>
      </c>
      <c r="O87" s="742" t="s">
        <v>355</v>
      </c>
      <c r="P87" s="724"/>
      <c r="Q87" s="725">
        <f t="shared" si="39"/>
        <v>0</v>
      </c>
      <c r="R87" s="725"/>
      <c r="S87" s="725"/>
      <c r="T87" s="725"/>
      <c r="U87" s="724"/>
    </row>
    <row r="88" s="699" customFormat="1" customHeight="1" outlineLevel="3" spans="1:21">
      <c r="A88" s="724" t="s">
        <v>356</v>
      </c>
      <c r="B88" s="734" t="s">
        <v>357</v>
      </c>
      <c r="C88" s="725">
        <f t="shared" si="40"/>
        <v>0</v>
      </c>
      <c r="D88" s="725">
        <v>0</v>
      </c>
      <c r="E88" s="725">
        <f t="shared" si="45"/>
        <v>0</v>
      </c>
      <c r="F88" s="724" t="s">
        <v>762</v>
      </c>
      <c r="G88" s="724"/>
      <c r="H88" s="725">
        <f t="shared" si="41"/>
        <v>0</v>
      </c>
      <c r="I88" s="725">
        <f>SUMPRODUCT(ISNUMBER(FIND(B88,'表2-合同及付款台账'!$B$5:$B$104))*'表2-合同及付款台账'!$G$5:$G$104)</f>
        <v>0</v>
      </c>
      <c r="J88" s="725">
        <f>SUMPRODUCT(ISNUMBER(FIND(B88,'表1-签证变更'!$B$5:$B$64))*'表1-签证变更'!$G$5:$G$64)</f>
        <v>0</v>
      </c>
      <c r="K88" s="725">
        <f t="shared" si="42"/>
        <v>0</v>
      </c>
      <c r="L88" s="725">
        <f>SUMPRODUCT(ISNUMBER(FIND(B88,'表2-合同及付款台账'!$B$5:$B$104))*'表2-合同及付款台账'!$M$5:$M$104)</f>
        <v>0</v>
      </c>
      <c r="M88" s="725">
        <f t="shared" si="43"/>
        <v>0</v>
      </c>
      <c r="N88" s="725">
        <f t="shared" si="44"/>
        <v>0</v>
      </c>
      <c r="O88" s="742" t="s">
        <v>223</v>
      </c>
      <c r="P88" s="724"/>
      <c r="Q88" s="725">
        <f t="shared" si="39"/>
        <v>0</v>
      </c>
      <c r="R88" s="725"/>
      <c r="S88" s="725"/>
      <c r="T88" s="725"/>
      <c r="U88" s="724"/>
    </row>
    <row r="89" s="699" customFormat="1" ht="22.5" outlineLevel="3" spans="1:21">
      <c r="A89" s="724" t="s">
        <v>358</v>
      </c>
      <c r="B89" s="734" t="s">
        <v>359</v>
      </c>
      <c r="C89" s="725">
        <f t="shared" si="40"/>
        <v>0.72</v>
      </c>
      <c r="D89" s="725">
        <v>5.139234</v>
      </c>
      <c r="E89" s="725">
        <f t="shared" si="45"/>
        <v>51392.34</v>
      </c>
      <c r="F89" s="724" t="s">
        <v>760</v>
      </c>
      <c r="G89" s="724"/>
      <c r="H89" s="725">
        <f t="shared" si="41"/>
        <v>51392.34</v>
      </c>
      <c r="I89" s="725">
        <f>SUMPRODUCT(ISNUMBER(FIND(B89,'表2-合同及付款台账'!$B$5:$B$104))*'表2-合同及付款台账'!$G$5:$G$104)</f>
        <v>0</v>
      </c>
      <c r="J89" s="725">
        <f>SUMPRODUCT(ISNUMBER(FIND(B89,'表1-签证变更'!$B$5:$B$64))*'表1-签证变更'!$G$5:$G$64)</f>
        <v>0</v>
      </c>
      <c r="K89" s="725">
        <f t="shared" si="42"/>
        <v>51392.34</v>
      </c>
      <c r="L89" s="725">
        <f>SUMPRODUCT(ISNUMBER(FIND(B89,'表2-合同及付款台账'!$B$5:$B$104))*'表2-合同及付款台账'!$M$5:$M$104)</f>
        <v>0</v>
      </c>
      <c r="M89" s="725">
        <f t="shared" si="43"/>
        <v>51392.34</v>
      </c>
      <c r="N89" s="725">
        <f t="shared" si="44"/>
        <v>0</v>
      </c>
      <c r="O89" s="742" t="s">
        <v>360</v>
      </c>
      <c r="P89" s="724"/>
      <c r="Q89" s="725">
        <f t="shared" si="39"/>
        <v>0</v>
      </c>
      <c r="R89" s="725"/>
      <c r="S89" s="725"/>
      <c r="T89" s="725"/>
      <c r="U89" s="724"/>
    </row>
    <row r="90" s="701" customFormat="1" customHeight="1" outlineLevel="2" spans="1:21">
      <c r="A90" s="731" t="s">
        <v>361</v>
      </c>
      <c r="B90" s="732" t="s">
        <v>362</v>
      </c>
      <c r="C90" s="733">
        <f t="shared" si="40"/>
        <v>0</v>
      </c>
      <c r="D90" s="733">
        <v>0</v>
      </c>
      <c r="E90" s="733">
        <f t="shared" si="45"/>
        <v>0</v>
      </c>
      <c r="F90" s="731" t="s">
        <v>756</v>
      </c>
      <c r="G90" s="731"/>
      <c r="H90" s="733"/>
      <c r="I90" s="733"/>
      <c r="J90" s="733"/>
      <c r="K90" s="733"/>
      <c r="L90" s="733"/>
      <c r="M90" s="733"/>
      <c r="N90" s="733"/>
      <c r="O90" s="749"/>
      <c r="P90" s="731"/>
      <c r="Q90" s="733">
        <f t="shared" si="39"/>
        <v>0</v>
      </c>
      <c r="R90" s="733"/>
      <c r="S90" s="733"/>
      <c r="T90" s="733"/>
      <c r="U90" s="731"/>
    </row>
    <row r="91" s="699" customFormat="1" customHeight="1" outlineLevel="3" spans="1:21">
      <c r="A91" s="724" t="s">
        <v>363</v>
      </c>
      <c r="B91" s="728" t="s">
        <v>364</v>
      </c>
      <c r="C91" s="725">
        <f t="shared" si="40"/>
        <v>0</v>
      </c>
      <c r="D91" s="725">
        <v>0</v>
      </c>
      <c r="E91" s="725">
        <f t="shared" si="45"/>
        <v>0</v>
      </c>
      <c r="F91" s="724" t="s">
        <v>762</v>
      </c>
      <c r="G91" s="724"/>
      <c r="H91" s="725">
        <f t="shared" ref="H91:H94" si="46">+I91+J91+K91</f>
        <v>0</v>
      </c>
      <c r="I91" s="725">
        <f>SUMPRODUCT(ISNUMBER(FIND(B91,'表2-合同及付款台账'!$B$5:$B$104))*'表2-合同及付款台账'!$G$5:$G$104)</f>
        <v>0</v>
      </c>
      <c r="J91" s="725">
        <f>SUMPRODUCT(ISNUMBER(FIND(B91,'表1-签证变更'!$B$5:$B$64))*'表1-签证变更'!$G$5:$G$64)</f>
        <v>0</v>
      </c>
      <c r="K91" s="725">
        <f t="shared" ref="K91:K94" si="47">+E91-I91-J91</f>
        <v>0</v>
      </c>
      <c r="L91" s="725">
        <f>SUMPRODUCT(ISNUMBER(FIND(B91,'表2-合同及付款台账'!$B$5:$B$104))*'表2-合同及付款台账'!$M$5:$M$104)</f>
        <v>0</v>
      </c>
      <c r="M91" s="725">
        <f t="shared" ref="M91:M94" si="48">+E91</f>
        <v>0</v>
      </c>
      <c r="N91" s="725">
        <f t="shared" ref="N91:N94" si="49">+E91-M91</f>
        <v>0</v>
      </c>
      <c r="O91" s="742" t="s">
        <v>223</v>
      </c>
      <c r="P91" s="724"/>
      <c r="Q91" s="725">
        <f t="shared" si="39"/>
        <v>0</v>
      </c>
      <c r="R91" s="725"/>
      <c r="S91" s="725"/>
      <c r="T91" s="725"/>
      <c r="U91" s="724"/>
    </row>
    <row r="92" s="699" customFormat="1" customHeight="1" outlineLevel="3" spans="1:21">
      <c r="A92" s="724" t="s">
        <v>365</v>
      </c>
      <c r="B92" s="728" t="s">
        <v>366</v>
      </c>
      <c r="C92" s="725">
        <f t="shared" si="40"/>
        <v>0.700493497669108</v>
      </c>
      <c r="D92" s="725">
        <v>5</v>
      </c>
      <c r="E92" s="725">
        <f t="shared" si="45"/>
        <v>50000</v>
      </c>
      <c r="F92" s="724" t="s">
        <v>760</v>
      </c>
      <c r="G92" s="724"/>
      <c r="H92" s="725">
        <f t="shared" si="46"/>
        <v>50000</v>
      </c>
      <c r="I92" s="725">
        <f>SUMPRODUCT(ISNUMBER(FIND(B92,'表2-合同及付款台账'!$B$5:$B$104))*'表2-合同及付款台账'!$G$5:$G$104)</f>
        <v>0</v>
      </c>
      <c r="J92" s="725">
        <f>SUMPRODUCT(ISNUMBER(FIND(B92,'表1-签证变更'!$B$5:$B$64))*'表1-签证变更'!$G$5:$G$64)</f>
        <v>0</v>
      </c>
      <c r="K92" s="725">
        <f t="shared" si="47"/>
        <v>50000</v>
      </c>
      <c r="L92" s="725">
        <f>SUMPRODUCT(ISNUMBER(FIND(B92,'表2-合同及付款台账'!$B$5:$B$104))*'表2-合同及付款台账'!$M$5:$M$104)</f>
        <v>0</v>
      </c>
      <c r="M92" s="725">
        <f t="shared" si="48"/>
        <v>50000</v>
      </c>
      <c r="N92" s="725">
        <f t="shared" si="49"/>
        <v>0</v>
      </c>
      <c r="O92" s="742" t="s">
        <v>367</v>
      </c>
      <c r="P92" s="724"/>
      <c r="Q92" s="725">
        <f t="shared" si="39"/>
        <v>0</v>
      </c>
      <c r="R92" s="725"/>
      <c r="S92" s="725"/>
      <c r="T92" s="725"/>
      <c r="U92" s="724"/>
    </row>
    <row r="93" s="699" customFormat="1" ht="38" customHeight="1" outlineLevel="3" spans="1:21">
      <c r="A93" s="724" t="s">
        <v>368</v>
      </c>
      <c r="B93" s="734" t="s">
        <v>369</v>
      </c>
      <c r="C93" s="725">
        <f t="shared" si="40"/>
        <v>0.12</v>
      </c>
      <c r="D93" s="725">
        <v>0.856539</v>
      </c>
      <c r="E93" s="725">
        <f t="shared" si="45"/>
        <v>8565.39</v>
      </c>
      <c r="F93" s="724" t="s">
        <v>757</v>
      </c>
      <c r="G93" s="724" t="s">
        <v>759</v>
      </c>
      <c r="H93" s="725">
        <f t="shared" si="46"/>
        <v>8565.39</v>
      </c>
      <c r="I93" s="725">
        <f>SUMPRODUCT(ISNUMBER(FIND(B93,'表2-合同及付款台账'!$B$5:$B$104))*'表2-合同及付款台账'!$G$5:$G$104)</f>
        <v>5000</v>
      </c>
      <c r="J93" s="725">
        <f>SUMPRODUCT(ISNUMBER(FIND(B93,'表1-签证变更'!$B$5:$B$64))*'表1-签证变更'!$G$5:$G$64)</f>
        <v>0</v>
      </c>
      <c r="K93" s="725">
        <f t="shared" si="47"/>
        <v>3565.39</v>
      </c>
      <c r="L93" s="725">
        <f>SUMPRODUCT(ISNUMBER(FIND(B93,'表2-合同及付款台账'!$B$5:$B$104))*'表2-合同及付款台账'!$M$5:$M$104)</f>
        <v>5000</v>
      </c>
      <c r="M93" s="725">
        <f t="shared" si="48"/>
        <v>8565.39</v>
      </c>
      <c r="N93" s="725">
        <f t="shared" si="49"/>
        <v>0</v>
      </c>
      <c r="O93" s="742" t="s">
        <v>767</v>
      </c>
      <c r="P93" s="724"/>
      <c r="Q93" s="725">
        <f t="shared" si="39"/>
        <v>0</v>
      </c>
      <c r="R93" s="725"/>
      <c r="S93" s="725"/>
      <c r="T93" s="725"/>
      <c r="U93" s="724"/>
    </row>
    <row r="94" s="699" customFormat="1" ht="180" outlineLevel="3" spans="1:21">
      <c r="A94" s="724" t="s">
        <v>371</v>
      </c>
      <c r="B94" s="728" t="s">
        <v>372</v>
      </c>
      <c r="C94" s="725">
        <f t="shared" si="40"/>
        <v>3.27782328650534</v>
      </c>
      <c r="D94" s="725">
        <v>23.396529</v>
      </c>
      <c r="E94" s="725">
        <f t="shared" si="45"/>
        <v>233965.29</v>
      </c>
      <c r="F94" s="724" t="s">
        <v>757</v>
      </c>
      <c r="G94" s="724" t="s">
        <v>759</v>
      </c>
      <c r="H94" s="725">
        <f t="shared" si="46"/>
        <v>233965.29</v>
      </c>
      <c r="I94" s="725">
        <f>SUMPRODUCT(ISNUMBER(FIND(B94,'表2-合同及付款台账'!$B$5:$B$104))*'表2-合同及付款台账'!$G$5:$G$104)</f>
        <v>116367.58</v>
      </c>
      <c r="J94" s="725">
        <f>SUMPRODUCT(ISNUMBER(FIND(B94,'表1-签证变更'!$B$5:$B$64))*'表1-签证变更'!$G$5:$G$64)</f>
        <v>0</v>
      </c>
      <c r="K94" s="725">
        <f t="shared" si="47"/>
        <v>117597.71</v>
      </c>
      <c r="L94" s="725">
        <f>SUMPRODUCT(ISNUMBER(FIND(B94,'表2-合同及付款台账'!$B$5:$B$104))*'表2-合同及付款台账'!$M$5:$M$104)</f>
        <v>0</v>
      </c>
      <c r="M94" s="725">
        <f t="shared" si="48"/>
        <v>233965.29</v>
      </c>
      <c r="N94" s="725">
        <f t="shared" si="49"/>
        <v>0</v>
      </c>
      <c r="O94" s="742" t="s">
        <v>373</v>
      </c>
      <c r="P94" s="724"/>
      <c r="Q94" s="725">
        <f t="shared" si="39"/>
        <v>0</v>
      </c>
      <c r="R94" s="725"/>
      <c r="S94" s="725"/>
      <c r="T94" s="725"/>
      <c r="U94" s="724"/>
    </row>
    <row r="95" s="701" customFormat="1" customHeight="1" outlineLevel="2" spans="1:21">
      <c r="A95" s="731" t="s">
        <v>374</v>
      </c>
      <c r="B95" s="732" t="s">
        <v>375</v>
      </c>
      <c r="C95" s="733">
        <f t="shared" si="40"/>
        <v>0</v>
      </c>
      <c r="D95" s="733">
        <v>0</v>
      </c>
      <c r="E95" s="733">
        <f t="shared" si="45"/>
        <v>0</v>
      </c>
      <c r="F95" s="731" t="s">
        <v>756</v>
      </c>
      <c r="G95" s="731"/>
      <c r="H95" s="733"/>
      <c r="I95" s="733"/>
      <c r="J95" s="733"/>
      <c r="K95" s="733"/>
      <c r="L95" s="733"/>
      <c r="M95" s="733"/>
      <c r="N95" s="733"/>
      <c r="O95" s="749"/>
      <c r="P95" s="731"/>
      <c r="Q95" s="733">
        <f t="shared" si="39"/>
        <v>0</v>
      </c>
      <c r="R95" s="733"/>
      <c r="S95" s="733"/>
      <c r="T95" s="733"/>
      <c r="U95" s="731"/>
    </row>
    <row r="96" s="699" customFormat="1" ht="30" customHeight="1" outlineLevel="3" spans="1:21">
      <c r="A96" s="724" t="s">
        <v>376</v>
      </c>
      <c r="B96" s="728" t="s">
        <v>377</v>
      </c>
      <c r="C96" s="725">
        <f t="shared" si="40"/>
        <v>0</v>
      </c>
      <c r="D96" s="725">
        <v>0</v>
      </c>
      <c r="E96" s="725">
        <f t="shared" si="45"/>
        <v>0</v>
      </c>
      <c r="F96" s="724" t="s">
        <v>757</v>
      </c>
      <c r="G96" s="724"/>
      <c r="H96" s="725">
        <f t="shared" ref="H96:H115" si="50">+I96+J96+K96</f>
        <v>0</v>
      </c>
      <c r="I96" s="725">
        <f>SUMPRODUCT(ISNUMBER(FIND(B96,'表2-合同及付款台账'!$B$5:$B$104))*'表2-合同及付款台账'!$G$5:$G$104)</f>
        <v>0</v>
      </c>
      <c r="J96" s="725">
        <f>SUMPRODUCT(ISNUMBER(FIND(B96,'表1-签证变更'!$B$5:$B$64))*'表1-签证变更'!$G$5:$G$64)</f>
        <v>0</v>
      </c>
      <c r="K96" s="725">
        <f t="shared" ref="K96:K107" si="51">+E96-I96-J96</f>
        <v>0</v>
      </c>
      <c r="L96" s="725">
        <f>SUMPRODUCT(ISNUMBER(FIND(B96,'表2-合同及付款台账'!$B$5:$B$104))*'表2-合同及付款台账'!$M$5:$M$104)</f>
        <v>0</v>
      </c>
      <c r="M96" s="725">
        <f t="shared" ref="M96:M107" si="52">+E96</f>
        <v>0</v>
      </c>
      <c r="N96" s="725">
        <f t="shared" ref="N96:N107" si="53">+E96-M96</f>
        <v>0</v>
      </c>
      <c r="O96" s="742" t="s">
        <v>378</v>
      </c>
      <c r="P96" s="724"/>
      <c r="Q96" s="725">
        <f t="shared" si="39"/>
        <v>0</v>
      </c>
      <c r="R96" s="725"/>
      <c r="S96" s="725"/>
      <c r="T96" s="725"/>
      <c r="U96" s="724"/>
    </row>
    <row r="97" s="699" customFormat="1" ht="30" customHeight="1" outlineLevel="3" spans="1:21">
      <c r="A97" s="724" t="s">
        <v>379</v>
      </c>
      <c r="B97" s="728" t="s">
        <v>380</v>
      </c>
      <c r="C97" s="725">
        <f t="shared" si="40"/>
        <v>0</v>
      </c>
      <c r="D97" s="725">
        <v>0</v>
      </c>
      <c r="E97" s="725">
        <f t="shared" si="45"/>
        <v>0</v>
      </c>
      <c r="F97" s="724" t="s">
        <v>757</v>
      </c>
      <c r="G97" s="724"/>
      <c r="H97" s="725">
        <f t="shared" si="50"/>
        <v>0</v>
      </c>
      <c r="I97" s="725">
        <f>SUMPRODUCT(ISNUMBER(FIND(B97,'表2-合同及付款台账'!$B$5:$B$104))*'表2-合同及付款台账'!$G$5:$G$104)</f>
        <v>0</v>
      </c>
      <c r="J97" s="725">
        <f>SUMPRODUCT(ISNUMBER(FIND(B97,'表1-签证变更'!$B$5:$B$64))*'表1-签证变更'!$G$5:$G$64)</f>
        <v>0</v>
      </c>
      <c r="K97" s="725">
        <f t="shared" si="51"/>
        <v>0</v>
      </c>
      <c r="L97" s="725">
        <f>SUMPRODUCT(ISNUMBER(FIND(B97,'表2-合同及付款台账'!$B$5:$B$104))*'表2-合同及付款台账'!$M$5:$M$104)</f>
        <v>0</v>
      </c>
      <c r="M97" s="725">
        <f t="shared" si="52"/>
        <v>0</v>
      </c>
      <c r="N97" s="725">
        <f t="shared" si="53"/>
        <v>0</v>
      </c>
      <c r="O97" s="742" t="s">
        <v>378</v>
      </c>
      <c r="P97" s="724"/>
      <c r="Q97" s="725">
        <f t="shared" si="39"/>
        <v>0</v>
      </c>
      <c r="R97" s="725"/>
      <c r="S97" s="725"/>
      <c r="T97" s="725"/>
      <c r="U97" s="724"/>
    </row>
    <row r="98" s="699" customFormat="1" ht="30" customHeight="1" outlineLevel="3" spans="1:21">
      <c r="A98" s="724" t="s">
        <v>381</v>
      </c>
      <c r="B98" s="734" t="s">
        <v>382</v>
      </c>
      <c r="C98" s="725">
        <f t="shared" si="40"/>
        <v>0</v>
      </c>
      <c r="D98" s="725">
        <v>0</v>
      </c>
      <c r="E98" s="725">
        <f t="shared" si="45"/>
        <v>0</v>
      </c>
      <c r="F98" s="724" t="s">
        <v>757</v>
      </c>
      <c r="G98" s="724"/>
      <c r="H98" s="725">
        <f t="shared" si="50"/>
        <v>0</v>
      </c>
      <c r="I98" s="725">
        <f>SUMPRODUCT(ISNUMBER(FIND(B98,'表2-合同及付款台账'!$B$5:$B$104))*'表2-合同及付款台账'!$G$5:$G$104)</f>
        <v>0</v>
      </c>
      <c r="J98" s="725">
        <f>SUMPRODUCT(ISNUMBER(FIND(B98,'表1-签证变更'!$B$5:$B$64))*'表1-签证变更'!$G$5:$G$64)</f>
        <v>0</v>
      </c>
      <c r="K98" s="725">
        <f t="shared" si="51"/>
        <v>0</v>
      </c>
      <c r="L98" s="725">
        <f>SUMPRODUCT(ISNUMBER(FIND(B98,'表2-合同及付款台账'!$B$5:$B$104))*'表2-合同及付款台账'!$M$5:$M$104)</f>
        <v>0</v>
      </c>
      <c r="M98" s="725">
        <f t="shared" si="52"/>
        <v>0</v>
      </c>
      <c r="N98" s="725">
        <f t="shared" si="53"/>
        <v>0</v>
      </c>
      <c r="O98" s="742" t="s">
        <v>378</v>
      </c>
      <c r="P98" s="724"/>
      <c r="Q98" s="725">
        <f t="shared" si="39"/>
        <v>0</v>
      </c>
      <c r="R98" s="725"/>
      <c r="S98" s="725"/>
      <c r="T98" s="725"/>
      <c r="U98" s="724"/>
    </row>
    <row r="99" s="699" customFormat="1" ht="30" customHeight="1" outlineLevel="3" spans="1:21">
      <c r="A99" s="724" t="s">
        <v>383</v>
      </c>
      <c r="B99" s="734" t="s">
        <v>384</v>
      </c>
      <c r="C99" s="725">
        <f t="shared" si="40"/>
        <v>0</v>
      </c>
      <c r="D99" s="725">
        <v>0</v>
      </c>
      <c r="E99" s="725">
        <f t="shared" si="45"/>
        <v>0</v>
      </c>
      <c r="F99" s="724" t="s">
        <v>757</v>
      </c>
      <c r="G99" s="724"/>
      <c r="H99" s="725">
        <f t="shared" si="50"/>
        <v>0</v>
      </c>
      <c r="I99" s="725">
        <f>SUMPRODUCT(ISNUMBER(FIND(B99,'表2-合同及付款台账'!$B$5:$B$104))*'表2-合同及付款台账'!$G$5:$G$104)</f>
        <v>0</v>
      </c>
      <c r="J99" s="725">
        <f>SUMPRODUCT(ISNUMBER(FIND(B99,'表1-签证变更'!$B$5:$B$64))*'表1-签证变更'!$G$5:$G$64)</f>
        <v>0</v>
      </c>
      <c r="K99" s="725">
        <f t="shared" si="51"/>
        <v>0</v>
      </c>
      <c r="L99" s="725">
        <f>SUMPRODUCT(ISNUMBER(FIND(B99,'表2-合同及付款台账'!$B$5:$B$104))*'表2-合同及付款台账'!$M$5:$M$104)</f>
        <v>0</v>
      </c>
      <c r="M99" s="725">
        <f t="shared" si="52"/>
        <v>0</v>
      </c>
      <c r="N99" s="725">
        <f t="shared" si="53"/>
        <v>0</v>
      </c>
      <c r="O99" s="742" t="s">
        <v>378</v>
      </c>
      <c r="P99" s="724"/>
      <c r="Q99" s="725">
        <f t="shared" si="39"/>
        <v>0</v>
      </c>
      <c r="R99" s="725"/>
      <c r="S99" s="725"/>
      <c r="T99" s="725"/>
      <c r="U99" s="724"/>
    </row>
    <row r="100" s="699" customFormat="1" ht="30" customHeight="1" outlineLevel="3" spans="1:21">
      <c r="A100" s="724" t="s">
        <v>385</v>
      </c>
      <c r="B100" s="734" t="s">
        <v>386</v>
      </c>
      <c r="C100" s="725">
        <f t="shared" si="40"/>
        <v>0</v>
      </c>
      <c r="D100" s="725">
        <v>0</v>
      </c>
      <c r="E100" s="725">
        <f t="shared" si="45"/>
        <v>0</v>
      </c>
      <c r="F100" s="724" t="s">
        <v>757</v>
      </c>
      <c r="G100" s="724"/>
      <c r="H100" s="725">
        <f t="shared" si="50"/>
        <v>0</v>
      </c>
      <c r="I100" s="725">
        <f>SUMPRODUCT(ISNUMBER(FIND(B100,'表2-合同及付款台账'!$B$5:$B$104))*'表2-合同及付款台账'!$G$5:$G$104)</f>
        <v>0</v>
      </c>
      <c r="J100" s="725">
        <f>SUMPRODUCT(ISNUMBER(FIND(B100,'表1-签证变更'!$B$5:$B$64))*'表1-签证变更'!$G$5:$G$64)</f>
        <v>0</v>
      </c>
      <c r="K100" s="725">
        <f t="shared" si="51"/>
        <v>0</v>
      </c>
      <c r="L100" s="725">
        <f>SUMPRODUCT(ISNUMBER(FIND(B100,'表2-合同及付款台账'!$B$5:$B$104))*'表2-合同及付款台账'!$M$5:$M$104)</f>
        <v>0</v>
      </c>
      <c r="M100" s="725">
        <f t="shared" si="52"/>
        <v>0</v>
      </c>
      <c r="N100" s="725">
        <f t="shared" si="53"/>
        <v>0</v>
      </c>
      <c r="O100" s="742" t="s">
        <v>378</v>
      </c>
      <c r="P100" s="724"/>
      <c r="Q100" s="725">
        <f t="shared" si="39"/>
        <v>0</v>
      </c>
      <c r="R100" s="725"/>
      <c r="S100" s="725"/>
      <c r="T100" s="725"/>
      <c r="U100" s="724"/>
    </row>
    <row r="101" s="699" customFormat="1" ht="30" customHeight="1" outlineLevel="3" spans="1:21">
      <c r="A101" s="724" t="s">
        <v>387</v>
      </c>
      <c r="B101" s="734" t="s">
        <v>388</v>
      </c>
      <c r="C101" s="725">
        <f t="shared" si="40"/>
        <v>0</v>
      </c>
      <c r="D101" s="725">
        <v>0</v>
      </c>
      <c r="E101" s="725">
        <f t="shared" si="45"/>
        <v>0</v>
      </c>
      <c r="F101" s="724" t="s">
        <v>757</v>
      </c>
      <c r="G101" s="724"/>
      <c r="H101" s="725">
        <f t="shared" si="50"/>
        <v>0</v>
      </c>
      <c r="I101" s="725">
        <f>SUMPRODUCT(ISNUMBER(FIND(B101,'表2-合同及付款台账'!$B$5:$B$104))*'表2-合同及付款台账'!$G$5:$G$104)</f>
        <v>0</v>
      </c>
      <c r="J101" s="725">
        <f>SUMPRODUCT(ISNUMBER(FIND(B101,'表1-签证变更'!$B$5:$B$64))*'表1-签证变更'!$G$5:$G$64)</f>
        <v>0</v>
      </c>
      <c r="K101" s="725">
        <f t="shared" si="51"/>
        <v>0</v>
      </c>
      <c r="L101" s="725">
        <f>SUMPRODUCT(ISNUMBER(FIND(B101,'表2-合同及付款台账'!$B$5:$B$104))*'表2-合同及付款台账'!$M$5:$M$104)</f>
        <v>0</v>
      </c>
      <c r="M101" s="725">
        <f t="shared" si="52"/>
        <v>0</v>
      </c>
      <c r="N101" s="725">
        <f t="shared" si="53"/>
        <v>0</v>
      </c>
      <c r="O101" s="742" t="s">
        <v>378</v>
      </c>
      <c r="P101" s="724"/>
      <c r="Q101" s="725">
        <f t="shared" si="39"/>
        <v>0</v>
      </c>
      <c r="R101" s="725"/>
      <c r="S101" s="725"/>
      <c r="T101" s="725"/>
      <c r="U101" s="724"/>
    </row>
    <row r="102" s="699" customFormat="1" ht="30" customHeight="1" outlineLevel="3" spans="1:21">
      <c r="A102" s="724" t="s">
        <v>389</v>
      </c>
      <c r="B102" s="734" t="s">
        <v>390</v>
      </c>
      <c r="C102" s="725">
        <f t="shared" si="40"/>
        <v>0</v>
      </c>
      <c r="D102" s="725">
        <v>0</v>
      </c>
      <c r="E102" s="725">
        <f t="shared" si="45"/>
        <v>0</v>
      </c>
      <c r="F102" s="724" t="s">
        <v>757</v>
      </c>
      <c r="G102" s="724"/>
      <c r="H102" s="725">
        <f t="shared" si="50"/>
        <v>0</v>
      </c>
      <c r="I102" s="725">
        <f>SUMPRODUCT(ISNUMBER(FIND(B102,'表2-合同及付款台账'!$B$5:$B$104))*'表2-合同及付款台账'!$G$5:$G$104)</f>
        <v>0</v>
      </c>
      <c r="J102" s="725">
        <f>SUMPRODUCT(ISNUMBER(FIND(B102,'表1-签证变更'!$B$5:$B$64))*'表1-签证变更'!$G$5:$G$64)</f>
        <v>0</v>
      </c>
      <c r="K102" s="725">
        <f t="shared" si="51"/>
        <v>0</v>
      </c>
      <c r="L102" s="725">
        <f>SUMPRODUCT(ISNUMBER(FIND(B102,'表2-合同及付款台账'!$B$5:$B$104))*'表2-合同及付款台账'!$M$5:$M$104)</f>
        <v>0</v>
      </c>
      <c r="M102" s="725">
        <f t="shared" si="52"/>
        <v>0</v>
      </c>
      <c r="N102" s="725">
        <f t="shared" si="53"/>
        <v>0</v>
      </c>
      <c r="O102" s="742" t="s">
        <v>378</v>
      </c>
      <c r="P102" s="724"/>
      <c r="Q102" s="725">
        <f t="shared" si="39"/>
        <v>0</v>
      </c>
      <c r="R102" s="725"/>
      <c r="S102" s="725"/>
      <c r="T102" s="725"/>
      <c r="U102" s="724"/>
    </row>
    <row r="103" s="699" customFormat="1" ht="30" customHeight="1" outlineLevel="3" spans="1:21">
      <c r="A103" s="724" t="s">
        <v>391</v>
      </c>
      <c r="B103" s="734" t="s">
        <v>392</v>
      </c>
      <c r="C103" s="725">
        <f t="shared" si="40"/>
        <v>1.34494751552469</v>
      </c>
      <c r="D103" s="725">
        <v>9.6</v>
      </c>
      <c r="E103" s="725">
        <f t="shared" si="45"/>
        <v>96000</v>
      </c>
      <c r="F103" s="724" t="s">
        <v>760</v>
      </c>
      <c r="G103" s="724"/>
      <c r="H103" s="725">
        <f t="shared" si="50"/>
        <v>96000</v>
      </c>
      <c r="I103" s="725">
        <f>SUMPRODUCT(ISNUMBER(FIND(B103,'表2-合同及付款台账'!$B$5:$B$104))*'表2-合同及付款台账'!$G$5:$G$104)</f>
        <v>0</v>
      </c>
      <c r="J103" s="725">
        <f>SUMPRODUCT(ISNUMBER(FIND(B103,'表1-签证变更'!$B$5:$B$64))*'表1-签证变更'!$G$5:$G$64)</f>
        <v>0</v>
      </c>
      <c r="K103" s="725">
        <f t="shared" si="51"/>
        <v>96000</v>
      </c>
      <c r="L103" s="725">
        <f>SUMPRODUCT(ISNUMBER(FIND(B103,'表2-合同及付款台账'!$B$5:$B$104))*'表2-合同及付款台账'!$M$5:$M$104)</f>
        <v>0</v>
      </c>
      <c r="M103" s="725">
        <f t="shared" si="52"/>
        <v>96000</v>
      </c>
      <c r="N103" s="725">
        <f t="shared" si="53"/>
        <v>0</v>
      </c>
      <c r="O103" s="742" t="s">
        <v>393</v>
      </c>
      <c r="P103" s="724"/>
      <c r="Q103" s="725">
        <f t="shared" si="39"/>
        <v>0</v>
      </c>
      <c r="R103" s="725"/>
      <c r="S103" s="725"/>
      <c r="T103" s="725"/>
      <c r="U103" s="724"/>
    </row>
    <row r="104" s="699" customFormat="1" ht="30" customHeight="1" outlineLevel="3" spans="1:21">
      <c r="A104" s="724" t="s">
        <v>394</v>
      </c>
      <c r="B104" s="734" t="s">
        <v>395</v>
      </c>
      <c r="C104" s="725">
        <f t="shared" si="40"/>
        <v>1.92635711859005</v>
      </c>
      <c r="D104" s="725">
        <v>13.75</v>
      </c>
      <c r="E104" s="725">
        <f t="shared" si="45"/>
        <v>137500</v>
      </c>
      <c r="F104" s="724" t="s">
        <v>760</v>
      </c>
      <c r="G104" s="724"/>
      <c r="H104" s="725">
        <f t="shared" si="50"/>
        <v>137500</v>
      </c>
      <c r="I104" s="725">
        <f>SUMPRODUCT(ISNUMBER(FIND(B104,'表2-合同及付款台账'!$B$5:$B$104))*'表2-合同及付款台账'!$G$5:$G$104)</f>
        <v>0</v>
      </c>
      <c r="J104" s="725">
        <f>SUMPRODUCT(ISNUMBER(FIND(B104,'表1-签证变更'!$B$5:$B$64))*'表1-签证变更'!$G$5:$G$64)</f>
        <v>0</v>
      </c>
      <c r="K104" s="725">
        <f t="shared" si="51"/>
        <v>137500</v>
      </c>
      <c r="L104" s="725">
        <f>SUMPRODUCT(ISNUMBER(FIND(B104,'表2-合同及付款台账'!$B$5:$B$104))*'表2-合同及付款台账'!$M$5:$M$104)</f>
        <v>0</v>
      </c>
      <c r="M104" s="725">
        <f t="shared" si="52"/>
        <v>137500</v>
      </c>
      <c r="N104" s="725">
        <f t="shared" si="53"/>
        <v>0</v>
      </c>
      <c r="O104" s="742" t="s">
        <v>396</v>
      </c>
      <c r="P104" s="724"/>
      <c r="Q104" s="725">
        <f t="shared" si="39"/>
        <v>0</v>
      </c>
      <c r="R104" s="725"/>
      <c r="S104" s="725"/>
      <c r="T104" s="725"/>
      <c r="U104" s="724"/>
    </row>
    <row r="105" s="699" customFormat="1" ht="30" customHeight="1" outlineLevel="3" spans="1:21">
      <c r="A105" s="724" t="s">
        <v>397</v>
      </c>
      <c r="B105" s="728" t="s">
        <v>398</v>
      </c>
      <c r="C105" s="725">
        <f t="shared" si="40"/>
        <v>0.47</v>
      </c>
      <c r="D105" s="725">
        <v>3.35477775</v>
      </c>
      <c r="E105" s="725">
        <f t="shared" si="45"/>
        <v>33547.7775</v>
      </c>
      <c r="F105" s="724" t="s">
        <v>760</v>
      </c>
      <c r="G105" s="724"/>
      <c r="H105" s="725">
        <f t="shared" si="50"/>
        <v>33547.7775</v>
      </c>
      <c r="I105" s="725">
        <f>SUMPRODUCT(ISNUMBER(FIND(B105,'表2-合同及付款台账'!$B$5:$B$104))*'表2-合同及付款台账'!$G$5:$G$104)</f>
        <v>0</v>
      </c>
      <c r="J105" s="725">
        <f>SUMPRODUCT(ISNUMBER(FIND(B105,'表1-签证变更'!$B$5:$B$64))*'表1-签证变更'!$G$5:$G$64)</f>
        <v>0</v>
      </c>
      <c r="K105" s="725">
        <f t="shared" si="51"/>
        <v>33547.7775</v>
      </c>
      <c r="L105" s="725">
        <f>SUMPRODUCT(ISNUMBER(FIND(B105,'表2-合同及付款台账'!$B$5:$B$104))*'表2-合同及付款台账'!$M$5:$M$104)</f>
        <v>0</v>
      </c>
      <c r="M105" s="725">
        <f t="shared" si="52"/>
        <v>33547.7775</v>
      </c>
      <c r="N105" s="725">
        <f t="shared" si="53"/>
        <v>0</v>
      </c>
      <c r="O105" s="742" t="s">
        <v>399</v>
      </c>
      <c r="P105" s="724"/>
      <c r="Q105" s="725">
        <f t="shared" si="39"/>
        <v>0</v>
      </c>
      <c r="R105" s="725"/>
      <c r="S105" s="725"/>
      <c r="T105" s="725"/>
      <c r="U105" s="724"/>
    </row>
    <row r="106" s="699" customFormat="1" ht="30" customHeight="1" outlineLevel="3" spans="1:21">
      <c r="A106" s="724" t="s">
        <v>400</v>
      </c>
      <c r="B106" s="729" t="s">
        <v>401</v>
      </c>
      <c r="C106" s="725">
        <f t="shared" si="40"/>
        <v>0.280197399067643</v>
      </c>
      <c r="D106" s="725">
        <v>2</v>
      </c>
      <c r="E106" s="725">
        <f t="shared" si="45"/>
        <v>20000</v>
      </c>
      <c r="F106" s="724" t="s">
        <v>760</v>
      </c>
      <c r="G106" s="724"/>
      <c r="H106" s="725">
        <f t="shared" si="50"/>
        <v>20000</v>
      </c>
      <c r="I106" s="725">
        <f>SUMPRODUCT(ISNUMBER(FIND(B106,'表2-合同及付款台账'!$B$5:$B$104))*'表2-合同及付款台账'!$G$5:$G$104)</f>
        <v>0</v>
      </c>
      <c r="J106" s="725">
        <f>SUMPRODUCT(ISNUMBER(FIND(B106,'表1-签证变更'!$B$5:$B$64))*'表1-签证变更'!$G$5:$G$64)</f>
        <v>0</v>
      </c>
      <c r="K106" s="725">
        <f t="shared" si="51"/>
        <v>20000</v>
      </c>
      <c r="L106" s="725">
        <f>SUMPRODUCT(ISNUMBER(FIND(B106,'表2-合同及付款台账'!$B$5:$B$104))*'表2-合同及付款台账'!$M$5:$M$104)</f>
        <v>0</v>
      </c>
      <c r="M106" s="725">
        <f t="shared" si="52"/>
        <v>20000</v>
      </c>
      <c r="N106" s="725">
        <f t="shared" si="53"/>
        <v>0</v>
      </c>
      <c r="O106" s="742" t="s">
        <v>402</v>
      </c>
      <c r="P106" s="724"/>
      <c r="Q106" s="725">
        <f t="shared" si="39"/>
        <v>0</v>
      </c>
      <c r="R106" s="725"/>
      <c r="S106" s="725"/>
      <c r="T106" s="725"/>
      <c r="U106" s="724"/>
    </row>
    <row r="107" s="699" customFormat="1" ht="25" customHeight="1" outlineLevel="3" spans="1:21">
      <c r="A107" s="724" t="s">
        <v>403</v>
      </c>
      <c r="B107" s="728" t="s">
        <v>404</v>
      </c>
      <c r="C107" s="725">
        <f t="shared" si="40"/>
        <v>0</v>
      </c>
      <c r="D107" s="725">
        <v>0</v>
      </c>
      <c r="E107" s="725">
        <f t="shared" si="45"/>
        <v>0</v>
      </c>
      <c r="F107" s="724" t="s">
        <v>762</v>
      </c>
      <c r="G107" s="724"/>
      <c r="H107" s="725">
        <f t="shared" si="50"/>
        <v>0</v>
      </c>
      <c r="I107" s="725">
        <f>SUMPRODUCT(ISNUMBER(FIND(B107,'表2-合同及付款台账'!$B$5:$B$104))*'表2-合同及付款台账'!$G$5:$G$104)</f>
        <v>0</v>
      </c>
      <c r="J107" s="725">
        <f>SUMPRODUCT(ISNUMBER(FIND(B107,'表1-签证变更'!$B$5:$B$64))*'表1-签证变更'!$G$5:$G$64)</f>
        <v>0</v>
      </c>
      <c r="K107" s="725">
        <f t="shared" si="51"/>
        <v>0</v>
      </c>
      <c r="L107" s="725">
        <f>SUMPRODUCT(ISNUMBER(FIND(B107,'表2-合同及付款台账'!$B$5:$B$104))*'表2-合同及付款台账'!$M$5:$M$104)</f>
        <v>0</v>
      </c>
      <c r="M107" s="725">
        <f t="shared" si="52"/>
        <v>0</v>
      </c>
      <c r="N107" s="725">
        <f t="shared" si="53"/>
        <v>0</v>
      </c>
      <c r="O107" s="742" t="s">
        <v>405</v>
      </c>
      <c r="P107" s="724"/>
      <c r="Q107" s="725">
        <f t="shared" si="39"/>
        <v>0</v>
      </c>
      <c r="R107" s="725"/>
      <c r="S107" s="725"/>
      <c r="T107" s="725"/>
      <c r="U107" s="724"/>
    </row>
    <row r="108" s="701" customFormat="1" customHeight="1" outlineLevel="2" spans="1:21">
      <c r="A108" s="731" t="s">
        <v>406</v>
      </c>
      <c r="B108" s="732" t="s">
        <v>407</v>
      </c>
      <c r="C108" s="733">
        <f t="shared" si="40"/>
        <v>0</v>
      </c>
      <c r="D108" s="733">
        <v>0</v>
      </c>
      <c r="E108" s="733">
        <f t="shared" si="45"/>
        <v>0</v>
      </c>
      <c r="F108" s="731" t="s">
        <v>756</v>
      </c>
      <c r="G108" s="731"/>
      <c r="H108" s="733"/>
      <c r="I108" s="733"/>
      <c r="J108" s="733"/>
      <c r="K108" s="733"/>
      <c r="L108" s="733"/>
      <c r="M108" s="733"/>
      <c r="N108" s="733"/>
      <c r="O108" s="749"/>
      <c r="P108" s="731"/>
      <c r="Q108" s="733">
        <f t="shared" si="39"/>
        <v>0</v>
      </c>
      <c r="R108" s="733"/>
      <c r="S108" s="733"/>
      <c r="T108" s="733"/>
      <c r="U108" s="731"/>
    </row>
    <row r="109" s="699" customFormat="1" ht="30" customHeight="1" outlineLevel="3" spans="1:21">
      <c r="A109" s="724" t="s">
        <v>408</v>
      </c>
      <c r="B109" s="734" t="s">
        <v>409</v>
      </c>
      <c r="C109" s="725">
        <f t="shared" si="40"/>
        <v>0</v>
      </c>
      <c r="D109" s="725">
        <v>0</v>
      </c>
      <c r="E109" s="725">
        <f t="shared" si="45"/>
        <v>0</v>
      </c>
      <c r="F109" s="724" t="s">
        <v>762</v>
      </c>
      <c r="G109" s="724"/>
      <c r="H109" s="725">
        <f t="shared" si="50"/>
        <v>0</v>
      </c>
      <c r="I109" s="725">
        <f>SUMPRODUCT(ISNUMBER(FIND(B109,'表2-合同及付款台账'!$B$5:$B$104))*'表2-合同及付款台账'!$G$5:$G$104)</f>
        <v>0</v>
      </c>
      <c r="J109" s="725">
        <f>SUMPRODUCT(ISNUMBER(FIND(B109,'表1-签证变更'!$B$5:$B$64))*'表1-签证变更'!$G$5:$G$64)</f>
        <v>0</v>
      </c>
      <c r="K109" s="725">
        <f t="shared" ref="K109:K115" si="54">+E109-I109-J109</f>
        <v>0</v>
      </c>
      <c r="L109" s="725">
        <f>SUMPRODUCT(ISNUMBER(FIND(B109,'表2-合同及付款台账'!$B$5:$B$104))*'表2-合同及付款台账'!$M$5:$M$104)</f>
        <v>0</v>
      </c>
      <c r="M109" s="725">
        <f t="shared" ref="M109:M115" si="55">+E109</f>
        <v>0</v>
      </c>
      <c r="N109" s="725">
        <f t="shared" ref="N109:N115" si="56">+E109-M109</f>
        <v>0</v>
      </c>
      <c r="O109" s="742" t="s">
        <v>405</v>
      </c>
      <c r="P109" s="724"/>
      <c r="Q109" s="725">
        <f t="shared" si="39"/>
        <v>0</v>
      </c>
      <c r="R109" s="725"/>
      <c r="S109" s="725"/>
      <c r="T109" s="725"/>
      <c r="U109" s="724"/>
    </row>
    <row r="110" s="699" customFormat="1" ht="25" customHeight="1" outlineLevel="3" spans="1:21">
      <c r="A110" s="724" t="s">
        <v>410</v>
      </c>
      <c r="B110" s="728" t="s">
        <v>411</v>
      </c>
      <c r="C110" s="725">
        <f t="shared" si="40"/>
        <v>16.1113504463895</v>
      </c>
      <c r="D110" s="725">
        <v>115</v>
      </c>
      <c r="E110" s="725">
        <f t="shared" si="45"/>
        <v>1150000</v>
      </c>
      <c r="F110" s="724" t="s">
        <v>760</v>
      </c>
      <c r="G110" s="724"/>
      <c r="H110" s="725">
        <f t="shared" si="50"/>
        <v>1150000</v>
      </c>
      <c r="I110" s="725">
        <f>SUMPRODUCT(ISNUMBER(FIND(B110,'表2-合同及付款台账'!$B$5:$B$104))*'表2-合同及付款台账'!$G$5:$G$104)</f>
        <v>0</v>
      </c>
      <c r="J110" s="725">
        <f>SUMPRODUCT(ISNUMBER(FIND(B110,'表1-签证变更'!$B$5:$B$64))*'表1-签证变更'!$G$5:$G$64)</f>
        <v>0</v>
      </c>
      <c r="K110" s="725">
        <f t="shared" si="54"/>
        <v>1150000</v>
      </c>
      <c r="L110" s="725">
        <f>SUMPRODUCT(ISNUMBER(FIND(B110,'表2-合同及付款台账'!$B$5:$B$104))*'表2-合同及付款台账'!$M$5:$M$104)</f>
        <v>0</v>
      </c>
      <c r="M110" s="725">
        <f t="shared" si="55"/>
        <v>1150000</v>
      </c>
      <c r="N110" s="725">
        <f t="shared" si="56"/>
        <v>0</v>
      </c>
      <c r="O110" s="742" t="s">
        <v>412</v>
      </c>
      <c r="P110" s="724"/>
      <c r="Q110" s="725">
        <f t="shared" si="39"/>
        <v>0</v>
      </c>
      <c r="R110" s="725"/>
      <c r="S110" s="725"/>
      <c r="T110" s="725"/>
      <c r="U110" s="724"/>
    </row>
    <row r="111" s="699" customFormat="1" ht="25" customHeight="1" outlineLevel="3" spans="1:21">
      <c r="A111" s="724" t="s">
        <v>413</v>
      </c>
      <c r="B111" s="728" t="s">
        <v>414</v>
      </c>
      <c r="C111" s="725">
        <f t="shared" si="40"/>
        <v>0</v>
      </c>
      <c r="D111" s="725">
        <v>0</v>
      </c>
      <c r="E111" s="725">
        <f t="shared" si="45"/>
        <v>0</v>
      </c>
      <c r="F111" s="724" t="s">
        <v>762</v>
      </c>
      <c r="G111" s="724"/>
      <c r="H111" s="725">
        <f t="shared" si="50"/>
        <v>0</v>
      </c>
      <c r="I111" s="725">
        <f>SUMPRODUCT(ISNUMBER(FIND(B111,'表2-合同及付款台账'!$B$5:$B$104))*'表2-合同及付款台账'!$G$5:$G$104)</f>
        <v>0</v>
      </c>
      <c r="J111" s="725">
        <f>SUMPRODUCT(ISNUMBER(FIND(B111,'表1-签证变更'!$B$5:$B$64))*'表1-签证变更'!$G$5:$G$64)</f>
        <v>0</v>
      </c>
      <c r="K111" s="725">
        <f t="shared" si="54"/>
        <v>0</v>
      </c>
      <c r="L111" s="725">
        <f>SUMPRODUCT(ISNUMBER(FIND(B111,'表2-合同及付款台账'!$B$5:$B$104))*'表2-合同及付款台账'!$M$5:$M$104)</f>
        <v>0</v>
      </c>
      <c r="M111" s="725">
        <f t="shared" si="55"/>
        <v>0</v>
      </c>
      <c r="N111" s="725">
        <f t="shared" si="56"/>
        <v>0</v>
      </c>
      <c r="O111" s="742"/>
      <c r="P111" s="724"/>
      <c r="Q111" s="725">
        <f t="shared" si="39"/>
        <v>0</v>
      </c>
      <c r="R111" s="725"/>
      <c r="S111" s="725"/>
      <c r="T111" s="725"/>
      <c r="U111" s="724"/>
    </row>
    <row r="112" s="699" customFormat="1" ht="30" customHeight="1" outlineLevel="3" spans="1:21">
      <c r="A112" s="724" t="s">
        <v>415</v>
      </c>
      <c r="B112" s="734" t="s">
        <v>416</v>
      </c>
      <c r="C112" s="725">
        <f t="shared" si="40"/>
        <v>0.25</v>
      </c>
      <c r="D112" s="725">
        <v>1.78445625</v>
      </c>
      <c r="E112" s="725">
        <f t="shared" si="45"/>
        <v>17844.5625</v>
      </c>
      <c r="F112" s="724" t="s">
        <v>760</v>
      </c>
      <c r="G112" s="724"/>
      <c r="H112" s="725">
        <f t="shared" si="50"/>
        <v>17844.5625</v>
      </c>
      <c r="I112" s="725">
        <f>SUMPRODUCT(ISNUMBER(FIND(B112,'表2-合同及付款台账'!$B$5:$B$104))*'表2-合同及付款台账'!$G$5:$G$104)</f>
        <v>0</v>
      </c>
      <c r="J112" s="725">
        <f>SUMPRODUCT(ISNUMBER(FIND(B112,'表1-签证变更'!$B$5:$B$64))*'表1-签证变更'!$G$5:$G$64)</f>
        <v>0</v>
      </c>
      <c r="K112" s="725">
        <f t="shared" si="54"/>
        <v>17844.5625</v>
      </c>
      <c r="L112" s="725">
        <f>SUMPRODUCT(ISNUMBER(FIND(B112,'表2-合同及付款台账'!$B$5:$B$104))*'表2-合同及付款台账'!$M$5:$M$104)</f>
        <v>0</v>
      </c>
      <c r="M112" s="725">
        <f t="shared" si="55"/>
        <v>17844.5625</v>
      </c>
      <c r="N112" s="725">
        <f t="shared" si="56"/>
        <v>0</v>
      </c>
      <c r="O112" s="742" t="s">
        <v>417</v>
      </c>
      <c r="P112" s="724"/>
      <c r="Q112" s="725">
        <f t="shared" si="39"/>
        <v>0</v>
      </c>
      <c r="R112" s="725"/>
      <c r="S112" s="725"/>
      <c r="T112" s="725"/>
      <c r="U112" s="724"/>
    </row>
    <row r="113" s="699" customFormat="1" ht="30" customHeight="1" outlineLevel="3" spans="1:21">
      <c r="A113" s="724" t="s">
        <v>418</v>
      </c>
      <c r="B113" s="734" t="s">
        <v>419</v>
      </c>
      <c r="C113" s="725">
        <f t="shared" si="40"/>
        <v>4.7913755240567</v>
      </c>
      <c r="D113" s="725">
        <v>34.2</v>
      </c>
      <c r="E113" s="725">
        <f t="shared" si="45"/>
        <v>342000</v>
      </c>
      <c r="F113" s="724" t="s">
        <v>760</v>
      </c>
      <c r="G113" s="724"/>
      <c r="H113" s="725">
        <f t="shared" si="50"/>
        <v>342000</v>
      </c>
      <c r="I113" s="725">
        <f>SUMPRODUCT(ISNUMBER(FIND(B113,'表2-合同及付款台账'!$B$5:$B$104))*'表2-合同及付款台账'!$G$5:$G$104)</f>
        <v>0</v>
      </c>
      <c r="J113" s="725">
        <f>SUMPRODUCT(ISNUMBER(FIND(B113,'表1-签证变更'!$B$5:$B$64))*'表1-签证变更'!$G$5:$G$64)</f>
        <v>0</v>
      </c>
      <c r="K113" s="725">
        <f t="shared" si="54"/>
        <v>342000</v>
      </c>
      <c r="L113" s="725">
        <f>SUMPRODUCT(ISNUMBER(FIND(B113,'表2-合同及付款台账'!$B$5:$B$104))*'表2-合同及付款台账'!$M$5:$M$104)</f>
        <v>0</v>
      </c>
      <c r="M113" s="725">
        <f t="shared" si="55"/>
        <v>342000</v>
      </c>
      <c r="N113" s="725">
        <f t="shared" si="56"/>
        <v>0</v>
      </c>
      <c r="O113" s="742" t="s">
        <v>420</v>
      </c>
      <c r="P113" s="724"/>
      <c r="Q113" s="725">
        <f t="shared" si="39"/>
        <v>0</v>
      </c>
      <c r="R113" s="725"/>
      <c r="S113" s="725"/>
      <c r="T113" s="725"/>
      <c r="U113" s="724"/>
    </row>
    <row r="114" s="699" customFormat="1" ht="25" customHeight="1" outlineLevel="3" spans="1:21">
      <c r="A114" s="724" t="s">
        <v>421</v>
      </c>
      <c r="B114" s="734" t="s">
        <v>422</v>
      </c>
      <c r="C114" s="725">
        <f t="shared" si="40"/>
        <v>0.6</v>
      </c>
      <c r="D114" s="725">
        <v>4.282695</v>
      </c>
      <c r="E114" s="725">
        <f t="shared" si="45"/>
        <v>42826.95</v>
      </c>
      <c r="F114" s="724" t="s">
        <v>760</v>
      </c>
      <c r="G114" s="724"/>
      <c r="H114" s="725">
        <f t="shared" si="50"/>
        <v>42826.95</v>
      </c>
      <c r="I114" s="725">
        <f>SUMPRODUCT(ISNUMBER(FIND(B114,'表2-合同及付款台账'!$B$5:$B$104))*'表2-合同及付款台账'!$G$5:$G$104)</f>
        <v>0</v>
      </c>
      <c r="J114" s="725">
        <f>SUMPRODUCT(ISNUMBER(FIND(B114,'表1-签证变更'!$B$5:$B$64))*'表1-签证变更'!$G$5:$G$64)</f>
        <v>0</v>
      </c>
      <c r="K114" s="725">
        <f t="shared" si="54"/>
        <v>42826.95</v>
      </c>
      <c r="L114" s="725">
        <f>SUMPRODUCT(ISNUMBER(FIND(B114,'表2-合同及付款台账'!$B$5:$B$104))*'表2-合同及付款台账'!$M$5:$M$104)</f>
        <v>0</v>
      </c>
      <c r="M114" s="725">
        <f t="shared" si="55"/>
        <v>42826.95</v>
      </c>
      <c r="N114" s="725">
        <f t="shared" si="56"/>
        <v>0</v>
      </c>
      <c r="O114" s="742" t="s">
        <v>423</v>
      </c>
      <c r="P114" s="724"/>
      <c r="Q114" s="725">
        <f t="shared" si="39"/>
        <v>0</v>
      </c>
      <c r="R114" s="725"/>
      <c r="S114" s="725"/>
      <c r="T114" s="725"/>
      <c r="U114" s="724"/>
    </row>
    <row r="115" s="699" customFormat="1" ht="33.75" outlineLevel="3" spans="1:21">
      <c r="A115" s="724" t="s">
        <v>424</v>
      </c>
      <c r="B115" s="728" t="s">
        <v>425</v>
      </c>
      <c r="C115" s="725">
        <f t="shared" si="40"/>
        <v>1</v>
      </c>
      <c r="D115" s="725">
        <v>7.137825</v>
      </c>
      <c r="E115" s="725">
        <f t="shared" si="45"/>
        <v>71378.25</v>
      </c>
      <c r="F115" s="724" t="s">
        <v>760</v>
      </c>
      <c r="G115" s="724"/>
      <c r="H115" s="725">
        <f t="shared" si="50"/>
        <v>71378.25</v>
      </c>
      <c r="I115" s="725">
        <f>SUMPRODUCT(ISNUMBER(FIND(B115,'表2-合同及付款台账'!$B$5:$B$104))*'表2-合同及付款台账'!$G$5:$G$104)</f>
        <v>0</v>
      </c>
      <c r="J115" s="725">
        <f>SUMPRODUCT(ISNUMBER(FIND(B115,'表1-签证变更'!$B$5:$B$64))*'表1-签证变更'!$G$5:$G$64)</f>
        <v>0</v>
      </c>
      <c r="K115" s="725">
        <f t="shared" si="54"/>
        <v>71378.25</v>
      </c>
      <c r="L115" s="725">
        <f>SUMPRODUCT(ISNUMBER(FIND(B115,'表2-合同及付款台账'!$B$5:$B$104))*'表2-合同及付款台账'!$M$5:$M$104)</f>
        <v>0</v>
      </c>
      <c r="M115" s="725">
        <f t="shared" si="55"/>
        <v>71378.25</v>
      </c>
      <c r="N115" s="725">
        <f t="shared" si="56"/>
        <v>0</v>
      </c>
      <c r="O115" s="742" t="s">
        <v>426</v>
      </c>
      <c r="P115" s="724"/>
      <c r="Q115" s="725">
        <f t="shared" si="39"/>
        <v>0</v>
      </c>
      <c r="R115" s="725"/>
      <c r="S115" s="725"/>
      <c r="T115" s="725"/>
      <c r="U115" s="724"/>
    </row>
    <row r="116" s="700" customFormat="1" customHeight="1" outlineLevel="1" spans="1:21">
      <c r="A116" s="726">
        <v>2.5</v>
      </c>
      <c r="B116" s="726" t="s">
        <v>427</v>
      </c>
      <c r="C116" s="727">
        <f>SUM(C117:C121)</f>
        <v>14.3405921972029</v>
      </c>
      <c r="D116" s="727">
        <f>SUM(D117:D121)</f>
        <v>102.3606375</v>
      </c>
      <c r="E116" s="727">
        <f t="shared" si="45"/>
        <v>1023606.375</v>
      </c>
      <c r="F116" s="726" t="s">
        <v>756</v>
      </c>
      <c r="G116" s="726"/>
      <c r="H116" s="727">
        <f>SUM(H117:H121)</f>
        <v>1023606.375</v>
      </c>
      <c r="I116" s="727">
        <f t="shared" ref="I116:N116" si="57">SUM(I117:I121)</f>
        <v>893297.5</v>
      </c>
      <c r="J116" s="727">
        <f t="shared" si="57"/>
        <v>0</v>
      </c>
      <c r="K116" s="727">
        <f t="shared" si="57"/>
        <v>130308.875</v>
      </c>
      <c r="L116" s="727">
        <f t="shared" si="57"/>
        <v>0</v>
      </c>
      <c r="M116" s="727">
        <f t="shared" si="57"/>
        <v>1023606.375</v>
      </c>
      <c r="N116" s="727">
        <f t="shared" si="57"/>
        <v>0</v>
      </c>
      <c r="O116" s="743"/>
      <c r="P116" s="726"/>
      <c r="Q116" s="727">
        <f t="shared" si="39"/>
        <v>0</v>
      </c>
      <c r="R116" s="727"/>
      <c r="S116" s="727"/>
      <c r="T116" s="727"/>
      <c r="U116" s="726"/>
    </row>
    <row r="117" s="699" customFormat="1" ht="39" customHeight="1" outlineLevel="2" spans="1:21">
      <c r="A117" s="724" t="s">
        <v>428</v>
      </c>
      <c r="B117" s="728" t="s">
        <v>429</v>
      </c>
      <c r="C117" s="725">
        <f t="shared" ref="C117:C121" si="58">D117/$C$5</f>
        <v>5</v>
      </c>
      <c r="D117" s="725">
        <v>35.689125</v>
      </c>
      <c r="E117" s="725">
        <f t="shared" si="45"/>
        <v>356891.25</v>
      </c>
      <c r="F117" s="724" t="s">
        <v>757</v>
      </c>
      <c r="G117" s="724" t="s">
        <v>759</v>
      </c>
      <c r="H117" s="725">
        <f>+I117+J117+K117</f>
        <v>356891.25</v>
      </c>
      <c r="I117" s="725">
        <f>SUMPRODUCT(ISNUMBER(FIND(B117,'表2-合同及付款台账'!$B$5:$B$104))*'表2-合同及付款台账'!$G$5:$G$104)</f>
        <v>300000</v>
      </c>
      <c r="J117" s="725">
        <f>SUMPRODUCT(ISNUMBER(FIND(B117,'表1-签证变更'!$B$5:$B$64))*'表1-签证变更'!$G$5:$G$64)</f>
        <v>0</v>
      </c>
      <c r="K117" s="725">
        <f t="shared" ref="K117:K121" si="59">+E117-I117-J117</f>
        <v>56891.25</v>
      </c>
      <c r="L117" s="725">
        <f>SUMPRODUCT(ISNUMBER(FIND(B117,'表2-合同及付款台账'!$B$5:$B$104))*'表2-合同及付款台账'!$M$5:$M$104)</f>
        <v>0</v>
      </c>
      <c r="M117" s="725">
        <f t="shared" ref="M117:M121" si="60">+E117</f>
        <v>356891.25</v>
      </c>
      <c r="N117" s="725">
        <f t="shared" ref="N117:N121" si="61">+E117-M117</f>
        <v>0</v>
      </c>
      <c r="O117" s="742" t="s">
        <v>430</v>
      </c>
      <c r="P117" s="724"/>
      <c r="Q117" s="725">
        <f t="shared" si="39"/>
        <v>0</v>
      </c>
      <c r="R117" s="725"/>
      <c r="S117" s="725"/>
      <c r="T117" s="725"/>
      <c r="U117" s="724"/>
    </row>
    <row r="118" s="699" customFormat="1" ht="30" customHeight="1" outlineLevel="2" spans="1:21">
      <c r="A118" s="724" t="s">
        <v>431</v>
      </c>
      <c r="B118" s="728" t="s">
        <v>432</v>
      </c>
      <c r="C118" s="725">
        <f t="shared" si="58"/>
        <v>8.34059219720293</v>
      </c>
      <c r="D118" s="725">
        <v>59.5336875</v>
      </c>
      <c r="E118" s="725">
        <f t="shared" si="45"/>
        <v>595336.875</v>
      </c>
      <c r="F118" s="724" t="s">
        <v>757</v>
      </c>
      <c r="G118" s="724" t="s">
        <v>759</v>
      </c>
      <c r="H118" s="725">
        <f>+I118+J118+K118</f>
        <v>595336.875</v>
      </c>
      <c r="I118" s="725">
        <f>SUMPRODUCT(ISNUMBER(FIND(B118,'表2-合同及付款台账'!$B$5:$B$104))*'表2-合同及付款台账'!$G$5:$G$104)</f>
        <v>523297.5</v>
      </c>
      <c r="J118" s="725">
        <f>SUMPRODUCT(ISNUMBER(FIND(B118,'表1-签证变更'!$B$5:$B$64))*'表1-签证变更'!$G$5:$G$64)</f>
        <v>0</v>
      </c>
      <c r="K118" s="725">
        <f t="shared" si="59"/>
        <v>72039.375</v>
      </c>
      <c r="L118" s="725">
        <f>SUMPRODUCT(ISNUMBER(FIND(B118,'表2-合同及付款台账'!$B$5:$B$104))*'表2-合同及付款台账'!$M$5:$M$104)</f>
        <v>0</v>
      </c>
      <c r="M118" s="725">
        <f t="shared" si="60"/>
        <v>595336.875</v>
      </c>
      <c r="N118" s="725">
        <f t="shared" si="61"/>
        <v>0</v>
      </c>
      <c r="O118" s="742" t="s">
        <v>433</v>
      </c>
      <c r="P118" s="724"/>
      <c r="Q118" s="725">
        <f t="shared" si="39"/>
        <v>0</v>
      </c>
      <c r="R118" s="725"/>
      <c r="S118" s="725"/>
      <c r="T118" s="725"/>
      <c r="U118" s="724"/>
    </row>
    <row r="119" s="699" customFormat="1" ht="26" customHeight="1" outlineLevel="2" spans="1:21">
      <c r="A119" s="724" t="s">
        <v>434</v>
      </c>
      <c r="B119" s="752" t="s">
        <v>435</v>
      </c>
      <c r="C119" s="725">
        <f t="shared" si="58"/>
        <v>0</v>
      </c>
      <c r="D119" s="725">
        <v>0</v>
      </c>
      <c r="E119" s="725">
        <f t="shared" si="45"/>
        <v>0</v>
      </c>
      <c r="F119" s="724" t="s">
        <v>762</v>
      </c>
      <c r="G119" s="724"/>
      <c r="H119" s="725">
        <f>+I119+J119+K119</f>
        <v>0</v>
      </c>
      <c r="I119" s="725">
        <f>SUMPRODUCT(ISNUMBER(FIND(B119,'表2-合同及付款台账'!$B$5:$B$104))*'表2-合同及付款台账'!$G$5:$G$104)</f>
        <v>0</v>
      </c>
      <c r="J119" s="725">
        <f>SUMPRODUCT(ISNUMBER(FIND(B119,'表1-签证变更'!$B$5:$B$64))*'表1-签证变更'!$G$5:$G$64)</f>
        <v>0</v>
      </c>
      <c r="K119" s="725">
        <f t="shared" si="59"/>
        <v>0</v>
      </c>
      <c r="L119" s="725">
        <f>SUMPRODUCT(ISNUMBER(FIND(B119,'表2-合同及付款台账'!$B$5:$B$104))*'表2-合同及付款台账'!$M$5:$M$104)</f>
        <v>0</v>
      </c>
      <c r="M119" s="725">
        <f t="shared" si="60"/>
        <v>0</v>
      </c>
      <c r="N119" s="725">
        <f t="shared" si="61"/>
        <v>0</v>
      </c>
      <c r="O119" s="742" t="s">
        <v>436</v>
      </c>
      <c r="P119" s="724"/>
      <c r="Q119" s="725">
        <f t="shared" si="39"/>
        <v>0</v>
      </c>
      <c r="R119" s="725"/>
      <c r="S119" s="725"/>
      <c r="T119" s="725"/>
      <c r="U119" s="724"/>
    </row>
    <row r="120" s="699" customFormat="1" ht="26" customHeight="1" outlineLevel="2" spans="1:21">
      <c r="A120" s="724" t="s">
        <v>437</v>
      </c>
      <c r="B120" s="752" t="s">
        <v>438</v>
      </c>
      <c r="C120" s="725">
        <f t="shared" si="58"/>
        <v>0</v>
      </c>
      <c r="D120" s="725">
        <v>0</v>
      </c>
      <c r="E120" s="725">
        <f t="shared" si="45"/>
        <v>0</v>
      </c>
      <c r="F120" s="724" t="s">
        <v>762</v>
      </c>
      <c r="G120" s="724"/>
      <c r="H120" s="725">
        <f>+I120+J120+K120</f>
        <v>0</v>
      </c>
      <c r="I120" s="725">
        <f>SUMPRODUCT(ISNUMBER(FIND(B120,'表2-合同及付款台账'!$B$5:$B$104))*'表2-合同及付款台账'!$G$5:$G$104)</f>
        <v>0</v>
      </c>
      <c r="J120" s="725">
        <f>SUMPRODUCT(ISNUMBER(FIND(B120,'表1-签证变更'!$B$5:$B$64))*'表1-签证变更'!$G$5:$G$64)</f>
        <v>0</v>
      </c>
      <c r="K120" s="725">
        <f t="shared" si="59"/>
        <v>0</v>
      </c>
      <c r="L120" s="725">
        <f>SUMPRODUCT(ISNUMBER(FIND(B120,'表2-合同及付款台账'!$B$5:$B$104))*'表2-合同及付款台账'!$M$5:$M$104)</f>
        <v>0</v>
      </c>
      <c r="M120" s="725">
        <f t="shared" si="60"/>
        <v>0</v>
      </c>
      <c r="N120" s="725">
        <f t="shared" si="61"/>
        <v>0</v>
      </c>
      <c r="O120" s="742" t="s">
        <v>223</v>
      </c>
      <c r="P120" s="724"/>
      <c r="Q120" s="725">
        <f t="shared" si="39"/>
        <v>0</v>
      </c>
      <c r="R120" s="725"/>
      <c r="S120" s="725"/>
      <c r="T120" s="725"/>
      <c r="U120" s="724"/>
    </row>
    <row r="121" s="699" customFormat="1" ht="26" customHeight="1" outlineLevel="2" spans="1:21">
      <c r="A121" s="724" t="s">
        <v>439</v>
      </c>
      <c r="B121" s="728" t="s">
        <v>440</v>
      </c>
      <c r="C121" s="725">
        <f t="shared" si="58"/>
        <v>1</v>
      </c>
      <c r="D121" s="725">
        <v>7.137825</v>
      </c>
      <c r="E121" s="725">
        <f t="shared" si="45"/>
        <v>71378.25</v>
      </c>
      <c r="F121" s="724" t="s">
        <v>757</v>
      </c>
      <c r="G121" s="724" t="s">
        <v>759</v>
      </c>
      <c r="H121" s="725">
        <f>+I121+J121+K121</f>
        <v>71378.25</v>
      </c>
      <c r="I121" s="725">
        <f>SUMPRODUCT(ISNUMBER(FIND(B121,'表2-合同及付款台账'!$B$5:$B$104))*'表2-合同及付款台账'!$G$5:$G$104)</f>
        <v>70000</v>
      </c>
      <c r="J121" s="725">
        <f>SUMPRODUCT(ISNUMBER(FIND(B121,'表1-签证变更'!$B$5:$B$64))*'表1-签证变更'!$G$5:$G$64)</f>
        <v>0</v>
      </c>
      <c r="K121" s="725">
        <f t="shared" si="59"/>
        <v>1378.25</v>
      </c>
      <c r="L121" s="725">
        <f>SUMPRODUCT(ISNUMBER(FIND(B121,'表2-合同及付款台账'!$B$5:$B$104))*'表2-合同及付款台账'!$M$5:$M$104)</f>
        <v>0</v>
      </c>
      <c r="M121" s="725">
        <f t="shared" si="60"/>
        <v>71378.25</v>
      </c>
      <c r="N121" s="725">
        <f t="shared" si="61"/>
        <v>0</v>
      </c>
      <c r="O121" s="742" t="s">
        <v>768</v>
      </c>
      <c r="P121" s="724"/>
      <c r="Q121" s="725">
        <f t="shared" si="39"/>
        <v>0</v>
      </c>
      <c r="R121" s="725"/>
      <c r="S121" s="725"/>
      <c r="T121" s="725"/>
      <c r="U121" s="724"/>
    </row>
    <row r="122" s="698" customFormat="1" customHeight="1" spans="1:21">
      <c r="A122" s="721">
        <v>3</v>
      </c>
      <c r="B122" s="722" t="s">
        <v>442</v>
      </c>
      <c r="C122" s="723">
        <f>+C123+C124+C151+C173+C185</f>
        <v>3740.2569360072</v>
      </c>
      <c r="D122" s="723">
        <f>+D123+D124+D151+D173+D185</f>
        <v>26697.2994642556</v>
      </c>
      <c r="E122" s="723">
        <f t="shared" si="45"/>
        <v>266972994.642556</v>
      </c>
      <c r="F122" s="722" t="s">
        <v>756</v>
      </c>
      <c r="G122" s="722"/>
      <c r="H122" s="723">
        <f>+H123+H124+H151+H173+H185</f>
        <v>266972994.642556</v>
      </c>
      <c r="I122" s="723">
        <f t="shared" ref="I122:N122" si="62">+I123+I124+I151+I173+I185</f>
        <v>152075458.34</v>
      </c>
      <c r="J122" s="723">
        <f t="shared" si="62"/>
        <v>558236.711835955</v>
      </c>
      <c r="K122" s="723">
        <f t="shared" si="62"/>
        <v>114339299.59072</v>
      </c>
      <c r="L122" s="723">
        <f t="shared" si="62"/>
        <v>2699754.64</v>
      </c>
      <c r="M122" s="723">
        <f t="shared" si="62"/>
        <v>266972994.642556</v>
      </c>
      <c r="N122" s="723">
        <f t="shared" si="62"/>
        <v>0</v>
      </c>
      <c r="O122" s="741"/>
      <c r="P122" s="722"/>
      <c r="Q122" s="723">
        <f t="shared" si="39"/>
        <v>0</v>
      </c>
      <c r="R122" s="723"/>
      <c r="S122" s="723"/>
      <c r="T122" s="723"/>
      <c r="U122" s="722"/>
    </row>
    <row r="123" s="700" customFormat="1" ht="38" customHeight="1" outlineLevel="2" spans="1:43">
      <c r="A123" s="726">
        <v>3.1</v>
      </c>
      <c r="B123" s="726" t="s">
        <v>444</v>
      </c>
      <c r="C123" s="727">
        <f t="shared" ref="C123:C150" si="63">D123/$C$5</f>
        <v>2094.29458953833</v>
      </c>
      <c r="D123" s="727">
        <v>14948.7082785714</v>
      </c>
      <c r="E123" s="727">
        <f t="shared" si="45"/>
        <v>149487082.785714</v>
      </c>
      <c r="F123" s="726" t="s">
        <v>756</v>
      </c>
      <c r="G123" s="726"/>
      <c r="H123" s="727">
        <f>+I123+J123+K123</f>
        <v>149487082.785714</v>
      </c>
      <c r="I123" s="727">
        <f>SUMPRODUCT(ISNUMBER(FIND(B123,'表2-合同及付款台账'!$B$5:$B$104))*'表2-合同及付款台账'!$G$5:$G$104)</f>
        <v>134500117</v>
      </c>
      <c r="J123" s="727">
        <f>SUMPRODUCT(ISNUMBER(FIND(B123,'表1-签证变更'!$B$5:$B$64))*'表1-签证变更'!$G$5:$G$64)</f>
        <v>179950.62</v>
      </c>
      <c r="K123" s="727">
        <f>+E123-I123-J123</f>
        <v>14807015.165714</v>
      </c>
      <c r="L123" s="727">
        <f>SUMPRODUCT(ISNUMBER(FIND(B123,'表2-合同及付款台账'!$B$5:$B$104))*'表2-合同及付款台账'!$M$5:$M$104)</f>
        <v>0</v>
      </c>
      <c r="M123" s="727">
        <f>+H123</f>
        <v>149487082.785714</v>
      </c>
      <c r="N123" s="727">
        <f>+E123-M123</f>
        <v>0</v>
      </c>
      <c r="O123" s="743"/>
      <c r="P123" s="726"/>
      <c r="Q123" s="727">
        <f t="shared" si="39"/>
        <v>0</v>
      </c>
      <c r="R123" s="727"/>
      <c r="S123" s="727"/>
      <c r="T123" s="727"/>
      <c r="U123" s="726"/>
      <c r="AM123" s="754" t="s">
        <v>445</v>
      </c>
      <c r="AN123" s="754"/>
      <c r="AO123" s="754" t="s">
        <v>446</v>
      </c>
      <c r="AP123" s="754">
        <f>+经济指标!E16+经济指标!E17+经济指标!E18+经济指标!E19+经济指标!E20</f>
        <v>23042.93</v>
      </c>
      <c r="AQ123" s="754">
        <f>498/AP123*10000</f>
        <v>216.118349532807</v>
      </c>
    </row>
    <row r="124" s="700" customFormat="1" ht="37" customHeight="1" outlineLevel="1" spans="1:43">
      <c r="A124" s="726">
        <v>3.2</v>
      </c>
      <c r="B124" s="726" t="s">
        <v>447</v>
      </c>
      <c r="C124" s="727">
        <f>SUM(C125:C150)</f>
        <v>1437.52672100033</v>
      </c>
      <c r="D124" s="727">
        <f>SUM(D125:D150)</f>
        <v>10260.8141673242</v>
      </c>
      <c r="E124" s="727">
        <f t="shared" si="45"/>
        <v>102608141.673242</v>
      </c>
      <c r="F124" s="726" t="s">
        <v>756</v>
      </c>
      <c r="G124" s="726"/>
      <c r="H124" s="727">
        <f>SUM(H125:H150)</f>
        <v>102608141.673242</v>
      </c>
      <c r="I124" s="727">
        <f t="shared" ref="I124:N124" si="64">SUM(I125:I150)</f>
        <v>7468602.5</v>
      </c>
      <c r="J124" s="727">
        <f t="shared" si="64"/>
        <v>0</v>
      </c>
      <c r="K124" s="727">
        <f t="shared" si="64"/>
        <v>95139539.1732417</v>
      </c>
      <c r="L124" s="727">
        <f t="shared" si="64"/>
        <v>0</v>
      </c>
      <c r="M124" s="727">
        <f t="shared" si="64"/>
        <v>102608141.673242</v>
      </c>
      <c r="N124" s="727">
        <f t="shared" si="64"/>
        <v>0</v>
      </c>
      <c r="O124" s="743"/>
      <c r="P124" s="726"/>
      <c r="Q124" s="727">
        <f t="shared" si="39"/>
        <v>0</v>
      </c>
      <c r="R124" s="727"/>
      <c r="S124" s="727"/>
      <c r="T124" s="727"/>
      <c r="U124" s="726"/>
      <c r="AM124" s="755" t="s">
        <v>97</v>
      </c>
      <c r="AN124" s="755" t="s">
        <v>90</v>
      </c>
      <c r="AO124" s="755" t="s">
        <v>448</v>
      </c>
      <c r="AP124" s="755" t="s">
        <v>449</v>
      </c>
      <c r="AQ124" s="755" t="s">
        <v>450</v>
      </c>
    </row>
    <row r="125" s="699" customFormat="1" ht="33.75" outlineLevel="2" spans="1:43">
      <c r="A125" s="724" t="s">
        <v>451</v>
      </c>
      <c r="B125" s="753" t="s">
        <v>452</v>
      </c>
      <c r="C125" s="725">
        <f t="shared" si="63"/>
        <v>69.7696851856133</v>
      </c>
      <c r="D125" s="725">
        <v>498.00380316</v>
      </c>
      <c r="E125" s="725">
        <f t="shared" si="45"/>
        <v>4980038.0316</v>
      </c>
      <c r="F125" s="724" t="s">
        <v>757</v>
      </c>
      <c r="G125" s="724" t="s">
        <v>769</v>
      </c>
      <c r="H125" s="725">
        <f>+I125+J125+K125</f>
        <v>4980038.0316</v>
      </c>
      <c r="I125" s="725">
        <f>SUMPRODUCT(ISNUMBER(FIND(B125,'表2-合同及付款台账'!$B$5:$B$104))*'表2-合同及付款台账'!$G$5:$G$104)</f>
        <v>4973762.5</v>
      </c>
      <c r="J125" s="725">
        <f>SUMPRODUCT(ISNUMBER(FIND(B125,'表1-签证变更'!$B$5:$B$64))*'表1-签证变更'!$G$5:$G$64)</f>
        <v>0</v>
      </c>
      <c r="K125" s="725">
        <f t="shared" ref="K125:K150" si="65">+E125-I125-J125</f>
        <v>6275.53160000034</v>
      </c>
      <c r="L125" s="725">
        <f>SUMPRODUCT(ISNUMBER(FIND(B125,'表2-合同及付款台账'!$B$5:$B$104))*'表2-合同及付款台账'!$M$5:$M$104)</f>
        <v>0</v>
      </c>
      <c r="M125" s="725">
        <f>+E125</f>
        <v>4980038.0316</v>
      </c>
      <c r="N125" s="725">
        <f t="shared" ref="N125:N150" si="66">+E125-M125</f>
        <v>0</v>
      </c>
      <c r="O125" s="742" t="s">
        <v>453</v>
      </c>
      <c r="P125" s="724"/>
      <c r="Q125" s="725">
        <f t="shared" si="39"/>
        <v>0</v>
      </c>
      <c r="R125" s="725"/>
      <c r="S125" s="725"/>
      <c r="T125" s="725"/>
      <c r="U125" s="724"/>
      <c r="AM125" s="699">
        <f>+经济指标!J27</f>
        <v>4183.49</v>
      </c>
      <c r="AN125" s="699">
        <f>+经济指标!J26</f>
        <v>5267.79</v>
      </c>
      <c r="AO125" s="699">
        <f>+经济指标!E16+经济指标!E17+经济指标!E18+经济指标!E19</f>
        <v>807.42</v>
      </c>
      <c r="AP125" s="699">
        <f>+经济指标!E22-1700</f>
        <v>2245.11</v>
      </c>
      <c r="AQ125" s="699">
        <f>+经济指标!E23-AM125-AN125+1700</f>
        <v>10539.12</v>
      </c>
    </row>
    <row r="126" s="699" customFormat="1" ht="78.75" outlineLevel="2" spans="1:21">
      <c r="A126" s="724" t="s">
        <v>454</v>
      </c>
      <c r="B126" s="753" t="s">
        <v>455</v>
      </c>
      <c r="C126" s="725">
        <f t="shared" si="63"/>
        <v>22.4157919254115</v>
      </c>
      <c r="D126" s="725">
        <v>160</v>
      </c>
      <c r="E126" s="725">
        <f t="shared" si="45"/>
        <v>1600000</v>
      </c>
      <c r="F126" s="724" t="s">
        <v>760</v>
      </c>
      <c r="G126" s="724"/>
      <c r="H126" s="725">
        <f t="shared" ref="H126:H150" si="67">+I126+J126+K126</f>
        <v>1600000</v>
      </c>
      <c r="I126" s="725">
        <f>SUMPRODUCT(ISNUMBER(FIND(B126,'表2-合同及付款台账'!$B$5:$B$104))*'表2-合同及付款台账'!$G$5:$G$104)</f>
        <v>0</v>
      </c>
      <c r="J126" s="725">
        <f>SUMPRODUCT(ISNUMBER(FIND(B126,'表1-签证变更'!$B$5:$B$64))*'表1-签证变更'!$G$5:$G$64)</f>
        <v>0</v>
      </c>
      <c r="K126" s="725">
        <f t="shared" si="65"/>
        <v>1600000</v>
      </c>
      <c r="L126" s="725">
        <f>SUMPRODUCT(ISNUMBER(FIND(B126,'表2-合同及付款台账'!$B$5:$B$104))*'表2-合同及付款台账'!$M$5:$M$104)</f>
        <v>0</v>
      </c>
      <c r="M126" s="725">
        <f t="shared" ref="M125:M150" si="68">+E126</f>
        <v>1600000</v>
      </c>
      <c r="N126" s="725">
        <f t="shared" si="66"/>
        <v>0</v>
      </c>
      <c r="O126" s="742" t="s">
        <v>456</v>
      </c>
      <c r="P126" s="724" t="s">
        <v>770</v>
      </c>
      <c r="Q126" s="725">
        <f t="shared" si="39"/>
        <v>0</v>
      </c>
      <c r="R126" s="725"/>
      <c r="S126" s="725"/>
      <c r="T126" s="725"/>
      <c r="U126" s="724"/>
    </row>
    <row r="127" s="699" customFormat="1" ht="26" customHeight="1" outlineLevel="2" spans="1:21">
      <c r="A127" s="724" t="s">
        <v>457</v>
      </c>
      <c r="B127" s="753" t="s">
        <v>458</v>
      </c>
      <c r="C127" s="725">
        <f t="shared" si="63"/>
        <v>2.27092591709242</v>
      </c>
      <c r="D127" s="725">
        <v>16.2094717841702</v>
      </c>
      <c r="E127" s="725">
        <f t="shared" si="45"/>
        <v>162094.717841702</v>
      </c>
      <c r="F127" s="724" t="s">
        <v>757</v>
      </c>
      <c r="G127" s="724" t="s">
        <v>759</v>
      </c>
      <c r="H127" s="725">
        <f t="shared" si="67"/>
        <v>162094.717841702</v>
      </c>
      <c r="I127" s="725">
        <f>SUMPRODUCT(ISNUMBER(FIND(B127,'表2-合同及付款台账'!$B$5:$B$104))*'表2-合同及付款台账'!$G$5:$G$104)</f>
        <v>226840</v>
      </c>
      <c r="J127" s="725">
        <f>SUMPRODUCT(ISNUMBER(FIND(B127,'表1-签证变更'!$B$5:$B$64))*'表1-签证变更'!$G$5:$G$64)</f>
        <v>0</v>
      </c>
      <c r="K127" s="725">
        <f t="shared" si="65"/>
        <v>-64745.282158298</v>
      </c>
      <c r="L127" s="725">
        <f>SUMPRODUCT(ISNUMBER(FIND(B127,'表2-合同及付款台账'!$B$5:$B$104))*'表2-合同及付款台账'!$M$5:$M$104)</f>
        <v>0</v>
      </c>
      <c r="M127" s="725">
        <f t="shared" si="68"/>
        <v>162094.717841702</v>
      </c>
      <c r="N127" s="725">
        <f t="shared" si="66"/>
        <v>0</v>
      </c>
      <c r="O127" s="742" t="s">
        <v>459</v>
      </c>
      <c r="P127" s="724" t="s">
        <v>771</v>
      </c>
      <c r="Q127" s="725">
        <f t="shared" si="39"/>
        <v>0</v>
      </c>
      <c r="R127" s="725"/>
      <c r="S127" s="725"/>
      <c r="T127" s="725"/>
      <c r="U127" s="724"/>
    </row>
    <row r="128" s="699" customFormat="1" ht="26" customHeight="1" outlineLevel="2" spans="1:21">
      <c r="A128" s="724" t="s">
        <v>460</v>
      </c>
      <c r="B128" s="734" t="s">
        <v>461</v>
      </c>
      <c r="C128" s="725">
        <f t="shared" si="63"/>
        <v>32.7276166058989</v>
      </c>
      <c r="D128" s="725">
        <v>233.604</v>
      </c>
      <c r="E128" s="725">
        <f t="shared" si="45"/>
        <v>2336040</v>
      </c>
      <c r="F128" s="724" t="s">
        <v>757</v>
      </c>
      <c r="G128" s="724" t="s">
        <v>759</v>
      </c>
      <c r="H128" s="725">
        <f t="shared" si="67"/>
        <v>2336040</v>
      </c>
      <c r="I128" s="725">
        <f>SUMPRODUCT(ISNUMBER(FIND(B128,'表2-合同及付款台账'!$B$5:$B$104))*'表2-合同及付款台账'!$G$5:$G$104)</f>
        <v>2268000</v>
      </c>
      <c r="J128" s="725">
        <f>SUMPRODUCT(ISNUMBER(FIND(B128,'表1-签证变更'!$B$5:$B$64))*'表1-签证变更'!$G$5:$G$64)</f>
        <v>0</v>
      </c>
      <c r="K128" s="725">
        <f t="shared" si="65"/>
        <v>68040</v>
      </c>
      <c r="L128" s="725">
        <f>SUMPRODUCT(ISNUMBER(FIND(B128,'表2-合同及付款台账'!$B$5:$B$104))*'表2-合同及付款台账'!$M$5:$M$104)</f>
        <v>0</v>
      </c>
      <c r="M128" s="725">
        <f t="shared" si="68"/>
        <v>2336040</v>
      </c>
      <c r="N128" s="725">
        <f t="shared" si="66"/>
        <v>0</v>
      </c>
      <c r="O128" s="742" t="s">
        <v>462</v>
      </c>
      <c r="P128" s="724"/>
      <c r="Q128" s="725">
        <f t="shared" si="39"/>
        <v>0</v>
      </c>
      <c r="R128" s="725"/>
      <c r="S128" s="725"/>
      <c r="T128" s="725"/>
      <c r="U128" s="724"/>
    </row>
    <row r="129" s="699" customFormat="1" ht="26" customHeight="1" outlineLevel="2" spans="1:21">
      <c r="A129" s="724" t="s">
        <v>463</v>
      </c>
      <c r="B129" s="729" t="s">
        <v>464</v>
      </c>
      <c r="C129" s="725">
        <f t="shared" si="63"/>
        <v>0</v>
      </c>
      <c r="D129" s="725">
        <v>0</v>
      </c>
      <c r="E129" s="725">
        <f t="shared" si="45"/>
        <v>0</v>
      </c>
      <c r="F129" s="724" t="s">
        <v>762</v>
      </c>
      <c r="G129" s="724"/>
      <c r="H129" s="725">
        <f t="shared" si="67"/>
        <v>0</v>
      </c>
      <c r="I129" s="725">
        <f>SUMPRODUCT(ISNUMBER(FIND(B129,'表2-合同及付款台账'!$B$5:$B$104))*'表2-合同及付款台账'!$G$5:$G$104)</f>
        <v>0</v>
      </c>
      <c r="J129" s="725">
        <f>SUMPRODUCT(ISNUMBER(FIND(B129,'表1-签证变更'!$B$5:$B$64))*'表1-签证变更'!$G$5:$G$64)</f>
        <v>0</v>
      </c>
      <c r="K129" s="725">
        <f t="shared" si="65"/>
        <v>0</v>
      </c>
      <c r="L129" s="725">
        <f>SUMPRODUCT(ISNUMBER(FIND(B129,'表2-合同及付款台账'!$B$5:$B$104))*'表2-合同及付款台账'!$M$5:$M$104)</f>
        <v>0</v>
      </c>
      <c r="M129" s="725">
        <f t="shared" si="68"/>
        <v>0</v>
      </c>
      <c r="N129" s="725">
        <f t="shared" si="66"/>
        <v>0</v>
      </c>
      <c r="O129" s="742" t="s">
        <v>223</v>
      </c>
      <c r="P129" s="724"/>
      <c r="Q129" s="725">
        <f t="shared" si="39"/>
        <v>0</v>
      </c>
      <c r="R129" s="725"/>
      <c r="S129" s="725"/>
      <c r="T129" s="725"/>
      <c r="U129" s="724"/>
    </row>
    <row r="130" s="699" customFormat="1" ht="33" customHeight="1" outlineLevel="2" spans="1:40">
      <c r="A130" s="724" t="s">
        <v>465</v>
      </c>
      <c r="B130" s="728" t="s">
        <v>466</v>
      </c>
      <c r="C130" s="725">
        <f t="shared" si="63"/>
        <v>18.072732239863</v>
      </c>
      <c r="D130" s="725">
        <v>129</v>
      </c>
      <c r="E130" s="725">
        <f t="shared" si="45"/>
        <v>1290000</v>
      </c>
      <c r="F130" s="724" t="s">
        <v>760</v>
      </c>
      <c r="G130" s="724"/>
      <c r="H130" s="725">
        <f t="shared" si="67"/>
        <v>1290000</v>
      </c>
      <c r="I130" s="725">
        <f>SUMPRODUCT(ISNUMBER(FIND(B130,'表2-合同及付款台账'!$B$5:$B$104))*'表2-合同及付款台账'!$G$5:$G$104)</f>
        <v>0</v>
      </c>
      <c r="J130" s="725">
        <f>SUMPRODUCT(ISNUMBER(FIND(B130,'表1-签证变更'!$B$5:$B$64))*'表1-签证变更'!$G$5:$G$64)</f>
        <v>0</v>
      </c>
      <c r="K130" s="725">
        <f t="shared" si="65"/>
        <v>1290000</v>
      </c>
      <c r="L130" s="725">
        <f>SUMPRODUCT(ISNUMBER(FIND(B130,'表2-合同及付款台账'!$B$5:$B$104))*'表2-合同及付款台账'!$M$5:$M$104)</f>
        <v>0</v>
      </c>
      <c r="M130" s="725">
        <f t="shared" si="68"/>
        <v>1290000</v>
      </c>
      <c r="N130" s="725">
        <f t="shared" si="66"/>
        <v>0</v>
      </c>
      <c r="O130" s="742" t="s">
        <v>467</v>
      </c>
      <c r="P130" s="724"/>
      <c r="Q130" s="725">
        <f t="shared" si="39"/>
        <v>0</v>
      </c>
      <c r="R130" s="725"/>
      <c r="S130" s="725"/>
      <c r="T130" s="725"/>
      <c r="U130" s="724"/>
      <c r="AM130" s="699">
        <v>184</v>
      </c>
      <c r="AN130" s="699">
        <f>258-AM130</f>
        <v>74</v>
      </c>
    </row>
    <row r="131" s="699" customFormat="1" ht="26" customHeight="1" outlineLevel="2" spans="1:21">
      <c r="A131" s="724" t="s">
        <v>468</v>
      </c>
      <c r="B131" s="728" t="s">
        <v>469</v>
      </c>
      <c r="C131" s="725">
        <f t="shared" si="63"/>
        <v>0</v>
      </c>
      <c r="D131" s="725">
        <v>0</v>
      </c>
      <c r="E131" s="725">
        <f t="shared" si="45"/>
        <v>0</v>
      </c>
      <c r="F131" s="724" t="s">
        <v>760</v>
      </c>
      <c r="G131" s="724"/>
      <c r="H131" s="725">
        <f t="shared" si="67"/>
        <v>0</v>
      </c>
      <c r="I131" s="725">
        <f>SUMPRODUCT(ISNUMBER(FIND(B131,'表2-合同及付款台账'!$B$5:$B$104))*'表2-合同及付款台账'!$G$5:$G$104)</f>
        <v>0</v>
      </c>
      <c r="J131" s="725">
        <f>SUMPRODUCT(ISNUMBER(FIND(B131,'表1-签证变更'!$B$5:$B$64))*'表1-签证变更'!$G$5:$G$64)</f>
        <v>0</v>
      </c>
      <c r="K131" s="725">
        <f t="shared" si="65"/>
        <v>0</v>
      </c>
      <c r="L131" s="725">
        <f>SUMPRODUCT(ISNUMBER(FIND(B131,'表2-合同及付款台账'!$B$5:$B$104))*'表2-合同及付款台账'!$M$5:$M$104)</f>
        <v>0</v>
      </c>
      <c r="M131" s="725">
        <f t="shared" si="68"/>
        <v>0</v>
      </c>
      <c r="N131" s="725">
        <f t="shared" si="66"/>
        <v>0</v>
      </c>
      <c r="O131" s="742" t="s">
        <v>470</v>
      </c>
      <c r="P131" s="724"/>
      <c r="Q131" s="725">
        <f t="shared" si="39"/>
        <v>0</v>
      </c>
      <c r="R131" s="725"/>
      <c r="S131" s="725"/>
      <c r="T131" s="725"/>
      <c r="U131" s="724"/>
    </row>
    <row r="132" s="699" customFormat="1" ht="26" customHeight="1" outlineLevel="2" spans="1:21">
      <c r="A132" s="724" t="s">
        <v>471</v>
      </c>
      <c r="B132" s="728" t="s">
        <v>472</v>
      </c>
      <c r="C132" s="725">
        <f t="shared" si="63"/>
        <v>10.726397310105</v>
      </c>
      <c r="D132" s="725">
        <v>76.56314688</v>
      </c>
      <c r="E132" s="725">
        <f t="shared" si="45"/>
        <v>765631.4688</v>
      </c>
      <c r="F132" s="724" t="s">
        <v>760</v>
      </c>
      <c r="G132" s="724"/>
      <c r="H132" s="725">
        <f t="shared" si="67"/>
        <v>765631.4688</v>
      </c>
      <c r="I132" s="725">
        <f>SUMPRODUCT(ISNUMBER(FIND(B132,'表2-合同及付款台账'!$B$5:$B$104))*'表2-合同及付款台账'!$G$5:$G$104)</f>
        <v>0</v>
      </c>
      <c r="J132" s="725">
        <f>SUMPRODUCT(ISNUMBER(FIND(B132,'表1-签证变更'!$B$5:$B$64))*'表1-签证变更'!$G$5:$G$64)</f>
        <v>0</v>
      </c>
      <c r="K132" s="725">
        <f t="shared" si="65"/>
        <v>765631.4688</v>
      </c>
      <c r="L132" s="725">
        <f>SUMPRODUCT(ISNUMBER(FIND(B132,'表2-合同及付款台账'!$B$5:$B$104))*'表2-合同及付款台账'!$M$5:$M$104)</f>
        <v>0</v>
      </c>
      <c r="M132" s="725">
        <f t="shared" si="68"/>
        <v>765631.4688</v>
      </c>
      <c r="N132" s="725">
        <f t="shared" si="66"/>
        <v>0</v>
      </c>
      <c r="O132" s="742" t="s">
        <v>473</v>
      </c>
      <c r="P132" s="724"/>
      <c r="Q132" s="725">
        <f t="shared" si="39"/>
        <v>0</v>
      </c>
      <c r="R132" s="725"/>
      <c r="S132" s="725"/>
      <c r="T132" s="725"/>
      <c r="U132" s="724"/>
    </row>
    <row r="133" s="699" customFormat="1" ht="40" customHeight="1" outlineLevel="2" spans="1:21">
      <c r="A133" s="724" t="s">
        <v>474</v>
      </c>
      <c r="B133" s="728" t="s">
        <v>475</v>
      </c>
      <c r="C133" s="725">
        <f t="shared" si="63"/>
        <v>143.41589657914</v>
      </c>
      <c r="D133" s="725">
        <v>1023.677572</v>
      </c>
      <c r="E133" s="725">
        <f t="shared" si="45"/>
        <v>10236775.72</v>
      </c>
      <c r="F133" s="724" t="s">
        <v>760</v>
      </c>
      <c r="G133" s="724"/>
      <c r="H133" s="725">
        <f t="shared" si="67"/>
        <v>10236775.72</v>
      </c>
      <c r="I133" s="725">
        <f>SUMPRODUCT(ISNUMBER(FIND(B133,'表2-合同及付款台账'!$B$5:$B$104))*'表2-合同及付款台账'!$G$5:$G$104)</f>
        <v>0</v>
      </c>
      <c r="J133" s="725">
        <f>SUMPRODUCT(ISNUMBER(FIND(B133,'表1-签证变更'!$B$5:$B$64))*'表1-签证变更'!$G$5:$G$64)</f>
        <v>0</v>
      </c>
      <c r="K133" s="725">
        <f t="shared" si="65"/>
        <v>10236775.72</v>
      </c>
      <c r="L133" s="725">
        <f>SUMPRODUCT(ISNUMBER(FIND(B133,'表2-合同及付款台账'!$B$5:$B$104))*'表2-合同及付款台账'!$M$5:$M$104)</f>
        <v>0</v>
      </c>
      <c r="M133" s="725">
        <f t="shared" si="68"/>
        <v>10236775.72</v>
      </c>
      <c r="N133" s="725">
        <f t="shared" si="66"/>
        <v>0</v>
      </c>
      <c r="O133" s="742" t="s">
        <v>476</v>
      </c>
      <c r="P133" s="724"/>
      <c r="Q133" s="725">
        <f t="shared" si="39"/>
        <v>0</v>
      </c>
      <c r="R133" s="725"/>
      <c r="S133" s="725"/>
      <c r="T133" s="725"/>
      <c r="U133" s="724"/>
    </row>
    <row r="134" s="699" customFormat="1" ht="33.75" outlineLevel="2" spans="1:21">
      <c r="A134" s="724" t="s">
        <v>477</v>
      </c>
      <c r="B134" s="728" t="s">
        <v>478</v>
      </c>
      <c r="C134" s="725">
        <f t="shared" si="63"/>
        <v>157.490576961469</v>
      </c>
      <c r="D134" s="725">
        <v>1124.1401775</v>
      </c>
      <c r="E134" s="725">
        <f t="shared" si="45"/>
        <v>11241401.775</v>
      </c>
      <c r="F134" s="724" t="s">
        <v>760</v>
      </c>
      <c r="G134" s="724"/>
      <c r="H134" s="725">
        <f t="shared" si="67"/>
        <v>11241401.775</v>
      </c>
      <c r="I134" s="725">
        <f>SUMPRODUCT(ISNUMBER(FIND(B134,'表2-合同及付款台账'!$B$5:$B$104))*'表2-合同及付款台账'!$G$5:$G$104)</f>
        <v>0</v>
      </c>
      <c r="J134" s="725">
        <f>SUMPRODUCT(ISNUMBER(FIND(B134,'表1-签证变更'!$B$5:$B$64))*'表1-签证变更'!$G$5:$G$64)</f>
        <v>0</v>
      </c>
      <c r="K134" s="725">
        <f t="shared" si="65"/>
        <v>11241401.775</v>
      </c>
      <c r="L134" s="725">
        <f>SUMPRODUCT(ISNUMBER(FIND(B134,'表2-合同及付款台账'!$B$5:$B$104))*'表2-合同及付款台账'!$M$5:$M$104)</f>
        <v>0</v>
      </c>
      <c r="M134" s="725">
        <f t="shared" si="68"/>
        <v>11241401.775</v>
      </c>
      <c r="N134" s="725">
        <f t="shared" si="66"/>
        <v>0</v>
      </c>
      <c r="O134" s="742" t="s">
        <v>479</v>
      </c>
      <c r="P134" s="724"/>
      <c r="Q134" s="725">
        <f t="shared" si="39"/>
        <v>0</v>
      </c>
      <c r="R134" s="725"/>
      <c r="S134" s="725"/>
      <c r="T134" s="725"/>
      <c r="U134" s="724"/>
    </row>
    <row r="135" s="699" customFormat="1" ht="38" customHeight="1" outlineLevel="2" spans="1:21">
      <c r="A135" s="724" t="s">
        <v>480</v>
      </c>
      <c r="B135" s="728" t="s">
        <v>481</v>
      </c>
      <c r="C135" s="725">
        <f t="shared" si="63"/>
        <v>61.8480415252545</v>
      </c>
      <c r="D135" s="725">
        <v>441.460497</v>
      </c>
      <c r="E135" s="725">
        <f t="shared" si="45"/>
        <v>4414604.97</v>
      </c>
      <c r="F135" s="724" t="s">
        <v>760</v>
      </c>
      <c r="G135" s="724"/>
      <c r="H135" s="725">
        <f t="shared" si="67"/>
        <v>4414604.97</v>
      </c>
      <c r="I135" s="725">
        <f>SUMPRODUCT(ISNUMBER(FIND(B135,'表2-合同及付款台账'!$B$5:$B$104))*'表2-合同及付款台账'!$G$5:$G$104)</f>
        <v>0</v>
      </c>
      <c r="J135" s="725">
        <f>SUMPRODUCT(ISNUMBER(FIND(B135,'表1-签证变更'!$B$5:$B$64))*'表1-签证变更'!$G$5:$G$64)</f>
        <v>0</v>
      </c>
      <c r="K135" s="725">
        <f t="shared" si="65"/>
        <v>4414604.97</v>
      </c>
      <c r="L135" s="725">
        <f>SUMPRODUCT(ISNUMBER(FIND(B135,'表2-合同及付款台账'!$B$5:$B$104))*'表2-合同及付款台账'!$M$5:$M$104)</f>
        <v>0</v>
      </c>
      <c r="M135" s="725">
        <f t="shared" si="68"/>
        <v>4414604.97</v>
      </c>
      <c r="N135" s="725">
        <f t="shared" si="66"/>
        <v>0</v>
      </c>
      <c r="O135" s="742" t="s">
        <v>482</v>
      </c>
      <c r="P135" s="724"/>
      <c r="Q135" s="725">
        <f t="shared" si="39"/>
        <v>0</v>
      </c>
      <c r="R135" s="725"/>
      <c r="S135" s="725"/>
      <c r="T135" s="725"/>
      <c r="U135" s="724"/>
    </row>
    <row r="136" s="699" customFormat="1" ht="22.5" outlineLevel="2" spans="1:21">
      <c r="A136" s="724" t="s">
        <v>483</v>
      </c>
      <c r="B136" s="728" t="s">
        <v>484</v>
      </c>
      <c r="C136" s="725">
        <f t="shared" si="63"/>
        <v>108.347447576818</v>
      </c>
      <c r="D136" s="725">
        <v>773.36512</v>
      </c>
      <c r="E136" s="725">
        <f t="shared" si="45"/>
        <v>7733651.2</v>
      </c>
      <c r="F136" s="724" t="s">
        <v>760</v>
      </c>
      <c r="G136" s="724"/>
      <c r="H136" s="725">
        <f t="shared" si="67"/>
        <v>7733651.2</v>
      </c>
      <c r="I136" s="725">
        <f>SUMPRODUCT(ISNUMBER(FIND(B136,'表2-合同及付款台账'!$B$5:$B$104))*'表2-合同及付款台账'!$G$5:$G$104)</f>
        <v>0</v>
      </c>
      <c r="J136" s="725">
        <f>SUMPRODUCT(ISNUMBER(FIND(B136,'表1-签证变更'!$B$5:$B$64))*'表1-签证变更'!$G$5:$G$64)</f>
        <v>0</v>
      </c>
      <c r="K136" s="725">
        <f t="shared" si="65"/>
        <v>7733651.2</v>
      </c>
      <c r="L136" s="725">
        <f>SUMPRODUCT(ISNUMBER(FIND(B136,'表2-合同及付款台账'!$B$5:$B$104))*'表2-合同及付款台账'!$M$5:$M$104)</f>
        <v>0</v>
      </c>
      <c r="M136" s="725">
        <f t="shared" si="68"/>
        <v>7733651.2</v>
      </c>
      <c r="N136" s="725">
        <f t="shared" si="66"/>
        <v>0</v>
      </c>
      <c r="O136" s="742" t="s">
        <v>485</v>
      </c>
      <c r="P136" s="724"/>
      <c r="Q136" s="725">
        <f t="shared" si="39"/>
        <v>0</v>
      </c>
      <c r="R136" s="725"/>
      <c r="S136" s="725"/>
      <c r="T136" s="725"/>
      <c r="U136" s="724"/>
    </row>
    <row r="137" s="699" customFormat="1" ht="112.5" outlineLevel="2" spans="1:21">
      <c r="A137" s="724" t="s">
        <v>486</v>
      </c>
      <c r="B137" s="728" t="s">
        <v>487</v>
      </c>
      <c r="C137" s="725">
        <f t="shared" si="63"/>
        <v>170.6595636626</v>
      </c>
      <c r="D137" s="725">
        <v>1218.1381</v>
      </c>
      <c r="E137" s="725">
        <f t="shared" si="45"/>
        <v>12181381</v>
      </c>
      <c r="F137" s="724" t="s">
        <v>760</v>
      </c>
      <c r="G137" s="724"/>
      <c r="H137" s="725">
        <f t="shared" si="67"/>
        <v>12181381</v>
      </c>
      <c r="I137" s="725">
        <f>SUMPRODUCT(ISNUMBER(FIND(B137,'表2-合同及付款台账'!$B$5:$B$104))*'表2-合同及付款台账'!$G$5:$G$104)</f>
        <v>0</v>
      </c>
      <c r="J137" s="725">
        <f>SUMPRODUCT(ISNUMBER(FIND(B137,'表1-签证变更'!$B$5:$B$64))*'表1-签证变更'!$G$5:$G$64)</f>
        <v>0</v>
      </c>
      <c r="K137" s="725">
        <f t="shared" si="65"/>
        <v>12181381</v>
      </c>
      <c r="L137" s="725">
        <f>SUMPRODUCT(ISNUMBER(FIND(B137,'表2-合同及付款台账'!$B$5:$B$104))*'表2-合同及付款台账'!$M$5:$M$104)</f>
        <v>0</v>
      </c>
      <c r="M137" s="725">
        <f t="shared" si="68"/>
        <v>12181381</v>
      </c>
      <c r="N137" s="725">
        <f t="shared" si="66"/>
        <v>0</v>
      </c>
      <c r="O137" s="742" t="s">
        <v>488</v>
      </c>
      <c r="P137" s="724"/>
      <c r="Q137" s="725">
        <f t="shared" ref="Q137:Q200" si="69">+H137-E137</f>
        <v>0</v>
      </c>
      <c r="R137" s="725"/>
      <c r="S137" s="725"/>
      <c r="T137" s="725"/>
      <c r="U137" s="724"/>
    </row>
    <row r="138" s="699" customFormat="1" ht="26" customHeight="1" outlineLevel="2" spans="1:21">
      <c r="A138" s="724" t="s">
        <v>489</v>
      </c>
      <c r="B138" s="729" t="s">
        <v>490</v>
      </c>
      <c r="C138" s="725">
        <f t="shared" si="63"/>
        <v>0</v>
      </c>
      <c r="D138" s="725">
        <v>0</v>
      </c>
      <c r="E138" s="725">
        <f t="shared" si="45"/>
        <v>0</v>
      </c>
      <c r="F138" s="724" t="s">
        <v>760</v>
      </c>
      <c r="G138" s="724"/>
      <c r="H138" s="725">
        <f t="shared" si="67"/>
        <v>0</v>
      </c>
      <c r="I138" s="725">
        <f>SUMPRODUCT(ISNUMBER(FIND(B138,'表2-合同及付款台账'!$B$5:$B$104))*'表2-合同及付款台账'!$G$5:$G$104)</f>
        <v>0</v>
      </c>
      <c r="J138" s="725">
        <f>SUMPRODUCT(ISNUMBER(FIND(B138,'表1-签证变更'!$B$5:$B$64))*'表1-签证变更'!$G$5:$G$64)</f>
        <v>0</v>
      </c>
      <c r="K138" s="725">
        <f t="shared" si="65"/>
        <v>0</v>
      </c>
      <c r="L138" s="725">
        <f>SUMPRODUCT(ISNUMBER(FIND(B138,'表2-合同及付款台账'!$B$5:$B$104))*'表2-合同及付款台账'!$M$5:$M$104)</f>
        <v>0</v>
      </c>
      <c r="M138" s="725">
        <f t="shared" si="68"/>
        <v>0</v>
      </c>
      <c r="N138" s="725">
        <f t="shared" si="66"/>
        <v>0</v>
      </c>
      <c r="O138" s="742" t="s">
        <v>491</v>
      </c>
      <c r="P138" s="724"/>
      <c r="Q138" s="725">
        <f t="shared" si="69"/>
        <v>0</v>
      </c>
      <c r="R138" s="725"/>
      <c r="S138" s="725"/>
      <c r="T138" s="725"/>
      <c r="U138" s="724"/>
    </row>
    <row r="139" s="699" customFormat="1" ht="26" customHeight="1" outlineLevel="2" spans="1:21">
      <c r="A139" s="724" t="s">
        <v>492</v>
      </c>
      <c r="B139" s="728" t="s">
        <v>493</v>
      </c>
      <c r="C139" s="725">
        <f t="shared" si="63"/>
        <v>0</v>
      </c>
      <c r="D139" s="725">
        <v>0</v>
      </c>
      <c r="E139" s="725">
        <f t="shared" si="45"/>
        <v>0</v>
      </c>
      <c r="F139" s="724" t="s">
        <v>762</v>
      </c>
      <c r="G139" s="724"/>
      <c r="H139" s="725">
        <f t="shared" si="67"/>
        <v>0</v>
      </c>
      <c r="I139" s="725">
        <f>SUMPRODUCT(ISNUMBER(FIND(B139,'表2-合同及付款台账'!$B$5:$B$104))*'表2-合同及付款台账'!$G$5:$G$104)</f>
        <v>0</v>
      </c>
      <c r="J139" s="725">
        <f>SUMPRODUCT(ISNUMBER(FIND(B139,'表1-签证变更'!$B$5:$B$64))*'表1-签证变更'!$G$5:$G$64)</f>
        <v>0</v>
      </c>
      <c r="K139" s="725">
        <f t="shared" si="65"/>
        <v>0</v>
      </c>
      <c r="L139" s="725">
        <f>SUMPRODUCT(ISNUMBER(FIND(B139,'表2-合同及付款台账'!$B$5:$B$104))*'表2-合同及付款台账'!$M$5:$M$104)</f>
        <v>0</v>
      </c>
      <c r="M139" s="725">
        <f t="shared" si="68"/>
        <v>0</v>
      </c>
      <c r="N139" s="725">
        <f t="shared" si="66"/>
        <v>0</v>
      </c>
      <c r="O139" s="742" t="s">
        <v>223</v>
      </c>
      <c r="P139" s="724"/>
      <c r="Q139" s="725">
        <f t="shared" si="69"/>
        <v>0</v>
      </c>
      <c r="R139" s="725"/>
      <c r="S139" s="725"/>
      <c r="T139" s="725"/>
      <c r="U139" s="724"/>
    </row>
    <row r="140" s="699" customFormat="1" ht="26" customHeight="1" outlineLevel="2" spans="1:21">
      <c r="A140" s="724" t="s">
        <v>494</v>
      </c>
      <c r="B140" s="728" t="s">
        <v>495</v>
      </c>
      <c r="C140" s="725">
        <f t="shared" si="63"/>
        <v>75.0886999891424</v>
      </c>
      <c r="D140" s="725">
        <v>535.97</v>
      </c>
      <c r="E140" s="725">
        <f t="shared" si="45"/>
        <v>5359700</v>
      </c>
      <c r="F140" s="724" t="s">
        <v>760</v>
      </c>
      <c r="G140" s="724"/>
      <c r="H140" s="725">
        <f t="shared" si="67"/>
        <v>5359700</v>
      </c>
      <c r="I140" s="725">
        <f>SUMPRODUCT(ISNUMBER(FIND(B140,'表2-合同及付款台账'!$B$5:$B$104))*'表2-合同及付款台账'!$G$5:$G$104)</f>
        <v>0</v>
      </c>
      <c r="J140" s="725">
        <f>SUMPRODUCT(ISNUMBER(FIND(B140,'表1-签证变更'!$B$5:$B$64))*'表1-签证变更'!$G$5:$G$64)</f>
        <v>0</v>
      </c>
      <c r="K140" s="725">
        <f t="shared" si="65"/>
        <v>5359700</v>
      </c>
      <c r="L140" s="725">
        <f>SUMPRODUCT(ISNUMBER(FIND(B140,'表2-合同及付款台账'!$B$5:$B$104))*'表2-合同及付款台账'!$M$5:$M$104)</f>
        <v>0</v>
      </c>
      <c r="M140" s="725">
        <f t="shared" si="68"/>
        <v>5359700</v>
      </c>
      <c r="N140" s="725">
        <f t="shared" si="66"/>
        <v>0</v>
      </c>
      <c r="O140" s="742" t="s">
        <v>496</v>
      </c>
      <c r="P140" s="724"/>
      <c r="Q140" s="725">
        <f t="shared" si="69"/>
        <v>0</v>
      </c>
      <c r="R140" s="725"/>
      <c r="S140" s="725"/>
      <c r="T140" s="725"/>
      <c r="U140" s="724"/>
    </row>
    <row r="141" s="699" customFormat="1" ht="26" customHeight="1" outlineLevel="2" spans="1:21">
      <c r="A141" s="724" t="s">
        <v>497</v>
      </c>
      <c r="B141" s="728" t="s">
        <v>498</v>
      </c>
      <c r="C141" s="725">
        <f t="shared" si="63"/>
        <v>63.612324482598</v>
      </c>
      <c r="D141" s="725">
        <v>454.05364</v>
      </c>
      <c r="E141" s="725">
        <f t="shared" si="45"/>
        <v>4540536.4</v>
      </c>
      <c r="F141" s="724" t="s">
        <v>760</v>
      </c>
      <c r="G141" s="724"/>
      <c r="H141" s="725">
        <f t="shared" si="67"/>
        <v>4540536.4</v>
      </c>
      <c r="I141" s="725">
        <f>SUMPRODUCT(ISNUMBER(FIND(B141,'表2-合同及付款台账'!$B$5:$B$104))*'表2-合同及付款台账'!$G$5:$G$104)</f>
        <v>0</v>
      </c>
      <c r="J141" s="725">
        <f>SUMPRODUCT(ISNUMBER(FIND(B141,'表1-签证变更'!$B$5:$B$64))*'表1-签证变更'!$G$5:$G$64)</f>
        <v>0</v>
      </c>
      <c r="K141" s="725">
        <f t="shared" si="65"/>
        <v>4540536.4</v>
      </c>
      <c r="L141" s="725">
        <f>SUMPRODUCT(ISNUMBER(FIND(B141,'表2-合同及付款台账'!$B$5:$B$104))*'表2-合同及付款台账'!$M$5:$M$104)</f>
        <v>0</v>
      </c>
      <c r="M141" s="725">
        <f t="shared" si="68"/>
        <v>4540536.4</v>
      </c>
      <c r="N141" s="725">
        <f t="shared" si="66"/>
        <v>0</v>
      </c>
      <c r="O141" s="742" t="s">
        <v>499</v>
      </c>
      <c r="P141" s="724"/>
      <c r="Q141" s="725">
        <f t="shared" si="69"/>
        <v>0</v>
      </c>
      <c r="R141" s="725"/>
      <c r="S141" s="725"/>
      <c r="T141" s="725"/>
      <c r="U141" s="724"/>
    </row>
    <row r="142" s="699" customFormat="1" ht="26" customHeight="1" outlineLevel="2" spans="1:21">
      <c r="A142" s="724" t="s">
        <v>500</v>
      </c>
      <c r="B142" s="728" t="s">
        <v>501</v>
      </c>
      <c r="C142" s="725">
        <f t="shared" si="63"/>
        <v>27.5393358621149</v>
      </c>
      <c r="D142" s="725">
        <v>196.57096</v>
      </c>
      <c r="E142" s="725">
        <f t="shared" si="45"/>
        <v>1965709.6</v>
      </c>
      <c r="F142" s="724" t="s">
        <v>760</v>
      </c>
      <c r="G142" s="724"/>
      <c r="H142" s="725">
        <f t="shared" si="67"/>
        <v>1965709.6</v>
      </c>
      <c r="I142" s="725">
        <f>SUMPRODUCT(ISNUMBER(FIND(B142,'表2-合同及付款台账'!$B$5:$B$104))*'表2-合同及付款台账'!$G$5:$G$104)</f>
        <v>0</v>
      </c>
      <c r="J142" s="725">
        <f>SUMPRODUCT(ISNUMBER(FIND(B142,'表1-签证变更'!$B$5:$B$64))*'表1-签证变更'!$G$5:$G$64)</f>
        <v>0</v>
      </c>
      <c r="K142" s="725">
        <f t="shared" si="65"/>
        <v>1965709.6</v>
      </c>
      <c r="L142" s="725">
        <f>SUMPRODUCT(ISNUMBER(FIND(B142,'表2-合同及付款台账'!$B$5:$B$104))*'表2-合同及付款台账'!$M$5:$M$104)</f>
        <v>0</v>
      </c>
      <c r="M142" s="725">
        <f t="shared" si="68"/>
        <v>1965709.6</v>
      </c>
      <c r="N142" s="725">
        <f t="shared" si="66"/>
        <v>0</v>
      </c>
      <c r="O142" s="742" t="s">
        <v>502</v>
      </c>
      <c r="P142" s="724"/>
      <c r="Q142" s="725">
        <f t="shared" si="69"/>
        <v>0</v>
      </c>
      <c r="R142" s="725"/>
      <c r="S142" s="725"/>
      <c r="T142" s="725"/>
      <c r="U142" s="724"/>
    </row>
    <row r="143" s="699" customFormat="1" ht="26" customHeight="1" outlineLevel="2" spans="1:21">
      <c r="A143" s="724" t="s">
        <v>503</v>
      </c>
      <c r="B143" s="728" t="s">
        <v>504</v>
      </c>
      <c r="C143" s="725">
        <f t="shared" si="63"/>
        <v>77.8747279458378</v>
      </c>
      <c r="D143" s="725">
        <v>555.85618</v>
      </c>
      <c r="E143" s="725">
        <f t="shared" si="45"/>
        <v>5558561.8</v>
      </c>
      <c r="F143" s="724" t="s">
        <v>760</v>
      </c>
      <c r="G143" s="724"/>
      <c r="H143" s="725">
        <f t="shared" si="67"/>
        <v>5558561.8</v>
      </c>
      <c r="I143" s="725">
        <f>SUMPRODUCT(ISNUMBER(FIND(B143,'表2-合同及付款台账'!$B$5:$B$104))*'表2-合同及付款台账'!$G$5:$G$104)</f>
        <v>0</v>
      </c>
      <c r="J143" s="725">
        <f>SUMPRODUCT(ISNUMBER(FIND(B143,'表1-签证变更'!$B$5:$B$64))*'表1-签证变更'!$G$5:$G$64)</f>
        <v>0</v>
      </c>
      <c r="K143" s="725">
        <f t="shared" si="65"/>
        <v>5558561.8</v>
      </c>
      <c r="L143" s="725">
        <f>SUMPRODUCT(ISNUMBER(FIND(B143,'表2-合同及付款台账'!$B$5:$B$104))*'表2-合同及付款台账'!$M$5:$M$104)</f>
        <v>0</v>
      </c>
      <c r="M143" s="725">
        <f t="shared" si="68"/>
        <v>5558561.8</v>
      </c>
      <c r="N143" s="725">
        <f t="shared" si="66"/>
        <v>0</v>
      </c>
      <c r="O143" s="742" t="s">
        <v>505</v>
      </c>
      <c r="P143" s="724"/>
      <c r="Q143" s="725">
        <f t="shared" si="69"/>
        <v>0</v>
      </c>
      <c r="R143" s="725"/>
      <c r="S143" s="725"/>
      <c r="T143" s="725"/>
      <c r="U143" s="724"/>
    </row>
    <row r="144" s="699" customFormat="1" ht="26" customHeight="1" outlineLevel="2" spans="1:21">
      <c r="A144" s="724" t="s">
        <v>506</v>
      </c>
      <c r="B144" s="728" t="s">
        <v>507</v>
      </c>
      <c r="C144" s="725">
        <f t="shared" si="63"/>
        <v>338.585773677556</v>
      </c>
      <c r="D144" s="725">
        <v>2416.766</v>
      </c>
      <c r="E144" s="725">
        <f t="shared" si="45"/>
        <v>24167660</v>
      </c>
      <c r="F144" s="724" t="s">
        <v>760</v>
      </c>
      <c r="G144" s="724"/>
      <c r="H144" s="725">
        <f t="shared" si="67"/>
        <v>24167660</v>
      </c>
      <c r="I144" s="725">
        <f>SUMPRODUCT(ISNUMBER(FIND(B144,'表2-合同及付款台账'!$B$5:$B$104))*'表2-合同及付款台账'!$G$5:$G$104)</f>
        <v>0</v>
      </c>
      <c r="J144" s="725">
        <f>SUMPRODUCT(ISNUMBER(FIND(B144,'表1-签证变更'!$B$5:$B$64))*'表1-签证变更'!$G$5:$G$64)</f>
        <v>0</v>
      </c>
      <c r="K144" s="725">
        <f t="shared" si="65"/>
        <v>24167660</v>
      </c>
      <c r="L144" s="725">
        <f>SUMPRODUCT(ISNUMBER(FIND(B144,'表2-合同及付款台账'!$B$5:$B$104))*'表2-合同及付款台账'!$M$5:$M$104)</f>
        <v>0</v>
      </c>
      <c r="M144" s="725">
        <f t="shared" si="68"/>
        <v>24167660</v>
      </c>
      <c r="N144" s="725">
        <f t="shared" si="66"/>
        <v>0</v>
      </c>
      <c r="O144" s="742" t="s">
        <v>508</v>
      </c>
      <c r="P144" s="724"/>
      <c r="Q144" s="725">
        <f t="shared" si="69"/>
        <v>0</v>
      </c>
      <c r="R144" s="725"/>
      <c r="S144" s="725"/>
      <c r="T144" s="725"/>
      <c r="U144" s="724"/>
    </row>
    <row r="145" s="699" customFormat="1" ht="26" customHeight="1" outlineLevel="2" spans="1:21">
      <c r="A145" s="724" t="s">
        <v>509</v>
      </c>
      <c r="B145" s="734" t="s">
        <v>510</v>
      </c>
      <c r="C145" s="725">
        <f t="shared" si="63"/>
        <v>0</v>
      </c>
      <c r="D145" s="725">
        <v>0</v>
      </c>
      <c r="E145" s="725">
        <f t="shared" si="45"/>
        <v>0</v>
      </c>
      <c r="F145" s="724" t="s">
        <v>760</v>
      </c>
      <c r="G145" s="724"/>
      <c r="H145" s="725">
        <f t="shared" si="67"/>
        <v>0</v>
      </c>
      <c r="I145" s="725">
        <f>SUMPRODUCT(ISNUMBER(FIND(B145,'表2-合同及付款台账'!$B$5:$B$104))*'表2-合同及付款台账'!$G$5:$G$104)</f>
        <v>0</v>
      </c>
      <c r="J145" s="725">
        <f>SUMPRODUCT(ISNUMBER(FIND(B145,'表1-签证变更'!$B$5:$B$64))*'表1-签证变更'!$G$5:$G$64)</f>
        <v>0</v>
      </c>
      <c r="K145" s="725">
        <f t="shared" si="65"/>
        <v>0</v>
      </c>
      <c r="L145" s="725">
        <f>SUMPRODUCT(ISNUMBER(FIND(B145,'表2-合同及付款台账'!$B$5:$B$104))*'表2-合同及付款台账'!$M$5:$M$104)</f>
        <v>0</v>
      </c>
      <c r="M145" s="725">
        <f t="shared" si="68"/>
        <v>0</v>
      </c>
      <c r="N145" s="725">
        <f t="shared" si="66"/>
        <v>0</v>
      </c>
      <c r="O145" s="742" t="s">
        <v>511</v>
      </c>
      <c r="P145" s="724"/>
      <c r="Q145" s="725">
        <f t="shared" si="69"/>
        <v>0</v>
      </c>
      <c r="R145" s="725"/>
      <c r="S145" s="725"/>
      <c r="T145" s="725"/>
      <c r="U145" s="724"/>
    </row>
    <row r="146" s="699" customFormat="1" ht="26" customHeight="1" outlineLevel="2" spans="1:21">
      <c r="A146" s="724" t="s">
        <v>512</v>
      </c>
      <c r="B146" s="734" t="s">
        <v>513</v>
      </c>
      <c r="C146" s="725">
        <f t="shared" si="63"/>
        <v>4.13090037931723</v>
      </c>
      <c r="D146" s="725">
        <v>29.485644</v>
      </c>
      <c r="E146" s="725">
        <f t="shared" si="45"/>
        <v>294856.44</v>
      </c>
      <c r="F146" s="724" t="s">
        <v>760</v>
      </c>
      <c r="G146" s="724"/>
      <c r="H146" s="725">
        <f t="shared" si="67"/>
        <v>294856.44</v>
      </c>
      <c r="I146" s="725">
        <f>SUMPRODUCT(ISNUMBER(FIND(B146,'表2-合同及付款台账'!$B$5:$B$104))*'表2-合同及付款台账'!$G$5:$G$104)</f>
        <v>0</v>
      </c>
      <c r="J146" s="725">
        <f>SUMPRODUCT(ISNUMBER(FIND(B146,'表1-签证变更'!$B$5:$B$64))*'表1-签证变更'!$G$5:$G$64)</f>
        <v>0</v>
      </c>
      <c r="K146" s="725">
        <f t="shared" si="65"/>
        <v>294856.44</v>
      </c>
      <c r="L146" s="725">
        <f>SUMPRODUCT(ISNUMBER(FIND(B146,'表2-合同及付款台账'!$B$5:$B$104))*'表2-合同及付款台账'!$M$5:$M$104)</f>
        <v>0</v>
      </c>
      <c r="M146" s="725">
        <f t="shared" si="68"/>
        <v>294856.44</v>
      </c>
      <c r="N146" s="725">
        <f t="shared" si="66"/>
        <v>0</v>
      </c>
      <c r="O146" s="742" t="s">
        <v>514</v>
      </c>
      <c r="P146" s="724"/>
      <c r="Q146" s="725">
        <f t="shared" si="69"/>
        <v>0</v>
      </c>
      <c r="R146" s="725"/>
      <c r="S146" s="725"/>
      <c r="T146" s="725"/>
      <c r="U146" s="724"/>
    </row>
    <row r="147" s="699" customFormat="1" ht="26" customHeight="1" outlineLevel="2" spans="1:21">
      <c r="A147" s="724" t="s">
        <v>515</v>
      </c>
      <c r="B147" s="728" t="s">
        <v>516</v>
      </c>
      <c r="C147" s="725">
        <f t="shared" si="63"/>
        <v>3.8</v>
      </c>
      <c r="D147" s="725">
        <v>27.123735</v>
      </c>
      <c r="E147" s="725">
        <f t="shared" ref="E147:E150" si="70">+D147*10000</f>
        <v>271237.35</v>
      </c>
      <c r="F147" s="724" t="s">
        <v>760</v>
      </c>
      <c r="G147" s="724"/>
      <c r="H147" s="725">
        <f t="shared" si="67"/>
        <v>271237.35</v>
      </c>
      <c r="I147" s="725">
        <f>SUMPRODUCT(ISNUMBER(FIND(B147,'表2-合同及付款台账'!$B$5:$B$104))*'表2-合同及付款台账'!$G$5:$G$104)</f>
        <v>0</v>
      </c>
      <c r="J147" s="725">
        <f>SUMPRODUCT(ISNUMBER(FIND(B147,'表1-签证变更'!$B$5:$B$64))*'表1-签证变更'!$G$5:$G$64)</f>
        <v>0</v>
      </c>
      <c r="K147" s="725">
        <f t="shared" si="65"/>
        <v>271237.35</v>
      </c>
      <c r="L147" s="725">
        <f>SUMPRODUCT(ISNUMBER(FIND(B147,'表2-合同及付款台账'!$B$5:$B$104))*'表2-合同及付款台账'!$M$5:$M$104)</f>
        <v>0</v>
      </c>
      <c r="M147" s="725">
        <f t="shared" si="68"/>
        <v>271237.35</v>
      </c>
      <c r="N147" s="725">
        <f t="shared" si="66"/>
        <v>0</v>
      </c>
      <c r="O147" s="742" t="s">
        <v>517</v>
      </c>
      <c r="P147" s="724"/>
      <c r="Q147" s="725">
        <f t="shared" si="69"/>
        <v>0</v>
      </c>
      <c r="R147" s="725"/>
      <c r="S147" s="725"/>
      <c r="T147" s="725"/>
      <c r="U147" s="724"/>
    </row>
    <row r="148" s="699" customFormat="1" ht="26" customHeight="1" outlineLevel="2" spans="1:21">
      <c r="A148" s="724" t="s">
        <v>518</v>
      </c>
      <c r="B148" s="728" t="s">
        <v>519</v>
      </c>
      <c r="C148" s="725">
        <f t="shared" si="63"/>
        <v>37.3819924136554</v>
      </c>
      <c r="D148" s="725">
        <v>266.82612</v>
      </c>
      <c r="E148" s="725">
        <f t="shared" si="70"/>
        <v>2668261.2</v>
      </c>
      <c r="F148" s="724" t="s">
        <v>760</v>
      </c>
      <c r="G148" s="724"/>
      <c r="H148" s="725">
        <f t="shared" si="67"/>
        <v>2668261.2</v>
      </c>
      <c r="I148" s="725">
        <f>SUMPRODUCT(ISNUMBER(FIND(B148,'表2-合同及付款台账'!$B$5:$B$104))*'表2-合同及付款台账'!$G$5:$G$104)</f>
        <v>0</v>
      </c>
      <c r="J148" s="725">
        <f>SUMPRODUCT(ISNUMBER(FIND(B148,'表1-签证变更'!$B$5:$B$64))*'表1-签证变更'!$G$5:$G$64)</f>
        <v>0</v>
      </c>
      <c r="K148" s="725">
        <f t="shared" si="65"/>
        <v>2668261.2</v>
      </c>
      <c r="L148" s="725">
        <f>SUMPRODUCT(ISNUMBER(FIND(B148,'表2-合同及付款台账'!$B$5:$B$104))*'表2-合同及付款台账'!$M$5:$M$104)</f>
        <v>0</v>
      </c>
      <c r="M148" s="725">
        <f t="shared" si="68"/>
        <v>2668261.2</v>
      </c>
      <c r="N148" s="725">
        <f t="shared" si="66"/>
        <v>0</v>
      </c>
      <c r="O148" s="742" t="s">
        <v>520</v>
      </c>
      <c r="P148" s="724"/>
      <c r="Q148" s="725">
        <f t="shared" si="69"/>
        <v>0</v>
      </c>
      <c r="R148" s="725"/>
      <c r="S148" s="725"/>
      <c r="T148" s="725"/>
      <c r="U148" s="724"/>
    </row>
    <row r="149" s="699" customFormat="1" ht="26" customHeight="1" outlineLevel="2" spans="1:21">
      <c r="A149" s="724" t="s">
        <v>522</v>
      </c>
      <c r="B149" s="728" t="s">
        <v>523</v>
      </c>
      <c r="C149" s="725">
        <f t="shared" si="63"/>
        <v>0</v>
      </c>
      <c r="D149" s="725">
        <v>0</v>
      </c>
      <c r="E149" s="725">
        <f t="shared" si="70"/>
        <v>0</v>
      </c>
      <c r="F149" s="724" t="s">
        <v>762</v>
      </c>
      <c r="G149" s="724"/>
      <c r="H149" s="725">
        <f t="shared" si="67"/>
        <v>0</v>
      </c>
      <c r="I149" s="725">
        <f>SUMPRODUCT(ISNUMBER(FIND(B149,'表2-合同及付款台账'!$B$5:$B$104))*'表2-合同及付款台账'!$G$5:$G$104)</f>
        <v>0</v>
      </c>
      <c r="J149" s="725">
        <f>SUMPRODUCT(ISNUMBER(FIND(B149,'表1-签证变更'!$B$5:$B$64))*'表1-签证变更'!$G$5:$G$64)</f>
        <v>0</v>
      </c>
      <c r="K149" s="725">
        <f t="shared" si="65"/>
        <v>0</v>
      </c>
      <c r="L149" s="725">
        <f>SUMPRODUCT(ISNUMBER(FIND(B149,'表2-合同及付款台账'!$B$5:$B$104))*'表2-合同及付款台账'!$M$5:$M$104)</f>
        <v>0</v>
      </c>
      <c r="M149" s="725">
        <f t="shared" si="68"/>
        <v>0</v>
      </c>
      <c r="N149" s="725">
        <f t="shared" si="66"/>
        <v>0</v>
      </c>
      <c r="O149" s="742" t="s">
        <v>223</v>
      </c>
      <c r="P149" s="724"/>
      <c r="Q149" s="725">
        <f t="shared" si="69"/>
        <v>0</v>
      </c>
      <c r="R149" s="725"/>
      <c r="S149" s="725"/>
      <c r="T149" s="725"/>
      <c r="U149" s="724"/>
    </row>
    <row r="150" s="699" customFormat="1" ht="28" customHeight="1" outlineLevel="2" spans="1:21">
      <c r="A150" s="724" t="s">
        <v>524</v>
      </c>
      <c r="B150" s="734" t="s">
        <v>525</v>
      </c>
      <c r="C150" s="725">
        <f t="shared" si="63"/>
        <v>11.768290760841</v>
      </c>
      <c r="D150" s="725">
        <v>84</v>
      </c>
      <c r="E150" s="725">
        <f t="shared" si="70"/>
        <v>840000</v>
      </c>
      <c r="F150" s="724" t="s">
        <v>760</v>
      </c>
      <c r="G150" s="724"/>
      <c r="H150" s="725">
        <f t="shared" si="67"/>
        <v>840000</v>
      </c>
      <c r="I150" s="725">
        <f>SUMPRODUCT(ISNUMBER(FIND(B150,'表2-合同及付款台账'!$B$5:$B$104))*'表2-合同及付款台账'!$G$5:$G$104)</f>
        <v>0</v>
      </c>
      <c r="J150" s="725">
        <f>SUMPRODUCT(ISNUMBER(FIND(B150,'表1-签证变更'!$B$5:$B$64))*'表1-签证变更'!$G$5:$G$64)</f>
        <v>0</v>
      </c>
      <c r="K150" s="725">
        <f t="shared" si="65"/>
        <v>840000</v>
      </c>
      <c r="L150" s="725">
        <f>SUMPRODUCT(ISNUMBER(FIND(B150,'表2-合同及付款台账'!$B$5:$B$104))*'表2-合同及付款台账'!$M$5:$M$104)</f>
        <v>0</v>
      </c>
      <c r="M150" s="725">
        <f t="shared" si="68"/>
        <v>840000</v>
      </c>
      <c r="N150" s="725">
        <f t="shared" si="66"/>
        <v>0</v>
      </c>
      <c r="O150" s="742" t="s">
        <v>526</v>
      </c>
      <c r="P150" s="724"/>
      <c r="Q150" s="725">
        <f t="shared" si="69"/>
        <v>0</v>
      </c>
      <c r="R150" s="725"/>
      <c r="S150" s="725"/>
      <c r="T150" s="725"/>
      <c r="U150" s="724"/>
    </row>
    <row r="151" s="700" customFormat="1" ht="29" customHeight="1" outlineLevel="1" spans="1:21">
      <c r="A151" s="726">
        <v>3.3</v>
      </c>
      <c r="B151" s="726" t="s">
        <v>527</v>
      </c>
      <c r="C151" s="727">
        <f>SUM(C152:C172)</f>
        <v>194.527744796209</v>
      </c>
      <c r="D151" s="727">
        <f>SUM(D152:D172)</f>
        <v>1388.505</v>
      </c>
      <c r="E151" s="727">
        <f t="shared" ref="E147:E214" si="71">+D151*10000</f>
        <v>13885050</v>
      </c>
      <c r="F151" s="726" t="s">
        <v>756</v>
      </c>
      <c r="G151" s="726"/>
      <c r="H151" s="727">
        <f>SUM(H152:H172)</f>
        <v>13885050</v>
      </c>
      <c r="I151" s="727">
        <f t="shared" ref="I151:N151" si="72">SUM(I152:I172)</f>
        <v>9694050</v>
      </c>
      <c r="J151" s="727">
        <f t="shared" si="72"/>
        <v>378286.091835955</v>
      </c>
      <c r="K151" s="727">
        <f t="shared" si="72"/>
        <v>3812713.90816404</v>
      </c>
      <c r="L151" s="727">
        <f t="shared" si="72"/>
        <v>2699754.64</v>
      </c>
      <c r="M151" s="727">
        <f t="shared" si="72"/>
        <v>13885050</v>
      </c>
      <c r="N151" s="727">
        <f t="shared" si="72"/>
        <v>0</v>
      </c>
      <c r="O151" s="743"/>
      <c r="P151" s="726"/>
      <c r="Q151" s="727">
        <f t="shared" si="69"/>
        <v>0</v>
      </c>
      <c r="R151" s="727"/>
      <c r="S151" s="727"/>
      <c r="T151" s="727"/>
      <c r="U151" s="726"/>
    </row>
    <row r="152" s="699" customFormat="1" ht="27" customHeight="1" outlineLevel="2" spans="1:21">
      <c r="A152" s="724" t="s">
        <v>529</v>
      </c>
      <c r="B152" s="730" t="s">
        <v>530</v>
      </c>
      <c r="C152" s="725">
        <f t="shared" ref="C152:C172" si="73">D152/$C$5</f>
        <v>6.33386220592407</v>
      </c>
      <c r="D152" s="725">
        <v>45.21</v>
      </c>
      <c r="E152" s="725">
        <f t="shared" si="71"/>
        <v>452100</v>
      </c>
      <c r="F152" s="724" t="s">
        <v>757</v>
      </c>
      <c r="G152" s="724" t="s">
        <v>759</v>
      </c>
      <c r="H152" s="725">
        <f>+I152+J152+K152</f>
        <v>452100</v>
      </c>
      <c r="I152" s="725">
        <f>SUMPRODUCT(ISNUMBER(FIND(B152,'表2-合同及付款台账'!$B$5:$B$104))*'表2-合同及付款台账'!$G$5:$G$104)</f>
        <v>353150</v>
      </c>
      <c r="J152" s="725">
        <f>SUMPRODUCT(ISNUMBER(FIND(B152,'表1-签证变更'!$B$5:$B$64))*'表1-签证变更'!$G$5:$G$64)</f>
        <v>0</v>
      </c>
      <c r="K152" s="725">
        <f t="shared" ref="K152:K172" si="74">+E152-I152-J152</f>
        <v>98950</v>
      </c>
      <c r="L152" s="725">
        <f>SUMPRODUCT(ISNUMBER(FIND(B152,'表2-合同及付款台账'!$B$5:$B$104))*'表2-合同及付款台账'!$M$5:$M$104)</f>
        <v>0</v>
      </c>
      <c r="M152" s="725">
        <f t="shared" ref="M152:M172" si="75">+E152</f>
        <v>452100</v>
      </c>
      <c r="N152" s="725">
        <f t="shared" ref="N152:N172" si="76">+E152-M152</f>
        <v>0</v>
      </c>
      <c r="O152" s="742" t="s">
        <v>531</v>
      </c>
      <c r="P152" s="724"/>
      <c r="Q152" s="725">
        <f t="shared" si="69"/>
        <v>0</v>
      </c>
      <c r="R152" s="725"/>
      <c r="S152" s="725"/>
      <c r="T152" s="725"/>
      <c r="U152" s="724"/>
    </row>
    <row r="153" s="699" customFormat="1" ht="32" customHeight="1" outlineLevel="2" spans="1:21">
      <c r="A153" s="724" t="s">
        <v>533</v>
      </c>
      <c r="B153" s="730" t="s">
        <v>534</v>
      </c>
      <c r="C153" s="725">
        <f t="shared" si="73"/>
        <v>0</v>
      </c>
      <c r="D153" s="725">
        <v>0</v>
      </c>
      <c r="E153" s="725">
        <f t="shared" si="71"/>
        <v>0</v>
      </c>
      <c r="F153" s="724" t="s">
        <v>762</v>
      </c>
      <c r="G153" s="724"/>
      <c r="H153" s="725">
        <f t="shared" ref="H153:H172" si="77">+I153+J153+K153</f>
        <v>0</v>
      </c>
      <c r="I153" s="725">
        <f>SUMPRODUCT(ISNUMBER(FIND(B153,'表2-合同及付款台账'!$B$5:$B$104))*'表2-合同及付款台账'!$G$5:$G$104)</f>
        <v>0</v>
      </c>
      <c r="J153" s="725">
        <f>SUMPRODUCT(ISNUMBER(FIND(B153,'表1-签证变更'!$B$5:$B$64))*'表1-签证变更'!$G$5:$G$64)</f>
        <v>0</v>
      </c>
      <c r="K153" s="725">
        <f t="shared" si="74"/>
        <v>0</v>
      </c>
      <c r="L153" s="725">
        <f>SUMPRODUCT(ISNUMBER(FIND(B153,'表2-合同及付款台账'!$B$5:$B$104))*'表2-合同及付款台账'!$M$5:$M$104)</f>
        <v>0</v>
      </c>
      <c r="M153" s="725">
        <f t="shared" si="75"/>
        <v>0</v>
      </c>
      <c r="N153" s="725">
        <f t="shared" si="76"/>
        <v>0</v>
      </c>
      <c r="O153" s="742" t="s">
        <v>436</v>
      </c>
      <c r="P153" s="724"/>
      <c r="Q153" s="725">
        <f t="shared" si="69"/>
        <v>0</v>
      </c>
      <c r="R153" s="725"/>
      <c r="S153" s="725"/>
      <c r="T153" s="725"/>
      <c r="U153" s="724"/>
    </row>
    <row r="154" s="699" customFormat="1" ht="32" customHeight="1" outlineLevel="2" spans="1:21">
      <c r="A154" s="724" t="s">
        <v>535</v>
      </c>
      <c r="B154" s="730" t="s">
        <v>536</v>
      </c>
      <c r="C154" s="725">
        <f t="shared" si="73"/>
        <v>0</v>
      </c>
      <c r="D154" s="725">
        <v>0</v>
      </c>
      <c r="E154" s="725">
        <f t="shared" si="71"/>
        <v>0</v>
      </c>
      <c r="F154" s="724" t="s">
        <v>762</v>
      </c>
      <c r="G154" s="724"/>
      <c r="H154" s="725">
        <f t="shared" si="77"/>
        <v>0</v>
      </c>
      <c r="I154" s="725">
        <f>SUMPRODUCT(ISNUMBER(FIND(B154,'表2-合同及付款台账'!$B$5:$B$104))*'表2-合同及付款台账'!$G$5:$G$104)</f>
        <v>0</v>
      </c>
      <c r="J154" s="725">
        <f>SUMPRODUCT(ISNUMBER(FIND(B154,'表1-签证变更'!$B$5:$B$64))*'表1-签证变更'!$G$5:$G$64)</f>
        <v>0</v>
      </c>
      <c r="K154" s="725">
        <f t="shared" si="74"/>
        <v>0</v>
      </c>
      <c r="L154" s="725">
        <f>SUMPRODUCT(ISNUMBER(FIND(B154,'表2-合同及付款台账'!$B$5:$B$104))*'表2-合同及付款台账'!$M$5:$M$104)</f>
        <v>0</v>
      </c>
      <c r="M154" s="725">
        <f t="shared" si="75"/>
        <v>0</v>
      </c>
      <c r="N154" s="725">
        <f t="shared" si="76"/>
        <v>0</v>
      </c>
      <c r="O154" s="742" t="s">
        <v>537</v>
      </c>
      <c r="P154" s="724"/>
      <c r="Q154" s="725">
        <f t="shared" si="69"/>
        <v>0</v>
      </c>
      <c r="R154" s="725"/>
      <c r="S154" s="725"/>
      <c r="T154" s="725"/>
      <c r="U154" s="724"/>
    </row>
    <row r="155" s="699" customFormat="1" ht="32" customHeight="1" outlineLevel="2" spans="1:21">
      <c r="A155" s="724" t="s">
        <v>538</v>
      </c>
      <c r="B155" s="730" t="s">
        <v>539</v>
      </c>
      <c r="C155" s="725">
        <f t="shared" si="73"/>
        <v>0</v>
      </c>
      <c r="D155" s="725">
        <v>0</v>
      </c>
      <c r="E155" s="725">
        <f t="shared" si="71"/>
        <v>0</v>
      </c>
      <c r="F155" s="724" t="s">
        <v>762</v>
      </c>
      <c r="G155" s="724"/>
      <c r="H155" s="725">
        <f t="shared" si="77"/>
        <v>0</v>
      </c>
      <c r="I155" s="725">
        <f>SUMPRODUCT(ISNUMBER(FIND(B155,'表2-合同及付款台账'!$B$5:$B$104))*'表2-合同及付款台账'!$G$5:$G$104)</f>
        <v>0</v>
      </c>
      <c r="J155" s="725">
        <f>SUMPRODUCT(ISNUMBER(FIND(B155,'表1-签证变更'!$B$5:$B$64))*'表1-签证变更'!$G$5:$G$64)</f>
        <v>0</v>
      </c>
      <c r="K155" s="725">
        <f t="shared" si="74"/>
        <v>0</v>
      </c>
      <c r="L155" s="725">
        <f>SUMPRODUCT(ISNUMBER(FIND(B155,'表2-合同及付款台账'!$B$5:$B$104))*'表2-合同及付款台账'!$M$5:$M$104)</f>
        <v>0</v>
      </c>
      <c r="M155" s="725">
        <f t="shared" si="75"/>
        <v>0</v>
      </c>
      <c r="N155" s="725">
        <f t="shared" si="76"/>
        <v>0</v>
      </c>
      <c r="O155" s="760" t="s">
        <v>540</v>
      </c>
      <c r="P155" s="724"/>
      <c r="Q155" s="725">
        <f t="shared" si="69"/>
        <v>0</v>
      </c>
      <c r="R155" s="725"/>
      <c r="S155" s="725"/>
      <c r="T155" s="725"/>
      <c r="U155" s="724"/>
    </row>
    <row r="156" s="699" customFormat="1" ht="32" customHeight="1" outlineLevel="2" spans="1:21">
      <c r="A156" s="724" t="s">
        <v>541</v>
      </c>
      <c r="B156" s="730" t="s">
        <v>542</v>
      </c>
      <c r="C156" s="725">
        <f t="shared" si="73"/>
        <v>0</v>
      </c>
      <c r="D156" s="725">
        <v>0</v>
      </c>
      <c r="E156" s="725">
        <f t="shared" si="71"/>
        <v>0</v>
      </c>
      <c r="F156" s="724" t="s">
        <v>762</v>
      </c>
      <c r="G156" s="724"/>
      <c r="H156" s="725">
        <f t="shared" si="77"/>
        <v>0</v>
      </c>
      <c r="I156" s="725">
        <f>SUMPRODUCT(ISNUMBER(FIND(B156,'表2-合同及付款台账'!$B$5:$B$104))*'表2-合同及付款台账'!$G$5:$G$104)</f>
        <v>0</v>
      </c>
      <c r="J156" s="725">
        <f>SUMPRODUCT(ISNUMBER(FIND(B156,'表1-签证变更'!$B$5:$B$64))*'表1-签证变更'!$G$5:$G$64)</f>
        <v>0</v>
      </c>
      <c r="K156" s="725">
        <f t="shared" si="74"/>
        <v>0</v>
      </c>
      <c r="L156" s="725">
        <f>SUMPRODUCT(ISNUMBER(FIND(B156,'表2-合同及付款台账'!$B$5:$B$104))*'表2-合同及付款台账'!$M$5:$M$104)</f>
        <v>0</v>
      </c>
      <c r="M156" s="725">
        <f t="shared" si="75"/>
        <v>0</v>
      </c>
      <c r="N156" s="725">
        <f t="shared" si="76"/>
        <v>0</v>
      </c>
      <c r="O156" s="742" t="s">
        <v>537</v>
      </c>
      <c r="P156" s="724"/>
      <c r="Q156" s="725">
        <f t="shared" si="69"/>
        <v>0</v>
      </c>
      <c r="R156" s="725"/>
      <c r="S156" s="725"/>
      <c r="T156" s="725"/>
      <c r="U156" s="724"/>
    </row>
    <row r="157" s="699" customFormat="1" ht="32" customHeight="1" outlineLevel="2" spans="1:21">
      <c r="A157" s="724" t="s">
        <v>543</v>
      </c>
      <c r="B157" s="730" t="s">
        <v>544</v>
      </c>
      <c r="C157" s="725">
        <f t="shared" si="73"/>
        <v>0</v>
      </c>
      <c r="D157" s="725">
        <v>0</v>
      </c>
      <c r="E157" s="725">
        <f t="shared" si="71"/>
        <v>0</v>
      </c>
      <c r="F157" s="724" t="s">
        <v>762</v>
      </c>
      <c r="G157" s="724"/>
      <c r="H157" s="725">
        <f t="shared" si="77"/>
        <v>0</v>
      </c>
      <c r="I157" s="725">
        <f>SUMPRODUCT(ISNUMBER(FIND(B157,'表2-合同及付款台账'!$B$5:$B$104))*'表2-合同及付款台账'!$G$5:$G$104)</f>
        <v>0</v>
      </c>
      <c r="J157" s="725">
        <f>SUMPRODUCT(ISNUMBER(FIND(B157,'表1-签证变更'!$B$5:$B$64))*'表1-签证变更'!$G$5:$G$64)</f>
        <v>0</v>
      </c>
      <c r="K157" s="725">
        <f t="shared" si="74"/>
        <v>0</v>
      </c>
      <c r="L157" s="725">
        <f>SUMPRODUCT(ISNUMBER(FIND(B157,'表2-合同及付款台账'!$B$5:$B$104))*'表2-合同及付款台账'!$M$5:$M$104)</f>
        <v>0</v>
      </c>
      <c r="M157" s="725">
        <f t="shared" si="75"/>
        <v>0</v>
      </c>
      <c r="N157" s="725">
        <f t="shared" si="76"/>
        <v>0</v>
      </c>
      <c r="O157" s="760" t="s">
        <v>540</v>
      </c>
      <c r="P157" s="724"/>
      <c r="Q157" s="725">
        <f t="shared" si="69"/>
        <v>0</v>
      </c>
      <c r="R157" s="725"/>
      <c r="S157" s="725"/>
      <c r="T157" s="725"/>
      <c r="U157" s="724"/>
    </row>
    <row r="158" s="699" customFormat="1" ht="32" customHeight="1" outlineLevel="2" spans="1:21">
      <c r="A158" s="724" t="s">
        <v>545</v>
      </c>
      <c r="B158" s="730" t="s">
        <v>546</v>
      </c>
      <c r="C158" s="725">
        <f t="shared" si="73"/>
        <v>0.924651416923222</v>
      </c>
      <c r="D158" s="725">
        <v>6.6</v>
      </c>
      <c r="E158" s="725">
        <f t="shared" si="71"/>
        <v>66000</v>
      </c>
      <c r="F158" s="724" t="s">
        <v>760</v>
      </c>
      <c r="G158" s="724"/>
      <c r="H158" s="725">
        <f t="shared" si="77"/>
        <v>66000</v>
      </c>
      <c r="I158" s="725">
        <f>SUMPRODUCT(ISNUMBER(FIND(B158,'表2-合同及付款台账'!$B$5:$B$104))*'表2-合同及付款台账'!$G$5:$G$104)</f>
        <v>0</v>
      </c>
      <c r="J158" s="725">
        <f>SUMPRODUCT(ISNUMBER(FIND(B158,'表1-签证变更'!$B$5:$B$64))*'表1-签证变更'!$G$5:$G$64)</f>
        <v>0</v>
      </c>
      <c r="K158" s="725">
        <f t="shared" si="74"/>
        <v>66000</v>
      </c>
      <c r="L158" s="725">
        <f>SUMPRODUCT(ISNUMBER(FIND(B158,'表2-合同及付款台账'!$B$5:$B$104))*'表2-合同及付款台账'!$M$5:$M$104)</f>
        <v>0</v>
      </c>
      <c r="M158" s="725">
        <f t="shared" si="75"/>
        <v>66000</v>
      </c>
      <c r="N158" s="725">
        <f t="shared" si="76"/>
        <v>0</v>
      </c>
      <c r="O158" s="742" t="s">
        <v>547</v>
      </c>
      <c r="P158" s="724"/>
      <c r="Q158" s="725">
        <f t="shared" si="69"/>
        <v>0</v>
      </c>
      <c r="R158" s="725"/>
      <c r="S158" s="725"/>
      <c r="T158" s="725"/>
      <c r="U158" s="724"/>
    </row>
    <row r="159" s="699" customFormat="1" ht="60" customHeight="1" outlineLevel="2" spans="1:21">
      <c r="A159" s="724" t="s">
        <v>548</v>
      </c>
      <c r="B159" s="734" t="s">
        <v>549</v>
      </c>
      <c r="C159" s="725">
        <f t="shared" si="73"/>
        <v>63.0444147902197</v>
      </c>
      <c r="D159" s="725">
        <v>450</v>
      </c>
      <c r="E159" s="725">
        <f t="shared" si="71"/>
        <v>4500000</v>
      </c>
      <c r="F159" s="724" t="s">
        <v>757</v>
      </c>
      <c r="G159" s="724" t="s">
        <v>759</v>
      </c>
      <c r="H159" s="725">
        <f t="shared" si="77"/>
        <v>4500000</v>
      </c>
      <c r="I159" s="725">
        <f>SUMPRODUCT(ISNUMBER(FIND(B159,'表2-合同及付款台账'!$B$5:$B$104))*'表2-合同及付款台账'!$G$5:$G$104)</f>
        <v>3900000</v>
      </c>
      <c r="J159" s="725">
        <f>SUMPRODUCT(ISNUMBER(FIND(B159,'表1-签证变更'!$B$5:$B$64))*'表1-签证变更'!$G$5:$G$64)</f>
        <v>378286.091835955</v>
      </c>
      <c r="K159" s="725">
        <f t="shared" si="74"/>
        <v>221713.908164045</v>
      </c>
      <c r="L159" s="725">
        <f>SUMPRODUCT(ISNUMBER(FIND(B159,'表2-合同及付款台账'!$B$5:$B$104))*'表2-合同及付款台账'!$M$5:$M$104)</f>
        <v>1000000</v>
      </c>
      <c r="M159" s="725">
        <f t="shared" si="75"/>
        <v>4500000</v>
      </c>
      <c r="N159" s="725">
        <f t="shared" si="76"/>
        <v>0</v>
      </c>
      <c r="O159" s="742" t="s">
        <v>772</v>
      </c>
      <c r="P159" s="724"/>
      <c r="Q159" s="725">
        <f t="shared" si="69"/>
        <v>0</v>
      </c>
      <c r="R159" s="725"/>
      <c r="S159" s="725"/>
      <c r="T159" s="725"/>
      <c r="U159" s="724"/>
    </row>
    <row r="160" s="699" customFormat="1" ht="38" customHeight="1" outlineLevel="2" spans="1:21">
      <c r="A160" s="724" t="s">
        <v>551</v>
      </c>
      <c r="B160" s="734" t="s">
        <v>552</v>
      </c>
      <c r="C160" s="725">
        <f t="shared" si="73"/>
        <v>12.4365615576173</v>
      </c>
      <c r="D160" s="725">
        <v>88.77</v>
      </c>
      <c r="E160" s="725">
        <f t="shared" si="71"/>
        <v>887700</v>
      </c>
      <c r="F160" s="724" t="s">
        <v>757</v>
      </c>
      <c r="G160" s="724" t="s">
        <v>759</v>
      </c>
      <c r="H160" s="725">
        <f t="shared" si="77"/>
        <v>887700</v>
      </c>
      <c r="I160" s="725">
        <f>SUMPRODUCT(ISNUMBER(FIND(B160,'表2-合同及付款台账'!$B$5:$B$104))*'表2-合同及付款台账'!$G$5:$G$104)</f>
        <v>789900</v>
      </c>
      <c r="J160" s="725">
        <f>SUMPRODUCT(ISNUMBER(FIND(B160,'表1-签证变更'!$B$5:$B$64))*'表1-签证变更'!$G$5:$G$64)</f>
        <v>0</v>
      </c>
      <c r="K160" s="725">
        <f t="shared" si="74"/>
        <v>97800</v>
      </c>
      <c r="L160" s="725">
        <f>SUMPRODUCT(ISNUMBER(FIND(B160,'表2-合同及付款台账'!$B$5:$B$104))*'表2-合同及付款台账'!$M$5:$M$104)</f>
        <v>631920</v>
      </c>
      <c r="M160" s="725">
        <f t="shared" si="75"/>
        <v>887700</v>
      </c>
      <c r="N160" s="725">
        <f t="shared" si="76"/>
        <v>0</v>
      </c>
      <c r="O160" s="742" t="s">
        <v>553</v>
      </c>
      <c r="P160" s="724"/>
      <c r="Q160" s="725">
        <f t="shared" si="69"/>
        <v>0</v>
      </c>
      <c r="R160" s="725"/>
      <c r="S160" s="725"/>
      <c r="T160" s="725"/>
      <c r="U160" s="724"/>
    </row>
    <row r="161" s="699" customFormat="1" ht="32" customHeight="1" outlineLevel="2" spans="1:21">
      <c r="A161" s="724" t="s">
        <v>554</v>
      </c>
      <c r="B161" s="734" t="s">
        <v>555</v>
      </c>
      <c r="C161" s="725">
        <f t="shared" si="73"/>
        <v>0</v>
      </c>
      <c r="D161" s="725">
        <v>0</v>
      </c>
      <c r="E161" s="725">
        <f t="shared" si="71"/>
        <v>0</v>
      </c>
      <c r="F161" s="724" t="s">
        <v>762</v>
      </c>
      <c r="G161" s="724"/>
      <c r="H161" s="725">
        <f t="shared" si="77"/>
        <v>0</v>
      </c>
      <c r="I161" s="725">
        <f>SUMPRODUCT(ISNUMBER(FIND(B161,'表2-合同及付款台账'!$B$5:$B$104))*'表2-合同及付款台账'!$G$5:$G$104)</f>
        <v>0</v>
      </c>
      <c r="J161" s="725">
        <f>SUMPRODUCT(ISNUMBER(FIND(B161,'表1-签证变更'!$B$5:$B$64))*'表1-签证变更'!$G$5:$G$64)</f>
        <v>0</v>
      </c>
      <c r="K161" s="725">
        <f t="shared" si="74"/>
        <v>0</v>
      </c>
      <c r="L161" s="725">
        <f>SUMPRODUCT(ISNUMBER(FIND(B161,'表2-合同及付款台账'!$B$5:$B$104))*'表2-合同及付款台账'!$M$5:$M$104)</f>
        <v>0</v>
      </c>
      <c r="M161" s="725">
        <f t="shared" si="75"/>
        <v>0</v>
      </c>
      <c r="N161" s="725">
        <f t="shared" si="76"/>
        <v>0</v>
      </c>
      <c r="O161" s="742" t="s">
        <v>556</v>
      </c>
      <c r="P161" s="724"/>
      <c r="Q161" s="725">
        <f t="shared" si="69"/>
        <v>0</v>
      </c>
      <c r="R161" s="725"/>
      <c r="S161" s="725"/>
      <c r="T161" s="725"/>
      <c r="U161" s="724"/>
    </row>
    <row r="162" s="699" customFormat="1" ht="32" customHeight="1" outlineLevel="2" spans="1:21">
      <c r="A162" s="724" t="s">
        <v>557</v>
      </c>
      <c r="B162" s="734" t="s">
        <v>558</v>
      </c>
      <c r="C162" s="725">
        <f t="shared" si="73"/>
        <v>0</v>
      </c>
      <c r="D162" s="725">
        <v>0</v>
      </c>
      <c r="E162" s="725">
        <f t="shared" si="71"/>
        <v>0</v>
      </c>
      <c r="F162" s="724" t="s">
        <v>762</v>
      </c>
      <c r="G162" s="724"/>
      <c r="H162" s="725">
        <f t="shared" si="77"/>
        <v>0</v>
      </c>
      <c r="I162" s="725">
        <f>SUMPRODUCT(ISNUMBER(FIND(B162,'表2-合同及付款台账'!$B$5:$B$104))*'表2-合同及付款台账'!$G$5:$G$104)</f>
        <v>0</v>
      </c>
      <c r="J162" s="725">
        <f>SUMPRODUCT(ISNUMBER(FIND(B162,'表1-签证变更'!$B$5:$B$64))*'表1-签证变更'!$G$5:$G$64)</f>
        <v>0</v>
      </c>
      <c r="K162" s="725">
        <f t="shared" si="74"/>
        <v>0</v>
      </c>
      <c r="L162" s="725">
        <f>SUMPRODUCT(ISNUMBER(FIND(B162,'表2-合同及付款台账'!$B$5:$B$104))*'表2-合同及付款台账'!$M$5:$M$104)</f>
        <v>0</v>
      </c>
      <c r="M162" s="725">
        <f t="shared" si="75"/>
        <v>0</v>
      </c>
      <c r="N162" s="725">
        <f t="shared" si="76"/>
        <v>0</v>
      </c>
      <c r="O162" s="742" t="s">
        <v>556</v>
      </c>
      <c r="P162" s="724"/>
      <c r="Q162" s="725">
        <f t="shared" si="69"/>
        <v>0</v>
      </c>
      <c r="R162" s="725"/>
      <c r="S162" s="725"/>
      <c r="T162" s="725"/>
      <c r="U162" s="724"/>
    </row>
    <row r="163" s="699" customFormat="1" ht="32" customHeight="1" outlineLevel="2" spans="1:21">
      <c r="A163" s="724" t="s">
        <v>559</v>
      </c>
      <c r="B163" s="734" t="s">
        <v>560</v>
      </c>
      <c r="C163" s="725">
        <f t="shared" si="73"/>
        <v>0</v>
      </c>
      <c r="D163" s="725">
        <v>0</v>
      </c>
      <c r="E163" s="725">
        <f t="shared" si="71"/>
        <v>0</v>
      </c>
      <c r="F163" s="724" t="s">
        <v>762</v>
      </c>
      <c r="G163" s="724"/>
      <c r="H163" s="725">
        <f t="shared" si="77"/>
        <v>0</v>
      </c>
      <c r="I163" s="725">
        <f>SUMPRODUCT(ISNUMBER(FIND(B163,'表2-合同及付款台账'!$B$5:$B$104))*'表2-合同及付款台账'!$G$5:$G$104)</f>
        <v>0</v>
      </c>
      <c r="J163" s="725">
        <f>SUMPRODUCT(ISNUMBER(FIND(B163,'表1-签证变更'!$B$5:$B$64))*'表1-签证变更'!$G$5:$G$64)</f>
        <v>0</v>
      </c>
      <c r="K163" s="725">
        <f t="shared" si="74"/>
        <v>0</v>
      </c>
      <c r="L163" s="725">
        <f>SUMPRODUCT(ISNUMBER(FIND(B163,'表2-合同及付款台账'!$B$5:$B$104))*'表2-合同及付款台账'!$M$5:$M$104)</f>
        <v>0</v>
      </c>
      <c r="M163" s="725">
        <f t="shared" si="75"/>
        <v>0</v>
      </c>
      <c r="N163" s="725">
        <f t="shared" si="76"/>
        <v>0</v>
      </c>
      <c r="O163" s="742" t="s">
        <v>61</v>
      </c>
      <c r="P163" s="724"/>
      <c r="Q163" s="725">
        <f t="shared" si="69"/>
        <v>0</v>
      </c>
      <c r="R163" s="725"/>
      <c r="S163" s="725"/>
      <c r="T163" s="725"/>
      <c r="U163" s="724"/>
    </row>
    <row r="164" s="699" customFormat="1" ht="32" customHeight="1" outlineLevel="2" spans="1:21">
      <c r="A164" s="724" t="s">
        <v>561</v>
      </c>
      <c r="B164" s="734" t="s">
        <v>562</v>
      </c>
      <c r="C164" s="725">
        <f t="shared" si="73"/>
        <v>0</v>
      </c>
      <c r="D164" s="725">
        <v>0</v>
      </c>
      <c r="E164" s="725">
        <f t="shared" si="71"/>
        <v>0</v>
      </c>
      <c r="F164" s="724" t="s">
        <v>762</v>
      </c>
      <c r="G164" s="724"/>
      <c r="H164" s="725">
        <f t="shared" si="77"/>
        <v>0</v>
      </c>
      <c r="I164" s="725">
        <f>SUMPRODUCT(ISNUMBER(FIND(B164,'表2-合同及付款台账'!$B$5:$B$104))*'表2-合同及付款台账'!$G$5:$G$104)</f>
        <v>0</v>
      </c>
      <c r="J164" s="725">
        <f>SUMPRODUCT(ISNUMBER(FIND(B164,'表1-签证变更'!$B$5:$B$64))*'表1-签证变更'!$G$5:$G$64)</f>
        <v>0</v>
      </c>
      <c r="K164" s="725">
        <f t="shared" si="74"/>
        <v>0</v>
      </c>
      <c r="L164" s="725">
        <f>SUMPRODUCT(ISNUMBER(FIND(B164,'表2-合同及付款台账'!$B$5:$B$104))*'表2-合同及付款台账'!$M$5:$M$104)</f>
        <v>0</v>
      </c>
      <c r="M164" s="725">
        <f t="shared" si="75"/>
        <v>0</v>
      </c>
      <c r="N164" s="725">
        <f t="shared" si="76"/>
        <v>0</v>
      </c>
      <c r="O164" s="742" t="s">
        <v>556</v>
      </c>
      <c r="P164" s="724"/>
      <c r="Q164" s="725">
        <f t="shared" si="69"/>
        <v>0</v>
      </c>
      <c r="R164" s="725"/>
      <c r="S164" s="725"/>
      <c r="T164" s="725"/>
      <c r="U164" s="724"/>
    </row>
    <row r="165" s="699" customFormat="1" ht="32" customHeight="1" outlineLevel="2" spans="1:21">
      <c r="A165" s="724" t="s">
        <v>563</v>
      </c>
      <c r="B165" s="734" t="s">
        <v>564</v>
      </c>
      <c r="C165" s="725">
        <f t="shared" si="73"/>
        <v>0</v>
      </c>
      <c r="D165" s="725">
        <v>0</v>
      </c>
      <c r="E165" s="725">
        <f t="shared" si="71"/>
        <v>0</v>
      </c>
      <c r="F165" s="724" t="s">
        <v>762</v>
      </c>
      <c r="G165" s="724"/>
      <c r="H165" s="725">
        <f t="shared" si="77"/>
        <v>0</v>
      </c>
      <c r="I165" s="725">
        <f>SUMPRODUCT(ISNUMBER(FIND(B165,'表2-合同及付款台账'!$B$5:$B$104))*'表2-合同及付款台账'!$G$5:$G$104)</f>
        <v>0</v>
      </c>
      <c r="J165" s="725">
        <f>SUMPRODUCT(ISNUMBER(FIND(B165,'表1-签证变更'!$B$5:$B$64))*'表1-签证变更'!$G$5:$G$64)</f>
        <v>0</v>
      </c>
      <c r="K165" s="725">
        <f t="shared" si="74"/>
        <v>0</v>
      </c>
      <c r="L165" s="725">
        <f>SUMPRODUCT(ISNUMBER(FIND(B165,'表2-合同及付款台账'!$B$5:$B$104))*'表2-合同及付款台账'!$M$5:$M$104)</f>
        <v>0</v>
      </c>
      <c r="M165" s="725">
        <f t="shared" si="75"/>
        <v>0</v>
      </c>
      <c r="N165" s="725">
        <f t="shared" si="76"/>
        <v>0</v>
      </c>
      <c r="O165" s="742"/>
      <c r="P165" s="724"/>
      <c r="Q165" s="725">
        <f t="shared" si="69"/>
        <v>0</v>
      </c>
      <c r="R165" s="725"/>
      <c r="S165" s="725"/>
      <c r="T165" s="725"/>
      <c r="U165" s="724"/>
    </row>
    <row r="166" s="699" customFormat="1" ht="67.5" outlineLevel="2" spans="1:21">
      <c r="A166" s="724" t="s">
        <v>565</v>
      </c>
      <c r="B166" s="734" t="s">
        <v>566</v>
      </c>
      <c r="C166" s="725">
        <f t="shared" si="73"/>
        <v>91.7926679345599</v>
      </c>
      <c r="D166" s="725">
        <v>655.2</v>
      </c>
      <c r="E166" s="725">
        <f t="shared" si="71"/>
        <v>6552000</v>
      </c>
      <c r="F166" s="724" t="s">
        <v>757</v>
      </c>
      <c r="G166" s="724" t="s">
        <v>759</v>
      </c>
      <c r="H166" s="725">
        <f t="shared" si="77"/>
        <v>6552000</v>
      </c>
      <c r="I166" s="725">
        <f>SUMPRODUCT(ISNUMBER(FIND(B166,'表2-合同及付款台账'!$B$5:$B$104))*'表2-合同及付款台账'!$G$5:$G$104)</f>
        <v>4390000</v>
      </c>
      <c r="J166" s="725">
        <f>SUMPRODUCT(ISNUMBER(FIND(B166,'表1-签证变更'!$B$5:$B$64))*'表1-签证变更'!$G$5:$G$64)</f>
        <v>0</v>
      </c>
      <c r="K166" s="725">
        <f t="shared" si="74"/>
        <v>2162000</v>
      </c>
      <c r="L166" s="725">
        <f>SUMPRODUCT(ISNUMBER(FIND(B166,'表2-合同及付款台账'!$B$5:$B$104))*'表2-合同及付款台账'!$M$5:$M$104)</f>
        <v>1067834.64</v>
      </c>
      <c r="M166" s="725">
        <f t="shared" si="75"/>
        <v>6552000</v>
      </c>
      <c r="N166" s="725">
        <f t="shared" si="76"/>
        <v>0</v>
      </c>
      <c r="O166" s="742" t="s">
        <v>567</v>
      </c>
      <c r="P166" s="724"/>
      <c r="Q166" s="725">
        <f t="shared" si="69"/>
        <v>0</v>
      </c>
      <c r="R166" s="725"/>
      <c r="S166" s="725"/>
      <c r="T166" s="725"/>
      <c r="U166" s="724"/>
    </row>
    <row r="167" s="699" customFormat="1" ht="32" customHeight="1" outlineLevel="2" spans="1:21">
      <c r="A167" s="724" t="s">
        <v>568</v>
      </c>
      <c r="B167" s="756" t="s">
        <v>569</v>
      </c>
      <c r="C167" s="725">
        <f t="shared" si="73"/>
        <v>0</v>
      </c>
      <c r="D167" s="725">
        <v>0</v>
      </c>
      <c r="E167" s="725">
        <f t="shared" si="71"/>
        <v>0</v>
      </c>
      <c r="F167" s="724" t="s">
        <v>762</v>
      </c>
      <c r="G167" s="724"/>
      <c r="H167" s="725">
        <f t="shared" si="77"/>
        <v>0</v>
      </c>
      <c r="I167" s="725">
        <f>SUMPRODUCT(ISNUMBER(FIND(B167,'表2-合同及付款台账'!$B$5:$B$104))*'表2-合同及付款台账'!$G$5:$G$104)</f>
        <v>0</v>
      </c>
      <c r="J167" s="725">
        <f>SUMPRODUCT(ISNUMBER(FIND(B167,'表1-签证变更'!$B$5:$B$64))*'表1-签证变更'!$G$5:$G$64)</f>
        <v>0</v>
      </c>
      <c r="K167" s="725">
        <f t="shared" si="74"/>
        <v>0</v>
      </c>
      <c r="L167" s="725">
        <f>SUMPRODUCT(ISNUMBER(FIND(B167,'表2-合同及付款台账'!$B$5:$B$104))*'表2-合同及付款台账'!$M$5:$M$104)</f>
        <v>0</v>
      </c>
      <c r="M167" s="725">
        <f t="shared" si="75"/>
        <v>0</v>
      </c>
      <c r="N167" s="725">
        <f t="shared" si="76"/>
        <v>0</v>
      </c>
      <c r="O167" s="742" t="s">
        <v>491</v>
      </c>
      <c r="P167" s="724"/>
      <c r="Q167" s="725">
        <f t="shared" si="69"/>
        <v>0</v>
      </c>
      <c r="R167" s="725"/>
      <c r="S167" s="725"/>
      <c r="T167" s="725"/>
      <c r="U167" s="724"/>
    </row>
    <row r="168" s="699" customFormat="1" ht="32" customHeight="1" outlineLevel="2" spans="1:21">
      <c r="A168" s="724" t="s">
        <v>570</v>
      </c>
      <c r="B168" s="734" t="s">
        <v>571</v>
      </c>
      <c r="C168" s="725">
        <f t="shared" si="73"/>
        <v>12.1360498471173</v>
      </c>
      <c r="D168" s="725">
        <v>86.625</v>
      </c>
      <c r="E168" s="725">
        <f t="shared" si="71"/>
        <v>866250</v>
      </c>
      <c r="F168" s="724" t="s">
        <v>760</v>
      </c>
      <c r="G168" s="724"/>
      <c r="H168" s="725">
        <f t="shared" si="77"/>
        <v>866250</v>
      </c>
      <c r="I168" s="725">
        <f>SUMPRODUCT(ISNUMBER(FIND(B168,'表2-合同及付款台账'!$B$5:$B$104))*'表2-合同及付款台账'!$G$5:$G$104)</f>
        <v>0</v>
      </c>
      <c r="J168" s="725">
        <f>SUMPRODUCT(ISNUMBER(FIND(B168,'表1-签证变更'!$B$5:$B$64))*'表1-签证变更'!$G$5:$G$64)</f>
        <v>0</v>
      </c>
      <c r="K168" s="725">
        <f t="shared" si="74"/>
        <v>866250</v>
      </c>
      <c r="L168" s="725">
        <f>SUMPRODUCT(ISNUMBER(FIND(B168,'表2-合同及付款台账'!$B$5:$B$104))*'表2-合同及付款台账'!$M$5:$M$104)</f>
        <v>0</v>
      </c>
      <c r="M168" s="725">
        <f t="shared" si="75"/>
        <v>866250</v>
      </c>
      <c r="N168" s="725">
        <f t="shared" si="76"/>
        <v>0</v>
      </c>
      <c r="O168" s="742" t="s">
        <v>572</v>
      </c>
      <c r="P168" s="724"/>
      <c r="Q168" s="725">
        <f t="shared" si="69"/>
        <v>0</v>
      </c>
      <c r="R168" s="725"/>
      <c r="S168" s="725"/>
      <c r="T168" s="725"/>
      <c r="U168" s="724"/>
    </row>
    <row r="169" s="699" customFormat="1" ht="32" customHeight="1" outlineLevel="2" spans="1:21">
      <c r="A169" s="724" t="s">
        <v>573</v>
      </c>
      <c r="B169" s="734" t="s">
        <v>574</v>
      </c>
      <c r="C169" s="725">
        <f t="shared" si="73"/>
        <v>0</v>
      </c>
      <c r="D169" s="725">
        <v>0</v>
      </c>
      <c r="E169" s="725">
        <f t="shared" si="71"/>
        <v>0</v>
      </c>
      <c r="F169" s="724" t="s">
        <v>762</v>
      </c>
      <c r="G169" s="724"/>
      <c r="H169" s="725">
        <f t="shared" si="77"/>
        <v>0</v>
      </c>
      <c r="I169" s="725">
        <f>SUMPRODUCT(ISNUMBER(FIND(B169,'表2-合同及付款台账'!$B$5:$B$104))*'表2-合同及付款台账'!$G$5:$G$104)</f>
        <v>0</v>
      </c>
      <c r="J169" s="725">
        <f>SUMPRODUCT(ISNUMBER(FIND(B169,'表1-签证变更'!$B$5:$B$64))*'表1-签证变更'!$G$5:$G$64)</f>
        <v>0</v>
      </c>
      <c r="K169" s="725">
        <f t="shared" si="74"/>
        <v>0</v>
      </c>
      <c r="L169" s="725">
        <f>SUMPRODUCT(ISNUMBER(FIND(B169,'表2-合同及付款台账'!$B$5:$B$104))*'表2-合同及付款台账'!$M$5:$M$104)</f>
        <v>0</v>
      </c>
      <c r="M169" s="725">
        <f t="shared" si="75"/>
        <v>0</v>
      </c>
      <c r="N169" s="725">
        <f t="shared" si="76"/>
        <v>0</v>
      </c>
      <c r="O169" s="742"/>
      <c r="P169" s="724"/>
      <c r="Q169" s="725">
        <f t="shared" si="69"/>
        <v>0</v>
      </c>
      <c r="R169" s="725"/>
      <c r="S169" s="725"/>
      <c r="T169" s="725"/>
      <c r="U169" s="724"/>
    </row>
    <row r="170" s="699" customFormat="1" ht="32" customHeight="1" outlineLevel="2" spans="1:21">
      <c r="A170" s="724" t="s">
        <v>575</v>
      </c>
      <c r="B170" s="734" t="s">
        <v>578</v>
      </c>
      <c r="C170" s="725">
        <f t="shared" si="73"/>
        <v>0</v>
      </c>
      <c r="D170" s="725">
        <v>0</v>
      </c>
      <c r="E170" s="725">
        <f t="shared" si="71"/>
        <v>0</v>
      </c>
      <c r="F170" s="724" t="s">
        <v>762</v>
      </c>
      <c r="G170" s="724"/>
      <c r="H170" s="725">
        <f t="shared" si="77"/>
        <v>0</v>
      </c>
      <c r="I170" s="725">
        <f>SUMPRODUCT(ISNUMBER(FIND(B170,'表2-合同及付款台账'!$B$5:$B$104))*'表2-合同及付款台账'!$G$5:$G$104)</f>
        <v>0</v>
      </c>
      <c r="J170" s="725">
        <f>SUMPRODUCT(ISNUMBER(FIND(B170,'表1-签证变更'!$B$5:$B$64))*'表1-签证变更'!$G$5:$G$64)</f>
        <v>0</v>
      </c>
      <c r="K170" s="725">
        <f t="shared" si="74"/>
        <v>0</v>
      </c>
      <c r="L170" s="725">
        <f>SUMPRODUCT(ISNUMBER(FIND(B170,'表2-合同及付款台账'!$B$5:$B$104))*'表2-合同及付款台账'!$M$5:$M$104)</f>
        <v>0</v>
      </c>
      <c r="M170" s="725">
        <f t="shared" si="75"/>
        <v>0</v>
      </c>
      <c r="N170" s="725">
        <f t="shared" si="76"/>
        <v>0</v>
      </c>
      <c r="O170" s="742"/>
      <c r="P170" s="724"/>
      <c r="Q170" s="725">
        <f t="shared" si="69"/>
        <v>0</v>
      </c>
      <c r="R170" s="725"/>
      <c r="S170" s="725"/>
      <c r="T170" s="725"/>
      <c r="U170" s="724"/>
    </row>
    <row r="171" s="699" customFormat="1" ht="32" customHeight="1" outlineLevel="2" spans="1:21">
      <c r="A171" s="724" t="s">
        <v>579</v>
      </c>
      <c r="B171" s="734" t="s">
        <v>582</v>
      </c>
      <c r="C171" s="725">
        <f t="shared" si="73"/>
        <v>3.65657605783274</v>
      </c>
      <c r="D171" s="725">
        <v>26.1</v>
      </c>
      <c r="E171" s="725">
        <f t="shared" si="71"/>
        <v>261000</v>
      </c>
      <c r="F171" s="724" t="s">
        <v>757</v>
      </c>
      <c r="G171" s="724" t="s">
        <v>759</v>
      </c>
      <c r="H171" s="725">
        <f t="shared" si="77"/>
        <v>261000</v>
      </c>
      <c r="I171" s="725">
        <f>SUMPRODUCT(ISNUMBER(FIND(B171,'表2-合同及付款台账'!$B$5:$B$104))*'表2-合同及付款台账'!$G$5:$G$104)</f>
        <v>261000</v>
      </c>
      <c r="J171" s="725">
        <f>SUMPRODUCT(ISNUMBER(FIND(B171,'表1-签证变更'!$B$5:$B$64))*'表1-签证变更'!$G$5:$G$64)</f>
        <v>0</v>
      </c>
      <c r="K171" s="725">
        <f t="shared" si="74"/>
        <v>0</v>
      </c>
      <c r="L171" s="725">
        <f>SUMPRODUCT(ISNUMBER(FIND(B171,'表2-合同及付款台账'!$B$5:$B$104))*'表2-合同及付款台账'!$M$5:$M$104)</f>
        <v>0</v>
      </c>
      <c r="M171" s="725">
        <f t="shared" si="75"/>
        <v>261000</v>
      </c>
      <c r="N171" s="725">
        <f t="shared" si="76"/>
        <v>0</v>
      </c>
      <c r="O171" s="742" t="s">
        <v>583</v>
      </c>
      <c r="P171" s="724"/>
      <c r="Q171" s="725">
        <f t="shared" si="69"/>
        <v>0</v>
      </c>
      <c r="R171" s="725"/>
      <c r="S171" s="725"/>
      <c r="T171" s="725"/>
      <c r="U171" s="724"/>
    </row>
    <row r="172" s="699" customFormat="1" ht="32" customHeight="1" outlineLevel="2" spans="1:21">
      <c r="A172" s="724" t="s">
        <v>584</v>
      </c>
      <c r="B172" s="734" t="s">
        <v>586</v>
      </c>
      <c r="C172" s="725">
        <f t="shared" si="73"/>
        <v>4.20296098601465</v>
      </c>
      <c r="D172" s="725">
        <v>30</v>
      </c>
      <c r="E172" s="725">
        <f t="shared" si="71"/>
        <v>300000</v>
      </c>
      <c r="F172" s="724" t="s">
        <v>760</v>
      </c>
      <c r="G172" s="724"/>
      <c r="H172" s="725">
        <f t="shared" si="77"/>
        <v>300000</v>
      </c>
      <c r="I172" s="725">
        <f>SUMPRODUCT(ISNUMBER(FIND(B172,'表2-合同及付款台账'!$B$5:$B$104))*'表2-合同及付款台账'!$G$5:$G$104)</f>
        <v>0</v>
      </c>
      <c r="J172" s="725">
        <f>SUMPRODUCT(ISNUMBER(FIND(B172,'表1-签证变更'!$B$5:$B$64))*'表1-签证变更'!$G$5:$G$64)</f>
        <v>0</v>
      </c>
      <c r="K172" s="725">
        <f t="shared" si="74"/>
        <v>300000</v>
      </c>
      <c r="L172" s="725">
        <f>SUMPRODUCT(ISNUMBER(FIND(B172,'表2-合同及付款台账'!$B$5:$B$104))*'表2-合同及付款台账'!$M$5:$M$104)</f>
        <v>0</v>
      </c>
      <c r="M172" s="725">
        <f t="shared" si="75"/>
        <v>300000</v>
      </c>
      <c r="N172" s="725">
        <f t="shared" si="76"/>
        <v>0</v>
      </c>
      <c r="O172" s="742" t="s">
        <v>587</v>
      </c>
      <c r="P172" s="724"/>
      <c r="Q172" s="725">
        <f t="shared" si="69"/>
        <v>0</v>
      </c>
      <c r="R172" s="725"/>
      <c r="S172" s="725"/>
      <c r="T172" s="725"/>
      <c r="U172" s="724"/>
    </row>
    <row r="173" s="700" customFormat="1" customHeight="1" outlineLevel="1" spans="1:21">
      <c r="A173" s="726">
        <v>3.4</v>
      </c>
      <c r="B173" s="726" t="s">
        <v>588</v>
      </c>
      <c r="C173" s="727">
        <f>SUM(C174:C184)</f>
        <v>4.03878105165089</v>
      </c>
      <c r="D173" s="727">
        <f>SUM(D174:D184)</f>
        <v>28.82811236</v>
      </c>
      <c r="E173" s="727">
        <f t="shared" si="71"/>
        <v>288281.1236</v>
      </c>
      <c r="F173" s="726" t="s">
        <v>756</v>
      </c>
      <c r="G173" s="726"/>
      <c r="H173" s="727">
        <f>SUM(H174:H184)</f>
        <v>288281.1236</v>
      </c>
      <c r="I173" s="727">
        <f t="shared" ref="I173:N173" si="78">SUM(I174:I184)</f>
        <v>412688.84</v>
      </c>
      <c r="J173" s="727">
        <f t="shared" si="78"/>
        <v>0</v>
      </c>
      <c r="K173" s="727">
        <f t="shared" si="78"/>
        <v>-124407.7164</v>
      </c>
      <c r="L173" s="727">
        <f t="shared" si="78"/>
        <v>0</v>
      </c>
      <c r="M173" s="727">
        <f t="shared" si="78"/>
        <v>288281.1236</v>
      </c>
      <c r="N173" s="727">
        <f t="shared" si="78"/>
        <v>0</v>
      </c>
      <c r="O173" s="743"/>
      <c r="P173" s="726"/>
      <c r="Q173" s="727">
        <f t="shared" si="69"/>
        <v>0</v>
      </c>
      <c r="R173" s="727"/>
      <c r="S173" s="727"/>
      <c r="T173" s="727"/>
      <c r="U173" s="726"/>
    </row>
    <row r="174" s="699" customFormat="1" ht="42" customHeight="1" outlineLevel="2" spans="1:21">
      <c r="A174" s="724" t="s">
        <v>589</v>
      </c>
      <c r="B174" s="734" t="s">
        <v>590</v>
      </c>
      <c r="C174" s="725">
        <f t="shared" ref="C174:C184" si="79">D174/$C$5</f>
        <v>1.45866736155622</v>
      </c>
      <c r="D174" s="725">
        <v>10.41171236</v>
      </c>
      <c r="E174" s="725">
        <f t="shared" si="71"/>
        <v>104117.1236</v>
      </c>
      <c r="F174" s="724" t="s">
        <v>757</v>
      </c>
      <c r="G174" s="724" t="s">
        <v>759</v>
      </c>
      <c r="H174" s="725">
        <f>+I174+J174+K174</f>
        <v>104117.1236</v>
      </c>
      <c r="I174" s="725">
        <f>SUMPRODUCT(ISNUMBER(FIND(B174,'表2-合同及付款台账'!$B$5:$B$104))*'表2-合同及付款台账'!$G$5:$G$104)</f>
        <v>233965.29</v>
      </c>
      <c r="J174" s="725">
        <f>SUMPRODUCT(ISNUMBER(FIND(B174,'表1-签证变更'!$B$5:$B$64))*'表1-签证变更'!$G$5:$G$64)</f>
        <v>0</v>
      </c>
      <c r="K174" s="725">
        <f t="shared" ref="K174:K184" si="80">+E174-I174-J174</f>
        <v>-129848.1664</v>
      </c>
      <c r="L174" s="725">
        <f>SUMPRODUCT(ISNUMBER(FIND(B174,'表2-合同及付款台账'!$B$5:$B$104))*'表2-合同及付款台账'!$M$5:$M$104)</f>
        <v>0</v>
      </c>
      <c r="M174" s="725">
        <f t="shared" ref="M174:M184" si="81">+E174</f>
        <v>104117.1236</v>
      </c>
      <c r="N174" s="725">
        <f t="shared" ref="N174:N184" si="82">+E174-M174</f>
        <v>0</v>
      </c>
      <c r="O174" s="742" t="s">
        <v>773</v>
      </c>
      <c r="P174" s="724" t="s">
        <v>774</v>
      </c>
      <c r="Q174" s="725">
        <f t="shared" si="69"/>
        <v>0</v>
      </c>
      <c r="R174" s="725"/>
      <c r="S174" s="725"/>
      <c r="T174" s="725"/>
      <c r="U174" s="724"/>
    </row>
    <row r="175" s="699" customFormat="1" ht="32" customHeight="1" outlineLevel="2" spans="1:21">
      <c r="A175" s="724" t="s">
        <v>593</v>
      </c>
      <c r="B175" s="734" t="s">
        <v>594</v>
      </c>
      <c r="C175" s="725">
        <f t="shared" si="79"/>
        <v>0</v>
      </c>
      <c r="D175" s="725">
        <f>9*0</f>
        <v>0</v>
      </c>
      <c r="E175" s="725"/>
      <c r="F175" s="724" t="s">
        <v>762</v>
      </c>
      <c r="G175" s="724"/>
      <c r="H175" s="725">
        <f>+I175+J175+K175</f>
        <v>0</v>
      </c>
      <c r="I175" s="725">
        <f>SUMPRODUCT(ISNUMBER(FIND(B175,'表2-合同及付款台账'!$B$5:$B$104))*'表2-合同及付款台账'!$G$5:$G$104)</f>
        <v>0</v>
      </c>
      <c r="J175" s="725">
        <f>SUMPRODUCT(ISNUMBER(FIND(B175,'表1-签证变更'!$B$5:$B$64))*'表1-签证变更'!$G$5:$G$64)</f>
        <v>0</v>
      </c>
      <c r="K175" s="725">
        <f t="shared" si="80"/>
        <v>0</v>
      </c>
      <c r="L175" s="725">
        <f>SUMPRODUCT(ISNUMBER(FIND(B175,'表2-合同及付款台账'!$B$5:$B$104))*'表2-合同及付款台账'!$M$5:$M$104)</f>
        <v>0</v>
      </c>
      <c r="M175" s="725">
        <f t="shared" si="81"/>
        <v>0</v>
      </c>
      <c r="N175" s="725">
        <f t="shared" si="82"/>
        <v>0</v>
      </c>
      <c r="O175" s="742"/>
      <c r="P175" s="724"/>
      <c r="Q175" s="725">
        <f t="shared" si="69"/>
        <v>0</v>
      </c>
      <c r="R175" s="725"/>
      <c r="S175" s="725"/>
      <c r="T175" s="725"/>
      <c r="U175" s="724"/>
    </row>
    <row r="176" s="699" customFormat="1" ht="32" customHeight="1" outlineLevel="2" spans="1:21">
      <c r="A176" s="724" t="s">
        <v>596</v>
      </c>
      <c r="B176" s="734" t="s">
        <v>597</v>
      </c>
      <c r="C176" s="725">
        <f t="shared" si="79"/>
        <v>0</v>
      </c>
      <c r="D176" s="725">
        <v>0</v>
      </c>
      <c r="E176" s="725">
        <f t="shared" si="71"/>
        <v>0</v>
      </c>
      <c r="F176" s="724" t="s">
        <v>762</v>
      </c>
      <c r="G176" s="724"/>
      <c r="H176" s="725">
        <f t="shared" ref="H174:H184" si="83">+I176+J176+K176</f>
        <v>0</v>
      </c>
      <c r="I176" s="725">
        <f>SUMPRODUCT(ISNUMBER(FIND(B176,'表2-合同及付款台账'!$B$5:$B$104))*'表2-合同及付款台账'!$G$5:$G$104)</f>
        <v>0</v>
      </c>
      <c r="J176" s="725">
        <f>SUMPRODUCT(ISNUMBER(FIND(B176,'表1-签证变更'!$B$5:$B$64))*'表1-签证变更'!$G$5:$G$64)</f>
        <v>0</v>
      </c>
      <c r="K176" s="725">
        <f t="shared" si="80"/>
        <v>0</v>
      </c>
      <c r="L176" s="725">
        <f>SUMPRODUCT(ISNUMBER(FIND(B176,'表2-合同及付款台账'!$B$5:$B$104))*'表2-合同及付款台账'!$M$5:$M$104)</f>
        <v>0</v>
      </c>
      <c r="M176" s="725">
        <f t="shared" si="81"/>
        <v>0</v>
      </c>
      <c r="N176" s="725">
        <f t="shared" si="82"/>
        <v>0</v>
      </c>
      <c r="O176" s="742" t="s">
        <v>223</v>
      </c>
      <c r="P176" s="724"/>
      <c r="Q176" s="725">
        <f t="shared" si="69"/>
        <v>0</v>
      </c>
      <c r="R176" s="725"/>
      <c r="S176" s="725"/>
      <c r="T176" s="725"/>
      <c r="U176" s="724"/>
    </row>
    <row r="177" s="699" customFormat="1" ht="32" customHeight="1" outlineLevel="2" spans="1:21">
      <c r="A177" s="724" t="s">
        <v>598</v>
      </c>
      <c r="B177" s="734" t="s">
        <v>599</v>
      </c>
      <c r="C177" s="725">
        <f t="shared" si="79"/>
        <v>0</v>
      </c>
      <c r="D177" s="725">
        <v>0</v>
      </c>
      <c r="E177" s="725">
        <f t="shared" si="71"/>
        <v>0</v>
      </c>
      <c r="F177" s="724" t="s">
        <v>762</v>
      </c>
      <c r="G177" s="724"/>
      <c r="H177" s="725">
        <f t="shared" si="83"/>
        <v>0</v>
      </c>
      <c r="I177" s="725">
        <f>SUMPRODUCT(ISNUMBER(FIND(B177,'表2-合同及付款台账'!$B$5:$B$104))*'表2-合同及付款台账'!$G$5:$G$104)</f>
        <v>0</v>
      </c>
      <c r="J177" s="725">
        <f>SUMPRODUCT(ISNUMBER(FIND(B177,'表1-签证变更'!$B$5:$B$64))*'表1-签证变更'!$G$5:$G$64)</f>
        <v>0</v>
      </c>
      <c r="K177" s="725">
        <f t="shared" si="80"/>
        <v>0</v>
      </c>
      <c r="L177" s="725">
        <f>SUMPRODUCT(ISNUMBER(FIND(B177,'表2-合同及付款台账'!$B$5:$B$104))*'表2-合同及付款台账'!$M$5:$M$104)</f>
        <v>0</v>
      </c>
      <c r="M177" s="725">
        <f t="shared" si="81"/>
        <v>0</v>
      </c>
      <c r="N177" s="725">
        <f t="shared" si="82"/>
        <v>0</v>
      </c>
      <c r="O177" s="742" t="s">
        <v>223</v>
      </c>
      <c r="P177" s="724"/>
      <c r="Q177" s="725">
        <f t="shared" si="69"/>
        <v>0</v>
      </c>
      <c r="R177" s="725"/>
      <c r="S177" s="725"/>
      <c r="T177" s="725"/>
      <c r="U177" s="724"/>
    </row>
    <row r="178" s="699" customFormat="1" ht="32" customHeight="1" outlineLevel="2" spans="1:21">
      <c r="A178" s="724" t="s">
        <v>600</v>
      </c>
      <c r="B178" s="734" t="s">
        <v>601</v>
      </c>
      <c r="C178" s="725">
        <f t="shared" si="79"/>
        <v>0</v>
      </c>
      <c r="D178" s="725">
        <v>0</v>
      </c>
      <c r="E178" s="725">
        <f t="shared" si="71"/>
        <v>0</v>
      </c>
      <c r="F178" s="724"/>
      <c r="G178" s="724"/>
      <c r="H178" s="725">
        <f t="shared" si="83"/>
        <v>0</v>
      </c>
      <c r="I178" s="725">
        <f>SUMPRODUCT(ISNUMBER(FIND(B178,'表2-合同及付款台账'!$B$5:$B$104))*'表2-合同及付款台账'!$G$5:$G$104)</f>
        <v>0</v>
      </c>
      <c r="J178" s="725">
        <f>SUMPRODUCT(ISNUMBER(FIND(B178,'表1-签证变更'!$B$5:$B$64))*'表1-签证变更'!$G$5:$G$64)</f>
        <v>0</v>
      </c>
      <c r="K178" s="725">
        <f t="shared" si="80"/>
        <v>0</v>
      </c>
      <c r="L178" s="725">
        <f>SUMPRODUCT(ISNUMBER(FIND(B178,'表2-合同及付款台账'!$B$5:$B$104))*'表2-合同及付款台账'!$M$5:$M$104)</f>
        <v>0</v>
      </c>
      <c r="M178" s="725">
        <f t="shared" si="81"/>
        <v>0</v>
      </c>
      <c r="N178" s="725">
        <f t="shared" si="82"/>
        <v>0</v>
      </c>
      <c r="O178" s="742" t="s">
        <v>223</v>
      </c>
      <c r="P178" s="724"/>
      <c r="Q178" s="725">
        <f t="shared" si="69"/>
        <v>0</v>
      </c>
      <c r="R178" s="725"/>
      <c r="S178" s="725"/>
      <c r="T178" s="725"/>
      <c r="U178" s="724"/>
    </row>
    <row r="179" s="699" customFormat="1" ht="32" customHeight="1" outlineLevel="2" spans="1:21">
      <c r="A179" s="724" t="s">
        <v>602</v>
      </c>
      <c r="B179" s="734" t="s">
        <v>603</v>
      </c>
      <c r="C179" s="725">
        <f t="shared" si="79"/>
        <v>0</v>
      </c>
      <c r="D179" s="725">
        <v>0</v>
      </c>
      <c r="E179" s="725">
        <f t="shared" si="71"/>
        <v>0</v>
      </c>
      <c r="F179" s="724" t="s">
        <v>762</v>
      </c>
      <c r="G179" s="724"/>
      <c r="H179" s="725">
        <f t="shared" si="83"/>
        <v>0</v>
      </c>
      <c r="I179" s="725">
        <f>SUMPRODUCT(ISNUMBER(FIND(B179,'表2-合同及付款台账'!$B$5:$B$104))*'表2-合同及付款台账'!$G$5:$G$104)</f>
        <v>0</v>
      </c>
      <c r="J179" s="725">
        <f>SUMPRODUCT(ISNUMBER(FIND(B179,'表1-签证变更'!$B$5:$B$64))*'表1-签证变更'!$G$5:$G$64)</f>
        <v>0</v>
      </c>
      <c r="K179" s="725">
        <f t="shared" si="80"/>
        <v>0</v>
      </c>
      <c r="L179" s="725">
        <f>SUMPRODUCT(ISNUMBER(FIND(B179,'表2-合同及付款台账'!$B$5:$B$104))*'表2-合同及付款台账'!$M$5:$M$104)</f>
        <v>0</v>
      </c>
      <c r="M179" s="725">
        <f t="shared" si="81"/>
        <v>0</v>
      </c>
      <c r="N179" s="725">
        <f t="shared" si="82"/>
        <v>0</v>
      </c>
      <c r="O179" s="742" t="s">
        <v>223</v>
      </c>
      <c r="P179" s="724"/>
      <c r="Q179" s="725">
        <f t="shared" si="69"/>
        <v>0</v>
      </c>
      <c r="R179" s="725"/>
      <c r="S179" s="725"/>
      <c r="T179" s="725"/>
      <c r="U179" s="724"/>
    </row>
    <row r="180" s="699" customFormat="1" ht="32" customHeight="1" outlineLevel="2" spans="1:21">
      <c r="A180" s="724" t="s">
        <v>604</v>
      </c>
      <c r="B180" s="734" t="s">
        <v>605</v>
      </c>
      <c r="C180" s="725">
        <f t="shared" si="79"/>
        <v>2.58011369009467</v>
      </c>
      <c r="D180" s="725">
        <v>18.4164</v>
      </c>
      <c r="E180" s="725">
        <f t="shared" si="71"/>
        <v>184164</v>
      </c>
      <c r="F180" s="745" t="s">
        <v>757</v>
      </c>
      <c r="G180" s="745" t="s">
        <v>759</v>
      </c>
      <c r="H180" s="725">
        <f t="shared" si="83"/>
        <v>184164</v>
      </c>
      <c r="I180" s="725">
        <f>SUMPRODUCT(ISNUMBER(FIND(B180,'表2-合同及付款台账'!$B$5:$B$104))*'表2-合同及付款台账'!$G$5:$G$104)</f>
        <v>178723.55</v>
      </c>
      <c r="J180" s="725">
        <f>SUMPRODUCT(ISNUMBER(FIND(B180,'表1-签证变更'!$B$5:$B$64))*'表1-签证变更'!$G$5:$G$64)</f>
        <v>0</v>
      </c>
      <c r="K180" s="725">
        <f t="shared" si="80"/>
        <v>5440.45000000001</v>
      </c>
      <c r="L180" s="725">
        <f>SUMPRODUCT(ISNUMBER(FIND(B180,'表2-合同及付款台账'!$B$5:$B$104))*'表2-合同及付款台账'!$M$5:$M$104)</f>
        <v>0</v>
      </c>
      <c r="M180" s="725">
        <f t="shared" si="81"/>
        <v>184164</v>
      </c>
      <c r="N180" s="725">
        <f t="shared" si="82"/>
        <v>0</v>
      </c>
      <c r="O180" s="742" t="s">
        <v>606</v>
      </c>
      <c r="P180" s="745" t="s">
        <v>763</v>
      </c>
      <c r="Q180" s="725">
        <f t="shared" si="69"/>
        <v>0</v>
      </c>
      <c r="R180" s="725"/>
      <c r="S180" s="725"/>
      <c r="T180" s="725"/>
      <c r="U180" s="724"/>
    </row>
    <row r="181" s="699" customFormat="1" ht="32" customHeight="1" outlineLevel="2" spans="1:21">
      <c r="A181" s="724" t="s">
        <v>607</v>
      </c>
      <c r="B181" s="734" t="s">
        <v>608</v>
      </c>
      <c r="C181" s="725"/>
      <c r="D181" s="725"/>
      <c r="E181" s="725"/>
      <c r="F181" s="746"/>
      <c r="G181" s="746"/>
      <c r="H181" s="725"/>
      <c r="I181" s="725"/>
      <c r="J181" s="725"/>
      <c r="K181" s="725"/>
      <c r="L181" s="725"/>
      <c r="M181" s="725"/>
      <c r="N181" s="725"/>
      <c r="O181" s="742"/>
      <c r="P181" s="746"/>
      <c r="Q181" s="725">
        <f t="shared" si="69"/>
        <v>0</v>
      </c>
      <c r="R181" s="725"/>
      <c r="S181" s="725"/>
      <c r="T181" s="725"/>
      <c r="U181" s="724"/>
    </row>
    <row r="182" s="699" customFormat="1" ht="32" customHeight="1" outlineLevel="2" spans="1:21">
      <c r="A182" s="724" t="s">
        <v>609</v>
      </c>
      <c r="B182" s="734" t="s">
        <v>610</v>
      </c>
      <c r="C182" s="725">
        <f t="shared" si="79"/>
        <v>0</v>
      </c>
      <c r="D182" s="725">
        <f>1.11171236*0</f>
        <v>0</v>
      </c>
      <c r="E182" s="725"/>
      <c r="F182" s="724" t="s">
        <v>757</v>
      </c>
      <c r="G182" s="724"/>
      <c r="H182" s="725">
        <f t="shared" si="83"/>
        <v>0</v>
      </c>
      <c r="I182" s="725">
        <f>SUMPRODUCT(ISNUMBER(FIND(B182,'表2-合同及付款台账'!$B$5:$B$104))*'表2-合同及付款台账'!$G$5:$G$104)</f>
        <v>0</v>
      </c>
      <c r="J182" s="725">
        <f>SUMPRODUCT(ISNUMBER(FIND(B182,'表1-签证变更'!$B$5:$B$64))*'表1-签证变更'!$G$5:$G$64)</f>
        <v>0</v>
      </c>
      <c r="K182" s="725">
        <f t="shared" si="80"/>
        <v>0</v>
      </c>
      <c r="L182" s="725">
        <f>SUMPRODUCT(ISNUMBER(FIND(B182,'表2-合同及付款台账'!$B$5:$B$104))*'表2-合同及付款台账'!$M$5:$M$104)</f>
        <v>0</v>
      </c>
      <c r="M182" s="725">
        <f t="shared" si="81"/>
        <v>0</v>
      </c>
      <c r="N182" s="725">
        <f t="shared" si="82"/>
        <v>0</v>
      </c>
      <c r="O182" s="742"/>
      <c r="P182" s="724"/>
      <c r="Q182" s="725">
        <f t="shared" si="69"/>
        <v>0</v>
      </c>
      <c r="R182" s="725"/>
      <c r="S182" s="725"/>
      <c r="T182" s="725"/>
      <c r="U182" s="724"/>
    </row>
    <row r="183" s="699" customFormat="1" ht="32" customHeight="1" outlineLevel="2" spans="1:21">
      <c r="A183" s="724" t="s">
        <v>612</v>
      </c>
      <c r="B183" s="734" t="s">
        <v>613</v>
      </c>
      <c r="C183" s="725">
        <f t="shared" si="79"/>
        <v>0</v>
      </c>
      <c r="D183" s="725">
        <v>0</v>
      </c>
      <c r="E183" s="725">
        <f t="shared" si="71"/>
        <v>0</v>
      </c>
      <c r="F183" s="724" t="s">
        <v>762</v>
      </c>
      <c r="G183" s="724"/>
      <c r="H183" s="725">
        <f t="shared" si="83"/>
        <v>0</v>
      </c>
      <c r="I183" s="725">
        <f>SUMPRODUCT(ISNUMBER(FIND(B183,'表2-合同及付款台账'!$B$5:$B$104))*'表2-合同及付款台账'!$G$5:$G$104)</f>
        <v>0</v>
      </c>
      <c r="J183" s="725">
        <f>SUMPRODUCT(ISNUMBER(FIND(B183,'表1-签证变更'!$B$5:$B$64))*'表1-签证变更'!$G$5:$G$64)</f>
        <v>0</v>
      </c>
      <c r="K183" s="725">
        <f t="shared" si="80"/>
        <v>0</v>
      </c>
      <c r="L183" s="725">
        <f>SUMPRODUCT(ISNUMBER(FIND(B183,'表2-合同及付款台账'!$B$5:$B$104))*'表2-合同及付款台账'!$M$5:$M$104)</f>
        <v>0</v>
      </c>
      <c r="M183" s="725">
        <f t="shared" si="81"/>
        <v>0</v>
      </c>
      <c r="N183" s="725">
        <f t="shared" si="82"/>
        <v>0</v>
      </c>
      <c r="O183" s="742"/>
      <c r="P183" s="724"/>
      <c r="Q183" s="725">
        <f t="shared" si="69"/>
        <v>0</v>
      </c>
      <c r="R183" s="725"/>
      <c r="S183" s="725"/>
      <c r="T183" s="725"/>
      <c r="U183" s="724"/>
    </row>
    <row r="184" s="699" customFormat="1" ht="32" customHeight="1" outlineLevel="2" spans="1:21">
      <c r="A184" s="724" t="s">
        <v>614</v>
      </c>
      <c r="B184" s="734" t="s">
        <v>615</v>
      </c>
      <c r="C184" s="725">
        <f t="shared" si="79"/>
        <v>0</v>
      </c>
      <c r="D184" s="725">
        <v>0</v>
      </c>
      <c r="E184" s="725">
        <f t="shared" si="71"/>
        <v>0</v>
      </c>
      <c r="F184" s="724" t="s">
        <v>762</v>
      </c>
      <c r="G184" s="724"/>
      <c r="H184" s="725">
        <f t="shared" si="83"/>
        <v>0</v>
      </c>
      <c r="I184" s="725">
        <f>SUMPRODUCT(ISNUMBER(FIND(B184,'表2-合同及付款台账'!$B$5:$B$104))*'表2-合同及付款台账'!$G$5:$G$104)</f>
        <v>0</v>
      </c>
      <c r="J184" s="725">
        <f>SUMPRODUCT(ISNUMBER(FIND(B184,'表1-签证变更'!$B$5:$B$64))*'表1-签证变更'!$G$5:$G$64)</f>
        <v>0</v>
      </c>
      <c r="K184" s="725">
        <f t="shared" si="80"/>
        <v>0</v>
      </c>
      <c r="L184" s="725">
        <f>SUMPRODUCT(ISNUMBER(FIND(B184,'表2-合同及付款台账'!$B$5:$B$104))*'表2-合同及付款台账'!$M$5:$M$104)</f>
        <v>0</v>
      </c>
      <c r="M184" s="725">
        <f t="shared" si="81"/>
        <v>0</v>
      </c>
      <c r="N184" s="725">
        <f t="shared" si="82"/>
        <v>0</v>
      </c>
      <c r="O184" s="742"/>
      <c r="P184" s="724"/>
      <c r="Q184" s="725">
        <f t="shared" si="69"/>
        <v>0</v>
      </c>
      <c r="R184" s="725"/>
      <c r="S184" s="725"/>
      <c r="T184" s="725"/>
      <c r="U184" s="724"/>
    </row>
    <row r="185" s="700" customFormat="1" customHeight="1" outlineLevel="1" spans="1:21">
      <c r="A185" s="726">
        <v>3.5</v>
      </c>
      <c r="B185" s="726" t="s">
        <v>616</v>
      </c>
      <c r="C185" s="727">
        <f>SUM(C186:C188)</f>
        <v>9.86909962068277</v>
      </c>
      <c r="D185" s="727">
        <f>SUM(D186:D188)</f>
        <v>70.443906</v>
      </c>
      <c r="E185" s="727">
        <f t="shared" si="71"/>
        <v>704439.06</v>
      </c>
      <c r="F185" s="726" t="s">
        <v>756</v>
      </c>
      <c r="G185" s="726"/>
      <c r="H185" s="727">
        <f>SUM(H186:H188)</f>
        <v>704439.06</v>
      </c>
      <c r="I185" s="727">
        <f t="shared" ref="I185:N185" si="84">SUM(I186:I188)</f>
        <v>0</v>
      </c>
      <c r="J185" s="727">
        <f t="shared" si="84"/>
        <v>0</v>
      </c>
      <c r="K185" s="727">
        <f t="shared" si="84"/>
        <v>704439.06</v>
      </c>
      <c r="L185" s="727">
        <f t="shared" si="84"/>
        <v>0</v>
      </c>
      <c r="M185" s="727">
        <f t="shared" si="84"/>
        <v>704439.06</v>
      </c>
      <c r="N185" s="727">
        <f t="shared" si="84"/>
        <v>0</v>
      </c>
      <c r="O185" s="743"/>
      <c r="P185" s="726"/>
      <c r="Q185" s="727">
        <f t="shared" si="69"/>
        <v>0</v>
      </c>
      <c r="R185" s="727"/>
      <c r="S185" s="727"/>
      <c r="T185" s="727"/>
      <c r="U185" s="726"/>
    </row>
    <row r="186" s="699" customFormat="1" ht="32" customHeight="1" outlineLevel="2" spans="1:21">
      <c r="A186" s="724" t="s">
        <v>617</v>
      </c>
      <c r="B186" s="757" t="s">
        <v>618</v>
      </c>
      <c r="C186" s="725">
        <f t="shared" ref="C186:C188" si="85">D186/$C$5</f>
        <v>8</v>
      </c>
      <c r="D186" s="725">
        <v>57.1026</v>
      </c>
      <c r="E186" s="725">
        <f t="shared" si="71"/>
        <v>571026</v>
      </c>
      <c r="F186" s="724" t="s">
        <v>760</v>
      </c>
      <c r="G186" s="724"/>
      <c r="H186" s="725">
        <f t="shared" ref="H186:H188" si="86">+I186+J186+K186</f>
        <v>571026</v>
      </c>
      <c r="I186" s="725">
        <f>SUMPRODUCT(ISNUMBER(FIND(B186,'表2-合同及付款台账'!$B$5:$B$104))*'表2-合同及付款台账'!$G$5:$G$104)</f>
        <v>0</v>
      </c>
      <c r="J186" s="725">
        <f>SUMPRODUCT(ISNUMBER(FIND(B186,'表1-签证变更'!$B$5:$B$64))*'表1-签证变更'!$G$5:$G$64)</f>
        <v>0</v>
      </c>
      <c r="K186" s="725">
        <f t="shared" ref="K186:K188" si="87">+E186-I186-J186</f>
        <v>571026</v>
      </c>
      <c r="L186" s="725">
        <f>SUMPRODUCT(ISNUMBER(FIND(B186,'表2-合同及付款台账'!$B$5:$B$104))*'表2-合同及付款台账'!$M$5:$M$104)</f>
        <v>0</v>
      </c>
      <c r="M186" s="725">
        <f t="shared" ref="M186:M188" si="88">+E186</f>
        <v>571026</v>
      </c>
      <c r="N186" s="725">
        <f t="shared" ref="N186:N188" si="89">+E186-M186</f>
        <v>0</v>
      </c>
      <c r="O186" s="742" t="s">
        <v>619</v>
      </c>
      <c r="P186" s="724"/>
      <c r="Q186" s="725">
        <f t="shared" si="69"/>
        <v>0</v>
      </c>
      <c r="R186" s="725"/>
      <c r="S186" s="725"/>
      <c r="T186" s="725"/>
      <c r="U186" s="724"/>
    </row>
    <row r="187" s="699" customFormat="1" ht="32" customHeight="1" outlineLevel="2" spans="1:21">
      <c r="A187" s="724" t="s">
        <v>620</v>
      </c>
      <c r="B187" s="758" t="s">
        <v>621</v>
      </c>
      <c r="C187" s="725">
        <f t="shared" si="85"/>
        <v>1.86909962068277</v>
      </c>
      <c r="D187" s="725">
        <v>13.341306</v>
      </c>
      <c r="E187" s="725">
        <f t="shared" si="71"/>
        <v>133413.06</v>
      </c>
      <c r="F187" s="724" t="s">
        <v>760</v>
      </c>
      <c r="G187" s="724"/>
      <c r="H187" s="725">
        <f t="shared" si="86"/>
        <v>133413.06</v>
      </c>
      <c r="I187" s="725">
        <f>SUMPRODUCT(ISNUMBER(FIND(B187,'表2-合同及付款台账'!$B$5:$B$104))*'表2-合同及付款台账'!$G$5:$G$104)</f>
        <v>0</v>
      </c>
      <c r="J187" s="725">
        <f>SUMPRODUCT(ISNUMBER(FIND(B187,'表1-签证变更'!$B$5:$B$64))*'表1-签证变更'!$G$5:$G$64)</f>
        <v>0</v>
      </c>
      <c r="K187" s="725">
        <f t="shared" si="87"/>
        <v>133413.06</v>
      </c>
      <c r="L187" s="725">
        <f>SUMPRODUCT(ISNUMBER(FIND(B187,'表2-合同及付款台账'!$B$5:$B$104))*'表2-合同及付款台账'!$M$5:$M$104)</f>
        <v>0</v>
      </c>
      <c r="M187" s="725">
        <f t="shared" si="88"/>
        <v>133413.06</v>
      </c>
      <c r="N187" s="725">
        <f t="shared" si="89"/>
        <v>0</v>
      </c>
      <c r="O187" s="742" t="s">
        <v>622</v>
      </c>
      <c r="P187" s="724"/>
      <c r="Q187" s="725">
        <f t="shared" si="69"/>
        <v>0</v>
      </c>
      <c r="R187" s="725"/>
      <c r="S187" s="725"/>
      <c r="T187" s="725"/>
      <c r="U187" s="724"/>
    </row>
    <row r="188" s="699" customFormat="1" ht="32" customHeight="1" outlineLevel="2" spans="1:21">
      <c r="A188" s="724" t="s">
        <v>624</v>
      </c>
      <c r="B188" s="757" t="s">
        <v>625</v>
      </c>
      <c r="C188" s="725">
        <f t="shared" si="85"/>
        <v>0</v>
      </c>
      <c r="D188" s="725">
        <v>0</v>
      </c>
      <c r="E188" s="725">
        <f t="shared" si="71"/>
        <v>0</v>
      </c>
      <c r="F188" s="724" t="s">
        <v>760</v>
      </c>
      <c r="G188" s="724"/>
      <c r="H188" s="725">
        <f t="shared" si="86"/>
        <v>0</v>
      </c>
      <c r="I188" s="725">
        <f>SUMPRODUCT(ISNUMBER(FIND(B188,'表2-合同及付款台账'!$B$5:$B$104))*'表2-合同及付款台账'!$G$5:$G$104)</f>
        <v>0</v>
      </c>
      <c r="J188" s="725">
        <f>SUMPRODUCT(ISNUMBER(FIND(B188,'表1-签证变更'!$B$5:$B$64))*'表1-签证变更'!$G$5:$G$64)</f>
        <v>0</v>
      </c>
      <c r="K188" s="725">
        <f t="shared" si="87"/>
        <v>0</v>
      </c>
      <c r="L188" s="725">
        <f>SUMPRODUCT(ISNUMBER(FIND(B188,'表2-合同及付款台账'!$B$5:$B$104))*'表2-合同及付款台账'!$M$5:$M$104)</f>
        <v>0</v>
      </c>
      <c r="M188" s="725">
        <f t="shared" si="88"/>
        <v>0</v>
      </c>
      <c r="N188" s="725">
        <f t="shared" si="89"/>
        <v>0</v>
      </c>
      <c r="O188" s="742" t="s">
        <v>626</v>
      </c>
      <c r="P188" s="724"/>
      <c r="Q188" s="725">
        <f t="shared" si="69"/>
        <v>0</v>
      </c>
      <c r="R188" s="725"/>
      <c r="S188" s="725"/>
      <c r="T188" s="725"/>
      <c r="U188" s="724"/>
    </row>
    <row r="189" s="698" customFormat="1" customHeight="1" spans="1:21">
      <c r="A189" s="721">
        <v>4</v>
      </c>
      <c r="B189" s="722" t="s">
        <v>627</v>
      </c>
      <c r="C189" s="723">
        <f>+C190+C193+C196+C197+C200+C203+C208+C209+C210+C211+C212+C213+C214</f>
        <v>502.892869466539</v>
      </c>
      <c r="D189" s="723">
        <f>+D190+D193+D196+D197+D200+D203+D208+D209+D210+D211+D212+D213+D214</f>
        <v>3589.561296</v>
      </c>
      <c r="E189" s="723">
        <f t="shared" si="71"/>
        <v>35895612.96</v>
      </c>
      <c r="F189" s="722" t="s">
        <v>756</v>
      </c>
      <c r="G189" s="722"/>
      <c r="H189" s="723">
        <f t="shared" ref="H189:N189" si="90">+H190+H193+H196+H197+H200+H203+H208+H209+H210+H211+H212+H213+H214</f>
        <v>35895612.96</v>
      </c>
      <c r="I189" s="723">
        <f t="shared" si="90"/>
        <v>0</v>
      </c>
      <c r="J189" s="723">
        <f t="shared" si="90"/>
        <v>0</v>
      </c>
      <c r="K189" s="723">
        <f t="shared" si="90"/>
        <v>35895612.96</v>
      </c>
      <c r="L189" s="723">
        <f t="shared" si="90"/>
        <v>0</v>
      </c>
      <c r="M189" s="723">
        <f t="shared" si="90"/>
        <v>35895612.96</v>
      </c>
      <c r="N189" s="723">
        <f t="shared" si="90"/>
        <v>0</v>
      </c>
      <c r="O189" s="741"/>
      <c r="P189" s="722"/>
      <c r="Q189" s="723">
        <f t="shared" si="69"/>
        <v>0</v>
      </c>
      <c r="R189" s="723"/>
      <c r="S189" s="723"/>
      <c r="T189" s="723"/>
      <c r="U189" s="722"/>
    </row>
    <row r="190" s="700" customFormat="1" customHeight="1" outlineLevel="1" spans="1:21">
      <c r="A190" s="726">
        <v>4.1</v>
      </c>
      <c r="B190" s="726" t="s">
        <v>628</v>
      </c>
      <c r="C190" s="727">
        <f>SUM(C191:C192)</f>
        <v>105.725168381124</v>
      </c>
      <c r="D190" s="727">
        <f>SUM(D191:D192)</f>
        <v>754.64775</v>
      </c>
      <c r="E190" s="727">
        <f t="shared" si="71"/>
        <v>7546477.5</v>
      </c>
      <c r="F190" s="726" t="s">
        <v>756</v>
      </c>
      <c r="G190" s="726"/>
      <c r="H190" s="727">
        <f>SUM(H191:H192)</f>
        <v>7546477.5</v>
      </c>
      <c r="I190" s="727">
        <f t="shared" ref="I190:N190" si="91">SUM(I191:I192)</f>
        <v>0</v>
      </c>
      <c r="J190" s="727">
        <f t="shared" si="91"/>
        <v>0</v>
      </c>
      <c r="K190" s="727">
        <f t="shared" si="91"/>
        <v>7546477.5</v>
      </c>
      <c r="L190" s="727">
        <f t="shared" si="91"/>
        <v>0</v>
      </c>
      <c r="M190" s="727">
        <f t="shared" si="91"/>
        <v>7546477.5</v>
      </c>
      <c r="N190" s="727">
        <f t="shared" si="91"/>
        <v>0</v>
      </c>
      <c r="O190" s="743"/>
      <c r="P190" s="726"/>
      <c r="Q190" s="727">
        <f t="shared" si="69"/>
        <v>0</v>
      </c>
      <c r="R190" s="727"/>
      <c r="S190" s="727"/>
      <c r="T190" s="727"/>
      <c r="U190" s="726"/>
    </row>
    <row r="191" s="699" customFormat="1" customHeight="1" outlineLevel="2" spans="1:21">
      <c r="A191" s="724" t="s">
        <v>629</v>
      </c>
      <c r="B191" s="759" t="s">
        <v>630</v>
      </c>
      <c r="C191" s="725">
        <f t="shared" ref="C191:C196" si="92">D191/$C$5</f>
        <v>35.7251683811245</v>
      </c>
      <c r="D191" s="725">
        <v>255</v>
      </c>
      <c r="E191" s="725">
        <f t="shared" si="71"/>
        <v>2550000</v>
      </c>
      <c r="F191" s="724" t="s">
        <v>760</v>
      </c>
      <c r="G191" s="724"/>
      <c r="H191" s="725">
        <f>+I191+J191+K191</f>
        <v>2550000</v>
      </c>
      <c r="I191" s="725">
        <f>SUMPRODUCT(ISNUMBER(FIND(B191,'表2-合同及付款台账'!$B$5:$B$104))*'表2-合同及付款台账'!$G$5:$G$104)</f>
        <v>0</v>
      </c>
      <c r="J191" s="725">
        <f>SUMPRODUCT(ISNUMBER(FIND(B191,'表1-签证变更'!$B$5:$B$64))*'表1-签证变更'!$G$5:$G$64)</f>
        <v>0</v>
      </c>
      <c r="K191" s="725">
        <f t="shared" ref="K191:K196" si="93">+E191-I191-J191</f>
        <v>2550000</v>
      </c>
      <c r="L191" s="725">
        <f>SUMPRODUCT(ISNUMBER(FIND(B191,'表2-合同及付款台账'!$B$5:$B$104))*'表2-合同及付款台账'!$M$5:$M$104)</f>
        <v>0</v>
      </c>
      <c r="M191" s="725">
        <f t="shared" ref="M191:M196" si="94">+E191</f>
        <v>2550000</v>
      </c>
      <c r="N191" s="725">
        <f t="shared" ref="N191:N196" si="95">+E191-M191</f>
        <v>0</v>
      </c>
      <c r="O191" s="742" t="s">
        <v>631</v>
      </c>
      <c r="P191" s="724"/>
      <c r="Q191" s="725">
        <f t="shared" si="69"/>
        <v>0</v>
      </c>
      <c r="R191" s="725"/>
      <c r="S191" s="725"/>
      <c r="T191" s="725"/>
      <c r="U191" s="724"/>
    </row>
    <row r="192" s="699" customFormat="1" customHeight="1" outlineLevel="2" spans="1:21">
      <c r="A192" s="724" t="s">
        <v>632</v>
      </c>
      <c r="B192" s="759" t="s">
        <v>633</v>
      </c>
      <c r="C192" s="725">
        <f t="shared" si="92"/>
        <v>70</v>
      </c>
      <c r="D192" s="725">
        <v>499.64775</v>
      </c>
      <c r="E192" s="725">
        <f t="shared" si="71"/>
        <v>4996477.5</v>
      </c>
      <c r="F192" s="724" t="s">
        <v>760</v>
      </c>
      <c r="G192" s="724"/>
      <c r="H192" s="725">
        <f>+I192+J192+K192</f>
        <v>4996477.5</v>
      </c>
      <c r="I192" s="725">
        <f>SUMPRODUCT(ISNUMBER(FIND(B192,'表2-合同及付款台账'!$B$5:$B$104))*'表2-合同及付款台账'!$G$5:$G$104)</f>
        <v>0</v>
      </c>
      <c r="J192" s="725">
        <f>SUMPRODUCT(ISNUMBER(FIND(B192,'表1-签证变更'!$B$5:$B$64))*'表1-签证变更'!$G$5:$G$64)</f>
        <v>0</v>
      </c>
      <c r="K192" s="725">
        <f t="shared" si="93"/>
        <v>4996477.5</v>
      </c>
      <c r="L192" s="725">
        <f>SUMPRODUCT(ISNUMBER(FIND(B192,'表2-合同及付款台账'!$B$5:$B$104))*'表2-合同及付款台账'!$M$5:$M$104)</f>
        <v>0</v>
      </c>
      <c r="M192" s="725">
        <f t="shared" si="94"/>
        <v>4996477.5</v>
      </c>
      <c r="N192" s="725">
        <f t="shared" si="95"/>
        <v>0</v>
      </c>
      <c r="O192" s="742" t="s">
        <v>634</v>
      </c>
      <c r="P192" s="724"/>
      <c r="Q192" s="725">
        <f t="shared" si="69"/>
        <v>0</v>
      </c>
      <c r="R192" s="725"/>
      <c r="S192" s="725"/>
      <c r="T192" s="725"/>
      <c r="U192" s="724"/>
    </row>
    <row r="193" s="700" customFormat="1" customHeight="1" outlineLevel="1" spans="1:21">
      <c r="A193" s="726">
        <v>4.2</v>
      </c>
      <c r="B193" s="726" t="s">
        <v>635</v>
      </c>
      <c r="C193" s="727">
        <f>SUM(C194:C195)</f>
        <v>50.7878660516334</v>
      </c>
      <c r="D193" s="727">
        <f>SUM(D194:D195)</f>
        <v>362.5149</v>
      </c>
      <c r="E193" s="727">
        <f t="shared" si="71"/>
        <v>3625149</v>
      </c>
      <c r="F193" s="726" t="s">
        <v>756</v>
      </c>
      <c r="G193" s="726"/>
      <c r="H193" s="727">
        <f>SUM(H194:H195)</f>
        <v>3625149</v>
      </c>
      <c r="I193" s="727">
        <f t="shared" ref="I193:N193" si="96">SUM(I194:I195)</f>
        <v>0</v>
      </c>
      <c r="J193" s="727">
        <f t="shared" si="96"/>
        <v>0</v>
      </c>
      <c r="K193" s="727">
        <f t="shared" si="96"/>
        <v>3625149</v>
      </c>
      <c r="L193" s="727">
        <f t="shared" si="96"/>
        <v>0</v>
      </c>
      <c r="M193" s="727">
        <f t="shared" si="96"/>
        <v>3625149</v>
      </c>
      <c r="N193" s="727">
        <f t="shared" si="96"/>
        <v>0</v>
      </c>
      <c r="O193" s="743"/>
      <c r="P193" s="726"/>
      <c r="Q193" s="727">
        <f t="shared" si="69"/>
        <v>0</v>
      </c>
      <c r="R193" s="727"/>
      <c r="S193" s="727"/>
      <c r="T193" s="727"/>
      <c r="U193" s="726"/>
    </row>
    <row r="194" s="699" customFormat="1" customHeight="1" outlineLevel="2" spans="1:21">
      <c r="A194" s="724" t="s">
        <v>636</v>
      </c>
      <c r="B194" s="759" t="s">
        <v>637</v>
      </c>
      <c r="C194" s="725">
        <f t="shared" si="92"/>
        <v>0</v>
      </c>
      <c r="D194" s="725">
        <v>0</v>
      </c>
      <c r="E194" s="725">
        <f t="shared" si="71"/>
        <v>0</v>
      </c>
      <c r="F194" s="724" t="s">
        <v>760</v>
      </c>
      <c r="G194" s="724"/>
      <c r="H194" s="725">
        <f>+I194+J194+K194</f>
        <v>0</v>
      </c>
      <c r="I194" s="725">
        <f>SUMPRODUCT(ISNUMBER(FIND(B194,'表2-合同及付款台账'!$B$5:$B$104))*'表2-合同及付款台账'!$G$5:$G$104)</f>
        <v>0</v>
      </c>
      <c r="J194" s="725">
        <f>SUMPRODUCT(ISNUMBER(FIND(B194,'表1-签证变更'!$B$5:$B$64))*'表1-签证变更'!$G$5:$G$64)</f>
        <v>0</v>
      </c>
      <c r="K194" s="725">
        <f t="shared" si="93"/>
        <v>0</v>
      </c>
      <c r="L194" s="725">
        <f>SUMPRODUCT(ISNUMBER(FIND(B194,'表2-合同及付款台账'!$B$5:$B$104))*'表2-合同及付款台账'!$M$5:$M$104)</f>
        <v>0</v>
      </c>
      <c r="M194" s="725">
        <f t="shared" si="94"/>
        <v>0</v>
      </c>
      <c r="N194" s="725">
        <f t="shared" si="95"/>
        <v>0</v>
      </c>
      <c r="O194" s="742"/>
      <c r="P194" s="724"/>
      <c r="Q194" s="725">
        <f t="shared" si="69"/>
        <v>0</v>
      </c>
      <c r="R194" s="725"/>
      <c r="S194" s="725"/>
      <c r="T194" s="725"/>
      <c r="U194" s="724"/>
    </row>
    <row r="195" s="699" customFormat="1" customHeight="1" outlineLevel="2" spans="1:21">
      <c r="A195" s="724" t="s">
        <v>638</v>
      </c>
      <c r="B195" s="759" t="s">
        <v>639</v>
      </c>
      <c r="C195" s="725">
        <f t="shared" si="92"/>
        <v>50.7878660516334</v>
      </c>
      <c r="D195" s="725">
        <v>362.5149</v>
      </c>
      <c r="E195" s="725">
        <f t="shared" si="71"/>
        <v>3625149</v>
      </c>
      <c r="F195" s="724" t="s">
        <v>760</v>
      </c>
      <c r="G195" s="724"/>
      <c r="H195" s="725">
        <f>+I195+J195+K195</f>
        <v>3625149</v>
      </c>
      <c r="I195" s="725">
        <f>SUMPRODUCT(ISNUMBER(FIND(B195,'表2-合同及付款台账'!$B$5:$B$104))*'表2-合同及付款台账'!$G$5:$G$104)</f>
        <v>0</v>
      </c>
      <c r="J195" s="725">
        <f>SUMPRODUCT(ISNUMBER(FIND(B195,'表1-签证变更'!$B$5:$B$64))*'表1-签证变更'!$G$5:$G$64)</f>
        <v>0</v>
      </c>
      <c r="K195" s="725">
        <f t="shared" si="93"/>
        <v>3625149</v>
      </c>
      <c r="L195" s="725">
        <f>SUMPRODUCT(ISNUMBER(FIND(B195,'表2-合同及付款台账'!$B$5:$B$104))*'表2-合同及付款台账'!$M$5:$M$104)</f>
        <v>0</v>
      </c>
      <c r="M195" s="725">
        <f t="shared" si="94"/>
        <v>3625149</v>
      </c>
      <c r="N195" s="725">
        <f t="shared" si="95"/>
        <v>0</v>
      </c>
      <c r="O195" s="742" t="s">
        <v>640</v>
      </c>
      <c r="P195" s="724"/>
      <c r="Q195" s="725">
        <f t="shared" si="69"/>
        <v>0</v>
      </c>
      <c r="R195" s="725"/>
      <c r="S195" s="725"/>
      <c r="T195" s="725"/>
      <c r="U195" s="724"/>
    </row>
    <row r="196" s="700" customFormat="1" customHeight="1" outlineLevel="1" spans="1:21">
      <c r="A196" s="726">
        <v>4.3</v>
      </c>
      <c r="B196" s="726" t="s">
        <v>641</v>
      </c>
      <c r="C196" s="727">
        <f t="shared" si="92"/>
        <v>23.8167789207497</v>
      </c>
      <c r="D196" s="727">
        <v>170</v>
      </c>
      <c r="E196" s="727">
        <f t="shared" si="71"/>
        <v>1700000</v>
      </c>
      <c r="F196" s="726" t="s">
        <v>760</v>
      </c>
      <c r="G196" s="726"/>
      <c r="H196" s="727">
        <f>+I196+J196+K196</f>
        <v>1700000</v>
      </c>
      <c r="I196" s="727">
        <f>SUMPRODUCT(ISNUMBER(FIND(B196,'表2-合同及付款台账'!$B$5:$B$104))*'表2-合同及付款台账'!$G$5:$G$104)</f>
        <v>0</v>
      </c>
      <c r="J196" s="727">
        <f>SUMPRODUCT(ISNUMBER(FIND(B196,'表1-签证变更'!$B$5:$B$64))*'表1-签证变更'!$G$5:$G$64)</f>
        <v>0</v>
      </c>
      <c r="K196" s="727">
        <f t="shared" si="93"/>
        <v>1700000</v>
      </c>
      <c r="L196" s="727">
        <f>SUMPRODUCT(ISNUMBER(FIND(B196,'表2-合同及付款台账'!$B$5:$B$104))*'表2-合同及付款台账'!$M$5:$M$104)</f>
        <v>0</v>
      </c>
      <c r="M196" s="727">
        <f t="shared" si="94"/>
        <v>1700000</v>
      </c>
      <c r="N196" s="727">
        <f t="shared" si="95"/>
        <v>0</v>
      </c>
      <c r="O196" s="743" t="s">
        <v>642</v>
      </c>
      <c r="P196" s="726"/>
      <c r="Q196" s="727">
        <f t="shared" si="69"/>
        <v>0</v>
      </c>
      <c r="R196" s="727"/>
      <c r="S196" s="727"/>
      <c r="T196" s="727"/>
      <c r="U196" s="726"/>
    </row>
    <row r="197" s="700" customFormat="1" customHeight="1" outlineLevel="1" spans="1:21">
      <c r="A197" s="726">
        <v>4.4</v>
      </c>
      <c r="B197" s="726" t="s">
        <v>643</v>
      </c>
      <c r="C197" s="727">
        <f>SUM(C198:C199)</f>
        <v>91.4181588929401</v>
      </c>
      <c r="D197" s="727">
        <f>SUM(D198:D199)</f>
        <v>652.52682</v>
      </c>
      <c r="E197" s="727">
        <f t="shared" si="71"/>
        <v>6525268.2</v>
      </c>
      <c r="F197" s="726" t="s">
        <v>756</v>
      </c>
      <c r="G197" s="726"/>
      <c r="H197" s="727">
        <f>SUM(H198:H199)</f>
        <v>6525268.2</v>
      </c>
      <c r="I197" s="727">
        <f t="shared" ref="I197:N197" si="97">SUM(I198:I199)</f>
        <v>0</v>
      </c>
      <c r="J197" s="727">
        <f t="shared" si="97"/>
        <v>0</v>
      </c>
      <c r="K197" s="727">
        <f t="shared" si="97"/>
        <v>6525268.2</v>
      </c>
      <c r="L197" s="727">
        <f t="shared" si="97"/>
        <v>0</v>
      </c>
      <c r="M197" s="727">
        <f t="shared" si="97"/>
        <v>6525268.2</v>
      </c>
      <c r="N197" s="727">
        <f t="shared" si="97"/>
        <v>0</v>
      </c>
      <c r="O197" s="743"/>
      <c r="P197" s="726"/>
      <c r="Q197" s="727">
        <f t="shared" si="69"/>
        <v>0</v>
      </c>
      <c r="R197" s="727"/>
      <c r="S197" s="727"/>
      <c r="T197" s="727"/>
      <c r="U197" s="726"/>
    </row>
    <row r="198" s="699" customFormat="1" customHeight="1" outlineLevel="2" spans="1:21">
      <c r="A198" s="724" t="s">
        <v>775</v>
      </c>
      <c r="B198" s="757" t="s">
        <v>645</v>
      </c>
      <c r="C198" s="725">
        <f t="shared" ref="C198:C202" si="98">D198/$C$5</f>
        <v>0</v>
      </c>
      <c r="D198" s="725">
        <v>0</v>
      </c>
      <c r="E198" s="725">
        <f t="shared" si="71"/>
        <v>0</v>
      </c>
      <c r="F198" s="724" t="s">
        <v>762</v>
      </c>
      <c r="G198" s="724"/>
      <c r="H198" s="725">
        <f>+I198+J198+K198</f>
        <v>0</v>
      </c>
      <c r="I198" s="725">
        <f>SUMPRODUCT(ISNUMBER(FIND(B198,'表2-合同及付款台账'!$B$5:$B$104))*'表2-合同及付款台账'!$G$5:$G$104)</f>
        <v>0</v>
      </c>
      <c r="J198" s="725">
        <f>SUMPRODUCT(ISNUMBER(FIND(B198,'表1-签证变更'!$B$5:$B$64))*'表1-签证变更'!$G$5:$G$64)</f>
        <v>0</v>
      </c>
      <c r="K198" s="725">
        <f t="shared" ref="K198:K202" si="99">+E198-I198-J198</f>
        <v>0</v>
      </c>
      <c r="L198" s="725">
        <f>SUMPRODUCT(ISNUMBER(FIND(B198,'表2-合同及付款台账'!$B$5:$B$104))*'表2-合同及付款台账'!$M$5:$M$104)</f>
        <v>0</v>
      </c>
      <c r="M198" s="725">
        <f t="shared" ref="M198:M202" si="100">+E198</f>
        <v>0</v>
      </c>
      <c r="N198" s="725">
        <f t="shared" ref="N198:N202" si="101">+E198-M198</f>
        <v>0</v>
      </c>
      <c r="O198" s="742"/>
      <c r="P198" s="724"/>
      <c r="Q198" s="725">
        <f t="shared" si="69"/>
        <v>0</v>
      </c>
      <c r="R198" s="725"/>
      <c r="S198" s="725"/>
      <c r="T198" s="725"/>
      <c r="U198" s="724"/>
    </row>
    <row r="199" s="699" customFormat="1" ht="22.5" outlineLevel="2" spans="1:21">
      <c r="A199" s="724" t="s">
        <v>776</v>
      </c>
      <c r="B199" s="757" t="s">
        <v>647</v>
      </c>
      <c r="C199" s="725">
        <f t="shared" si="98"/>
        <v>91.4181588929401</v>
      </c>
      <c r="D199" s="725">
        <v>652.52682</v>
      </c>
      <c r="E199" s="725">
        <f t="shared" si="71"/>
        <v>6525268.2</v>
      </c>
      <c r="F199" s="724" t="s">
        <v>760</v>
      </c>
      <c r="G199" s="724"/>
      <c r="H199" s="725">
        <f>+I199+J199+K199</f>
        <v>6525268.2</v>
      </c>
      <c r="I199" s="725">
        <f>SUMPRODUCT(ISNUMBER(FIND(B199,'表2-合同及付款台账'!$B$5:$B$104))*'表2-合同及付款台账'!$G$5:$G$104)</f>
        <v>0</v>
      </c>
      <c r="J199" s="725">
        <f>SUMPRODUCT(ISNUMBER(FIND(B199,'表1-签证变更'!$B$5:$B$64))*'表1-签证变更'!$G$5:$G$64)</f>
        <v>0</v>
      </c>
      <c r="K199" s="725">
        <f t="shared" si="99"/>
        <v>6525268.2</v>
      </c>
      <c r="L199" s="725">
        <f>SUMPRODUCT(ISNUMBER(FIND(B199,'表2-合同及付款台账'!$B$5:$B$104))*'表2-合同及付款台账'!$M$5:$M$104)</f>
        <v>0</v>
      </c>
      <c r="M199" s="725">
        <f t="shared" si="100"/>
        <v>6525268.2</v>
      </c>
      <c r="N199" s="725">
        <f t="shared" si="101"/>
        <v>0</v>
      </c>
      <c r="O199" s="742" t="s">
        <v>648</v>
      </c>
      <c r="P199" s="724"/>
      <c r="Q199" s="725">
        <f t="shared" si="69"/>
        <v>0</v>
      </c>
      <c r="R199" s="725"/>
      <c r="S199" s="725"/>
      <c r="T199" s="725"/>
      <c r="U199" s="724"/>
    </row>
    <row r="200" s="700" customFormat="1" customHeight="1" outlineLevel="1" spans="1:21">
      <c r="A200" s="726">
        <v>4.5</v>
      </c>
      <c r="B200" s="726" t="s">
        <v>649</v>
      </c>
      <c r="C200" s="727">
        <f>C201+C202</f>
        <v>15.4988467775548</v>
      </c>
      <c r="D200" s="727">
        <f>D201+D202</f>
        <v>110.628056</v>
      </c>
      <c r="E200" s="727">
        <f t="shared" si="71"/>
        <v>1106280.56</v>
      </c>
      <c r="F200" s="726" t="s">
        <v>756</v>
      </c>
      <c r="G200" s="726"/>
      <c r="H200" s="727">
        <f>H201+H202</f>
        <v>1106280.56</v>
      </c>
      <c r="I200" s="727">
        <f t="shared" ref="I200:N200" si="102">I201+I202</f>
        <v>0</v>
      </c>
      <c r="J200" s="727">
        <f t="shared" si="102"/>
        <v>0</v>
      </c>
      <c r="K200" s="727">
        <f t="shared" si="102"/>
        <v>1106280.56</v>
      </c>
      <c r="L200" s="727">
        <f t="shared" si="102"/>
        <v>0</v>
      </c>
      <c r="M200" s="727">
        <f t="shared" si="102"/>
        <v>1106280.56</v>
      </c>
      <c r="N200" s="727">
        <f t="shared" si="102"/>
        <v>0</v>
      </c>
      <c r="O200" s="743"/>
      <c r="P200" s="726"/>
      <c r="Q200" s="727">
        <f t="shared" si="69"/>
        <v>0</v>
      </c>
      <c r="R200" s="727"/>
      <c r="S200" s="727"/>
      <c r="T200" s="727"/>
      <c r="U200" s="726"/>
    </row>
    <row r="201" s="699" customFormat="1" customHeight="1" outlineLevel="2" spans="1:21">
      <c r="A201" s="724" t="s">
        <v>650</v>
      </c>
      <c r="B201" s="724" t="s">
        <v>651</v>
      </c>
      <c r="C201" s="725">
        <f t="shared" si="98"/>
        <v>15.4988467775548</v>
      </c>
      <c r="D201" s="725">
        <v>110.628056</v>
      </c>
      <c r="E201" s="725">
        <f t="shared" si="71"/>
        <v>1106280.56</v>
      </c>
      <c r="F201" s="724" t="s">
        <v>760</v>
      </c>
      <c r="G201" s="724"/>
      <c r="H201" s="725">
        <f>+I201+J201+K201</f>
        <v>1106280.56</v>
      </c>
      <c r="I201" s="725">
        <f>SUMPRODUCT(ISNUMBER(FIND(B201,'表2-合同及付款台账'!$B$5:$B$104))*'表2-合同及付款台账'!$G$5:$G$104)</f>
        <v>0</v>
      </c>
      <c r="J201" s="725">
        <f>SUMPRODUCT(ISNUMBER(FIND(B201,'表1-签证变更'!$B$5:$B$64))*'表1-签证变更'!$G$5:$G$64)</f>
        <v>0</v>
      </c>
      <c r="K201" s="725">
        <f t="shared" si="99"/>
        <v>1106280.56</v>
      </c>
      <c r="L201" s="725">
        <f>SUMPRODUCT(ISNUMBER(FIND(B201,'表2-合同及付款台账'!$B$5:$B$104))*'表2-合同及付款台账'!$M$5:$M$104)</f>
        <v>0</v>
      </c>
      <c r="M201" s="725">
        <f t="shared" si="100"/>
        <v>1106280.56</v>
      </c>
      <c r="N201" s="725">
        <f t="shared" si="101"/>
        <v>0</v>
      </c>
      <c r="O201" s="742" t="s">
        <v>652</v>
      </c>
      <c r="P201" s="724"/>
      <c r="Q201" s="725">
        <f t="shared" ref="Q201:Q234" si="103">+H201-E201</f>
        <v>0</v>
      </c>
      <c r="R201" s="725"/>
      <c r="S201" s="725"/>
      <c r="T201" s="725"/>
      <c r="U201" s="724"/>
    </row>
    <row r="202" s="699" customFormat="1" customHeight="1" outlineLevel="2" spans="1:21">
      <c r="A202" s="724" t="s">
        <v>653</v>
      </c>
      <c r="B202" s="761" t="s">
        <v>654</v>
      </c>
      <c r="C202" s="725">
        <f t="shared" si="98"/>
        <v>0</v>
      </c>
      <c r="D202" s="725">
        <v>0</v>
      </c>
      <c r="E202" s="725">
        <f t="shared" si="71"/>
        <v>0</v>
      </c>
      <c r="F202" s="724" t="s">
        <v>762</v>
      </c>
      <c r="G202" s="724"/>
      <c r="H202" s="725">
        <f>+I202+J202+K202</f>
        <v>0</v>
      </c>
      <c r="I202" s="725">
        <f>SUMPRODUCT(ISNUMBER(FIND(B202,'表2-合同及付款台账'!$B$5:$B$104))*'表2-合同及付款台账'!$G$5:$G$104)</f>
        <v>0</v>
      </c>
      <c r="J202" s="725">
        <f>SUMPRODUCT(ISNUMBER(FIND(B202,'表1-签证变更'!$B$5:$B$64))*'表1-签证变更'!$G$5:$G$64)</f>
        <v>0</v>
      </c>
      <c r="K202" s="725">
        <f t="shared" si="99"/>
        <v>0</v>
      </c>
      <c r="L202" s="725">
        <f>SUMPRODUCT(ISNUMBER(FIND(B202,'表2-合同及付款台账'!$B$5:$B$104))*'表2-合同及付款台账'!$M$5:$M$104)</f>
        <v>0</v>
      </c>
      <c r="M202" s="725">
        <f t="shared" si="100"/>
        <v>0</v>
      </c>
      <c r="N202" s="725">
        <f t="shared" si="101"/>
        <v>0</v>
      </c>
      <c r="O202" s="742"/>
      <c r="P202" s="724"/>
      <c r="Q202" s="725">
        <f t="shared" si="103"/>
        <v>0</v>
      </c>
      <c r="R202" s="725"/>
      <c r="S202" s="725"/>
      <c r="T202" s="725"/>
      <c r="U202" s="724"/>
    </row>
    <row r="203" s="700" customFormat="1" customHeight="1" outlineLevel="1" spans="1:21">
      <c r="A203" s="726">
        <v>4.6</v>
      </c>
      <c r="B203" s="726" t="s">
        <v>655</v>
      </c>
      <c r="C203" s="727">
        <f>SUM(C204:C207)</f>
        <v>213.109143191378</v>
      </c>
      <c r="D203" s="727">
        <f>SUM(D204:D207)</f>
        <v>1521.13577</v>
      </c>
      <c r="E203" s="727">
        <f t="shared" si="71"/>
        <v>15211357.7</v>
      </c>
      <c r="F203" s="726" t="s">
        <v>756</v>
      </c>
      <c r="G203" s="726"/>
      <c r="H203" s="727">
        <f>SUM(H204:H207)</f>
        <v>15211357.7</v>
      </c>
      <c r="I203" s="727">
        <f t="shared" ref="I203:N203" si="104">SUM(I204:I207)</f>
        <v>0</v>
      </c>
      <c r="J203" s="727">
        <f t="shared" si="104"/>
        <v>0</v>
      </c>
      <c r="K203" s="727">
        <f t="shared" si="104"/>
        <v>15211357.7</v>
      </c>
      <c r="L203" s="727">
        <f t="shared" si="104"/>
        <v>0</v>
      </c>
      <c r="M203" s="727">
        <f t="shared" si="104"/>
        <v>15211357.7</v>
      </c>
      <c r="N203" s="727">
        <f t="shared" si="104"/>
        <v>0</v>
      </c>
      <c r="O203" s="743"/>
      <c r="P203" s="726"/>
      <c r="Q203" s="727">
        <f t="shared" si="103"/>
        <v>0</v>
      </c>
      <c r="R203" s="727"/>
      <c r="S203" s="727"/>
      <c r="T203" s="727"/>
      <c r="U203" s="726"/>
    </row>
    <row r="204" s="699" customFormat="1" ht="22.5" outlineLevel="2" spans="1:21">
      <c r="A204" s="724" t="s">
        <v>777</v>
      </c>
      <c r="B204" s="762" t="s">
        <v>657</v>
      </c>
      <c r="C204" s="725">
        <f t="shared" ref="C204:C214" si="105">D204/$C$5</f>
        <v>213.109143191378</v>
      </c>
      <c r="D204" s="725">
        <v>1521.13577</v>
      </c>
      <c r="E204" s="725">
        <f t="shared" si="71"/>
        <v>15211357.7</v>
      </c>
      <c r="F204" s="724" t="s">
        <v>760</v>
      </c>
      <c r="G204" s="724"/>
      <c r="H204" s="725">
        <f t="shared" ref="H204:H211" si="106">+I204+J204+K204</f>
        <v>15211357.7</v>
      </c>
      <c r="I204" s="725">
        <f>SUMPRODUCT(ISNUMBER(FIND(B204,'表2-合同及付款台账'!$B$5:$B$104))*'表2-合同及付款台账'!$G$5:$G$104)</f>
        <v>0</v>
      </c>
      <c r="J204" s="725">
        <f>SUMPRODUCT(ISNUMBER(FIND(B204,'表1-签证变更'!$B$5:$B$64))*'表1-签证变更'!$G$5:$G$64)</f>
        <v>0</v>
      </c>
      <c r="K204" s="725">
        <f t="shared" ref="K204:K214" si="107">+E204-I204-J204</f>
        <v>15211357.7</v>
      </c>
      <c r="L204" s="725">
        <f>SUMPRODUCT(ISNUMBER(FIND(B204,'表2-合同及付款台账'!$B$5:$B$104))*'表2-合同及付款台账'!$M$5:$M$104)</f>
        <v>0</v>
      </c>
      <c r="M204" s="725">
        <f t="shared" ref="M204:M214" si="108">+E204</f>
        <v>15211357.7</v>
      </c>
      <c r="N204" s="725">
        <f t="shared" ref="N204:N214" si="109">+E204-M204</f>
        <v>0</v>
      </c>
      <c r="O204" s="742" t="s">
        <v>658</v>
      </c>
      <c r="P204" s="724"/>
      <c r="Q204" s="725">
        <f t="shared" si="103"/>
        <v>0</v>
      </c>
      <c r="R204" s="725"/>
      <c r="S204" s="725"/>
      <c r="T204" s="725"/>
      <c r="U204" s="724"/>
    </row>
    <row r="205" s="699" customFormat="1" customHeight="1" outlineLevel="2" spans="1:21">
      <c r="A205" s="724" t="s">
        <v>778</v>
      </c>
      <c r="B205" s="762" t="s">
        <v>660</v>
      </c>
      <c r="C205" s="725">
        <f t="shared" si="105"/>
        <v>0</v>
      </c>
      <c r="D205" s="725">
        <v>0</v>
      </c>
      <c r="E205" s="725">
        <f t="shared" si="71"/>
        <v>0</v>
      </c>
      <c r="F205" s="724" t="s">
        <v>762</v>
      </c>
      <c r="G205" s="724"/>
      <c r="H205" s="725">
        <f t="shared" si="106"/>
        <v>0</v>
      </c>
      <c r="I205" s="725">
        <f>SUMPRODUCT(ISNUMBER(FIND(B205,'表2-合同及付款台账'!$B$5:$B$104))*'表2-合同及付款台账'!$G$5:$G$104)</f>
        <v>0</v>
      </c>
      <c r="J205" s="725">
        <f>SUMPRODUCT(ISNUMBER(FIND(B205,'表1-签证变更'!$B$5:$B$64))*'表1-签证变更'!$G$5:$G$64)</f>
        <v>0</v>
      </c>
      <c r="K205" s="725">
        <f t="shared" si="107"/>
        <v>0</v>
      </c>
      <c r="L205" s="725">
        <f>SUMPRODUCT(ISNUMBER(FIND(B205,'表2-合同及付款台账'!$B$5:$B$104))*'表2-合同及付款台账'!$M$5:$M$104)</f>
        <v>0</v>
      </c>
      <c r="M205" s="725">
        <f t="shared" si="108"/>
        <v>0</v>
      </c>
      <c r="N205" s="725">
        <f t="shared" si="109"/>
        <v>0</v>
      </c>
      <c r="O205" s="742"/>
      <c r="P205" s="724"/>
      <c r="Q205" s="725">
        <f t="shared" si="103"/>
        <v>0</v>
      </c>
      <c r="R205" s="725"/>
      <c r="S205" s="725"/>
      <c r="T205" s="725"/>
      <c r="U205" s="724"/>
    </row>
    <row r="206" s="699" customFormat="1" customHeight="1" outlineLevel="2" spans="1:21">
      <c r="A206" s="724" t="s">
        <v>779</v>
      </c>
      <c r="B206" s="761" t="s">
        <v>662</v>
      </c>
      <c r="C206" s="725">
        <f t="shared" si="105"/>
        <v>0</v>
      </c>
      <c r="D206" s="725">
        <v>0</v>
      </c>
      <c r="E206" s="725">
        <f t="shared" si="71"/>
        <v>0</v>
      </c>
      <c r="F206" s="724" t="s">
        <v>762</v>
      </c>
      <c r="G206" s="724"/>
      <c r="H206" s="725">
        <f t="shared" si="106"/>
        <v>0</v>
      </c>
      <c r="I206" s="725">
        <f>SUMPRODUCT(ISNUMBER(FIND(B206,'表2-合同及付款台账'!$B$5:$B$104))*'表2-合同及付款台账'!$G$5:$G$104)</f>
        <v>0</v>
      </c>
      <c r="J206" s="725">
        <f>SUMPRODUCT(ISNUMBER(FIND(B206,'表1-签证变更'!$B$5:$B$64))*'表1-签证变更'!$G$5:$G$64)</f>
        <v>0</v>
      </c>
      <c r="K206" s="725">
        <f t="shared" si="107"/>
        <v>0</v>
      </c>
      <c r="L206" s="725">
        <f>SUMPRODUCT(ISNUMBER(FIND(B206,'表2-合同及付款台账'!$B$5:$B$104))*'表2-合同及付款台账'!$M$5:$M$104)</f>
        <v>0</v>
      </c>
      <c r="M206" s="725">
        <f t="shared" si="108"/>
        <v>0</v>
      </c>
      <c r="N206" s="725">
        <f t="shared" si="109"/>
        <v>0</v>
      </c>
      <c r="O206" s="742"/>
      <c r="P206" s="724"/>
      <c r="Q206" s="725">
        <f t="shared" si="103"/>
        <v>0</v>
      </c>
      <c r="R206" s="725"/>
      <c r="S206" s="725"/>
      <c r="T206" s="725"/>
      <c r="U206" s="724"/>
    </row>
    <row r="207" s="699" customFormat="1" customHeight="1" outlineLevel="2" spans="1:21">
      <c r="A207" s="724" t="s">
        <v>780</v>
      </c>
      <c r="B207" s="762" t="s">
        <v>664</v>
      </c>
      <c r="C207" s="725">
        <f t="shared" si="105"/>
        <v>0</v>
      </c>
      <c r="D207" s="725">
        <v>0</v>
      </c>
      <c r="E207" s="725">
        <f t="shared" si="71"/>
        <v>0</v>
      </c>
      <c r="F207" s="724" t="s">
        <v>762</v>
      </c>
      <c r="G207" s="724"/>
      <c r="H207" s="725">
        <f t="shared" si="106"/>
        <v>0</v>
      </c>
      <c r="I207" s="725">
        <f>SUMPRODUCT(ISNUMBER(FIND(B207,'表2-合同及付款台账'!$B$5:$B$104))*'表2-合同及付款台账'!$G$5:$G$104)</f>
        <v>0</v>
      </c>
      <c r="J207" s="725">
        <f>SUMPRODUCT(ISNUMBER(FIND(B207,'表1-签证变更'!$B$5:$B$64))*'表1-签证变更'!$G$5:$G$64)</f>
        <v>0</v>
      </c>
      <c r="K207" s="725">
        <f t="shared" si="107"/>
        <v>0</v>
      </c>
      <c r="L207" s="725">
        <f>SUMPRODUCT(ISNUMBER(FIND(B207,'表2-合同及付款台账'!$B$5:$B$104))*'表2-合同及付款台账'!$M$5:$M$104)</f>
        <v>0</v>
      </c>
      <c r="M207" s="725">
        <f t="shared" si="108"/>
        <v>0</v>
      </c>
      <c r="N207" s="725">
        <f t="shared" si="109"/>
        <v>0</v>
      </c>
      <c r="O207" s="742"/>
      <c r="P207" s="724"/>
      <c r="Q207" s="725">
        <f t="shared" si="103"/>
        <v>0</v>
      </c>
      <c r="R207" s="725"/>
      <c r="S207" s="725"/>
      <c r="T207" s="725"/>
      <c r="U207" s="724"/>
    </row>
    <row r="208" s="700" customFormat="1" customHeight="1" outlineLevel="1" spans="1:21">
      <c r="A208" s="726">
        <v>4.7</v>
      </c>
      <c r="B208" s="726" t="s">
        <v>665</v>
      </c>
      <c r="C208" s="727">
        <f t="shared" si="105"/>
        <v>0.64557480745185</v>
      </c>
      <c r="D208" s="727">
        <v>4.608</v>
      </c>
      <c r="E208" s="727">
        <f t="shared" si="71"/>
        <v>46080</v>
      </c>
      <c r="F208" s="726" t="s">
        <v>760</v>
      </c>
      <c r="G208" s="726"/>
      <c r="H208" s="727">
        <f t="shared" si="106"/>
        <v>46080</v>
      </c>
      <c r="I208" s="727">
        <f>SUMPRODUCT(ISNUMBER(FIND(B208,'表2-合同及付款台账'!$B$5:$B$104))*'表2-合同及付款台账'!$G$5:$G$104)</f>
        <v>0</v>
      </c>
      <c r="J208" s="727">
        <f>SUMPRODUCT(ISNUMBER(FIND(B208,'表1-签证变更'!$B$5:$B$64))*'表1-签证变更'!$G$5:$G$64)</f>
        <v>0</v>
      </c>
      <c r="K208" s="727">
        <f t="shared" si="107"/>
        <v>46080</v>
      </c>
      <c r="L208" s="727">
        <f>SUMPRODUCT(ISNUMBER(FIND(B208,'表2-合同及付款台账'!$B$5:$B$104))*'表2-合同及付款台账'!$M$5:$M$104)</f>
        <v>0</v>
      </c>
      <c r="M208" s="727">
        <f t="shared" si="108"/>
        <v>46080</v>
      </c>
      <c r="N208" s="727">
        <f t="shared" si="109"/>
        <v>0</v>
      </c>
      <c r="O208" s="743" t="s">
        <v>666</v>
      </c>
      <c r="P208" s="726"/>
      <c r="Q208" s="727">
        <f t="shared" si="103"/>
        <v>0</v>
      </c>
      <c r="R208" s="727"/>
      <c r="S208" s="727"/>
      <c r="T208" s="727"/>
      <c r="U208" s="726"/>
    </row>
    <row r="209" s="700" customFormat="1" customHeight="1" outlineLevel="1" spans="1:21">
      <c r="A209" s="726">
        <v>4.8</v>
      </c>
      <c r="B209" s="726" t="s">
        <v>667</v>
      </c>
      <c r="C209" s="727">
        <f t="shared" si="105"/>
        <v>0.840592197202929</v>
      </c>
      <c r="D209" s="727">
        <v>6</v>
      </c>
      <c r="E209" s="727">
        <f t="shared" si="71"/>
        <v>60000</v>
      </c>
      <c r="F209" s="726" t="s">
        <v>760</v>
      </c>
      <c r="G209" s="726"/>
      <c r="H209" s="727">
        <f t="shared" si="106"/>
        <v>60000</v>
      </c>
      <c r="I209" s="727">
        <f>SUMPRODUCT(ISNUMBER(FIND(B209,'表2-合同及付款台账'!$B$5:$B$104))*'表2-合同及付款台账'!$G$5:$G$104)</f>
        <v>0</v>
      </c>
      <c r="J209" s="727">
        <f>SUMPRODUCT(ISNUMBER(FIND(B209,'表1-签证变更'!$B$5:$B$64))*'表1-签证变更'!$G$5:$G$64)</f>
        <v>0</v>
      </c>
      <c r="K209" s="727">
        <f t="shared" si="107"/>
        <v>60000</v>
      </c>
      <c r="L209" s="727">
        <f>SUMPRODUCT(ISNUMBER(FIND(B209,'表2-合同及付款台账'!$B$5:$B$104))*'表2-合同及付款台账'!$M$5:$M$104)</f>
        <v>0</v>
      </c>
      <c r="M209" s="727">
        <f t="shared" si="108"/>
        <v>60000</v>
      </c>
      <c r="N209" s="727">
        <f t="shared" si="109"/>
        <v>0</v>
      </c>
      <c r="O209" s="743" t="s">
        <v>668</v>
      </c>
      <c r="P209" s="726"/>
      <c r="Q209" s="727">
        <f t="shared" si="103"/>
        <v>0</v>
      </c>
      <c r="R209" s="727"/>
      <c r="S209" s="727"/>
      <c r="T209" s="727"/>
      <c r="U209" s="726"/>
    </row>
    <row r="210" s="700" customFormat="1" customHeight="1" outlineLevel="1" spans="1:21">
      <c r="A210" s="726">
        <v>4.9</v>
      </c>
      <c r="B210" s="726" t="s">
        <v>669</v>
      </c>
      <c r="C210" s="727">
        <f t="shared" si="105"/>
        <v>0</v>
      </c>
      <c r="D210" s="727">
        <v>0</v>
      </c>
      <c r="E210" s="727">
        <f t="shared" si="71"/>
        <v>0</v>
      </c>
      <c r="F210" s="726" t="s">
        <v>762</v>
      </c>
      <c r="G210" s="726"/>
      <c r="H210" s="727">
        <f t="shared" si="106"/>
        <v>0</v>
      </c>
      <c r="I210" s="727">
        <f>SUMPRODUCT(ISNUMBER(FIND(B210,'表2-合同及付款台账'!$B$5:$B$104))*'表2-合同及付款台账'!$G$5:$G$104)</f>
        <v>0</v>
      </c>
      <c r="J210" s="727">
        <f>SUMPRODUCT(ISNUMBER(FIND(B210,'表1-签证变更'!$B$5:$B$64))*'表1-签证变更'!$G$5:$G$64)</f>
        <v>0</v>
      </c>
      <c r="K210" s="727">
        <f t="shared" si="107"/>
        <v>0</v>
      </c>
      <c r="L210" s="727">
        <f>SUMPRODUCT(ISNUMBER(FIND(B210,'表2-合同及付款台账'!$B$5:$B$104))*'表2-合同及付款台账'!$M$5:$M$104)</f>
        <v>0</v>
      </c>
      <c r="M210" s="727">
        <f t="shared" si="108"/>
        <v>0</v>
      </c>
      <c r="N210" s="727">
        <f t="shared" si="109"/>
        <v>0</v>
      </c>
      <c r="O210" s="743"/>
      <c r="P210" s="726"/>
      <c r="Q210" s="727">
        <f t="shared" si="103"/>
        <v>0</v>
      </c>
      <c r="R210" s="727"/>
      <c r="S210" s="727"/>
      <c r="T210" s="727"/>
      <c r="U210" s="726"/>
    </row>
    <row r="211" s="700" customFormat="1" customHeight="1" outlineLevel="1" spans="1:21">
      <c r="A211" s="726">
        <v>4.1</v>
      </c>
      <c r="B211" s="726" t="s">
        <v>670</v>
      </c>
      <c r="C211" s="727">
        <f t="shared" si="105"/>
        <v>0</v>
      </c>
      <c r="D211" s="727">
        <v>0</v>
      </c>
      <c r="E211" s="727">
        <f t="shared" si="71"/>
        <v>0</v>
      </c>
      <c r="F211" s="726" t="s">
        <v>762</v>
      </c>
      <c r="G211" s="726"/>
      <c r="H211" s="727">
        <f t="shared" si="106"/>
        <v>0</v>
      </c>
      <c r="I211" s="727">
        <f>SUMPRODUCT(ISNUMBER(FIND(B211,'表2-合同及付款台账'!$B$5:$B$104))*'表2-合同及付款台账'!$G$5:$G$104)</f>
        <v>0</v>
      </c>
      <c r="J211" s="727">
        <f>SUMPRODUCT(ISNUMBER(FIND(B211,'表1-签证变更'!$B$5:$B$64))*'表1-签证变更'!$G$5:$G$64)</f>
        <v>0</v>
      </c>
      <c r="K211" s="727">
        <f t="shared" si="107"/>
        <v>0</v>
      </c>
      <c r="L211" s="727">
        <f>SUMPRODUCT(ISNUMBER(FIND(B211,'表2-合同及付款台账'!$B$5:$B$104))*'表2-合同及付款台账'!$M$5:$M$104)</f>
        <v>0</v>
      </c>
      <c r="M211" s="727">
        <f t="shared" si="108"/>
        <v>0</v>
      </c>
      <c r="N211" s="727">
        <f t="shared" si="109"/>
        <v>0</v>
      </c>
      <c r="O211" s="743"/>
      <c r="P211" s="726"/>
      <c r="Q211" s="727">
        <f t="shared" si="103"/>
        <v>0</v>
      </c>
      <c r="R211" s="727"/>
      <c r="S211" s="727"/>
      <c r="T211" s="727"/>
      <c r="U211" s="726"/>
    </row>
    <row r="212" s="700" customFormat="1" customHeight="1" outlineLevel="1" spans="1:21">
      <c r="A212" s="726">
        <v>4.11</v>
      </c>
      <c r="B212" s="726" t="s">
        <v>671</v>
      </c>
      <c r="C212" s="727">
        <f t="shared" si="105"/>
        <v>0</v>
      </c>
      <c r="D212" s="727">
        <v>0</v>
      </c>
      <c r="E212" s="727">
        <f t="shared" si="71"/>
        <v>0</v>
      </c>
      <c r="F212" s="726" t="s">
        <v>762</v>
      </c>
      <c r="G212" s="726"/>
      <c r="H212" s="727">
        <f t="shared" ref="H212:H220" si="110">+I212+J212+K212</f>
        <v>0</v>
      </c>
      <c r="I212" s="727">
        <f>SUMPRODUCT(ISNUMBER(FIND(B212,'表2-合同及付款台账'!$B$5:$B$104))*'表2-合同及付款台账'!$G$5:$G$104)</f>
        <v>0</v>
      </c>
      <c r="J212" s="727">
        <f>SUMPRODUCT(ISNUMBER(FIND(B212,'表1-签证变更'!$B$5:$B$64))*'表1-签证变更'!$G$5:$G$64)</f>
        <v>0</v>
      </c>
      <c r="K212" s="727">
        <f t="shared" si="107"/>
        <v>0</v>
      </c>
      <c r="L212" s="727">
        <f>SUMPRODUCT(ISNUMBER(FIND(B212,'表2-合同及付款台账'!$B$5:$B$104))*'表2-合同及付款台账'!$M$5:$M$104)</f>
        <v>0</v>
      </c>
      <c r="M212" s="727">
        <f t="shared" si="108"/>
        <v>0</v>
      </c>
      <c r="N212" s="727">
        <f t="shared" si="109"/>
        <v>0</v>
      </c>
      <c r="O212" s="743"/>
      <c r="P212" s="726"/>
      <c r="Q212" s="727">
        <f t="shared" si="103"/>
        <v>0</v>
      </c>
      <c r="R212" s="727"/>
      <c r="S212" s="727"/>
      <c r="T212" s="727"/>
      <c r="U212" s="726"/>
    </row>
    <row r="213" s="700" customFormat="1" customHeight="1" outlineLevel="1" spans="1:21">
      <c r="A213" s="726">
        <v>4.12</v>
      </c>
      <c r="B213" s="726" t="s">
        <v>672</v>
      </c>
      <c r="C213" s="727">
        <f t="shared" si="105"/>
        <v>1.05074024650366</v>
      </c>
      <c r="D213" s="727">
        <v>7.5</v>
      </c>
      <c r="E213" s="727">
        <f t="shared" si="71"/>
        <v>75000</v>
      </c>
      <c r="F213" s="726" t="s">
        <v>760</v>
      </c>
      <c r="G213" s="726"/>
      <c r="H213" s="727">
        <f t="shared" si="110"/>
        <v>75000</v>
      </c>
      <c r="I213" s="727">
        <f>SUMPRODUCT(ISNUMBER(FIND(B213,'表2-合同及付款台账'!$B$5:$B$104))*'表2-合同及付款台账'!$G$5:$G$104)</f>
        <v>0</v>
      </c>
      <c r="J213" s="727">
        <f>SUMPRODUCT(ISNUMBER(FIND(B213,'表1-签证变更'!$B$5:$B$64))*'表1-签证变更'!$G$5:$G$64)</f>
        <v>0</v>
      </c>
      <c r="K213" s="727">
        <f t="shared" si="107"/>
        <v>75000</v>
      </c>
      <c r="L213" s="727">
        <f>SUMPRODUCT(ISNUMBER(FIND(B213,'表2-合同及付款台账'!$B$5:$B$104))*'表2-合同及付款台账'!$M$5:$M$104)</f>
        <v>0</v>
      </c>
      <c r="M213" s="727">
        <f t="shared" si="108"/>
        <v>75000</v>
      </c>
      <c r="N213" s="727">
        <f t="shared" si="109"/>
        <v>0</v>
      </c>
      <c r="O213" s="743" t="s">
        <v>673</v>
      </c>
      <c r="P213" s="726"/>
      <c r="Q213" s="727">
        <f t="shared" si="103"/>
        <v>0</v>
      </c>
      <c r="R213" s="727"/>
      <c r="S213" s="727"/>
      <c r="T213" s="727"/>
      <c r="U213" s="726"/>
    </row>
    <row r="214" s="700" customFormat="1" customHeight="1" outlineLevel="1" spans="1:21">
      <c r="A214" s="726">
        <v>4.13</v>
      </c>
      <c r="B214" s="726" t="s">
        <v>674</v>
      </c>
      <c r="C214" s="727">
        <f t="shared" si="105"/>
        <v>0</v>
      </c>
      <c r="D214" s="727">
        <v>0</v>
      </c>
      <c r="E214" s="727">
        <f t="shared" si="71"/>
        <v>0</v>
      </c>
      <c r="F214" s="726" t="s">
        <v>762</v>
      </c>
      <c r="G214" s="726"/>
      <c r="H214" s="727">
        <f t="shared" si="110"/>
        <v>0</v>
      </c>
      <c r="I214" s="727">
        <f>SUMPRODUCT(ISNUMBER(FIND(B214,'表2-合同及付款台账'!$B$5:$B$104))*'表2-合同及付款台账'!$G$5:$G$104)</f>
        <v>0</v>
      </c>
      <c r="J214" s="727">
        <f>SUMPRODUCT(ISNUMBER(FIND(B214,'表1-签证变更'!$B$5:$B$64))*'表1-签证变更'!$G$5:$G$64)</f>
        <v>0</v>
      </c>
      <c r="K214" s="727">
        <f t="shared" si="107"/>
        <v>0</v>
      </c>
      <c r="L214" s="727">
        <f>SUMPRODUCT(ISNUMBER(FIND(B214,'表2-合同及付款台账'!$B$5:$B$104))*'表2-合同及付款台账'!$M$5:$M$104)</f>
        <v>0</v>
      </c>
      <c r="M214" s="727">
        <f t="shared" si="108"/>
        <v>0</v>
      </c>
      <c r="N214" s="727">
        <f t="shared" si="109"/>
        <v>0</v>
      </c>
      <c r="O214" s="743"/>
      <c r="P214" s="726"/>
      <c r="Q214" s="727">
        <f t="shared" si="103"/>
        <v>0</v>
      </c>
      <c r="R214" s="727"/>
      <c r="S214" s="727"/>
      <c r="T214" s="727"/>
      <c r="U214" s="726"/>
    </row>
    <row r="215" s="698" customFormat="1" customHeight="1" spans="1:21">
      <c r="A215" s="721">
        <v>5</v>
      </c>
      <c r="B215" s="721" t="s">
        <v>675</v>
      </c>
      <c r="C215" s="763">
        <f>+C216+C217+C218+C219+C220+C221+C226+C228+C229+C230+C231+C232</f>
        <v>68.35132130586</v>
      </c>
      <c r="D215" s="763">
        <f>+D216+D217+D218+D219+D220+D221+D226+D228+D229+D230+D231+D232</f>
        <v>487.87977</v>
      </c>
      <c r="E215" s="763">
        <f t="shared" ref="E215:E235" si="111">+D215*10000</f>
        <v>4878797.7</v>
      </c>
      <c r="F215" s="722" t="s">
        <v>756</v>
      </c>
      <c r="G215" s="721"/>
      <c r="H215" s="763">
        <f>+H216+H217+H218+H219+H220+H221+H226+H228+H229+H230+H231+H232</f>
        <v>4878797.7</v>
      </c>
      <c r="I215" s="763">
        <f t="shared" ref="I215:N215" si="112">+I216+I217+I218+I219+I220+I221+I226+I228+I229+I230+I231+I232</f>
        <v>571243.75</v>
      </c>
      <c r="J215" s="763">
        <f t="shared" si="112"/>
        <v>0</v>
      </c>
      <c r="K215" s="763">
        <f t="shared" si="112"/>
        <v>4307553.95</v>
      </c>
      <c r="L215" s="763">
        <f t="shared" si="112"/>
        <v>0</v>
      </c>
      <c r="M215" s="763">
        <f t="shared" si="112"/>
        <v>4878797.7</v>
      </c>
      <c r="N215" s="723">
        <f t="shared" si="112"/>
        <v>0</v>
      </c>
      <c r="O215" s="741"/>
      <c r="P215" s="722"/>
      <c r="Q215" s="723">
        <f t="shared" si="103"/>
        <v>0</v>
      </c>
      <c r="R215" s="763"/>
      <c r="S215" s="763"/>
      <c r="T215" s="723"/>
      <c r="U215" s="721"/>
    </row>
    <row r="216" s="700" customFormat="1" customHeight="1" outlineLevel="1" spans="1:21">
      <c r="A216" s="726">
        <v>5.1</v>
      </c>
      <c r="B216" s="726" t="s">
        <v>676</v>
      </c>
      <c r="C216" s="727">
        <f t="shared" ref="C216:C225" si="113">D216/$C$5</f>
        <v>0</v>
      </c>
      <c r="D216" s="727">
        <v>0</v>
      </c>
      <c r="E216" s="727">
        <f t="shared" si="111"/>
        <v>0</v>
      </c>
      <c r="F216" s="726" t="s">
        <v>762</v>
      </c>
      <c r="G216" s="726"/>
      <c r="H216" s="727">
        <f t="shared" si="110"/>
        <v>0</v>
      </c>
      <c r="I216" s="727">
        <f>SUMPRODUCT(ISNUMBER(FIND(B216,'表2-合同及付款台账'!$B$5:$B$104))*'表2-合同及付款台账'!$G$5:$G$104)</f>
        <v>0</v>
      </c>
      <c r="J216" s="727">
        <f>SUMPRODUCT(ISNUMBER(FIND(B216,'表1-签证变更'!$B$5:$B$64))*'表1-签证变更'!$G$5:$G$64)</f>
        <v>0</v>
      </c>
      <c r="K216" s="727">
        <f t="shared" ref="K216:K220" si="114">+E216-I216-J216</f>
        <v>0</v>
      </c>
      <c r="L216" s="727">
        <f>SUMPRODUCT(ISNUMBER(FIND(B216,'表2-合同及付款台账'!$B$5:$B$104))*'表2-合同及付款台账'!$M$5:$M$104)</f>
        <v>0</v>
      </c>
      <c r="M216" s="727">
        <f t="shared" ref="M216:M220" si="115">+E216</f>
        <v>0</v>
      </c>
      <c r="N216" s="727">
        <f t="shared" ref="N216:N220" si="116">+E216-M216</f>
        <v>0</v>
      </c>
      <c r="O216" s="743"/>
      <c r="P216" s="726"/>
      <c r="Q216" s="727">
        <f t="shared" si="103"/>
        <v>0</v>
      </c>
      <c r="R216" s="727"/>
      <c r="S216" s="727"/>
      <c r="T216" s="727"/>
      <c r="U216" s="726"/>
    </row>
    <row r="217" s="700" customFormat="1" customHeight="1" outlineLevel="1" spans="1:21">
      <c r="A217" s="726">
        <v>5.2</v>
      </c>
      <c r="B217" s="726" t="s">
        <v>122</v>
      </c>
      <c r="C217" s="727">
        <f t="shared" si="113"/>
        <v>0</v>
      </c>
      <c r="D217" s="727">
        <v>0</v>
      </c>
      <c r="E217" s="727">
        <f t="shared" si="111"/>
        <v>0</v>
      </c>
      <c r="F217" s="726" t="s">
        <v>762</v>
      </c>
      <c r="G217" s="726"/>
      <c r="H217" s="727">
        <f t="shared" si="110"/>
        <v>0</v>
      </c>
      <c r="I217" s="727">
        <f>SUMPRODUCT(ISNUMBER(FIND(B217,'表2-合同及付款台账'!$B$5:$B$104))*'表2-合同及付款台账'!$G$5:$G$104)</f>
        <v>0</v>
      </c>
      <c r="J217" s="727">
        <f>SUMPRODUCT(ISNUMBER(FIND(B217,'表1-签证变更'!$B$5:$B$64))*'表1-签证变更'!$G$5:$G$64)</f>
        <v>0</v>
      </c>
      <c r="K217" s="727">
        <f t="shared" si="114"/>
        <v>0</v>
      </c>
      <c r="L217" s="727">
        <f>SUMPRODUCT(ISNUMBER(FIND(B217,'表2-合同及付款台账'!$B$5:$B$104))*'表2-合同及付款台账'!$M$5:$M$104)</f>
        <v>0</v>
      </c>
      <c r="M217" s="727">
        <f t="shared" si="115"/>
        <v>0</v>
      </c>
      <c r="N217" s="727">
        <f t="shared" si="116"/>
        <v>0</v>
      </c>
      <c r="O217" s="743"/>
      <c r="P217" s="726"/>
      <c r="Q217" s="727">
        <f t="shared" si="103"/>
        <v>0</v>
      </c>
      <c r="R217" s="727"/>
      <c r="S217" s="727"/>
      <c r="T217" s="727"/>
      <c r="U217" s="726"/>
    </row>
    <row r="218" s="700" customFormat="1" customHeight="1" outlineLevel="1" spans="1:21">
      <c r="A218" s="726">
        <v>5.3</v>
      </c>
      <c r="B218" s="726" t="s">
        <v>677</v>
      </c>
      <c r="C218" s="727">
        <f t="shared" si="113"/>
        <v>0</v>
      </c>
      <c r="D218" s="727">
        <v>0</v>
      </c>
      <c r="E218" s="727">
        <f t="shared" si="111"/>
        <v>0</v>
      </c>
      <c r="F218" s="726" t="s">
        <v>762</v>
      </c>
      <c r="G218" s="726"/>
      <c r="H218" s="727">
        <f t="shared" si="110"/>
        <v>0</v>
      </c>
      <c r="I218" s="727">
        <f>SUMPRODUCT(ISNUMBER(FIND(B218,'表2-合同及付款台账'!$B$5:$B$104))*'表2-合同及付款台账'!$G$5:$G$104)</f>
        <v>0</v>
      </c>
      <c r="J218" s="727">
        <f>SUMPRODUCT(ISNUMBER(FIND(B218,'表1-签证变更'!$B$5:$B$64))*'表1-签证变更'!$G$5:$G$64)</f>
        <v>0</v>
      </c>
      <c r="K218" s="727">
        <f t="shared" si="114"/>
        <v>0</v>
      </c>
      <c r="L218" s="727">
        <f>SUMPRODUCT(ISNUMBER(FIND(B218,'表2-合同及付款台账'!$B$5:$B$104))*'表2-合同及付款台账'!$M$5:$M$104)</f>
        <v>0</v>
      </c>
      <c r="M218" s="727">
        <f t="shared" si="115"/>
        <v>0</v>
      </c>
      <c r="N218" s="727">
        <f t="shared" si="116"/>
        <v>0</v>
      </c>
      <c r="O218" s="767"/>
      <c r="P218" s="726"/>
      <c r="Q218" s="727">
        <f t="shared" si="103"/>
        <v>0</v>
      </c>
      <c r="R218" s="727"/>
      <c r="S218" s="727"/>
      <c r="T218" s="727"/>
      <c r="U218" s="726"/>
    </row>
    <row r="219" s="700" customFormat="1" customHeight="1" outlineLevel="1" spans="1:21">
      <c r="A219" s="726">
        <v>5.4</v>
      </c>
      <c r="B219" s="726" t="s">
        <v>678</v>
      </c>
      <c r="C219" s="727">
        <f t="shared" si="113"/>
        <v>0</v>
      </c>
      <c r="D219" s="727">
        <v>0</v>
      </c>
      <c r="E219" s="727">
        <f t="shared" si="111"/>
        <v>0</v>
      </c>
      <c r="F219" s="726" t="s">
        <v>762</v>
      </c>
      <c r="G219" s="726"/>
      <c r="H219" s="727">
        <f t="shared" si="110"/>
        <v>0</v>
      </c>
      <c r="I219" s="727">
        <f>SUMPRODUCT(ISNUMBER(FIND(B219,'表2-合同及付款台账'!$B$5:$B$104))*'表2-合同及付款台账'!$G$5:$G$104)</f>
        <v>0</v>
      </c>
      <c r="J219" s="727">
        <f>SUMPRODUCT(ISNUMBER(FIND(B219,'表1-签证变更'!$B$5:$B$64))*'表1-签证变更'!$G$5:$G$64)</f>
        <v>0</v>
      </c>
      <c r="K219" s="727">
        <f t="shared" si="114"/>
        <v>0</v>
      </c>
      <c r="L219" s="727">
        <f>SUMPRODUCT(ISNUMBER(FIND(B219,'表2-合同及付款台账'!$B$5:$B$104))*'表2-合同及付款台账'!$M$5:$M$104)</f>
        <v>0</v>
      </c>
      <c r="M219" s="727">
        <f t="shared" si="115"/>
        <v>0</v>
      </c>
      <c r="N219" s="727">
        <f t="shared" si="116"/>
        <v>0</v>
      </c>
      <c r="O219" s="743"/>
      <c r="P219" s="726"/>
      <c r="Q219" s="727">
        <f t="shared" si="103"/>
        <v>0</v>
      </c>
      <c r="R219" s="727"/>
      <c r="S219" s="727"/>
      <c r="T219" s="727"/>
      <c r="U219" s="726"/>
    </row>
    <row r="220" s="700" customFormat="1" customHeight="1" outlineLevel="1" spans="1:21">
      <c r="A220" s="726">
        <v>5.5</v>
      </c>
      <c r="B220" s="726" t="s">
        <v>679</v>
      </c>
      <c r="C220" s="727">
        <f t="shared" si="113"/>
        <v>0</v>
      </c>
      <c r="D220" s="727">
        <v>0</v>
      </c>
      <c r="E220" s="727">
        <f t="shared" si="111"/>
        <v>0</v>
      </c>
      <c r="F220" s="726" t="s">
        <v>762</v>
      </c>
      <c r="G220" s="726"/>
      <c r="H220" s="727">
        <f t="shared" si="110"/>
        <v>0</v>
      </c>
      <c r="I220" s="727">
        <f>SUMPRODUCT(ISNUMBER(FIND(B220,'表2-合同及付款台账'!$B$5:$B$104))*'表2-合同及付款台账'!$G$5:$G$104)</f>
        <v>0</v>
      </c>
      <c r="J220" s="727">
        <f>SUMPRODUCT(ISNUMBER(FIND(B220,'表1-签证变更'!$B$5:$B$64))*'表1-签证变更'!$G$5:$G$64)</f>
        <v>0</v>
      </c>
      <c r="K220" s="727">
        <f t="shared" si="114"/>
        <v>0</v>
      </c>
      <c r="L220" s="727">
        <f>SUMPRODUCT(ISNUMBER(FIND(B220,'表2-合同及付款台账'!$B$5:$B$104))*'表2-合同及付款台账'!$M$5:$M$104)</f>
        <v>0</v>
      </c>
      <c r="M220" s="727">
        <f t="shared" si="115"/>
        <v>0</v>
      </c>
      <c r="N220" s="727">
        <f t="shared" si="116"/>
        <v>0</v>
      </c>
      <c r="O220" s="743"/>
      <c r="P220" s="726"/>
      <c r="Q220" s="727">
        <f t="shared" si="103"/>
        <v>0</v>
      </c>
      <c r="R220" s="727"/>
      <c r="S220" s="727"/>
      <c r="T220" s="727"/>
      <c r="U220" s="726"/>
    </row>
    <row r="221" s="700" customFormat="1" customHeight="1" outlineLevel="1" spans="1:21">
      <c r="A221" s="726">
        <v>5.6</v>
      </c>
      <c r="B221" s="726" t="s">
        <v>449</v>
      </c>
      <c r="C221" s="727">
        <f t="shared" si="113"/>
        <v>11.854559337053</v>
      </c>
      <c r="D221" s="727">
        <f>SUM(D222:D225)</f>
        <v>84.61577</v>
      </c>
      <c r="E221" s="727">
        <f t="shared" si="111"/>
        <v>846157.7</v>
      </c>
      <c r="F221" s="726" t="s">
        <v>756</v>
      </c>
      <c r="G221" s="726"/>
      <c r="H221" s="727">
        <f>SUM(H222:H225)</f>
        <v>846157.7</v>
      </c>
      <c r="I221" s="727">
        <f t="shared" ref="I221:N221" si="117">SUM(I222:I225)</f>
        <v>571243.75</v>
      </c>
      <c r="J221" s="727">
        <f t="shared" si="117"/>
        <v>0</v>
      </c>
      <c r="K221" s="727">
        <f t="shared" si="117"/>
        <v>274913.95</v>
      </c>
      <c r="L221" s="727">
        <f t="shared" si="117"/>
        <v>0</v>
      </c>
      <c r="M221" s="727">
        <f t="shared" si="117"/>
        <v>846157.7</v>
      </c>
      <c r="N221" s="727">
        <f t="shared" si="117"/>
        <v>0</v>
      </c>
      <c r="O221" s="743"/>
      <c r="P221" s="726"/>
      <c r="Q221" s="727">
        <f t="shared" si="103"/>
        <v>0</v>
      </c>
      <c r="R221" s="727"/>
      <c r="S221" s="727"/>
      <c r="T221" s="727"/>
      <c r="U221" s="726"/>
    </row>
    <row r="222" s="699" customFormat="1" customHeight="1" outlineLevel="2" spans="1:21">
      <c r="A222" s="724" t="s">
        <v>680</v>
      </c>
      <c r="B222" s="728" t="s">
        <v>681</v>
      </c>
      <c r="C222" s="725">
        <f t="shared" si="113"/>
        <v>7.98562587342783</v>
      </c>
      <c r="D222" s="725">
        <v>57</v>
      </c>
      <c r="E222" s="725">
        <f t="shared" si="111"/>
        <v>570000</v>
      </c>
      <c r="F222" s="724" t="s">
        <v>757</v>
      </c>
      <c r="G222" s="724" t="s">
        <v>759</v>
      </c>
      <c r="H222" s="725">
        <f>+I222+J222+K222</f>
        <v>570000</v>
      </c>
      <c r="I222" s="725">
        <f>SUMPRODUCT(ISNUMBER(FIND(B222,'表2-合同及付款台账'!$B$5:$B$104))*'表2-合同及付款台账'!$G$5:$G$104)</f>
        <v>571243.75</v>
      </c>
      <c r="J222" s="725">
        <f>SUMPRODUCT(ISNUMBER(FIND(B222,'表1-签证变更'!$B$5:$B$64))*'表1-签证变更'!$G$5:$G$64)</f>
        <v>0</v>
      </c>
      <c r="K222" s="725">
        <f t="shared" ref="K222:K225" si="118">+E222-I222-J222</f>
        <v>-1243.75</v>
      </c>
      <c r="L222" s="725">
        <f>SUMPRODUCT(ISNUMBER(FIND(B222,'表2-合同及付款台账'!$B$5:$B$104))*'表2-合同及付款台账'!$M$5:$M$104)</f>
        <v>0</v>
      </c>
      <c r="M222" s="725">
        <f t="shared" ref="M222:M225" si="119">+E222</f>
        <v>570000</v>
      </c>
      <c r="N222" s="725">
        <f>+E222-M222</f>
        <v>0</v>
      </c>
      <c r="O222" s="742" t="s">
        <v>682</v>
      </c>
      <c r="P222" s="724"/>
      <c r="Q222" s="725">
        <f t="shared" si="103"/>
        <v>0</v>
      </c>
      <c r="R222" s="725"/>
      <c r="S222" s="725"/>
      <c r="T222" s="725"/>
      <c r="U222" s="724"/>
    </row>
    <row r="223" s="699" customFormat="1" customHeight="1" outlineLevel="2" spans="1:21">
      <c r="A223" s="724" t="s">
        <v>683</v>
      </c>
      <c r="B223" s="728" t="s">
        <v>684</v>
      </c>
      <c r="C223" s="725">
        <f t="shared" si="113"/>
        <v>3.86893346362512</v>
      </c>
      <c r="D223" s="725">
        <v>27.61577</v>
      </c>
      <c r="E223" s="725">
        <f t="shared" si="111"/>
        <v>276157.7</v>
      </c>
      <c r="F223" s="724" t="s">
        <v>760</v>
      </c>
      <c r="G223" s="724"/>
      <c r="H223" s="725">
        <f t="shared" ref="H222:H225" si="120">+I223+J223+K223</f>
        <v>276157.7</v>
      </c>
      <c r="I223" s="725">
        <f>SUMPRODUCT(ISNUMBER(FIND(B223,'表2-合同及付款台账'!$B$5:$B$104))*'表2-合同及付款台账'!$G$5:$G$104)</f>
        <v>0</v>
      </c>
      <c r="J223" s="725">
        <f>SUMPRODUCT(ISNUMBER(FIND(B223,'表1-签证变更'!$B$5:$B$64))*'表1-签证变更'!$G$5:$G$64)</f>
        <v>0</v>
      </c>
      <c r="K223" s="725">
        <f t="shared" si="118"/>
        <v>276157.7</v>
      </c>
      <c r="L223" s="725">
        <f>SUMPRODUCT(ISNUMBER(FIND(B223,'表2-合同及付款台账'!$B$5:$B$104))*'表2-合同及付款台账'!$M$5:$M$104)</f>
        <v>0</v>
      </c>
      <c r="M223" s="725">
        <f t="shared" si="119"/>
        <v>276157.7</v>
      </c>
      <c r="N223" s="725">
        <f t="shared" ref="N222:N225" si="121">+E223-M223</f>
        <v>0</v>
      </c>
      <c r="O223" s="742" t="s">
        <v>685</v>
      </c>
      <c r="P223" s="724"/>
      <c r="Q223" s="725">
        <f t="shared" si="103"/>
        <v>0</v>
      </c>
      <c r="R223" s="725"/>
      <c r="S223" s="725"/>
      <c r="T223" s="725"/>
      <c r="U223" s="724"/>
    </row>
    <row r="224" s="699" customFormat="1" customHeight="1" outlineLevel="2" spans="1:21">
      <c r="A224" s="724" t="s">
        <v>686</v>
      </c>
      <c r="B224" s="729" t="s">
        <v>687</v>
      </c>
      <c r="C224" s="725">
        <f t="shared" si="113"/>
        <v>0</v>
      </c>
      <c r="D224" s="725">
        <v>0</v>
      </c>
      <c r="E224" s="725">
        <f t="shared" si="111"/>
        <v>0</v>
      </c>
      <c r="F224" s="724" t="s">
        <v>762</v>
      </c>
      <c r="G224" s="724"/>
      <c r="H224" s="725">
        <f t="shared" si="120"/>
        <v>0</v>
      </c>
      <c r="I224" s="725">
        <f>SUMPRODUCT(ISNUMBER(FIND(B224,'表2-合同及付款台账'!$B$5:$B$104))*'表2-合同及付款台账'!$G$5:$G$104)</f>
        <v>0</v>
      </c>
      <c r="J224" s="725">
        <f>SUMPRODUCT(ISNUMBER(FIND(B224,'表1-签证变更'!$B$5:$B$64))*'表1-签证变更'!$G$5:$G$64)</f>
        <v>0</v>
      </c>
      <c r="K224" s="725">
        <f t="shared" si="118"/>
        <v>0</v>
      </c>
      <c r="L224" s="725">
        <f>SUMPRODUCT(ISNUMBER(FIND(B224,'表2-合同及付款台账'!$B$5:$B$104))*'表2-合同及付款台账'!$M$5:$M$104)</f>
        <v>0</v>
      </c>
      <c r="M224" s="725">
        <f t="shared" si="119"/>
        <v>0</v>
      </c>
      <c r="N224" s="725">
        <f t="shared" si="121"/>
        <v>0</v>
      </c>
      <c r="O224" s="742"/>
      <c r="P224" s="724"/>
      <c r="Q224" s="725">
        <f t="shared" si="103"/>
        <v>0</v>
      </c>
      <c r="R224" s="725"/>
      <c r="S224" s="725"/>
      <c r="T224" s="725"/>
      <c r="U224" s="724"/>
    </row>
    <row r="225" s="699" customFormat="1" customHeight="1" outlineLevel="2" spans="1:21">
      <c r="A225" s="724" t="s">
        <v>688</v>
      </c>
      <c r="B225" s="734" t="s">
        <v>689</v>
      </c>
      <c r="C225" s="725">
        <f t="shared" si="113"/>
        <v>0</v>
      </c>
      <c r="D225" s="725">
        <v>0</v>
      </c>
      <c r="E225" s="725">
        <f t="shared" si="111"/>
        <v>0</v>
      </c>
      <c r="F225" s="724" t="s">
        <v>762</v>
      </c>
      <c r="G225" s="724"/>
      <c r="H225" s="725">
        <f t="shared" si="120"/>
        <v>0</v>
      </c>
      <c r="I225" s="725">
        <f>SUMPRODUCT(ISNUMBER(FIND(B225,'表2-合同及付款台账'!$B$5:$B$104))*'表2-合同及付款台账'!$G$5:$G$104)</f>
        <v>0</v>
      </c>
      <c r="J225" s="725">
        <f>SUMPRODUCT(ISNUMBER(FIND(B225,'表1-签证变更'!$B$5:$B$64))*'表1-签证变更'!$G$5:$G$64)</f>
        <v>0</v>
      </c>
      <c r="K225" s="725">
        <f t="shared" si="118"/>
        <v>0</v>
      </c>
      <c r="L225" s="725">
        <f>SUMPRODUCT(ISNUMBER(FIND(B225,'表2-合同及付款台账'!$B$5:$B$104))*'表2-合同及付款台账'!$M$5:$M$104)</f>
        <v>0</v>
      </c>
      <c r="M225" s="725">
        <f t="shared" si="119"/>
        <v>0</v>
      </c>
      <c r="N225" s="725">
        <f t="shared" si="121"/>
        <v>0</v>
      </c>
      <c r="O225" s="742"/>
      <c r="P225" s="724"/>
      <c r="Q225" s="725">
        <f t="shared" si="103"/>
        <v>0</v>
      </c>
      <c r="R225" s="725"/>
      <c r="S225" s="725"/>
      <c r="T225" s="725"/>
      <c r="U225" s="724"/>
    </row>
    <row r="226" s="700" customFormat="1" customHeight="1" outlineLevel="1" spans="1:21">
      <c r="A226" s="726">
        <v>5.7</v>
      </c>
      <c r="B226" s="726" t="s">
        <v>125</v>
      </c>
      <c r="C226" s="727">
        <f>+C227</f>
        <v>4.66024314129304</v>
      </c>
      <c r="D226" s="727">
        <f>+D227</f>
        <v>33.264</v>
      </c>
      <c r="E226" s="727">
        <f t="shared" si="111"/>
        <v>332640</v>
      </c>
      <c r="F226" s="726" t="s">
        <v>756</v>
      </c>
      <c r="G226" s="726"/>
      <c r="H226" s="727">
        <f>+H227</f>
        <v>332640</v>
      </c>
      <c r="I226" s="727">
        <f t="shared" ref="I226:N226" si="122">+I227</f>
        <v>0</v>
      </c>
      <c r="J226" s="727">
        <f t="shared" si="122"/>
        <v>0</v>
      </c>
      <c r="K226" s="727">
        <f t="shared" si="122"/>
        <v>332640</v>
      </c>
      <c r="L226" s="727">
        <f t="shared" si="122"/>
        <v>0</v>
      </c>
      <c r="M226" s="727">
        <f t="shared" si="122"/>
        <v>332640</v>
      </c>
      <c r="N226" s="727">
        <f t="shared" si="122"/>
        <v>0</v>
      </c>
      <c r="O226" s="743"/>
      <c r="P226" s="726"/>
      <c r="Q226" s="727">
        <f t="shared" si="103"/>
        <v>0</v>
      </c>
      <c r="R226" s="727"/>
      <c r="S226" s="727"/>
      <c r="T226" s="727"/>
      <c r="U226" s="726"/>
    </row>
    <row r="227" s="699" customFormat="1" customHeight="1" outlineLevel="2" spans="1:21">
      <c r="A227" s="724" t="s">
        <v>690</v>
      </c>
      <c r="B227" s="724" t="s">
        <v>691</v>
      </c>
      <c r="C227" s="725">
        <f t="shared" ref="C227:C232" si="123">D227/$C$5</f>
        <v>4.66024314129304</v>
      </c>
      <c r="D227" s="725">
        <v>33.264</v>
      </c>
      <c r="E227" s="725">
        <f t="shared" si="111"/>
        <v>332640</v>
      </c>
      <c r="F227" s="724" t="s">
        <v>760</v>
      </c>
      <c r="G227" s="724"/>
      <c r="H227" s="725">
        <f t="shared" ref="H227:H232" si="124">+I227+J227+K227</f>
        <v>332640</v>
      </c>
      <c r="I227" s="725">
        <f>SUMPRODUCT(ISNUMBER(FIND(B227,'表2-合同及付款台账'!$B$5:$B$104))*'表2-合同及付款台账'!$G$5:$G$104)</f>
        <v>0</v>
      </c>
      <c r="J227" s="725">
        <f>SUMPRODUCT(ISNUMBER(FIND(B227,'表1-签证变更'!$B$5:$B$64))*'表1-签证变更'!$G$5:$G$64)</f>
        <v>0</v>
      </c>
      <c r="K227" s="725">
        <f t="shared" ref="K227:K233" si="125">+E227-I227-J227</f>
        <v>332640</v>
      </c>
      <c r="L227" s="725">
        <f>SUMPRODUCT(ISNUMBER(FIND(B227,'表2-合同及付款台账'!$B$5:$B$104))*'表2-合同及付款台账'!$M$5:$M$104)</f>
        <v>0</v>
      </c>
      <c r="M227" s="725">
        <f>+E227</f>
        <v>332640</v>
      </c>
      <c r="N227" s="725">
        <f>+E227-M227</f>
        <v>0</v>
      </c>
      <c r="O227" s="742" t="s">
        <v>692</v>
      </c>
      <c r="P227" s="724"/>
      <c r="Q227" s="725">
        <f t="shared" si="103"/>
        <v>0</v>
      </c>
      <c r="R227" s="725"/>
      <c r="S227" s="725"/>
      <c r="T227" s="725"/>
      <c r="U227" s="724"/>
    </row>
    <row r="228" s="700" customFormat="1" customHeight="1" outlineLevel="1" spans="1:21">
      <c r="A228" s="726">
        <v>5.8</v>
      </c>
      <c r="B228" s="726" t="s">
        <v>693</v>
      </c>
      <c r="C228" s="727">
        <f t="shared" si="123"/>
        <v>0</v>
      </c>
      <c r="D228" s="727">
        <v>0</v>
      </c>
      <c r="E228" s="727">
        <f t="shared" si="111"/>
        <v>0</v>
      </c>
      <c r="F228" s="726" t="s">
        <v>762</v>
      </c>
      <c r="G228" s="726"/>
      <c r="H228" s="727">
        <f t="shared" si="124"/>
        <v>0</v>
      </c>
      <c r="I228" s="727">
        <f>SUMPRODUCT(ISNUMBER(FIND(B228,'表2-合同及付款台账'!$B$5:$B$104))*'表2-合同及付款台账'!$G$5:$G$104)</f>
        <v>0</v>
      </c>
      <c r="J228" s="727">
        <f>SUMPRODUCT(ISNUMBER(FIND(B228,'表1-签证变更'!$B$5:$B$64))*'表1-签证变更'!$G$5:$G$64)</f>
        <v>0</v>
      </c>
      <c r="K228" s="727">
        <f t="shared" si="125"/>
        <v>0</v>
      </c>
      <c r="L228" s="727">
        <f>SUMPRODUCT(ISNUMBER(FIND(B228,'表2-合同及付款台账'!$B$5:$B$104))*'表2-合同及付款台账'!$M$5:$M$104)</f>
        <v>0</v>
      </c>
      <c r="M228" s="727">
        <f t="shared" ref="M228:M232" si="126">+E228</f>
        <v>0</v>
      </c>
      <c r="N228" s="727">
        <f t="shared" ref="N228:N232" si="127">+E228-M228</f>
        <v>0</v>
      </c>
      <c r="O228" s="743"/>
      <c r="P228" s="726"/>
      <c r="Q228" s="727">
        <f t="shared" si="103"/>
        <v>0</v>
      </c>
      <c r="R228" s="727"/>
      <c r="S228" s="727"/>
      <c r="T228" s="727"/>
      <c r="U228" s="726"/>
    </row>
    <row r="229" s="700" customFormat="1" customHeight="1" outlineLevel="1" spans="1:21">
      <c r="A229" s="726">
        <v>5.9</v>
      </c>
      <c r="B229" s="726" t="s">
        <v>694</v>
      </c>
      <c r="C229" s="727">
        <f t="shared" si="123"/>
        <v>19.613817934735</v>
      </c>
      <c r="D229" s="727">
        <v>140</v>
      </c>
      <c r="E229" s="727">
        <f t="shared" si="111"/>
        <v>1400000</v>
      </c>
      <c r="F229" s="726" t="s">
        <v>760</v>
      </c>
      <c r="G229" s="726"/>
      <c r="H229" s="727">
        <f t="shared" si="124"/>
        <v>1400000</v>
      </c>
      <c r="I229" s="727">
        <f>SUMPRODUCT(ISNUMBER(FIND(B229,'表2-合同及付款台账'!$B$5:$B$104))*'表2-合同及付款台账'!$G$5:$G$104)</f>
        <v>0</v>
      </c>
      <c r="J229" s="727">
        <f>SUMPRODUCT(ISNUMBER(FIND(B229,'表1-签证变更'!$B$5:$B$64))*'表1-签证变更'!$G$5:$G$64)</f>
        <v>0</v>
      </c>
      <c r="K229" s="727">
        <f t="shared" si="125"/>
        <v>1400000</v>
      </c>
      <c r="L229" s="727">
        <f>SUMPRODUCT(ISNUMBER(FIND(B229,'表2-合同及付款台账'!$B$5:$B$104))*'表2-合同及付款台账'!$M$5:$M$104)</f>
        <v>0</v>
      </c>
      <c r="M229" s="727">
        <f t="shared" si="126"/>
        <v>1400000</v>
      </c>
      <c r="N229" s="727">
        <f t="shared" si="127"/>
        <v>0</v>
      </c>
      <c r="O229" s="743"/>
      <c r="P229" s="726"/>
      <c r="Q229" s="727">
        <f t="shared" si="103"/>
        <v>0</v>
      </c>
      <c r="R229" s="727"/>
      <c r="S229" s="727"/>
      <c r="T229" s="727"/>
      <c r="U229" s="726"/>
    </row>
    <row r="230" s="700" customFormat="1" customHeight="1" outlineLevel="1" spans="1:21">
      <c r="A230" s="726">
        <v>5.1</v>
      </c>
      <c r="B230" s="726" t="s">
        <v>696</v>
      </c>
      <c r="C230" s="727">
        <f t="shared" si="123"/>
        <v>25.2177659160879</v>
      </c>
      <c r="D230" s="727">
        <v>180</v>
      </c>
      <c r="E230" s="727">
        <f t="shared" si="111"/>
        <v>1800000</v>
      </c>
      <c r="F230" s="726" t="s">
        <v>760</v>
      </c>
      <c r="G230" s="726"/>
      <c r="H230" s="727">
        <f t="shared" si="124"/>
        <v>1800000</v>
      </c>
      <c r="I230" s="727">
        <f>SUMPRODUCT(ISNUMBER(FIND(B230,'表2-合同及付款台账'!$B$5:$B$104))*'表2-合同及付款台账'!$G$5:$G$104)</f>
        <v>0</v>
      </c>
      <c r="J230" s="727">
        <f>SUMPRODUCT(ISNUMBER(FIND(B230,'表1-签证变更'!$B$5:$B$64))*'表1-签证变更'!$G$5:$G$64)</f>
        <v>0</v>
      </c>
      <c r="K230" s="727">
        <f t="shared" si="125"/>
        <v>1800000</v>
      </c>
      <c r="L230" s="727">
        <f>SUMPRODUCT(ISNUMBER(FIND(B230,'表2-合同及付款台账'!$B$5:$B$104))*'表2-合同及付款台账'!$M$5:$M$104)</f>
        <v>0</v>
      </c>
      <c r="M230" s="727">
        <f t="shared" si="126"/>
        <v>1800000</v>
      </c>
      <c r="N230" s="727">
        <f t="shared" si="127"/>
        <v>0</v>
      </c>
      <c r="O230" s="743"/>
      <c r="P230" s="726"/>
      <c r="Q230" s="727">
        <f t="shared" si="103"/>
        <v>0</v>
      </c>
      <c r="R230" s="727"/>
      <c r="S230" s="727"/>
      <c r="T230" s="727"/>
      <c r="U230" s="726"/>
    </row>
    <row r="231" s="700" customFormat="1" customHeight="1" outlineLevel="1" spans="1:21">
      <c r="A231" s="726">
        <v>5.11</v>
      </c>
      <c r="B231" s="726" t="s">
        <v>698</v>
      </c>
      <c r="C231" s="727">
        <f t="shared" si="123"/>
        <v>0</v>
      </c>
      <c r="D231" s="727">
        <v>0</v>
      </c>
      <c r="E231" s="727">
        <f t="shared" si="111"/>
        <v>0</v>
      </c>
      <c r="F231" s="726"/>
      <c r="G231" s="726"/>
      <c r="H231" s="727">
        <f t="shared" si="124"/>
        <v>0</v>
      </c>
      <c r="I231" s="727">
        <f>SUMPRODUCT(ISNUMBER(FIND(B231,'表2-合同及付款台账'!$B$5:$B$104))*'表2-合同及付款台账'!$G$5:$G$104)</f>
        <v>0</v>
      </c>
      <c r="J231" s="727">
        <f>SUMPRODUCT(ISNUMBER(FIND(B231,'表1-签证变更'!$B$5:$B$64))*'表1-签证变更'!$G$5:$G$64)</f>
        <v>0</v>
      </c>
      <c r="K231" s="727">
        <f t="shared" si="125"/>
        <v>0</v>
      </c>
      <c r="L231" s="727">
        <f>SUMPRODUCT(ISNUMBER(FIND(B231,'表2-合同及付款台账'!$B$5:$B$104))*'表2-合同及付款台账'!$M$5:$M$104)</f>
        <v>0</v>
      </c>
      <c r="M231" s="727">
        <f t="shared" si="126"/>
        <v>0</v>
      </c>
      <c r="N231" s="727">
        <f t="shared" si="127"/>
        <v>0</v>
      </c>
      <c r="O231" s="743"/>
      <c r="P231" s="726"/>
      <c r="Q231" s="727">
        <f t="shared" si="103"/>
        <v>0</v>
      </c>
      <c r="R231" s="727"/>
      <c r="S231" s="727"/>
      <c r="T231" s="727"/>
      <c r="U231" s="726"/>
    </row>
    <row r="232" s="700" customFormat="1" customHeight="1" outlineLevel="1" spans="1:21">
      <c r="A232" s="726">
        <v>5.12</v>
      </c>
      <c r="B232" s="726" t="s">
        <v>699</v>
      </c>
      <c r="C232" s="727">
        <f t="shared" si="123"/>
        <v>7.00493497669108</v>
      </c>
      <c r="D232" s="727">
        <v>50</v>
      </c>
      <c r="E232" s="727">
        <f t="shared" si="111"/>
        <v>500000</v>
      </c>
      <c r="F232" s="726" t="s">
        <v>760</v>
      </c>
      <c r="G232" s="726"/>
      <c r="H232" s="727">
        <f t="shared" si="124"/>
        <v>500000</v>
      </c>
      <c r="I232" s="727">
        <f>SUMPRODUCT(ISNUMBER(FIND(B232,'表2-合同及付款台账'!$B$5:$B$104))*'表2-合同及付款台账'!$G$5:$G$104)</f>
        <v>0</v>
      </c>
      <c r="J232" s="727">
        <f>SUMPRODUCT(ISNUMBER(FIND(B232,'表1-签证变更'!$B$5:$B$64))*'表1-签证变更'!$G$5:$G$64)</f>
        <v>0</v>
      </c>
      <c r="K232" s="727">
        <f t="shared" si="125"/>
        <v>500000</v>
      </c>
      <c r="L232" s="727">
        <f>SUMPRODUCT(ISNUMBER(FIND(B232,'表2-合同及付款台账'!$B$5:$B$104))*'表2-合同及付款台账'!$M$5:$M$104)</f>
        <v>0</v>
      </c>
      <c r="M232" s="727">
        <f t="shared" si="126"/>
        <v>500000</v>
      </c>
      <c r="N232" s="727">
        <f t="shared" si="127"/>
        <v>0</v>
      </c>
      <c r="O232" s="743"/>
      <c r="P232" s="726"/>
      <c r="Q232" s="727">
        <f t="shared" si="103"/>
        <v>0</v>
      </c>
      <c r="R232" s="727"/>
      <c r="S232" s="727"/>
      <c r="T232" s="727"/>
      <c r="U232" s="726"/>
    </row>
    <row r="233" s="698" customFormat="1" customHeight="1" spans="1:21">
      <c r="A233" s="721">
        <v>6</v>
      </c>
      <c r="B233" s="721" t="s">
        <v>47</v>
      </c>
      <c r="C233" s="763">
        <f>+D233/C5</f>
        <v>69.2714679935112</v>
      </c>
      <c r="D233" s="763">
        <f>+(D17+D122+D189+D215)*0.015+0.442384</f>
        <v>494.447616030784</v>
      </c>
      <c r="E233" s="763">
        <f t="shared" si="111"/>
        <v>4944476.16030784</v>
      </c>
      <c r="F233" s="722" t="s">
        <v>756</v>
      </c>
      <c r="G233" s="721"/>
      <c r="H233" s="763">
        <f>+(H17+H122+H189+H215)*0.015</f>
        <v>4940052.32030784</v>
      </c>
      <c r="I233" s="763"/>
      <c r="J233" s="763"/>
      <c r="K233" s="763">
        <f t="shared" si="125"/>
        <v>4944476.16030784</v>
      </c>
      <c r="L233" s="763"/>
      <c r="M233" s="763"/>
      <c r="N233" s="763"/>
      <c r="O233" s="741"/>
      <c r="P233" s="722"/>
      <c r="Q233" s="723">
        <f t="shared" si="103"/>
        <v>-4423.83999999985</v>
      </c>
      <c r="R233" s="763"/>
      <c r="S233" s="763"/>
      <c r="T233" s="723"/>
      <c r="U233" s="721"/>
    </row>
    <row r="234" s="702" customFormat="1" customHeight="1" spans="1:21">
      <c r="A234" s="764" t="s">
        <v>700</v>
      </c>
      <c r="B234" s="765" t="s">
        <v>701</v>
      </c>
      <c r="C234" s="766" t="e">
        <f>C8+C17+C122+C189+C215+C233</f>
        <v>#VALUE!</v>
      </c>
      <c r="D234" s="766">
        <f>+D8+D17+D122+D189+D215+D233</f>
        <v>55877.6070711545</v>
      </c>
      <c r="E234" s="766">
        <f t="shared" si="111"/>
        <v>558776070.711545</v>
      </c>
      <c r="F234" s="765" t="s">
        <v>756</v>
      </c>
      <c r="G234" s="765"/>
      <c r="H234" s="766">
        <f>+H8+H17+H122+H189+H215+H233</f>
        <v>558771646.871545</v>
      </c>
      <c r="I234" s="766"/>
      <c r="J234" s="766"/>
      <c r="K234" s="766">
        <f>+K8+K17+K122+K189+K215+K233</f>
        <v>184862909.617709</v>
      </c>
      <c r="L234" s="766"/>
      <c r="M234" s="766"/>
      <c r="N234" s="766"/>
      <c r="O234" s="768"/>
      <c r="P234" s="765"/>
      <c r="Q234" s="766">
        <f>+Q8+Q17+Q122+Q189+Q215+Q233</f>
        <v>-4423.83999999985</v>
      </c>
      <c r="R234" s="766"/>
      <c r="S234" s="766"/>
      <c r="T234" s="766">
        <v>0</v>
      </c>
      <c r="U234" s="765"/>
    </row>
    <row r="235" s="702" customFormat="1" customHeight="1" spans="1:21">
      <c r="A235" s="764" t="s">
        <v>702</v>
      </c>
      <c r="B235" s="765" t="s">
        <v>703</v>
      </c>
      <c r="C235" s="766" t="e">
        <f>+C234-C8</f>
        <v>#VALUE!</v>
      </c>
      <c r="D235" s="766">
        <f>+D234-D8</f>
        <v>33428.1297514164</v>
      </c>
      <c r="E235" s="766">
        <f t="shared" si="111"/>
        <v>334281297.514164</v>
      </c>
      <c r="F235" s="765" t="s">
        <v>756</v>
      </c>
      <c r="G235" s="765"/>
      <c r="H235" s="766">
        <f>+H234-H8</f>
        <v>334276873.674164</v>
      </c>
      <c r="I235" s="766"/>
      <c r="J235" s="766"/>
      <c r="K235" s="766">
        <f>+K234-K8</f>
        <v>173893783.022328</v>
      </c>
      <c r="L235" s="766"/>
      <c r="M235" s="766"/>
      <c r="N235" s="766"/>
      <c r="O235" s="768"/>
      <c r="P235" s="765"/>
      <c r="Q235" s="766">
        <f>+Q234-Q8</f>
        <v>-4423.83999999985</v>
      </c>
      <c r="R235" s="766"/>
      <c r="S235" s="766"/>
      <c r="T235" s="766">
        <v>0</v>
      </c>
      <c r="U235" s="765"/>
    </row>
    <row r="236" ht="9" customHeight="1"/>
  </sheetData>
  <autoFilter ref="A7:AQ235">
    <extLst/>
  </autoFilter>
  <mergeCells count="14">
    <mergeCell ref="A4:U4"/>
    <mergeCell ref="C7:E7"/>
    <mergeCell ref="A5:A7"/>
    <mergeCell ref="C1:C3"/>
    <mergeCell ref="F5:F7"/>
    <mergeCell ref="F180:F181"/>
    <mergeCell ref="G5:G7"/>
    <mergeCell ref="G180:G181"/>
    <mergeCell ref="P5:P7"/>
    <mergeCell ref="P32:P33"/>
    <mergeCell ref="P180:P181"/>
    <mergeCell ref="S5:U6"/>
    <mergeCell ref="Q5:R6"/>
    <mergeCell ref="H5:O6"/>
  </mergeCells>
  <dataValidations count="2">
    <dataValidation type="list" allowBlank="1" showInputMessage="1" showErrorMessage="1" sqref="G21 G31 G32 G33 G34 G35 G36 G39 G40 G41 G44 G49 G50 G53 G54 G63 G64 G71 G72 G73 G74 G75 G76 G77 G117 G127 G154 G155 G156 G157 G169 G170 G1:G20 G22:G30 G37:G38 G42:G43 G47:G48 G51:G52 G55:G62 G65:G66 G67:G70 G78:G79 G80:G116 G118:G126 G128:G153 G158:G168 G171:G1048576">
      <formula1>"已结算,未结算,无此项,虚拟合同"</formula1>
    </dataValidation>
    <dataValidation type="list" allowBlank="1" showInputMessage="1" showErrorMessage="1" sqref="F39 F40 F41 F44 F45 G45 F46 G46 F47 F50 F51 F71 F72 F73 F74 F117 F127 F138 F139 F154 F155 F156 F157 F169 F170 F177 F178 F179 F184 F193 F201 F208 F209 F1:F38 F42:F43 F48:F49 F52:F64 F65:F66 F67:F70 F75:F96 F97:F102 F103:F106 F107:F116 F118:F126 F128:F131 F132:F137 F140:F150 F151:F153 F158:F161 F162:F165 F166:F168 F171:F176 F180:F183 F185:F186 F187:F188 F189:F190 F191:F192 F194:F195 F196:F200 F202:F205 F206:F207 F210:F214 F215:F216 F217:F220 F221:F1048576">
      <formula1>"无此项,合同,合约规划"</formula1>
    </dataValidation>
  </dataValidations>
  <hyperlinks>
    <hyperlink ref="C1:C3" location="目录!A1" display="返回目录"/>
  </hyperlinks>
  <pageMargins left="0.629166666666667" right="0.313888888888889" top="0.471527777777778" bottom="0.393055555555556" header="0.354166666666667" footer="0.275"/>
  <pageSetup paperSize="8" scale="73" orientation="landscape"/>
  <headerFooter/>
  <ignoredErrors>
    <ignoredError sqref="F234:F235 F233 F215 F189 F122 F8 F27 F23 F17:F18 F30 F37" listDataValidation="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66"/>
  <sheetViews>
    <sheetView view="pageBreakPreview" zoomScale="115" zoomScaleNormal="115" workbookViewId="0">
      <selection activeCell="A7" sqref="$A7:$XFD7"/>
    </sheetView>
  </sheetViews>
  <sheetFormatPr defaultColWidth="7.99166666666667" defaultRowHeight="13.5"/>
  <cols>
    <col min="1" max="1" width="4.375" style="651" customWidth="1"/>
    <col min="2" max="2" width="20.2166666666667" style="651" customWidth="1"/>
    <col min="3" max="3" width="14.625" style="651" customWidth="1"/>
    <col min="4" max="4" width="53.175" style="651" customWidth="1"/>
    <col min="5" max="5" width="9.625" style="651" customWidth="1"/>
    <col min="6" max="6" width="5.375" style="652" customWidth="1"/>
    <col min="7" max="7" width="12.875" style="653" customWidth="1"/>
    <col min="8" max="8" width="12.625" style="653" customWidth="1"/>
    <col min="9" max="9" width="28.15" style="653" customWidth="1"/>
    <col min="10" max="10" width="13.0083333333333" style="654" customWidth="1"/>
    <col min="11" max="16384" width="7.99166666666667" style="649"/>
  </cols>
  <sheetData>
    <row r="1" ht="18.75" spans="1:10">
      <c r="A1" s="655" t="s">
        <v>781</v>
      </c>
      <c r="B1" s="656"/>
      <c r="C1" s="655"/>
      <c r="D1" s="657"/>
      <c r="E1" s="656"/>
      <c r="F1" s="655"/>
      <c r="G1" s="655"/>
      <c r="H1" s="655"/>
      <c r="I1" s="655"/>
      <c r="J1" s="655"/>
    </row>
    <row r="2" ht="21" customHeight="1" spans="1:10">
      <c r="A2" s="658" t="s">
        <v>0</v>
      </c>
      <c r="B2" s="659" t="s">
        <v>782</v>
      </c>
      <c r="C2" s="659" t="s">
        <v>783</v>
      </c>
      <c r="D2" s="660" t="s">
        <v>784</v>
      </c>
      <c r="E2" s="661" t="s">
        <v>785</v>
      </c>
      <c r="F2" s="660" t="s">
        <v>51</v>
      </c>
      <c r="G2" s="662" t="s">
        <v>786</v>
      </c>
      <c r="H2" s="662" t="s">
        <v>787</v>
      </c>
      <c r="I2" s="662" t="s">
        <v>788</v>
      </c>
      <c r="J2" s="687" t="s">
        <v>5</v>
      </c>
    </row>
    <row r="3" ht="21" customHeight="1" spans="1:10">
      <c r="A3" s="658"/>
      <c r="B3" s="659"/>
      <c r="C3" s="659"/>
      <c r="D3" s="660"/>
      <c r="E3" s="663"/>
      <c r="F3" s="660"/>
      <c r="G3" s="662"/>
      <c r="H3" s="662"/>
      <c r="I3" s="662"/>
      <c r="J3" s="688"/>
    </row>
    <row r="4" s="646" customFormat="1" ht="22" customHeight="1" spans="1:10">
      <c r="A4" s="664" t="s">
        <v>789</v>
      </c>
      <c r="B4" s="665"/>
      <c r="C4" s="665"/>
      <c r="D4" s="666"/>
      <c r="E4" s="667"/>
      <c r="F4" s="668"/>
      <c r="G4" s="669"/>
      <c r="H4" s="669"/>
      <c r="I4" s="669"/>
      <c r="J4" s="665"/>
    </row>
    <row r="5" s="647" customFormat="1" ht="32" customHeight="1" outlineLevel="1" spans="1:10">
      <c r="A5" s="670" t="s">
        <v>700</v>
      </c>
      <c r="B5" s="671"/>
      <c r="C5" s="672" t="s">
        <v>790</v>
      </c>
      <c r="D5" s="673"/>
      <c r="E5" s="674"/>
      <c r="F5" s="670"/>
      <c r="G5" s="675">
        <f>+SUM(G6:G21)</f>
        <v>378286.091835955</v>
      </c>
      <c r="H5" s="675">
        <f>+SUM(H6:H21)</f>
        <v>0</v>
      </c>
      <c r="I5" s="675"/>
      <c r="J5" s="689"/>
    </row>
    <row r="6" ht="81" outlineLevel="2" spans="1:10">
      <c r="A6" s="676">
        <v>1</v>
      </c>
      <c r="B6" s="677" t="str">
        <f>+动态成本!B159</f>
        <v>售楼部室内精装修工程（含水源、电源接入）</v>
      </c>
      <c r="C6" s="678">
        <v>39</v>
      </c>
      <c r="D6" s="679" t="s">
        <v>791</v>
      </c>
      <c r="E6" s="680" t="s">
        <v>792</v>
      </c>
      <c r="F6" s="681"/>
      <c r="G6" s="682">
        <v>152077.06</v>
      </c>
      <c r="H6" s="676"/>
      <c r="I6" s="676" t="s">
        <v>793</v>
      </c>
      <c r="J6" s="676"/>
    </row>
    <row r="7" ht="33" customHeight="1" outlineLevel="2" spans="1:10">
      <c r="A7" s="676">
        <v>2</v>
      </c>
      <c r="B7" s="677" t="str">
        <f t="shared" ref="B7:B21" si="0">+B6</f>
        <v>售楼部室内精装修工程（含水源、电源接入）</v>
      </c>
      <c r="C7" s="678">
        <v>48</v>
      </c>
      <c r="D7" s="679" t="s">
        <v>794</v>
      </c>
      <c r="E7" s="680" t="s">
        <v>795</v>
      </c>
      <c r="F7" s="681"/>
      <c r="G7" s="682">
        <v>22302.02</v>
      </c>
      <c r="H7" s="676"/>
      <c r="I7" s="676" t="s">
        <v>793</v>
      </c>
      <c r="J7" s="676"/>
    </row>
    <row r="8" ht="27" outlineLevel="2" spans="1:10">
      <c r="A8" s="676">
        <v>3</v>
      </c>
      <c r="B8" s="677" t="str">
        <f t="shared" si="0"/>
        <v>售楼部室内精装修工程（含水源、电源接入）</v>
      </c>
      <c r="C8" s="681" t="s">
        <v>796</v>
      </c>
      <c r="D8" s="679" t="s">
        <v>797</v>
      </c>
      <c r="E8" s="680" t="s">
        <v>798</v>
      </c>
      <c r="F8" s="681"/>
      <c r="G8" s="682">
        <v>25885.67</v>
      </c>
      <c r="H8" s="676"/>
      <c r="I8" s="676" t="s">
        <v>793</v>
      </c>
      <c r="J8" s="676"/>
    </row>
    <row r="9" ht="67.5" outlineLevel="2" spans="1:10">
      <c r="A9" s="676">
        <v>4</v>
      </c>
      <c r="B9" s="677" t="str">
        <f t="shared" si="0"/>
        <v>售楼部室内精装修工程（含水源、电源接入）</v>
      </c>
      <c r="C9" s="678">
        <v>1</v>
      </c>
      <c r="D9" s="679" t="s">
        <v>799</v>
      </c>
      <c r="E9" s="680" t="s">
        <v>800</v>
      </c>
      <c r="F9" s="681"/>
      <c r="G9" s="682">
        <v>91446.21460651</v>
      </c>
      <c r="H9" s="676"/>
      <c r="I9" s="676" t="s">
        <v>793</v>
      </c>
      <c r="J9" s="676"/>
    </row>
    <row r="10" ht="148.5" outlineLevel="2" spans="1:10">
      <c r="A10" s="676">
        <v>5</v>
      </c>
      <c r="B10" s="677" t="str">
        <f t="shared" si="0"/>
        <v>售楼部室内精装修工程（含水源、电源接入）</v>
      </c>
      <c r="C10" s="678">
        <v>2</v>
      </c>
      <c r="D10" s="679" t="s">
        <v>801</v>
      </c>
      <c r="E10" s="680" t="s">
        <v>802</v>
      </c>
      <c r="F10" s="681"/>
      <c r="G10" s="682">
        <v>-41734.35473648</v>
      </c>
      <c r="H10" s="676"/>
      <c r="I10" s="676" t="s">
        <v>793</v>
      </c>
      <c r="J10" s="676"/>
    </row>
    <row r="11" ht="27" outlineLevel="2" spans="1:10">
      <c r="A11" s="676">
        <v>6</v>
      </c>
      <c r="B11" s="677" t="str">
        <f t="shared" si="0"/>
        <v>售楼部室内精装修工程（含水源、电源接入）</v>
      </c>
      <c r="C11" s="681" t="s">
        <v>803</v>
      </c>
      <c r="D11" s="679" t="s">
        <v>804</v>
      </c>
      <c r="E11" s="680" t="s">
        <v>805</v>
      </c>
      <c r="F11" s="681"/>
      <c r="G11" s="683">
        <v>57455.858294</v>
      </c>
      <c r="H11" s="676"/>
      <c r="I11" s="676" t="s">
        <v>793</v>
      </c>
      <c r="J11" s="676"/>
    </row>
    <row r="12" ht="27" outlineLevel="2" spans="1:10">
      <c r="A12" s="676">
        <v>7</v>
      </c>
      <c r="B12" s="677" t="str">
        <f t="shared" si="0"/>
        <v>售楼部室内精装修工程（含水源、电源接入）</v>
      </c>
      <c r="C12" s="678">
        <v>2</v>
      </c>
      <c r="D12" s="679" t="s">
        <v>806</v>
      </c>
      <c r="E12" s="680" t="s">
        <v>807</v>
      </c>
      <c r="F12" s="681"/>
      <c r="G12" s="682">
        <v>26206.7306600609</v>
      </c>
      <c r="H12" s="676"/>
      <c r="I12" s="676" t="s">
        <v>793</v>
      </c>
      <c r="J12" s="676"/>
    </row>
    <row r="13" ht="27" outlineLevel="2" spans="1:10">
      <c r="A13" s="676">
        <v>8</v>
      </c>
      <c r="B13" s="677" t="str">
        <f t="shared" si="0"/>
        <v>售楼部室内精装修工程（含水源、电源接入）</v>
      </c>
      <c r="C13" s="681" t="s">
        <v>808</v>
      </c>
      <c r="D13" s="679" t="s">
        <v>809</v>
      </c>
      <c r="E13" s="680" t="s">
        <v>810</v>
      </c>
      <c r="F13" s="681"/>
      <c r="G13" s="682">
        <v>1509.4682861</v>
      </c>
      <c r="H13" s="676"/>
      <c r="I13" s="676" t="s">
        <v>793</v>
      </c>
      <c r="J13" s="676"/>
    </row>
    <row r="14" ht="27" outlineLevel="2" spans="1:10">
      <c r="A14" s="676">
        <v>9</v>
      </c>
      <c r="B14" s="677" t="str">
        <f t="shared" si="0"/>
        <v>售楼部室内精装修工程（含水源、电源接入）</v>
      </c>
      <c r="C14" s="678">
        <v>1</v>
      </c>
      <c r="D14" s="679" t="s">
        <v>811</v>
      </c>
      <c r="E14" s="680" t="s">
        <v>812</v>
      </c>
      <c r="F14" s="681"/>
      <c r="G14" s="682">
        <v>16100.5867207888</v>
      </c>
      <c r="H14" s="676"/>
      <c r="I14" s="676" t="s">
        <v>793</v>
      </c>
      <c r="J14" s="676"/>
    </row>
    <row r="15" ht="27" outlineLevel="2" spans="1:10">
      <c r="A15" s="676">
        <v>11</v>
      </c>
      <c r="B15" s="677" t="str">
        <f t="shared" si="0"/>
        <v>售楼部室内精装修工程（含水源、电源接入）</v>
      </c>
      <c r="C15" s="678">
        <v>2</v>
      </c>
      <c r="D15" s="679" t="s">
        <v>813</v>
      </c>
      <c r="E15" s="680" t="s">
        <v>814</v>
      </c>
      <c r="F15" s="681"/>
      <c r="G15" s="682">
        <v>2482.0270009748</v>
      </c>
      <c r="H15" s="676"/>
      <c r="I15" s="676" t="s">
        <v>793</v>
      </c>
      <c r="J15" s="676"/>
    </row>
    <row r="16" ht="27" outlineLevel="2" spans="1:10">
      <c r="A16" s="676">
        <v>12</v>
      </c>
      <c r="B16" s="677" t="str">
        <f t="shared" si="0"/>
        <v>售楼部室内精装修工程（含水源、电源接入）</v>
      </c>
      <c r="C16" s="678">
        <v>52</v>
      </c>
      <c r="D16" s="679" t="s">
        <v>815</v>
      </c>
      <c r="E16" s="680" t="s">
        <v>816</v>
      </c>
      <c r="F16" s="681"/>
      <c r="G16" s="682">
        <v>2268</v>
      </c>
      <c r="H16" s="676"/>
      <c r="I16" s="676" t="s">
        <v>793</v>
      </c>
      <c r="J16" s="676"/>
    </row>
    <row r="17" ht="27" outlineLevel="2" spans="1:10">
      <c r="A17" s="676">
        <v>13</v>
      </c>
      <c r="B17" s="677" t="str">
        <f t="shared" si="0"/>
        <v>售楼部室内精装修工程（含水源、电源接入）</v>
      </c>
      <c r="C17" s="681" t="s">
        <v>817</v>
      </c>
      <c r="D17" s="679" t="s">
        <v>818</v>
      </c>
      <c r="E17" s="680" t="s">
        <v>819</v>
      </c>
      <c r="F17" s="681"/>
      <c r="G17" s="682">
        <v>22286.811004</v>
      </c>
      <c r="H17" s="676"/>
      <c r="I17" s="676" t="s">
        <v>793</v>
      </c>
      <c r="J17" s="676"/>
    </row>
    <row r="18" ht="27" outlineLevel="2" spans="1:10">
      <c r="A18" s="676">
        <v>14</v>
      </c>
      <c r="B18" s="677" t="str">
        <f t="shared" si="0"/>
        <v>售楼部室内精装修工程（含水源、电源接入）</v>
      </c>
      <c r="C18" s="678">
        <v>58</v>
      </c>
      <c r="D18" s="679" t="s">
        <v>820</v>
      </c>
      <c r="E18" s="680" t="s">
        <v>821</v>
      </c>
      <c r="F18" s="681"/>
      <c r="G18" s="682"/>
      <c r="H18" s="676"/>
      <c r="I18" s="676" t="s">
        <v>793</v>
      </c>
      <c r="J18" s="676"/>
    </row>
    <row r="19" ht="67.5" outlineLevel="2" spans="1:10">
      <c r="A19" s="676">
        <v>15</v>
      </c>
      <c r="B19" s="677" t="str">
        <f t="shared" si="0"/>
        <v>售楼部室内精装修工程（含水源、电源接入）</v>
      </c>
      <c r="C19" s="681"/>
      <c r="D19" s="679" t="s">
        <v>822</v>
      </c>
      <c r="E19" s="680"/>
      <c r="F19" s="681"/>
      <c r="G19" s="682"/>
      <c r="H19" s="676"/>
      <c r="I19" s="676" t="s">
        <v>793</v>
      </c>
      <c r="J19" s="676"/>
    </row>
    <row r="20" ht="121.5" outlineLevel="2" spans="1:10">
      <c r="A20" s="676">
        <v>16</v>
      </c>
      <c r="B20" s="677" t="str">
        <f t="shared" si="0"/>
        <v>售楼部室内精装修工程（含水源、电源接入）</v>
      </c>
      <c r="C20" s="681"/>
      <c r="D20" s="679" t="s">
        <v>823</v>
      </c>
      <c r="E20" s="680"/>
      <c r="F20" s="681"/>
      <c r="G20" s="682"/>
      <c r="H20" s="676"/>
      <c r="I20" s="676" t="s">
        <v>793</v>
      </c>
      <c r="J20" s="676"/>
    </row>
    <row r="21" ht="27" outlineLevel="2" spans="1:10">
      <c r="A21" s="676">
        <v>17</v>
      </c>
      <c r="B21" s="677" t="str">
        <f t="shared" si="0"/>
        <v>售楼部室内精装修工程（含水源、电源接入）</v>
      </c>
      <c r="C21" s="681"/>
      <c r="D21" s="679" t="s">
        <v>824</v>
      </c>
      <c r="E21" s="680"/>
      <c r="F21" s="681"/>
      <c r="G21" s="682"/>
      <c r="H21" s="676"/>
      <c r="I21" s="676" t="s">
        <v>793</v>
      </c>
      <c r="J21" s="676"/>
    </row>
    <row r="22" s="647" customFormat="1" ht="32" customHeight="1" outlineLevel="1" spans="1:10">
      <c r="A22" s="670" t="s">
        <v>702</v>
      </c>
      <c r="B22" s="671"/>
      <c r="C22" s="672" t="s">
        <v>825</v>
      </c>
      <c r="D22" s="673"/>
      <c r="E22" s="674"/>
      <c r="F22" s="670"/>
      <c r="G22" s="675">
        <f>+SUM(G23:G38)</f>
        <v>0</v>
      </c>
      <c r="H22" s="675">
        <f>+SUM(H23:H38)</f>
        <v>0</v>
      </c>
      <c r="I22" s="675"/>
      <c r="J22" s="689"/>
    </row>
    <row r="23" ht="28" customHeight="1" outlineLevel="2" spans="1:10">
      <c r="A23" s="676">
        <v>1</v>
      </c>
      <c r="B23" s="677"/>
      <c r="C23" s="678"/>
      <c r="D23" s="679"/>
      <c r="E23" s="680"/>
      <c r="F23" s="681"/>
      <c r="G23" s="682"/>
      <c r="H23" s="676"/>
      <c r="I23" s="676" t="s">
        <v>826</v>
      </c>
      <c r="J23" s="676"/>
    </row>
    <row r="24" ht="28" customHeight="1" outlineLevel="2" spans="1:10">
      <c r="A24" s="676">
        <v>2</v>
      </c>
      <c r="B24" s="677"/>
      <c r="C24" s="678"/>
      <c r="D24" s="679"/>
      <c r="E24" s="680"/>
      <c r="F24" s="681"/>
      <c r="G24" s="682"/>
      <c r="H24" s="676"/>
      <c r="I24" s="676" t="s">
        <v>826</v>
      </c>
      <c r="J24" s="676"/>
    </row>
    <row r="25" ht="28" customHeight="1" outlineLevel="2" spans="1:10">
      <c r="A25" s="676">
        <v>3</v>
      </c>
      <c r="B25" s="677"/>
      <c r="C25" s="681"/>
      <c r="D25" s="679"/>
      <c r="E25" s="680"/>
      <c r="F25" s="681"/>
      <c r="G25" s="682"/>
      <c r="H25" s="676"/>
      <c r="I25" s="676" t="s">
        <v>826</v>
      </c>
      <c r="J25" s="676"/>
    </row>
    <row r="26" ht="28" customHeight="1" outlineLevel="2" spans="1:10">
      <c r="A26" s="676">
        <v>4</v>
      </c>
      <c r="B26" s="677"/>
      <c r="C26" s="678"/>
      <c r="D26" s="679"/>
      <c r="E26" s="680"/>
      <c r="F26" s="681"/>
      <c r="G26" s="682"/>
      <c r="H26" s="676"/>
      <c r="I26" s="676" t="s">
        <v>826</v>
      </c>
      <c r="J26" s="676"/>
    </row>
    <row r="27" ht="28" customHeight="1" outlineLevel="2" spans="1:10">
      <c r="A27" s="676">
        <v>5</v>
      </c>
      <c r="B27" s="677"/>
      <c r="C27" s="678"/>
      <c r="D27" s="679"/>
      <c r="E27" s="680"/>
      <c r="F27" s="681"/>
      <c r="G27" s="682"/>
      <c r="H27" s="676"/>
      <c r="I27" s="676" t="s">
        <v>826</v>
      </c>
      <c r="J27" s="676"/>
    </row>
    <row r="28" ht="28" customHeight="1" outlineLevel="2" spans="1:10">
      <c r="A28" s="676">
        <v>6</v>
      </c>
      <c r="B28" s="677"/>
      <c r="C28" s="681"/>
      <c r="D28" s="679"/>
      <c r="E28" s="680"/>
      <c r="F28" s="681"/>
      <c r="G28" s="683"/>
      <c r="H28" s="676"/>
      <c r="I28" s="676" t="s">
        <v>826</v>
      </c>
      <c r="J28" s="676"/>
    </row>
    <row r="29" ht="28" customHeight="1" outlineLevel="2" spans="1:10">
      <c r="A29" s="676">
        <v>7</v>
      </c>
      <c r="B29" s="677"/>
      <c r="C29" s="678"/>
      <c r="D29" s="679"/>
      <c r="E29" s="680"/>
      <c r="F29" s="681"/>
      <c r="G29" s="682"/>
      <c r="H29" s="676"/>
      <c r="I29" s="676" t="s">
        <v>826</v>
      </c>
      <c r="J29" s="676"/>
    </row>
    <row r="30" ht="28" customHeight="1" outlineLevel="2" spans="1:10">
      <c r="A30" s="676">
        <v>8</v>
      </c>
      <c r="B30" s="677"/>
      <c r="C30" s="681"/>
      <c r="D30" s="679"/>
      <c r="E30" s="680"/>
      <c r="F30" s="681"/>
      <c r="G30" s="682"/>
      <c r="H30" s="676"/>
      <c r="I30" s="676" t="s">
        <v>826</v>
      </c>
      <c r="J30" s="676"/>
    </row>
    <row r="31" ht="28" customHeight="1" outlineLevel="2" spans="1:10">
      <c r="A31" s="676">
        <v>9</v>
      </c>
      <c r="B31" s="677"/>
      <c r="C31" s="678"/>
      <c r="D31" s="679"/>
      <c r="E31" s="680"/>
      <c r="F31" s="681"/>
      <c r="G31" s="682"/>
      <c r="H31" s="676"/>
      <c r="I31" s="676" t="s">
        <v>826</v>
      </c>
      <c r="J31" s="676"/>
    </row>
    <row r="32" ht="28" customHeight="1" outlineLevel="2" spans="1:10">
      <c r="A32" s="676">
        <v>11</v>
      </c>
      <c r="B32" s="677"/>
      <c r="C32" s="678"/>
      <c r="D32" s="679"/>
      <c r="E32" s="680"/>
      <c r="F32" s="681"/>
      <c r="G32" s="682"/>
      <c r="H32" s="676"/>
      <c r="I32" s="676" t="s">
        <v>826</v>
      </c>
      <c r="J32" s="676"/>
    </row>
    <row r="33" ht="28" customHeight="1" outlineLevel="2" spans="1:10">
      <c r="A33" s="676">
        <v>12</v>
      </c>
      <c r="B33" s="677"/>
      <c r="C33" s="678"/>
      <c r="D33" s="679"/>
      <c r="E33" s="680"/>
      <c r="F33" s="681"/>
      <c r="G33" s="682"/>
      <c r="H33" s="676"/>
      <c r="I33" s="676" t="s">
        <v>826</v>
      </c>
      <c r="J33" s="676"/>
    </row>
    <row r="34" ht="28" customHeight="1" outlineLevel="2" spans="1:10">
      <c r="A34" s="676">
        <v>13</v>
      </c>
      <c r="B34" s="677"/>
      <c r="C34" s="681"/>
      <c r="D34" s="679"/>
      <c r="E34" s="680"/>
      <c r="F34" s="681"/>
      <c r="G34" s="682"/>
      <c r="H34" s="676"/>
      <c r="I34" s="676" t="s">
        <v>826</v>
      </c>
      <c r="J34" s="676"/>
    </row>
    <row r="35" ht="28" customHeight="1" outlineLevel="2" spans="1:10">
      <c r="A35" s="676">
        <v>14</v>
      </c>
      <c r="B35" s="677"/>
      <c r="C35" s="678"/>
      <c r="D35" s="679"/>
      <c r="E35" s="680"/>
      <c r="F35" s="681"/>
      <c r="G35" s="682"/>
      <c r="H35" s="676"/>
      <c r="I35" s="676" t="s">
        <v>826</v>
      </c>
      <c r="J35" s="676"/>
    </row>
    <row r="36" ht="28" customHeight="1" outlineLevel="2" spans="1:10">
      <c r="A36" s="676">
        <v>15</v>
      </c>
      <c r="B36" s="677"/>
      <c r="C36" s="681"/>
      <c r="D36" s="679"/>
      <c r="E36" s="680"/>
      <c r="F36" s="681"/>
      <c r="G36" s="682"/>
      <c r="H36" s="676"/>
      <c r="I36" s="676" t="s">
        <v>826</v>
      </c>
      <c r="J36" s="676"/>
    </row>
    <row r="37" ht="28" customHeight="1" outlineLevel="2" spans="1:10">
      <c r="A37" s="676">
        <v>16</v>
      </c>
      <c r="B37" s="677"/>
      <c r="C37" s="681"/>
      <c r="D37" s="679"/>
      <c r="E37" s="680"/>
      <c r="F37" s="681"/>
      <c r="G37" s="682"/>
      <c r="H37" s="676"/>
      <c r="I37" s="676" t="s">
        <v>826</v>
      </c>
      <c r="J37" s="676"/>
    </row>
    <row r="38" ht="28" customHeight="1" outlineLevel="2" spans="1:10">
      <c r="A38" s="676">
        <v>17</v>
      </c>
      <c r="B38" s="677"/>
      <c r="C38" s="681"/>
      <c r="D38" s="679"/>
      <c r="E38" s="680"/>
      <c r="F38" s="681"/>
      <c r="G38" s="682"/>
      <c r="H38" s="676"/>
      <c r="I38" s="676"/>
      <c r="J38" s="676"/>
    </row>
    <row r="39" s="648" customFormat="1" ht="22" customHeight="1" spans="1:10">
      <c r="A39" s="684" t="s">
        <v>827</v>
      </c>
      <c r="B39" s="684"/>
      <c r="C39" s="684"/>
      <c r="D39" s="666"/>
      <c r="E39" s="667"/>
      <c r="F39" s="668"/>
      <c r="G39" s="669"/>
      <c r="H39" s="669"/>
      <c r="I39" s="669"/>
      <c r="J39" s="665"/>
    </row>
    <row r="40" s="647" customFormat="1" ht="32" customHeight="1" spans="1:10">
      <c r="A40" s="670" t="s">
        <v>700</v>
      </c>
      <c r="B40" s="671"/>
      <c r="C40" s="672" t="s">
        <v>828</v>
      </c>
      <c r="D40" s="673"/>
      <c r="E40" s="674"/>
      <c r="F40" s="670"/>
      <c r="G40" s="675">
        <f>SUM(G41:G61)</f>
        <v>179950.62</v>
      </c>
      <c r="H40" s="675">
        <f>SUM(H41:H61)</f>
        <v>0</v>
      </c>
      <c r="I40" s="675"/>
      <c r="J40" s="689"/>
    </row>
    <row r="41" ht="28" customHeight="1" outlineLevel="1" spans="1:10">
      <c r="A41" s="676">
        <v>1</v>
      </c>
      <c r="B41" s="677" t="str">
        <f>+动态成本!B123</f>
        <v>建设工程施工总承包
（土建+安装）</v>
      </c>
      <c r="C41" s="678"/>
      <c r="D41" s="679" t="s">
        <v>829</v>
      </c>
      <c r="E41" s="680">
        <v>45123</v>
      </c>
      <c r="F41" s="681"/>
      <c r="G41" s="682">
        <v>8341.78</v>
      </c>
      <c r="H41" s="676"/>
      <c r="I41" s="51" t="s">
        <v>830</v>
      </c>
      <c r="J41" s="676"/>
    </row>
    <row r="42" ht="28" customHeight="1" outlineLevel="1" spans="1:10">
      <c r="A42" s="676">
        <v>2</v>
      </c>
      <c r="B42" s="677" t="str">
        <f>+B41</f>
        <v>建设工程施工总承包
（土建+安装）</v>
      </c>
      <c r="C42" s="678"/>
      <c r="D42" s="679" t="s">
        <v>831</v>
      </c>
      <c r="E42" s="680">
        <v>45123</v>
      </c>
      <c r="F42" s="681"/>
      <c r="G42" s="682">
        <v>6562.2</v>
      </c>
      <c r="H42" s="676"/>
      <c r="I42" s="51" t="s">
        <v>830</v>
      </c>
      <c r="J42" s="676"/>
    </row>
    <row r="43" ht="28" customHeight="1" outlineLevel="1" spans="1:10">
      <c r="A43" s="676">
        <v>3</v>
      </c>
      <c r="B43" s="677" t="str">
        <f t="shared" ref="B43:B61" si="1">+B42</f>
        <v>建设工程施工总承包
（土建+安装）</v>
      </c>
      <c r="C43" s="681"/>
      <c r="D43" s="679" t="s">
        <v>832</v>
      </c>
      <c r="E43" s="680">
        <v>45123</v>
      </c>
      <c r="F43" s="681"/>
      <c r="G43" s="682">
        <v>1118.22</v>
      </c>
      <c r="H43" s="676"/>
      <c r="I43" s="51" t="s">
        <v>830</v>
      </c>
      <c r="J43" s="676"/>
    </row>
    <row r="44" ht="28" customHeight="1" outlineLevel="1" spans="1:10">
      <c r="A44" s="676">
        <v>4</v>
      </c>
      <c r="B44" s="677" t="str">
        <f t="shared" si="1"/>
        <v>建设工程施工总承包
（土建+安装）</v>
      </c>
      <c r="C44" s="678"/>
      <c r="D44" s="679" t="s">
        <v>833</v>
      </c>
      <c r="E44" s="680">
        <v>45123</v>
      </c>
      <c r="F44" s="681"/>
      <c r="G44" s="682">
        <v>18347.29</v>
      </c>
      <c r="H44" s="676"/>
      <c r="I44" s="51" t="s">
        <v>830</v>
      </c>
      <c r="J44" s="676"/>
    </row>
    <row r="45" ht="28" customHeight="1" outlineLevel="1" spans="1:10">
      <c r="A45" s="676">
        <v>5</v>
      </c>
      <c r="B45" s="677" t="str">
        <f t="shared" si="1"/>
        <v>建设工程施工总承包
（土建+安装）</v>
      </c>
      <c r="C45" s="678"/>
      <c r="D45" s="679" t="s">
        <v>834</v>
      </c>
      <c r="E45" s="680">
        <v>45123</v>
      </c>
      <c r="F45" s="681"/>
      <c r="G45" s="682">
        <v>1698.63</v>
      </c>
      <c r="H45" s="676"/>
      <c r="I45" s="51" t="s">
        <v>830</v>
      </c>
      <c r="J45" s="676"/>
    </row>
    <row r="46" ht="28" customHeight="1" outlineLevel="1" spans="1:10">
      <c r="A46" s="676">
        <v>6</v>
      </c>
      <c r="B46" s="677" t="str">
        <f t="shared" si="1"/>
        <v>建设工程施工总承包
（土建+安装）</v>
      </c>
      <c r="C46" s="681"/>
      <c r="D46" s="679" t="s">
        <v>835</v>
      </c>
      <c r="E46" s="680">
        <v>45123</v>
      </c>
      <c r="F46" s="681"/>
      <c r="G46" s="683">
        <v>7457.78</v>
      </c>
      <c r="H46" s="676"/>
      <c r="I46" s="51" t="s">
        <v>830</v>
      </c>
      <c r="J46" s="676"/>
    </row>
    <row r="47" ht="28" customHeight="1" outlineLevel="1" spans="1:10">
      <c r="A47" s="676">
        <v>7</v>
      </c>
      <c r="B47" s="677" t="str">
        <f t="shared" si="1"/>
        <v>建设工程施工总承包
（土建+安装）</v>
      </c>
      <c r="C47" s="678"/>
      <c r="D47" s="679" t="s">
        <v>836</v>
      </c>
      <c r="E47" s="680">
        <v>45123</v>
      </c>
      <c r="F47" s="681"/>
      <c r="G47" s="682">
        <v>16354.52</v>
      </c>
      <c r="H47" s="676"/>
      <c r="I47" s="51" t="s">
        <v>830</v>
      </c>
      <c r="J47" s="676"/>
    </row>
    <row r="48" ht="28" customHeight="1" outlineLevel="1" spans="1:10">
      <c r="A48" s="676">
        <v>8</v>
      </c>
      <c r="B48" s="677" t="str">
        <f t="shared" si="1"/>
        <v>建设工程施工总承包
（土建+安装）</v>
      </c>
      <c r="C48" s="681"/>
      <c r="D48" s="679" t="s">
        <v>837</v>
      </c>
      <c r="E48" s="680">
        <v>45123</v>
      </c>
      <c r="F48" s="681"/>
      <c r="G48" s="682">
        <v>3798.95</v>
      </c>
      <c r="H48" s="676"/>
      <c r="I48" s="51" t="s">
        <v>830</v>
      </c>
      <c r="J48" s="676"/>
    </row>
    <row r="49" ht="28" customHeight="1" outlineLevel="1" spans="1:10">
      <c r="A49" s="676">
        <v>9</v>
      </c>
      <c r="B49" s="677" t="str">
        <f t="shared" si="1"/>
        <v>建设工程施工总承包
（土建+安装）</v>
      </c>
      <c r="C49" s="678"/>
      <c r="D49" s="679" t="s">
        <v>838</v>
      </c>
      <c r="E49" s="680">
        <v>45123</v>
      </c>
      <c r="F49" s="681"/>
      <c r="G49" s="682">
        <v>6436.05</v>
      </c>
      <c r="H49" s="676"/>
      <c r="I49" s="51" t="s">
        <v>830</v>
      </c>
      <c r="J49" s="676"/>
    </row>
    <row r="50" ht="28" customHeight="1" outlineLevel="1" spans="1:10">
      <c r="A50" s="676">
        <v>11</v>
      </c>
      <c r="B50" s="677" t="str">
        <f t="shared" si="1"/>
        <v>建设工程施工总承包
（土建+安装）</v>
      </c>
      <c r="C50" s="678"/>
      <c r="D50" s="679" t="s">
        <v>839</v>
      </c>
      <c r="E50" s="680">
        <v>45125</v>
      </c>
      <c r="F50" s="681"/>
      <c r="G50" s="682">
        <v>1380.67</v>
      </c>
      <c r="H50" s="676"/>
      <c r="I50" s="51" t="s">
        <v>830</v>
      </c>
      <c r="J50" s="676"/>
    </row>
    <row r="51" ht="28" customHeight="1" outlineLevel="1" spans="1:10">
      <c r="A51" s="676">
        <v>12</v>
      </c>
      <c r="B51" s="677" t="str">
        <f t="shared" si="1"/>
        <v>建设工程施工总承包
（土建+安装）</v>
      </c>
      <c r="C51" s="678"/>
      <c r="D51" s="679" t="s">
        <v>840</v>
      </c>
      <c r="E51" s="680">
        <v>45126</v>
      </c>
      <c r="F51" s="681"/>
      <c r="G51" s="682">
        <v>14682.99</v>
      </c>
      <c r="H51" s="676"/>
      <c r="I51" s="51" t="s">
        <v>830</v>
      </c>
      <c r="J51" s="676"/>
    </row>
    <row r="52" ht="28" customHeight="1" outlineLevel="1" spans="1:10">
      <c r="A52" s="676">
        <v>13</v>
      </c>
      <c r="B52" s="677" t="str">
        <f t="shared" si="1"/>
        <v>建设工程施工总承包
（土建+安装）</v>
      </c>
      <c r="C52" s="681"/>
      <c r="D52" s="679" t="s">
        <v>841</v>
      </c>
      <c r="E52" s="680">
        <v>45127</v>
      </c>
      <c r="F52" s="681"/>
      <c r="G52" s="682">
        <v>29180.72</v>
      </c>
      <c r="H52" s="676"/>
      <c r="I52" s="51" t="s">
        <v>830</v>
      </c>
      <c r="J52" s="676"/>
    </row>
    <row r="53" ht="28" customHeight="1" outlineLevel="1" spans="1:10">
      <c r="A53" s="676">
        <v>14</v>
      </c>
      <c r="B53" s="677" t="str">
        <f t="shared" si="1"/>
        <v>建设工程施工总承包
（土建+安装）</v>
      </c>
      <c r="C53" s="678"/>
      <c r="D53" s="679" t="s">
        <v>842</v>
      </c>
      <c r="E53" s="680">
        <v>45127</v>
      </c>
      <c r="F53" s="681"/>
      <c r="G53" s="682">
        <v>1558.83</v>
      </c>
      <c r="H53" s="676"/>
      <c r="I53" s="51" t="s">
        <v>830</v>
      </c>
      <c r="J53" s="676"/>
    </row>
    <row r="54" ht="28" customHeight="1" outlineLevel="1" spans="1:10">
      <c r="A54" s="676">
        <v>15</v>
      </c>
      <c r="B54" s="677" t="str">
        <f t="shared" si="1"/>
        <v>建设工程施工总承包
（土建+安装）</v>
      </c>
      <c r="C54" s="681"/>
      <c r="D54" s="679" t="s">
        <v>843</v>
      </c>
      <c r="E54" s="680">
        <v>45127</v>
      </c>
      <c r="F54" s="681"/>
      <c r="G54" s="682">
        <v>4630.97</v>
      </c>
      <c r="H54" s="676"/>
      <c r="I54" s="51" t="s">
        <v>830</v>
      </c>
      <c r="J54" s="676"/>
    </row>
    <row r="55" ht="28" customHeight="1" outlineLevel="1" spans="1:10">
      <c r="A55" s="676">
        <v>16</v>
      </c>
      <c r="B55" s="677" t="str">
        <f t="shared" si="1"/>
        <v>建设工程施工总承包
（土建+安装）</v>
      </c>
      <c r="C55" s="681"/>
      <c r="D55" s="679" t="s">
        <v>844</v>
      </c>
      <c r="E55" s="680">
        <v>45129</v>
      </c>
      <c r="F55" s="681"/>
      <c r="G55" s="682">
        <v>1161.2</v>
      </c>
      <c r="H55" s="676"/>
      <c r="I55" s="51" t="s">
        <v>830</v>
      </c>
      <c r="J55" s="676"/>
    </row>
    <row r="56" ht="27" customHeight="1" outlineLevel="1" spans="1:10">
      <c r="A56" s="676">
        <v>17</v>
      </c>
      <c r="B56" s="677" t="str">
        <f t="shared" si="1"/>
        <v>建设工程施工总承包
（土建+安装）</v>
      </c>
      <c r="C56" s="681"/>
      <c r="D56" s="679" t="s">
        <v>845</v>
      </c>
      <c r="E56" s="680">
        <v>45135</v>
      </c>
      <c r="F56" s="681"/>
      <c r="G56" s="682">
        <v>9794.79</v>
      </c>
      <c r="H56" s="676"/>
      <c r="I56" s="676"/>
      <c r="J56" s="676"/>
    </row>
    <row r="57" s="649" customFormat="1" ht="32" customHeight="1" outlineLevel="1" spans="1:10">
      <c r="A57" s="676">
        <v>18</v>
      </c>
      <c r="B57" s="677" t="str">
        <f t="shared" si="1"/>
        <v>建设工程施工总承包
（土建+安装）</v>
      </c>
      <c r="C57" s="677"/>
      <c r="D57" s="685" t="s">
        <v>846</v>
      </c>
      <c r="E57" s="680">
        <v>45135</v>
      </c>
      <c r="F57" s="686"/>
      <c r="G57" s="682">
        <v>2055.2</v>
      </c>
      <c r="H57" s="682"/>
      <c r="I57" s="682"/>
      <c r="J57" s="690"/>
    </row>
    <row r="58" ht="28" customHeight="1" outlineLevel="1" spans="1:10">
      <c r="A58" s="676">
        <v>19</v>
      </c>
      <c r="B58" s="677" t="str">
        <f t="shared" si="1"/>
        <v>建设工程施工总承包
（土建+安装）</v>
      </c>
      <c r="C58" s="677"/>
      <c r="D58" s="679" t="s">
        <v>847</v>
      </c>
      <c r="E58" s="680">
        <v>45135</v>
      </c>
      <c r="F58" s="681"/>
      <c r="G58" s="682">
        <v>9461.01</v>
      </c>
      <c r="H58" s="676"/>
      <c r="I58" s="676"/>
      <c r="J58" s="676"/>
    </row>
    <row r="59" ht="28" customHeight="1" outlineLevel="1" spans="1:10">
      <c r="A59" s="676">
        <v>20</v>
      </c>
      <c r="B59" s="677" t="str">
        <f t="shared" si="1"/>
        <v>建设工程施工总承包
（土建+安装）</v>
      </c>
      <c r="C59" s="677"/>
      <c r="D59" s="679" t="s">
        <v>848</v>
      </c>
      <c r="E59" s="680">
        <v>45135</v>
      </c>
      <c r="F59" s="681"/>
      <c r="G59" s="682">
        <v>7309.33</v>
      </c>
      <c r="H59" s="676"/>
      <c r="I59" s="676"/>
      <c r="J59" s="676"/>
    </row>
    <row r="60" ht="28" customHeight="1" outlineLevel="1" spans="1:10">
      <c r="A60" s="676">
        <v>21</v>
      </c>
      <c r="B60" s="677" t="str">
        <f t="shared" si="1"/>
        <v>建设工程施工总承包
（土建+安装）</v>
      </c>
      <c r="C60" s="681"/>
      <c r="D60" s="679" t="s">
        <v>849</v>
      </c>
      <c r="E60" s="680">
        <v>45139</v>
      </c>
      <c r="F60" s="681"/>
      <c r="G60" s="682">
        <v>28031.91</v>
      </c>
      <c r="H60" s="676"/>
      <c r="I60" s="676"/>
      <c r="J60" s="676"/>
    </row>
    <row r="61" ht="28" customHeight="1" outlineLevel="1" spans="1:10">
      <c r="A61" s="676">
        <v>22</v>
      </c>
      <c r="B61" s="677" t="str">
        <f t="shared" si="1"/>
        <v>建设工程施工总承包
（土建+安装）</v>
      </c>
      <c r="C61" s="678"/>
      <c r="D61" s="679" t="s">
        <v>850</v>
      </c>
      <c r="E61" s="680">
        <v>45139</v>
      </c>
      <c r="F61" s="681"/>
      <c r="G61" s="682">
        <v>587.58</v>
      </c>
      <c r="H61" s="676"/>
      <c r="I61" s="676"/>
      <c r="J61" s="676"/>
    </row>
    <row r="62" ht="28" customHeight="1" outlineLevel="1" spans="1:10">
      <c r="A62" s="676">
        <v>23</v>
      </c>
      <c r="B62" s="677"/>
      <c r="C62" s="678"/>
      <c r="D62" s="679"/>
      <c r="E62" s="680"/>
      <c r="F62" s="681"/>
      <c r="G62" s="682"/>
      <c r="H62" s="676"/>
      <c r="I62" s="676"/>
      <c r="J62" s="676"/>
    </row>
    <row r="63" ht="28" customHeight="1" outlineLevel="1" spans="1:10">
      <c r="A63" s="676">
        <v>24</v>
      </c>
      <c r="B63" s="677"/>
      <c r="C63" s="681"/>
      <c r="D63" s="679"/>
      <c r="E63" s="680"/>
      <c r="F63" s="681"/>
      <c r="G63" s="683"/>
      <c r="H63" s="676"/>
      <c r="I63" s="676"/>
      <c r="J63" s="676"/>
    </row>
    <row r="64" ht="28" customHeight="1" outlineLevel="1" spans="1:10">
      <c r="A64" s="676">
        <v>25</v>
      </c>
      <c r="B64" s="677"/>
      <c r="C64" s="678"/>
      <c r="D64" s="679"/>
      <c r="E64" s="680"/>
      <c r="F64" s="681"/>
      <c r="G64" s="682"/>
      <c r="H64" s="676"/>
      <c r="I64" s="676"/>
      <c r="J64" s="676"/>
    </row>
    <row r="65" s="650" customFormat="1" ht="28" customHeight="1" spans="1:10">
      <c r="A65" s="691"/>
      <c r="B65" s="692" t="s">
        <v>138</v>
      </c>
      <c r="C65" s="693"/>
      <c r="D65" s="694"/>
      <c r="E65" s="695"/>
      <c r="F65" s="693"/>
      <c r="G65" s="696"/>
      <c r="H65" s="691"/>
      <c r="I65" s="691"/>
      <c r="J65" s="691"/>
    </row>
    <row r="66" ht="28" customHeight="1" spans="1:10">
      <c r="A66" s="676"/>
      <c r="B66" s="677" t="s">
        <v>851</v>
      </c>
      <c r="C66" s="681"/>
      <c r="D66" s="679"/>
      <c r="E66" s="680"/>
      <c r="F66" s="681"/>
      <c r="G66" s="682"/>
      <c r="H66" s="676"/>
      <c r="I66" s="676"/>
      <c r="J66" s="676"/>
    </row>
  </sheetData>
  <autoFilter ref="A3:J66">
    <extLst/>
  </autoFilter>
  <mergeCells count="14">
    <mergeCell ref="A1:J1"/>
    <mergeCell ref="C5:D5"/>
    <mergeCell ref="C22:D22"/>
    <mergeCell ref="C40:D40"/>
    <mergeCell ref="A2:A3"/>
    <mergeCell ref="B2:B3"/>
    <mergeCell ref="C2:C3"/>
    <mergeCell ref="D2:D3"/>
    <mergeCell ref="E2:E3"/>
    <mergeCell ref="F2:F3"/>
    <mergeCell ref="G2:G3"/>
    <mergeCell ref="H2:H3"/>
    <mergeCell ref="I2:I3"/>
    <mergeCell ref="J2:J3"/>
  </mergeCells>
  <dataValidations count="1">
    <dataValidation type="list" allowBlank="1" showInputMessage="1" showErrorMessage="1" sqref="F66 F6:F21 F23:F38 F41:F56 F58:F65">
      <formula1>"设计变更,现场签证"</formula1>
    </dataValidation>
  </dataValidations>
  <pageMargins left="0.7" right="0.7" top="0.75" bottom="0.75" header="0.3" footer="0.3"/>
  <pageSetup paperSize="9" scale="36" orientation="portrait"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08"/>
  <sheetViews>
    <sheetView view="pageBreakPreview" zoomScale="130" zoomScaleNormal="115" workbookViewId="0">
      <pane xSplit="2" ySplit="3" topLeftCell="C33" activePane="bottomRight" state="frozen"/>
      <selection/>
      <selection pane="topRight"/>
      <selection pane="bottomLeft"/>
      <selection pane="bottomRight" activeCell="I66" sqref="$A66:$XFD67"/>
    </sheetView>
  </sheetViews>
  <sheetFormatPr defaultColWidth="9" defaultRowHeight="12"/>
  <cols>
    <col min="1" max="1" width="3.85" style="552" customWidth="1"/>
    <col min="2" max="2" width="8.35833333333333" style="557" customWidth="1"/>
    <col min="3" max="3" width="14.1333333333333" style="552" customWidth="1"/>
    <col min="4" max="4" width="13.625" style="552" customWidth="1"/>
    <col min="5" max="5" width="16.25" style="552" customWidth="1"/>
    <col min="6" max="6" width="24.3666666666667" style="552" customWidth="1"/>
    <col min="7" max="7" width="14.5" style="552" customWidth="1"/>
    <col min="8" max="8" width="9.625" style="552" customWidth="1"/>
    <col min="9" max="10" width="11.25" style="552" customWidth="1"/>
    <col min="11" max="12" width="13.375" style="552" customWidth="1"/>
    <col min="13" max="13" width="14.625" style="552" customWidth="1"/>
    <col min="14" max="14" width="10.7583333333333" style="552" customWidth="1"/>
    <col min="15" max="15" width="12.3666666666667" style="552" customWidth="1"/>
    <col min="16" max="16" width="26" style="552" customWidth="1"/>
    <col min="17" max="17" width="13.875" style="552" customWidth="1"/>
    <col min="18" max="18" width="9.625" style="552" customWidth="1"/>
    <col min="19" max="19" width="11.25" style="552" customWidth="1"/>
    <col min="20" max="20" width="27" style="552" customWidth="1"/>
    <col min="21" max="21" width="10.1166666666667" style="552"/>
    <col min="22" max="16384" width="9" style="552"/>
  </cols>
  <sheetData>
    <row r="1" s="552" customFormat="1" ht="30" customHeight="1" spans="1:20">
      <c r="A1" s="558" t="s">
        <v>852</v>
      </c>
      <c r="B1" s="559"/>
      <c r="C1" s="558"/>
      <c r="D1" s="558"/>
      <c r="E1" s="558"/>
      <c r="F1" s="558"/>
      <c r="G1" s="558"/>
      <c r="H1" s="558"/>
      <c r="I1" s="558"/>
      <c r="J1" s="558"/>
      <c r="K1" s="558"/>
      <c r="L1" s="558"/>
      <c r="M1" s="558"/>
      <c r="N1" s="558"/>
      <c r="O1" s="558"/>
      <c r="P1" s="558"/>
      <c r="Q1" s="558"/>
      <c r="R1" s="558"/>
      <c r="S1" s="558"/>
      <c r="T1" s="558"/>
    </row>
    <row r="2" s="552" customFormat="1" ht="35" customHeight="1" spans="1:20">
      <c r="A2" s="560" t="s">
        <v>853</v>
      </c>
      <c r="B2" s="561"/>
      <c r="C2" s="562"/>
      <c r="D2" s="562"/>
      <c r="E2" s="562"/>
      <c r="F2" s="562"/>
      <c r="G2" s="562"/>
      <c r="H2" s="562"/>
      <c r="I2" s="562"/>
      <c r="J2" s="562"/>
      <c r="K2" s="562"/>
      <c r="L2" s="562"/>
      <c r="M2" s="562"/>
      <c r="N2" s="562"/>
      <c r="O2" s="562"/>
      <c r="P2" s="562"/>
      <c r="Q2" s="562"/>
      <c r="R2" s="562"/>
      <c r="S2" s="562"/>
      <c r="T2" s="562"/>
    </row>
    <row r="3" s="553" customFormat="1" ht="32" customHeight="1" spans="1:20">
      <c r="A3" s="563" t="s">
        <v>0</v>
      </c>
      <c r="B3" s="564" t="s">
        <v>743</v>
      </c>
      <c r="C3" s="563" t="s">
        <v>854</v>
      </c>
      <c r="D3" s="564" t="s">
        <v>855</v>
      </c>
      <c r="E3" s="565" t="s">
        <v>856</v>
      </c>
      <c r="F3" s="565" t="s">
        <v>857</v>
      </c>
      <c r="G3" s="566" t="s">
        <v>858</v>
      </c>
      <c r="H3" s="566" t="s">
        <v>859</v>
      </c>
      <c r="I3" s="565" t="s">
        <v>860</v>
      </c>
      <c r="J3" s="565" t="s">
        <v>861</v>
      </c>
      <c r="K3" s="565" t="s">
        <v>862</v>
      </c>
      <c r="L3" s="565" t="s">
        <v>863</v>
      </c>
      <c r="M3" s="601" t="s">
        <v>864</v>
      </c>
      <c r="N3" s="565" t="s">
        <v>865</v>
      </c>
      <c r="O3" s="566" t="s">
        <v>866</v>
      </c>
      <c r="P3" s="565" t="s">
        <v>867</v>
      </c>
      <c r="Q3" s="565" t="s">
        <v>868</v>
      </c>
      <c r="R3" s="565" t="s">
        <v>869</v>
      </c>
      <c r="S3" s="565" t="s">
        <v>870</v>
      </c>
      <c r="T3" s="565" t="s">
        <v>5</v>
      </c>
    </row>
    <row r="4" s="554" customFormat="1" ht="33" customHeight="1" spans="1:20">
      <c r="A4" s="567"/>
      <c r="B4" s="568"/>
      <c r="C4" s="569" t="s">
        <v>871</v>
      </c>
      <c r="D4" s="569"/>
      <c r="E4" s="569"/>
      <c r="F4" s="570"/>
      <c r="G4" s="570"/>
      <c r="H4" s="571"/>
      <c r="I4" s="567"/>
      <c r="J4" s="602"/>
      <c r="K4" s="603"/>
      <c r="L4" s="604"/>
      <c r="M4" s="605"/>
      <c r="N4" s="604"/>
      <c r="O4" s="606"/>
      <c r="P4" s="607"/>
      <c r="Q4" s="635"/>
      <c r="R4" s="635"/>
      <c r="S4" s="635"/>
      <c r="T4" s="607"/>
    </row>
    <row r="5" s="555" customFormat="1" ht="20" customHeight="1" outlineLevel="1" spans="1:20">
      <c r="A5" s="572">
        <v>1</v>
      </c>
      <c r="B5" s="573" t="str">
        <f>+动态成本!B24</f>
        <v>临时围墙/大门</v>
      </c>
      <c r="C5" s="574" t="s">
        <v>872</v>
      </c>
      <c r="D5" s="575">
        <v>44937</v>
      </c>
      <c r="E5" s="574" t="s">
        <v>873</v>
      </c>
      <c r="F5" s="576" t="s">
        <v>874</v>
      </c>
      <c r="G5" s="576">
        <v>194637.81</v>
      </c>
      <c r="H5" s="577" t="s">
        <v>875</v>
      </c>
      <c r="I5" s="572" t="s">
        <v>876</v>
      </c>
      <c r="J5" s="608">
        <v>95314</v>
      </c>
      <c r="K5" s="609">
        <v>0</v>
      </c>
      <c r="L5" s="610">
        <v>50000</v>
      </c>
      <c r="M5" s="611">
        <f>L5</f>
        <v>50000</v>
      </c>
      <c r="N5" s="610">
        <f>G5*0.03</f>
        <v>5839.1343</v>
      </c>
      <c r="O5" s="612"/>
      <c r="P5" s="613" t="s">
        <v>877</v>
      </c>
      <c r="Q5" s="636">
        <v>45166</v>
      </c>
      <c r="R5" s="636"/>
      <c r="S5" s="636"/>
      <c r="T5" s="613"/>
    </row>
    <row r="6" s="555" customFormat="1" ht="20" customHeight="1" outlineLevel="1" spans="1:20">
      <c r="A6" s="578"/>
      <c r="B6" s="579"/>
      <c r="C6" s="574"/>
      <c r="D6" s="575"/>
      <c r="E6" s="574"/>
      <c r="F6" s="580"/>
      <c r="G6" s="580"/>
      <c r="H6" s="581"/>
      <c r="I6" s="578"/>
      <c r="J6" s="614"/>
      <c r="K6" s="610">
        <f>L5</f>
        <v>50000</v>
      </c>
      <c r="L6" s="615" t="s">
        <v>878</v>
      </c>
      <c r="M6" s="616"/>
      <c r="N6" s="610"/>
      <c r="O6" s="617"/>
      <c r="P6" s="613"/>
      <c r="Q6" s="636"/>
      <c r="R6" s="636"/>
      <c r="S6" s="636"/>
      <c r="T6" s="613"/>
    </row>
    <row r="7" s="555" customFormat="1" ht="20" customHeight="1" outlineLevel="1" spans="1:20">
      <c r="A7" s="582"/>
      <c r="B7" s="583"/>
      <c r="C7" s="574"/>
      <c r="D7" s="575"/>
      <c r="E7" s="574"/>
      <c r="F7" s="584"/>
      <c r="G7" s="584"/>
      <c r="H7" s="585"/>
      <c r="I7" s="618" t="s">
        <v>879</v>
      </c>
      <c r="J7" s="618" t="s">
        <v>879</v>
      </c>
      <c r="K7" s="618" t="s">
        <v>879</v>
      </c>
      <c r="L7" s="618" t="s">
        <v>879</v>
      </c>
      <c r="M7" s="619"/>
      <c r="N7" s="610"/>
      <c r="O7" s="620"/>
      <c r="P7" s="618" t="s">
        <v>879</v>
      </c>
      <c r="Q7" s="618" t="s">
        <v>879</v>
      </c>
      <c r="R7" s="636"/>
      <c r="S7" s="636"/>
      <c r="T7" s="618"/>
    </row>
    <row r="8" s="555" customFormat="1" ht="20" customHeight="1" outlineLevel="1" spans="1:20">
      <c r="A8" s="572">
        <v>2</v>
      </c>
      <c r="B8" s="573" t="str">
        <f>+动态成本!B29</f>
        <v>地质勘查</v>
      </c>
      <c r="C8" s="573" t="s">
        <v>880</v>
      </c>
      <c r="D8" s="575">
        <v>44938</v>
      </c>
      <c r="E8" s="573" t="s">
        <v>881</v>
      </c>
      <c r="F8" s="576" t="s">
        <v>882</v>
      </c>
      <c r="G8" s="586">
        <v>346620</v>
      </c>
      <c r="H8" s="577" t="s">
        <v>883</v>
      </c>
      <c r="I8" s="572" t="s">
        <v>876</v>
      </c>
      <c r="J8" s="613"/>
      <c r="K8" s="609"/>
      <c r="L8" s="609"/>
      <c r="M8" s="621"/>
      <c r="N8" s="609"/>
      <c r="O8" s="612"/>
      <c r="P8" s="574" t="s">
        <v>884</v>
      </c>
      <c r="Q8" s="636"/>
      <c r="R8" s="636"/>
      <c r="S8" s="636"/>
      <c r="T8" s="613"/>
    </row>
    <row r="9" s="555" customFormat="1" ht="20" customHeight="1" outlineLevel="1" spans="1:20">
      <c r="A9" s="578"/>
      <c r="B9" s="579"/>
      <c r="C9" s="579"/>
      <c r="D9" s="575"/>
      <c r="E9" s="579"/>
      <c r="F9" s="580"/>
      <c r="G9" s="587"/>
      <c r="H9" s="581"/>
      <c r="I9" s="572" t="s">
        <v>885</v>
      </c>
      <c r="J9" s="613"/>
      <c r="K9" s="609"/>
      <c r="L9" s="609"/>
      <c r="M9" s="622"/>
      <c r="N9" s="609"/>
      <c r="O9" s="617"/>
      <c r="P9" s="613" t="s">
        <v>886</v>
      </c>
      <c r="Q9" s="636"/>
      <c r="R9" s="636"/>
      <c r="S9" s="636"/>
      <c r="T9" s="613"/>
    </row>
    <row r="10" s="555" customFormat="1" ht="20" customHeight="1" outlineLevel="1" spans="1:20">
      <c r="A10" s="578"/>
      <c r="B10" s="579"/>
      <c r="C10" s="579"/>
      <c r="D10" s="575"/>
      <c r="E10" s="579"/>
      <c r="F10" s="580"/>
      <c r="G10" s="587"/>
      <c r="H10" s="581"/>
      <c r="I10" s="572" t="s">
        <v>887</v>
      </c>
      <c r="J10" s="623"/>
      <c r="K10" s="609"/>
      <c r="L10" s="609"/>
      <c r="M10" s="622"/>
      <c r="N10" s="609"/>
      <c r="O10" s="617"/>
      <c r="P10" s="613" t="s">
        <v>888</v>
      </c>
      <c r="Q10" s="636"/>
      <c r="R10" s="636"/>
      <c r="S10" s="636"/>
      <c r="T10" s="613"/>
    </row>
    <row r="11" s="555" customFormat="1" ht="20" customHeight="1" outlineLevel="1" spans="1:20">
      <c r="A11" s="582"/>
      <c r="B11" s="583"/>
      <c r="C11" s="583"/>
      <c r="D11" s="575"/>
      <c r="E11" s="583"/>
      <c r="F11" s="584"/>
      <c r="G11" s="584"/>
      <c r="H11" s="585"/>
      <c r="I11" s="618" t="s">
        <v>879</v>
      </c>
      <c r="J11" s="618" t="s">
        <v>879</v>
      </c>
      <c r="K11" s="618" t="s">
        <v>879</v>
      </c>
      <c r="L11" s="618" t="s">
        <v>879</v>
      </c>
      <c r="M11" s="624"/>
      <c r="N11" s="609"/>
      <c r="O11" s="620"/>
      <c r="P11" s="618" t="s">
        <v>879</v>
      </c>
      <c r="Q11" s="618" t="s">
        <v>879</v>
      </c>
      <c r="R11" s="636"/>
      <c r="S11" s="636"/>
      <c r="T11" s="618"/>
    </row>
    <row r="12" s="555" customFormat="1" ht="20" customHeight="1" outlineLevel="1" spans="1:20">
      <c r="A12" s="572">
        <v>3</v>
      </c>
      <c r="B12" s="573" t="str">
        <f>+动态成本!B125</f>
        <v>土方工程</v>
      </c>
      <c r="C12" s="573" t="s">
        <v>889</v>
      </c>
      <c r="D12" s="575">
        <v>44946</v>
      </c>
      <c r="E12" s="573" t="s">
        <v>890</v>
      </c>
      <c r="F12" s="576" t="s">
        <v>891</v>
      </c>
      <c r="G12" s="586">
        <v>4973762.5</v>
      </c>
      <c r="H12" s="577" t="s">
        <v>883</v>
      </c>
      <c r="I12" s="572" t="s">
        <v>876</v>
      </c>
      <c r="J12" s="613"/>
      <c r="K12" s="609"/>
      <c r="L12" s="609"/>
      <c r="M12" s="621"/>
      <c r="N12" s="609"/>
      <c r="O12" s="612"/>
      <c r="P12" s="613" t="s">
        <v>892</v>
      </c>
      <c r="Q12" s="636"/>
      <c r="R12" s="636"/>
      <c r="S12" s="636"/>
      <c r="T12" s="613"/>
    </row>
    <row r="13" s="555" customFormat="1" ht="20" customHeight="1" outlineLevel="1" spans="1:20">
      <c r="A13" s="578"/>
      <c r="B13" s="579"/>
      <c r="C13" s="579"/>
      <c r="D13" s="575"/>
      <c r="E13" s="579"/>
      <c r="F13" s="580"/>
      <c r="G13" s="587"/>
      <c r="H13" s="581"/>
      <c r="I13" s="572" t="s">
        <v>885</v>
      </c>
      <c r="J13" s="613"/>
      <c r="K13" s="609"/>
      <c r="L13" s="609"/>
      <c r="M13" s="622"/>
      <c r="N13" s="609"/>
      <c r="O13" s="617"/>
      <c r="P13" s="613" t="s">
        <v>893</v>
      </c>
      <c r="Q13" s="636"/>
      <c r="R13" s="636"/>
      <c r="S13" s="636"/>
      <c r="T13" s="613"/>
    </row>
    <row r="14" s="555" customFormat="1" ht="20" customHeight="1" outlineLevel="1" spans="1:20">
      <c r="A14" s="582"/>
      <c r="B14" s="583"/>
      <c r="C14" s="583"/>
      <c r="D14" s="575"/>
      <c r="E14" s="583"/>
      <c r="F14" s="584"/>
      <c r="G14" s="587"/>
      <c r="H14" s="585"/>
      <c r="I14" s="618" t="s">
        <v>879</v>
      </c>
      <c r="J14" s="618" t="s">
        <v>879</v>
      </c>
      <c r="K14" s="618" t="s">
        <v>879</v>
      </c>
      <c r="L14" s="618" t="s">
        <v>879</v>
      </c>
      <c r="M14" s="624"/>
      <c r="N14" s="609"/>
      <c r="O14" s="620"/>
      <c r="P14" s="618" t="s">
        <v>879</v>
      </c>
      <c r="Q14" s="618" t="s">
        <v>879</v>
      </c>
      <c r="R14" s="636"/>
      <c r="S14" s="636"/>
      <c r="T14" s="618"/>
    </row>
    <row r="15" s="555" customFormat="1" ht="20" customHeight="1" outlineLevel="1" spans="1:20">
      <c r="A15" s="572">
        <v>4</v>
      </c>
      <c r="B15" s="573" t="str">
        <f>+动态成本!B118</f>
        <v>建设工程监理服务费</v>
      </c>
      <c r="C15" s="573" t="s">
        <v>894</v>
      </c>
      <c r="D15" s="575">
        <v>44944</v>
      </c>
      <c r="E15" s="573" t="s">
        <v>895</v>
      </c>
      <c r="F15" s="576" t="s">
        <v>896</v>
      </c>
      <c r="G15" s="586">
        <v>523297.5</v>
      </c>
      <c r="H15" s="577" t="s">
        <v>897</v>
      </c>
      <c r="I15" s="572" t="s">
        <v>876</v>
      </c>
      <c r="J15" s="613"/>
      <c r="K15" s="609"/>
      <c r="L15" s="609"/>
      <c r="M15" s="621"/>
      <c r="N15" s="609"/>
      <c r="O15" s="612"/>
      <c r="P15" s="613"/>
      <c r="Q15" s="636"/>
      <c r="R15" s="636"/>
      <c r="S15" s="636"/>
      <c r="T15" s="613"/>
    </row>
    <row r="16" s="555" customFormat="1" ht="20" customHeight="1" outlineLevel="1" spans="1:20">
      <c r="A16" s="582"/>
      <c r="B16" s="583"/>
      <c r="C16" s="583"/>
      <c r="D16" s="575"/>
      <c r="E16" s="583"/>
      <c r="F16" s="584"/>
      <c r="G16" s="587"/>
      <c r="H16" s="585"/>
      <c r="I16" s="618" t="s">
        <v>879</v>
      </c>
      <c r="J16" s="618" t="s">
        <v>879</v>
      </c>
      <c r="K16" s="618" t="s">
        <v>879</v>
      </c>
      <c r="L16" s="618" t="s">
        <v>879</v>
      </c>
      <c r="M16" s="624"/>
      <c r="N16" s="609"/>
      <c r="O16" s="620"/>
      <c r="P16" s="618" t="s">
        <v>879</v>
      </c>
      <c r="Q16" s="618" t="s">
        <v>879</v>
      </c>
      <c r="R16" s="636"/>
      <c r="S16" s="636"/>
      <c r="T16" s="618"/>
    </row>
    <row r="17" s="555" customFormat="1" ht="20" customHeight="1" outlineLevel="1" spans="1:20">
      <c r="A17" s="572">
        <v>5</v>
      </c>
      <c r="B17" s="573" t="str">
        <f>+动态成本!B19</f>
        <v>临电工程费</v>
      </c>
      <c r="C17" s="573" t="s">
        <v>898</v>
      </c>
      <c r="D17" s="575">
        <v>44945</v>
      </c>
      <c r="E17" s="573" t="s">
        <v>899</v>
      </c>
      <c r="F17" s="576" t="s">
        <v>900</v>
      </c>
      <c r="G17" s="586">
        <v>348000</v>
      </c>
      <c r="H17" s="577" t="s">
        <v>875</v>
      </c>
      <c r="I17" s="572" t="s">
        <v>876</v>
      </c>
      <c r="J17" s="613"/>
      <c r="K17" s="609"/>
      <c r="L17" s="609"/>
      <c r="M17" s="621"/>
      <c r="N17" s="609"/>
      <c r="O17" s="612"/>
      <c r="P17" s="613" t="s">
        <v>901</v>
      </c>
      <c r="Q17" s="636"/>
      <c r="R17" s="636"/>
      <c r="S17" s="636"/>
      <c r="T17" s="613"/>
    </row>
    <row r="18" s="555" customFormat="1" ht="20" customHeight="1" outlineLevel="1" spans="1:20">
      <c r="A18" s="578"/>
      <c r="B18" s="579"/>
      <c r="C18" s="579"/>
      <c r="D18" s="575"/>
      <c r="E18" s="579"/>
      <c r="F18" s="580"/>
      <c r="G18" s="587"/>
      <c r="H18" s="581"/>
      <c r="I18" s="572" t="s">
        <v>885</v>
      </c>
      <c r="J18" s="613"/>
      <c r="K18" s="609"/>
      <c r="L18" s="609"/>
      <c r="M18" s="622"/>
      <c r="N18" s="609"/>
      <c r="O18" s="617"/>
      <c r="P18" s="613" t="s">
        <v>902</v>
      </c>
      <c r="Q18" s="636"/>
      <c r="R18" s="636"/>
      <c r="S18" s="636"/>
      <c r="T18" s="613"/>
    </row>
    <row r="19" s="555" customFormat="1" ht="20" customHeight="1" outlineLevel="1" spans="1:20">
      <c r="A19" s="582"/>
      <c r="B19" s="583"/>
      <c r="C19" s="583"/>
      <c r="D19" s="575"/>
      <c r="E19" s="583"/>
      <c r="F19" s="584"/>
      <c r="G19" s="587"/>
      <c r="H19" s="585"/>
      <c r="I19" s="618" t="s">
        <v>879</v>
      </c>
      <c r="J19" s="618" t="s">
        <v>879</v>
      </c>
      <c r="K19" s="618" t="s">
        <v>879</v>
      </c>
      <c r="L19" s="618" t="s">
        <v>879</v>
      </c>
      <c r="M19" s="624"/>
      <c r="N19" s="609"/>
      <c r="O19" s="620"/>
      <c r="P19" s="618" t="s">
        <v>879</v>
      </c>
      <c r="Q19" s="618" t="s">
        <v>879</v>
      </c>
      <c r="R19" s="636"/>
      <c r="S19" s="636"/>
      <c r="T19" s="618"/>
    </row>
    <row r="20" s="555" customFormat="1" ht="20" customHeight="1" outlineLevel="1" spans="1:20">
      <c r="A20" s="572">
        <v>6</v>
      </c>
      <c r="B20" s="573" t="str">
        <f>+动态成本!B93</f>
        <v>栋楼预落宗</v>
      </c>
      <c r="C20" s="573" t="s">
        <v>903</v>
      </c>
      <c r="D20" s="575">
        <v>44974</v>
      </c>
      <c r="E20" s="573" t="s">
        <v>904</v>
      </c>
      <c r="F20" s="573" t="s">
        <v>767</v>
      </c>
      <c r="G20" s="586">
        <v>5000</v>
      </c>
      <c r="H20" s="577" t="s">
        <v>883</v>
      </c>
      <c r="I20" s="572" t="s">
        <v>876</v>
      </c>
      <c r="J20" s="625">
        <v>5000</v>
      </c>
      <c r="K20" s="609">
        <v>0</v>
      </c>
      <c r="L20" s="610">
        <f>J20</f>
        <v>5000</v>
      </c>
      <c r="M20" s="611">
        <f>L20</f>
        <v>5000</v>
      </c>
      <c r="N20" s="609">
        <v>0</v>
      </c>
      <c r="O20" s="612">
        <v>0</v>
      </c>
      <c r="P20" s="613" t="s">
        <v>905</v>
      </c>
      <c r="Q20" s="636">
        <v>45043</v>
      </c>
      <c r="R20" s="636"/>
      <c r="S20" s="636" t="s">
        <v>906</v>
      </c>
      <c r="T20" s="613"/>
    </row>
    <row r="21" s="555" customFormat="1" ht="20" customHeight="1" outlineLevel="1" spans="1:20">
      <c r="A21" s="582"/>
      <c r="B21" s="583"/>
      <c r="C21" s="583"/>
      <c r="D21" s="575"/>
      <c r="E21" s="583"/>
      <c r="F21" s="583"/>
      <c r="G21" s="587"/>
      <c r="H21" s="585"/>
      <c r="I21" s="618" t="s">
        <v>879</v>
      </c>
      <c r="J21" s="618" t="s">
        <v>879</v>
      </c>
      <c r="K21" s="618" t="s">
        <v>879</v>
      </c>
      <c r="L21" s="618" t="s">
        <v>879</v>
      </c>
      <c r="M21" s="619"/>
      <c r="N21" s="609"/>
      <c r="O21" s="620"/>
      <c r="P21" s="618" t="s">
        <v>879</v>
      </c>
      <c r="Q21" s="618" t="s">
        <v>879</v>
      </c>
      <c r="R21" s="636"/>
      <c r="S21" s="636"/>
      <c r="T21" s="618"/>
    </row>
    <row r="22" s="555" customFormat="1" ht="20" customHeight="1" outlineLevel="1" spans="1:20">
      <c r="A22" s="572">
        <v>7</v>
      </c>
      <c r="B22" s="573" t="str">
        <f>+动态成本!B123</f>
        <v>建设工程施工总承包
（土建+安装）</v>
      </c>
      <c r="C22" s="588" t="s">
        <v>907</v>
      </c>
      <c r="D22" s="575">
        <v>45022</v>
      </c>
      <c r="E22" s="573" t="s">
        <v>830</v>
      </c>
      <c r="F22" s="573" t="s">
        <v>908</v>
      </c>
      <c r="G22" s="586">
        <v>134500117</v>
      </c>
      <c r="H22" s="577" t="s">
        <v>909</v>
      </c>
      <c r="I22" s="572" t="s">
        <v>876</v>
      </c>
      <c r="J22" s="613"/>
      <c r="K22" s="609"/>
      <c r="L22" s="609"/>
      <c r="M22" s="621"/>
      <c r="N22" s="609"/>
      <c r="O22" s="612"/>
      <c r="P22" s="613"/>
      <c r="Q22" s="636"/>
      <c r="R22" s="636"/>
      <c r="S22" s="636"/>
      <c r="T22" s="613"/>
    </row>
    <row r="23" s="555" customFormat="1" ht="20" customHeight="1" outlineLevel="1" spans="1:20">
      <c r="A23" s="582"/>
      <c r="B23" s="583"/>
      <c r="C23" s="589"/>
      <c r="D23" s="575"/>
      <c r="E23" s="583"/>
      <c r="F23" s="583"/>
      <c r="G23" s="587"/>
      <c r="H23" s="585"/>
      <c r="I23" s="618" t="s">
        <v>879</v>
      </c>
      <c r="J23" s="618" t="s">
        <v>879</v>
      </c>
      <c r="K23" s="618" t="s">
        <v>879</v>
      </c>
      <c r="L23" s="618" t="s">
        <v>879</v>
      </c>
      <c r="M23" s="624"/>
      <c r="N23" s="609"/>
      <c r="O23" s="620"/>
      <c r="P23" s="618" t="s">
        <v>879</v>
      </c>
      <c r="Q23" s="618" t="s">
        <v>879</v>
      </c>
      <c r="R23" s="636"/>
      <c r="S23" s="636"/>
      <c r="T23" s="618"/>
    </row>
    <row r="24" s="555" customFormat="1" ht="20" customHeight="1" outlineLevel="1" spans="1:20">
      <c r="A24" s="572">
        <v>8</v>
      </c>
      <c r="B24" s="573" t="str">
        <f>+动态成本!B22</f>
        <v>土地清表费</v>
      </c>
      <c r="C24" s="574" t="s">
        <v>910</v>
      </c>
      <c r="D24" s="575">
        <v>45028</v>
      </c>
      <c r="E24" s="573" t="s">
        <v>911</v>
      </c>
      <c r="F24" s="573" t="s">
        <v>912</v>
      </c>
      <c r="G24" s="590" t="s">
        <v>913</v>
      </c>
      <c r="H24" s="577" t="s">
        <v>883</v>
      </c>
      <c r="I24" s="572" t="s">
        <v>876</v>
      </c>
      <c r="J24" s="613">
        <v>32500</v>
      </c>
      <c r="K24" s="609">
        <v>0</v>
      </c>
      <c r="L24" s="609">
        <v>32500</v>
      </c>
      <c r="M24" s="611">
        <f>L24+L25</f>
        <v>65000</v>
      </c>
      <c r="N24" s="609">
        <v>0</v>
      </c>
      <c r="O24" s="612">
        <f>G24-M24</f>
        <v>0</v>
      </c>
      <c r="P24" s="613" t="s">
        <v>914</v>
      </c>
      <c r="Q24" s="636">
        <v>45043</v>
      </c>
      <c r="R24" s="636"/>
      <c r="S24" s="636" t="s">
        <v>906</v>
      </c>
      <c r="T24" s="613"/>
    </row>
    <row r="25" s="555" customFormat="1" ht="20" customHeight="1" outlineLevel="1" spans="1:20">
      <c r="A25" s="578"/>
      <c r="B25" s="579"/>
      <c r="C25" s="574"/>
      <c r="D25" s="575"/>
      <c r="E25" s="579"/>
      <c r="F25" s="579"/>
      <c r="G25" s="590"/>
      <c r="H25" s="581"/>
      <c r="I25" s="572" t="s">
        <v>885</v>
      </c>
      <c r="J25" s="613">
        <v>32500</v>
      </c>
      <c r="K25" s="609">
        <v>0</v>
      </c>
      <c r="L25" s="609">
        <f>J25</f>
        <v>32500</v>
      </c>
      <c r="M25" s="616"/>
      <c r="N25" s="609"/>
      <c r="O25" s="617"/>
      <c r="P25" s="613"/>
      <c r="Q25" s="636">
        <v>45163</v>
      </c>
      <c r="R25" s="636"/>
      <c r="S25" s="636"/>
      <c r="T25" s="613"/>
    </row>
    <row r="26" s="555" customFormat="1" ht="20" customHeight="1" outlineLevel="1" spans="1:20">
      <c r="A26" s="582"/>
      <c r="B26" s="583"/>
      <c r="C26" s="574"/>
      <c r="D26" s="575"/>
      <c r="E26" s="583"/>
      <c r="F26" s="583"/>
      <c r="G26" s="590"/>
      <c r="H26" s="585"/>
      <c r="I26" s="618" t="s">
        <v>879</v>
      </c>
      <c r="J26" s="618" t="s">
        <v>879</v>
      </c>
      <c r="K26" s="618" t="s">
        <v>879</v>
      </c>
      <c r="L26" s="618" t="s">
        <v>879</v>
      </c>
      <c r="M26" s="619"/>
      <c r="N26" s="609"/>
      <c r="O26" s="620"/>
      <c r="P26" s="618" t="s">
        <v>879</v>
      </c>
      <c r="Q26" s="618" t="s">
        <v>879</v>
      </c>
      <c r="R26" s="636"/>
      <c r="S26" s="636"/>
      <c r="T26" s="618"/>
    </row>
    <row r="27" s="555" customFormat="1" ht="20" customHeight="1" outlineLevel="1" spans="1:20">
      <c r="A27" s="572">
        <v>9</v>
      </c>
      <c r="B27" s="573" t="str">
        <f>+动态成本!B166</f>
        <v>示范区景观施工合同（含精神堡垒等）</v>
      </c>
      <c r="C27" s="574" t="s">
        <v>915</v>
      </c>
      <c r="D27" s="575">
        <v>45090</v>
      </c>
      <c r="E27" s="573" t="s">
        <v>826</v>
      </c>
      <c r="F27" s="573" t="s">
        <v>825</v>
      </c>
      <c r="G27" s="590">
        <v>4390000</v>
      </c>
      <c r="H27" s="577" t="s">
        <v>875</v>
      </c>
      <c r="I27" s="572" t="s">
        <v>876</v>
      </c>
      <c r="J27" s="626">
        <v>1067834.64</v>
      </c>
      <c r="K27" s="609">
        <v>0</v>
      </c>
      <c r="L27" s="610">
        <v>1000000</v>
      </c>
      <c r="M27" s="621">
        <f>J27</f>
        <v>1067834.64</v>
      </c>
      <c r="N27" s="609">
        <f>G27*0.03</f>
        <v>131700</v>
      </c>
      <c r="O27" s="612"/>
      <c r="P27" s="572" t="s">
        <v>916</v>
      </c>
      <c r="Q27" s="636">
        <v>45159</v>
      </c>
      <c r="R27" s="636"/>
      <c r="S27" s="636"/>
      <c r="T27" s="613"/>
    </row>
    <row r="28" s="555" customFormat="1" ht="20" customHeight="1" outlineLevel="1" spans="1:20">
      <c r="A28" s="578"/>
      <c r="B28" s="579"/>
      <c r="C28" s="574"/>
      <c r="D28" s="575"/>
      <c r="E28" s="579"/>
      <c r="F28" s="579"/>
      <c r="G28" s="590"/>
      <c r="H28" s="581"/>
      <c r="I28" s="578"/>
      <c r="J28" s="627"/>
      <c r="K28" s="609">
        <f>L27</f>
        <v>1000000</v>
      </c>
      <c r="L28" s="610">
        <v>67834.64</v>
      </c>
      <c r="M28" s="622"/>
      <c r="N28" s="609"/>
      <c r="O28" s="617"/>
      <c r="P28" s="582"/>
      <c r="Q28" s="636">
        <v>45163</v>
      </c>
      <c r="R28" s="636"/>
      <c r="S28" s="636"/>
      <c r="T28" s="613"/>
    </row>
    <row r="29" s="555" customFormat="1" ht="20" customHeight="1" outlineLevel="1" spans="1:20">
      <c r="A29" s="582"/>
      <c r="B29" s="583"/>
      <c r="C29" s="574"/>
      <c r="D29" s="575"/>
      <c r="E29" s="583"/>
      <c r="F29" s="583"/>
      <c r="G29" s="590"/>
      <c r="H29" s="585"/>
      <c r="I29" s="618" t="s">
        <v>879</v>
      </c>
      <c r="J29" s="618" t="s">
        <v>879</v>
      </c>
      <c r="K29" s="618" t="s">
        <v>879</v>
      </c>
      <c r="L29" s="618" t="s">
        <v>879</v>
      </c>
      <c r="M29" s="624"/>
      <c r="N29" s="609"/>
      <c r="O29" s="620"/>
      <c r="P29" s="618" t="s">
        <v>879</v>
      </c>
      <c r="Q29" s="618" t="s">
        <v>879</v>
      </c>
      <c r="R29" s="636"/>
      <c r="S29" s="636"/>
      <c r="T29" s="618"/>
    </row>
    <row r="30" s="555" customFormat="1" ht="20" customHeight="1" outlineLevel="1" spans="1:20">
      <c r="A30" s="572">
        <v>10</v>
      </c>
      <c r="B30" s="573" t="str">
        <f>+动态成本!B159</f>
        <v>售楼部室内精装修工程（含水源、电源接入）</v>
      </c>
      <c r="C30" s="588" t="s">
        <v>917</v>
      </c>
      <c r="D30" s="575">
        <v>45114</v>
      </c>
      <c r="E30" s="573" t="s">
        <v>793</v>
      </c>
      <c r="F30" s="573" t="s">
        <v>918</v>
      </c>
      <c r="G30" s="590">
        <v>3900000</v>
      </c>
      <c r="H30" s="577" t="s">
        <v>875</v>
      </c>
      <c r="I30" s="572" t="s">
        <v>876</v>
      </c>
      <c r="J30" s="626">
        <v>1775513.29</v>
      </c>
      <c r="K30" s="609">
        <v>0</v>
      </c>
      <c r="L30" s="610">
        <v>1000000</v>
      </c>
      <c r="M30" s="611">
        <f>L30</f>
        <v>1000000</v>
      </c>
      <c r="N30" s="609">
        <f>G30*0.03</f>
        <v>117000</v>
      </c>
      <c r="O30" s="612"/>
      <c r="P30" s="572" t="s">
        <v>919</v>
      </c>
      <c r="Q30" s="636">
        <v>45159</v>
      </c>
      <c r="R30" s="636"/>
      <c r="S30" s="636"/>
      <c r="T30" s="613"/>
    </row>
    <row r="31" s="555" customFormat="1" ht="20" customHeight="1" outlineLevel="1" spans="1:20">
      <c r="A31" s="578"/>
      <c r="B31" s="579"/>
      <c r="C31" s="591"/>
      <c r="D31" s="575"/>
      <c r="E31" s="579"/>
      <c r="F31" s="579"/>
      <c r="G31" s="590"/>
      <c r="H31" s="581"/>
      <c r="I31" s="578"/>
      <c r="J31" s="627"/>
      <c r="K31" s="610">
        <f>L30</f>
        <v>1000000</v>
      </c>
      <c r="L31" s="615" t="s">
        <v>878</v>
      </c>
      <c r="M31" s="616"/>
      <c r="N31" s="609"/>
      <c r="O31" s="617"/>
      <c r="P31" s="582"/>
      <c r="Q31" s="636"/>
      <c r="R31" s="636"/>
      <c r="S31" s="636"/>
      <c r="T31" s="613"/>
    </row>
    <row r="32" s="555" customFormat="1" ht="20" customHeight="1" outlineLevel="1" spans="1:20">
      <c r="A32" s="582"/>
      <c r="B32" s="583"/>
      <c r="C32" s="589"/>
      <c r="D32" s="575"/>
      <c r="E32" s="583"/>
      <c r="F32" s="583"/>
      <c r="G32" s="590"/>
      <c r="H32" s="585"/>
      <c r="I32" s="618" t="s">
        <v>879</v>
      </c>
      <c r="J32" s="618" t="s">
        <v>879</v>
      </c>
      <c r="K32" s="618" t="s">
        <v>879</v>
      </c>
      <c r="L32" s="618" t="s">
        <v>879</v>
      </c>
      <c r="M32" s="619"/>
      <c r="N32" s="609"/>
      <c r="O32" s="620"/>
      <c r="P32" s="618" t="s">
        <v>879</v>
      </c>
      <c r="Q32" s="618" t="s">
        <v>879</v>
      </c>
      <c r="R32" s="636"/>
      <c r="S32" s="636"/>
      <c r="T32" s="618"/>
    </row>
    <row r="33" s="555" customFormat="1" ht="20" customHeight="1" outlineLevel="1" spans="1:20">
      <c r="A33" s="572">
        <v>11</v>
      </c>
      <c r="B33" s="573" t="str">
        <f>+动态成本!B160</f>
        <v>售楼部软装工程</v>
      </c>
      <c r="C33" s="588" t="s">
        <v>920</v>
      </c>
      <c r="D33" s="592" t="s">
        <v>921</v>
      </c>
      <c r="E33" s="573" t="s">
        <v>922</v>
      </c>
      <c r="F33" s="573" t="s">
        <v>923</v>
      </c>
      <c r="G33" s="590">
        <v>789900</v>
      </c>
      <c r="H33" s="577" t="s">
        <v>875</v>
      </c>
      <c r="I33" s="572" t="s">
        <v>876</v>
      </c>
      <c r="J33" s="610">
        <v>236970</v>
      </c>
      <c r="K33" s="609">
        <v>0</v>
      </c>
      <c r="L33" s="610">
        <v>236970</v>
      </c>
      <c r="M33" s="628">
        <f>L33+L34</f>
        <v>631920</v>
      </c>
      <c r="N33" s="609">
        <f>G33*0.03</f>
        <v>23697</v>
      </c>
      <c r="O33" s="572"/>
      <c r="P33" s="609" t="s">
        <v>924</v>
      </c>
      <c r="Q33" s="636">
        <v>45128</v>
      </c>
      <c r="R33" s="636"/>
      <c r="S33" s="636"/>
      <c r="T33" s="618"/>
    </row>
    <row r="34" s="555" customFormat="1" ht="20" customHeight="1" outlineLevel="1" spans="1:20">
      <c r="A34" s="578"/>
      <c r="B34" s="579"/>
      <c r="C34" s="591"/>
      <c r="D34" s="592"/>
      <c r="E34" s="579"/>
      <c r="F34" s="579"/>
      <c r="G34" s="590"/>
      <c r="H34" s="581"/>
      <c r="I34" s="572" t="s">
        <v>885</v>
      </c>
      <c r="J34" s="610">
        <v>394950</v>
      </c>
      <c r="K34" s="618">
        <v>0</v>
      </c>
      <c r="L34" s="610">
        <v>394950</v>
      </c>
      <c r="M34" s="629"/>
      <c r="N34" s="609"/>
      <c r="O34" s="578"/>
      <c r="P34" s="609" t="s">
        <v>925</v>
      </c>
      <c r="Q34" s="636">
        <v>45166</v>
      </c>
      <c r="R34" s="636"/>
      <c r="S34" s="636"/>
      <c r="T34" s="618"/>
    </row>
    <row r="35" s="555" customFormat="1" ht="20" customHeight="1" outlineLevel="1" spans="1:20">
      <c r="A35" s="582"/>
      <c r="B35" s="583"/>
      <c r="C35" s="589"/>
      <c r="D35" s="592"/>
      <c r="E35" s="583"/>
      <c r="F35" s="583"/>
      <c r="G35" s="590"/>
      <c r="H35" s="585"/>
      <c r="I35" s="618" t="s">
        <v>879</v>
      </c>
      <c r="J35" s="618" t="s">
        <v>879</v>
      </c>
      <c r="K35" s="618" t="s">
        <v>879</v>
      </c>
      <c r="L35" s="618" t="s">
        <v>879</v>
      </c>
      <c r="M35" s="630"/>
      <c r="N35" s="609"/>
      <c r="O35" s="582"/>
      <c r="P35" s="618" t="s">
        <v>879</v>
      </c>
      <c r="Q35" s="618" t="s">
        <v>879</v>
      </c>
      <c r="R35" s="636"/>
      <c r="S35" s="636"/>
      <c r="T35" s="618"/>
    </row>
    <row r="36" s="555" customFormat="1" ht="20" customHeight="1" outlineLevel="1" spans="1:20">
      <c r="A36" s="572">
        <v>12</v>
      </c>
      <c r="B36" s="573" t="str">
        <f>+动态成本!B26</f>
        <v>临时场地租赁费</v>
      </c>
      <c r="C36" s="588" t="s">
        <v>926</v>
      </c>
      <c r="D36" s="592" t="s">
        <v>927</v>
      </c>
      <c r="E36" s="573" t="s">
        <v>928</v>
      </c>
      <c r="F36" s="573" t="s">
        <v>929</v>
      </c>
      <c r="G36" s="590">
        <v>15000</v>
      </c>
      <c r="H36" s="577" t="s">
        <v>883</v>
      </c>
      <c r="I36" s="572" t="s">
        <v>876</v>
      </c>
      <c r="J36" s="610">
        <f>G36</f>
        <v>15000</v>
      </c>
      <c r="K36" s="609">
        <v>0</v>
      </c>
      <c r="L36" s="610">
        <f t="shared" ref="L36:L40" si="0">J36</f>
        <v>15000</v>
      </c>
      <c r="M36" s="628">
        <f t="shared" ref="M36:M40" si="1">L36</f>
        <v>15000</v>
      </c>
      <c r="N36" s="609">
        <v>0</v>
      </c>
      <c r="O36" s="572">
        <v>0</v>
      </c>
      <c r="P36" s="613" t="s">
        <v>905</v>
      </c>
      <c r="Q36" s="636">
        <v>45155</v>
      </c>
      <c r="R36" s="636"/>
      <c r="S36" s="636" t="s">
        <v>906</v>
      </c>
      <c r="T36" s="618"/>
    </row>
    <row r="37" s="555" customFormat="1" ht="20" customHeight="1" outlineLevel="1" spans="1:20">
      <c r="A37" s="582"/>
      <c r="B37" s="583"/>
      <c r="C37" s="589"/>
      <c r="D37" s="592"/>
      <c r="E37" s="583"/>
      <c r="F37" s="583"/>
      <c r="G37" s="590"/>
      <c r="H37" s="585"/>
      <c r="I37" s="618" t="s">
        <v>879</v>
      </c>
      <c r="J37" s="618" t="s">
        <v>879</v>
      </c>
      <c r="K37" s="618" t="s">
        <v>879</v>
      </c>
      <c r="L37" s="618" t="s">
        <v>879</v>
      </c>
      <c r="M37" s="630"/>
      <c r="N37" s="609"/>
      <c r="O37" s="582"/>
      <c r="P37" s="618" t="s">
        <v>879</v>
      </c>
      <c r="Q37" s="618" t="s">
        <v>879</v>
      </c>
      <c r="R37" s="636"/>
      <c r="S37" s="636"/>
      <c r="T37" s="618"/>
    </row>
    <row r="38" s="555" customFormat="1" ht="20" customHeight="1" outlineLevel="1" spans="1:20">
      <c r="A38" s="572">
        <v>13</v>
      </c>
      <c r="B38" s="573" t="str">
        <f>+动态成本!B128</f>
        <v>基坑边坡支护、降水</v>
      </c>
      <c r="C38" s="588" t="s">
        <v>930</v>
      </c>
      <c r="D38" s="592" t="s">
        <v>931</v>
      </c>
      <c r="E38" s="573" t="s">
        <v>932</v>
      </c>
      <c r="F38" s="573" t="s">
        <v>933</v>
      </c>
      <c r="G38" s="590">
        <v>2268000</v>
      </c>
      <c r="H38" s="577" t="s">
        <v>883</v>
      </c>
      <c r="I38" s="572" t="s">
        <v>876</v>
      </c>
      <c r="J38" s="610"/>
      <c r="K38" s="609">
        <v>0</v>
      </c>
      <c r="L38" s="610">
        <f t="shared" si="0"/>
        <v>0</v>
      </c>
      <c r="M38" s="628">
        <f t="shared" si="1"/>
        <v>0</v>
      </c>
      <c r="N38" s="609">
        <v>0</v>
      </c>
      <c r="O38" s="572">
        <v>0</v>
      </c>
      <c r="P38" s="613"/>
      <c r="Q38" s="636"/>
      <c r="R38" s="636"/>
      <c r="S38" s="636"/>
      <c r="T38" s="618"/>
    </row>
    <row r="39" s="555" customFormat="1" ht="20" customHeight="1" outlineLevel="1" spans="1:20">
      <c r="A39" s="582"/>
      <c r="B39" s="583"/>
      <c r="C39" s="589"/>
      <c r="D39" s="592"/>
      <c r="E39" s="583"/>
      <c r="F39" s="583"/>
      <c r="G39" s="590"/>
      <c r="H39" s="585"/>
      <c r="I39" s="618" t="s">
        <v>879</v>
      </c>
      <c r="J39" s="618" t="s">
        <v>879</v>
      </c>
      <c r="K39" s="618" t="s">
        <v>879</v>
      </c>
      <c r="L39" s="618" t="s">
        <v>879</v>
      </c>
      <c r="M39" s="630"/>
      <c r="N39" s="609"/>
      <c r="O39" s="582"/>
      <c r="P39" s="618" t="s">
        <v>879</v>
      </c>
      <c r="Q39" s="618" t="s">
        <v>879</v>
      </c>
      <c r="R39" s="636"/>
      <c r="S39" s="636"/>
      <c r="T39" s="618"/>
    </row>
    <row r="40" s="555" customFormat="1" ht="20" customHeight="1" outlineLevel="1" spans="1:20">
      <c r="A40" s="572">
        <v>14</v>
      </c>
      <c r="B40" s="573"/>
      <c r="C40" s="588" t="s">
        <v>934</v>
      </c>
      <c r="D40" s="592" t="s">
        <v>935</v>
      </c>
      <c r="E40" s="573" t="s">
        <v>936</v>
      </c>
      <c r="F40" s="573" t="s">
        <v>937</v>
      </c>
      <c r="G40" s="590">
        <v>21980</v>
      </c>
      <c r="H40" s="577" t="s">
        <v>883</v>
      </c>
      <c r="I40" s="572" t="s">
        <v>876</v>
      </c>
      <c r="J40" s="610"/>
      <c r="K40" s="609">
        <v>0</v>
      </c>
      <c r="L40" s="610">
        <f t="shared" si="0"/>
        <v>0</v>
      </c>
      <c r="M40" s="628">
        <f t="shared" si="1"/>
        <v>0</v>
      </c>
      <c r="N40" s="609">
        <v>0</v>
      </c>
      <c r="O40" s="572">
        <v>0</v>
      </c>
      <c r="P40" s="613"/>
      <c r="Q40" s="636"/>
      <c r="R40" s="636"/>
      <c r="S40" s="636"/>
      <c r="T40" s="618"/>
    </row>
    <row r="41" s="555" customFormat="1" ht="20" customHeight="1" outlineLevel="1" spans="1:20">
      <c r="A41" s="582"/>
      <c r="B41" s="583"/>
      <c r="C41" s="589"/>
      <c r="D41" s="592"/>
      <c r="E41" s="583"/>
      <c r="F41" s="583"/>
      <c r="G41" s="590"/>
      <c r="H41" s="585"/>
      <c r="I41" s="618" t="s">
        <v>879</v>
      </c>
      <c r="J41" s="618" t="s">
        <v>879</v>
      </c>
      <c r="K41" s="618" t="s">
        <v>879</v>
      </c>
      <c r="L41" s="618" t="s">
        <v>879</v>
      </c>
      <c r="M41" s="630"/>
      <c r="N41" s="609"/>
      <c r="O41" s="582"/>
      <c r="P41" s="618" t="s">
        <v>879</v>
      </c>
      <c r="Q41" s="618" t="s">
        <v>879</v>
      </c>
      <c r="R41" s="636"/>
      <c r="S41" s="636"/>
      <c r="T41" s="618"/>
    </row>
    <row r="42" s="555" customFormat="1" ht="20" customHeight="1" outlineLevel="1" spans="1:20">
      <c r="A42" s="572">
        <v>15</v>
      </c>
      <c r="B42" s="573" t="str">
        <f>+动态成本!B180</f>
        <v>基坑位移监测</v>
      </c>
      <c r="C42" s="588" t="s">
        <v>938</v>
      </c>
      <c r="D42" s="592" t="s">
        <v>939</v>
      </c>
      <c r="E42" s="573" t="s">
        <v>940</v>
      </c>
      <c r="F42" s="573" t="s">
        <v>941</v>
      </c>
      <c r="G42" s="590">
        <v>178723.55</v>
      </c>
      <c r="H42" s="577" t="s">
        <v>883</v>
      </c>
      <c r="I42" s="572" t="s">
        <v>876</v>
      </c>
      <c r="J42" s="610"/>
      <c r="K42" s="609">
        <v>0</v>
      </c>
      <c r="L42" s="610">
        <f>J42</f>
        <v>0</v>
      </c>
      <c r="M42" s="628">
        <f>L42</f>
        <v>0</v>
      </c>
      <c r="N42" s="609">
        <v>0</v>
      </c>
      <c r="O42" s="572">
        <v>0</v>
      </c>
      <c r="P42" s="613"/>
      <c r="Q42" s="636"/>
      <c r="R42" s="636"/>
      <c r="S42" s="636"/>
      <c r="T42" s="618"/>
    </row>
    <row r="43" s="555" customFormat="1" ht="20" customHeight="1" outlineLevel="1" spans="1:20">
      <c r="A43" s="582"/>
      <c r="B43" s="583"/>
      <c r="C43" s="589"/>
      <c r="D43" s="592"/>
      <c r="E43" s="583"/>
      <c r="F43" s="583"/>
      <c r="G43" s="590"/>
      <c r="H43" s="585"/>
      <c r="I43" s="618" t="s">
        <v>879</v>
      </c>
      <c r="J43" s="618" t="s">
        <v>879</v>
      </c>
      <c r="K43" s="618" t="s">
        <v>879</v>
      </c>
      <c r="L43" s="618" t="s">
        <v>879</v>
      </c>
      <c r="M43" s="630"/>
      <c r="N43" s="609"/>
      <c r="O43" s="582"/>
      <c r="P43" s="618" t="s">
        <v>879</v>
      </c>
      <c r="Q43" s="618" t="s">
        <v>879</v>
      </c>
      <c r="R43" s="636"/>
      <c r="S43" s="636"/>
      <c r="T43" s="618"/>
    </row>
    <row r="44" s="555" customFormat="1" ht="30" customHeight="1" outlineLevel="1" spans="1:20">
      <c r="A44" s="572">
        <v>16</v>
      </c>
      <c r="B44" s="573" t="str">
        <f>+动态成本!B174</f>
        <v>土壤氡检测</v>
      </c>
      <c r="C44" s="588" t="s">
        <v>942</v>
      </c>
      <c r="D44" s="592" t="s">
        <v>943</v>
      </c>
      <c r="E44" s="573" t="s">
        <v>944</v>
      </c>
      <c r="F44" s="573" t="s">
        <v>773</v>
      </c>
      <c r="G44" s="590">
        <v>233965.29</v>
      </c>
      <c r="H44" s="577" t="s">
        <v>883</v>
      </c>
      <c r="I44" s="572" t="s">
        <v>876</v>
      </c>
      <c r="J44" s="610"/>
      <c r="K44" s="609">
        <v>0</v>
      </c>
      <c r="L44" s="610">
        <f>J44</f>
        <v>0</v>
      </c>
      <c r="M44" s="628">
        <f>L44</f>
        <v>0</v>
      </c>
      <c r="N44" s="609">
        <v>0</v>
      </c>
      <c r="O44" s="572">
        <v>0</v>
      </c>
      <c r="P44" s="613"/>
      <c r="Q44" s="636"/>
      <c r="R44" s="636"/>
      <c r="S44" s="636"/>
      <c r="T44" s="618"/>
    </row>
    <row r="45" s="555" customFormat="1" ht="24" customHeight="1" outlineLevel="1" spans="1:20">
      <c r="A45" s="582"/>
      <c r="B45" s="583"/>
      <c r="C45" s="589"/>
      <c r="D45" s="592"/>
      <c r="E45" s="583"/>
      <c r="F45" s="583"/>
      <c r="G45" s="590"/>
      <c r="H45" s="585"/>
      <c r="I45" s="618" t="s">
        <v>879</v>
      </c>
      <c r="J45" s="618" t="s">
        <v>879</v>
      </c>
      <c r="K45" s="618" t="s">
        <v>879</v>
      </c>
      <c r="L45" s="618" t="s">
        <v>879</v>
      </c>
      <c r="M45" s="630"/>
      <c r="N45" s="609"/>
      <c r="O45" s="582"/>
      <c r="P45" s="618" t="s">
        <v>879</v>
      </c>
      <c r="Q45" s="618" t="s">
        <v>879</v>
      </c>
      <c r="R45" s="636"/>
      <c r="S45" s="636"/>
      <c r="T45" s="618"/>
    </row>
    <row r="46" s="555" customFormat="1" ht="20" customHeight="1" outlineLevel="1" spans="1:20">
      <c r="A46" s="572">
        <v>17</v>
      </c>
      <c r="B46" s="573" t="str">
        <f>+动态成本!B21</f>
        <v>临路工程费</v>
      </c>
      <c r="C46" s="588" t="s">
        <v>945</v>
      </c>
      <c r="D46" s="592" t="s">
        <v>946</v>
      </c>
      <c r="E46" s="573" t="s">
        <v>947</v>
      </c>
      <c r="F46" s="573" t="s">
        <v>948</v>
      </c>
      <c r="G46" s="590">
        <v>56184</v>
      </c>
      <c r="H46" s="577" t="s">
        <v>883</v>
      </c>
      <c r="I46" s="572" t="s">
        <v>876</v>
      </c>
      <c r="J46" s="610"/>
      <c r="K46" s="609">
        <v>0</v>
      </c>
      <c r="L46" s="610">
        <f>J46</f>
        <v>0</v>
      </c>
      <c r="M46" s="628">
        <f>L46</f>
        <v>0</v>
      </c>
      <c r="N46" s="609">
        <v>0</v>
      </c>
      <c r="O46" s="572">
        <v>0</v>
      </c>
      <c r="P46" s="613"/>
      <c r="Q46" s="636"/>
      <c r="R46" s="636"/>
      <c r="S46" s="636"/>
      <c r="T46" s="618"/>
    </row>
    <row r="47" s="555" customFormat="1" ht="20" customHeight="1" outlineLevel="1" spans="1:20">
      <c r="A47" s="582"/>
      <c r="B47" s="583"/>
      <c r="C47" s="589"/>
      <c r="D47" s="592"/>
      <c r="E47" s="583"/>
      <c r="F47" s="583"/>
      <c r="G47" s="590"/>
      <c r="H47" s="585"/>
      <c r="I47" s="618" t="s">
        <v>879</v>
      </c>
      <c r="J47" s="618" t="s">
        <v>879</v>
      </c>
      <c r="K47" s="618" t="s">
        <v>879</v>
      </c>
      <c r="L47" s="618" t="s">
        <v>879</v>
      </c>
      <c r="M47" s="630"/>
      <c r="N47" s="609"/>
      <c r="O47" s="582"/>
      <c r="P47" s="618" t="s">
        <v>879</v>
      </c>
      <c r="Q47" s="618" t="s">
        <v>879</v>
      </c>
      <c r="R47" s="636"/>
      <c r="S47" s="636"/>
      <c r="T47" s="618"/>
    </row>
    <row r="48" s="555" customFormat="1" ht="20" customHeight="1" outlineLevel="1" spans="1:20">
      <c r="A48" s="572">
        <v>18</v>
      </c>
      <c r="B48" s="573" t="str">
        <f>+动态成本!B21</f>
        <v>临路工程费</v>
      </c>
      <c r="C48" s="588" t="s">
        <v>949</v>
      </c>
      <c r="D48" s="588" t="s">
        <v>946</v>
      </c>
      <c r="E48" s="573" t="s">
        <v>950</v>
      </c>
      <c r="F48" s="573" t="s">
        <v>951</v>
      </c>
      <c r="G48" s="590">
        <v>230000</v>
      </c>
      <c r="H48" s="577" t="s">
        <v>883</v>
      </c>
      <c r="I48" s="572" t="s">
        <v>876</v>
      </c>
      <c r="J48" s="610"/>
      <c r="K48" s="609">
        <v>0</v>
      </c>
      <c r="L48" s="610">
        <f>J48</f>
        <v>0</v>
      </c>
      <c r="M48" s="628">
        <f>L48</f>
        <v>0</v>
      </c>
      <c r="N48" s="609">
        <v>0</v>
      </c>
      <c r="O48" s="572">
        <v>0</v>
      </c>
      <c r="P48" s="613"/>
      <c r="Q48" s="636"/>
      <c r="R48" s="636"/>
      <c r="S48" s="636"/>
      <c r="T48" s="618"/>
    </row>
    <row r="49" s="555" customFormat="1" ht="20" customHeight="1" outlineLevel="1" spans="1:20">
      <c r="A49" s="582"/>
      <c r="B49" s="583"/>
      <c r="C49" s="589"/>
      <c r="D49" s="589"/>
      <c r="E49" s="583"/>
      <c r="F49" s="583"/>
      <c r="G49" s="590"/>
      <c r="H49" s="585"/>
      <c r="I49" s="618" t="s">
        <v>879</v>
      </c>
      <c r="J49" s="618" t="s">
        <v>879</v>
      </c>
      <c r="K49" s="618" t="s">
        <v>879</v>
      </c>
      <c r="L49" s="618" t="s">
        <v>879</v>
      </c>
      <c r="M49" s="630"/>
      <c r="N49" s="609"/>
      <c r="O49" s="582"/>
      <c r="P49" s="618" t="s">
        <v>879</v>
      </c>
      <c r="Q49" s="618" t="s">
        <v>879</v>
      </c>
      <c r="R49" s="636"/>
      <c r="S49" s="636"/>
      <c r="T49" s="618"/>
    </row>
    <row r="50" s="555" customFormat="1" ht="20" customHeight="1" outlineLevel="1" spans="1:20">
      <c r="A50" s="572">
        <v>19</v>
      </c>
      <c r="B50" s="573" t="str">
        <f>+动态成本!B59</f>
        <v>项目土壤污染物检测</v>
      </c>
      <c r="C50" s="588" t="s">
        <v>952</v>
      </c>
      <c r="D50" s="592" t="s">
        <v>953</v>
      </c>
      <c r="E50" s="573" t="s">
        <v>940</v>
      </c>
      <c r="F50" s="573" t="s">
        <v>954</v>
      </c>
      <c r="G50" s="590">
        <v>13800</v>
      </c>
      <c r="H50" s="577" t="s">
        <v>883</v>
      </c>
      <c r="I50" s="572" t="s">
        <v>876</v>
      </c>
      <c r="J50" s="610"/>
      <c r="K50" s="609">
        <v>0</v>
      </c>
      <c r="L50" s="610">
        <f t="shared" ref="L50:L54" si="2">J50</f>
        <v>0</v>
      </c>
      <c r="M50" s="628">
        <f t="shared" ref="M50:M54" si="3">L50</f>
        <v>0</v>
      </c>
      <c r="N50" s="609">
        <v>0</v>
      </c>
      <c r="O50" s="572">
        <v>0</v>
      </c>
      <c r="P50" s="613"/>
      <c r="Q50" s="636"/>
      <c r="R50" s="636"/>
      <c r="S50" s="636"/>
      <c r="T50" s="618"/>
    </row>
    <row r="51" s="555" customFormat="1" ht="20" customHeight="1" outlineLevel="1" spans="1:20">
      <c r="A51" s="582"/>
      <c r="B51" s="583"/>
      <c r="C51" s="589"/>
      <c r="D51" s="592"/>
      <c r="E51" s="583"/>
      <c r="F51" s="583"/>
      <c r="G51" s="590"/>
      <c r="H51" s="585"/>
      <c r="I51" s="618" t="s">
        <v>879</v>
      </c>
      <c r="J51" s="618" t="s">
        <v>879</v>
      </c>
      <c r="K51" s="618" t="s">
        <v>879</v>
      </c>
      <c r="L51" s="618" t="s">
        <v>879</v>
      </c>
      <c r="M51" s="630"/>
      <c r="N51" s="609"/>
      <c r="O51" s="582"/>
      <c r="P51" s="618" t="s">
        <v>879</v>
      </c>
      <c r="Q51" s="618" t="s">
        <v>879</v>
      </c>
      <c r="R51" s="636"/>
      <c r="S51" s="636"/>
      <c r="T51" s="618"/>
    </row>
    <row r="52" s="555" customFormat="1" ht="20" customHeight="1" outlineLevel="1" spans="1:20">
      <c r="A52" s="572">
        <v>20</v>
      </c>
      <c r="B52" s="573" t="str">
        <f>+动态成本!B222</f>
        <v>人防门设备安装</v>
      </c>
      <c r="C52" s="588" t="s">
        <v>955</v>
      </c>
      <c r="D52" s="592" t="s">
        <v>956</v>
      </c>
      <c r="E52" s="573" t="s">
        <v>957</v>
      </c>
      <c r="F52" s="573" t="s">
        <v>958</v>
      </c>
      <c r="G52" s="590">
        <v>571243.75</v>
      </c>
      <c r="H52" s="577" t="s">
        <v>883</v>
      </c>
      <c r="I52" s="572" t="s">
        <v>876</v>
      </c>
      <c r="J52" s="610"/>
      <c r="K52" s="609">
        <v>0</v>
      </c>
      <c r="L52" s="610">
        <f t="shared" si="2"/>
        <v>0</v>
      </c>
      <c r="M52" s="628">
        <f t="shared" si="3"/>
        <v>0</v>
      </c>
      <c r="N52" s="609">
        <v>0</v>
      </c>
      <c r="O52" s="572">
        <v>0</v>
      </c>
      <c r="P52" s="613"/>
      <c r="Q52" s="636"/>
      <c r="R52" s="636"/>
      <c r="S52" s="636"/>
      <c r="T52" s="618"/>
    </row>
    <row r="53" s="555" customFormat="1" ht="20" customHeight="1" outlineLevel="1" spans="1:20">
      <c r="A53" s="582"/>
      <c r="B53" s="583"/>
      <c r="C53" s="589"/>
      <c r="D53" s="592"/>
      <c r="E53" s="583"/>
      <c r="F53" s="583"/>
      <c r="G53" s="590"/>
      <c r="H53" s="585"/>
      <c r="I53" s="618" t="s">
        <v>879</v>
      </c>
      <c r="J53" s="618" t="s">
        <v>879</v>
      </c>
      <c r="K53" s="618" t="s">
        <v>879</v>
      </c>
      <c r="L53" s="618" t="s">
        <v>879</v>
      </c>
      <c r="M53" s="630"/>
      <c r="N53" s="609"/>
      <c r="O53" s="582"/>
      <c r="P53" s="618" t="s">
        <v>879</v>
      </c>
      <c r="Q53" s="618" t="s">
        <v>879</v>
      </c>
      <c r="R53" s="636"/>
      <c r="S53" s="636"/>
      <c r="T53" s="618"/>
    </row>
    <row r="54" s="555" customFormat="1" ht="20" customHeight="1" outlineLevel="1" spans="1:20">
      <c r="A54" s="572">
        <v>21</v>
      </c>
      <c r="B54" s="573" t="str">
        <f>+动态成本!B58</f>
        <v>宗地图及土地测绘</v>
      </c>
      <c r="C54" s="588" t="s">
        <v>959</v>
      </c>
      <c r="D54" s="592" t="s">
        <v>960</v>
      </c>
      <c r="E54" s="573" t="s">
        <v>904</v>
      </c>
      <c r="F54" s="573" t="s">
        <v>961</v>
      </c>
      <c r="G54" s="590">
        <v>13274</v>
      </c>
      <c r="H54" s="577" t="s">
        <v>883</v>
      </c>
      <c r="I54" s="572" t="s">
        <v>876</v>
      </c>
      <c r="J54" s="610"/>
      <c r="K54" s="609">
        <v>0</v>
      </c>
      <c r="L54" s="610">
        <f t="shared" si="2"/>
        <v>0</v>
      </c>
      <c r="M54" s="628">
        <f t="shared" si="3"/>
        <v>0</v>
      </c>
      <c r="N54" s="609">
        <v>0</v>
      </c>
      <c r="O54" s="572">
        <v>0</v>
      </c>
      <c r="P54" s="613"/>
      <c r="Q54" s="636"/>
      <c r="R54" s="636"/>
      <c r="S54" s="636"/>
      <c r="T54" s="618"/>
    </row>
    <row r="55" s="555" customFormat="1" ht="20" customHeight="1" outlineLevel="1" spans="1:20">
      <c r="A55" s="582"/>
      <c r="B55" s="583"/>
      <c r="C55" s="589"/>
      <c r="D55" s="592"/>
      <c r="E55" s="583"/>
      <c r="F55" s="583"/>
      <c r="G55" s="590"/>
      <c r="H55" s="585"/>
      <c r="I55" s="618" t="s">
        <v>879</v>
      </c>
      <c r="J55" s="618" t="s">
        <v>879</v>
      </c>
      <c r="K55" s="618" t="s">
        <v>879</v>
      </c>
      <c r="L55" s="618" t="s">
        <v>879</v>
      </c>
      <c r="M55" s="630"/>
      <c r="N55" s="609"/>
      <c r="O55" s="582"/>
      <c r="P55" s="618" t="s">
        <v>879</v>
      </c>
      <c r="Q55" s="618" t="s">
        <v>879</v>
      </c>
      <c r="R55" s="636"/>
      <c r="S55" s="636"/>
      <c r="T55" s="618"/>
    </row>
    <row r="56" s="555" customFormat="1" ht="20" customHeight="1" outlineLevel="1" spans="1:20">
      <c r="A56" s="572">
        <v>22</v>
      </c>
      <c r="B56" s="573" t="str">
        <f>+动态成本!B94</f>
        <v>房产面积预测绘费</v>
      </c>
      <c r="C56" s="588" t="s">
        <v>962</v>
      </c>
      <c r="D56" s="592" t="s">
        <v>963</v>
      </c>
      <c r="E56" s="573" t="s">
        <v>964</v>
      </c>
      <c r="F56" s="573" t="s">
        <v>965</v>
      </c>
      <c r="G56" s="590">
        <v>116367.58</v>
      </c>
      <c r="H56" s="577" t="s">
        <v>883</v>
      </c>
      <c r="I56" s="572" t="s">
        <v>876</v>
      </c>
      <c r="J56" s="610"/>
      <c r="K56" s="609">
        <v>0</v>
      </c>
      <c r="L56" s="610">
        <f t="shared" ref="L56:L60" si="4">J56</f>
        <v>0</v>
      </c>
      <c r="M56" s="628">
        <f t="shared" ref="M56:M60" si="5">L56</f>
        <v>0</v>
      </c>
      <c r="N56" s="609">
        <v>0</v>
      </c>
      <c r="O56" s="572">
        <v>0</v>
      </c>
      <c r="P56" s="613"/>
      <c r="Q56" s="636"/>
      <c r="R56" s="636"/>
      <c r="S56" s="636"/>
      <c r="T56" s="618"/>
    </row>
    <row r="57" s="555" customFormat="1" ht="20" customHeight="1" outlineLevel="1" spans="1:20">
      <c r="A57" s="582"/>
      <c r="B57" s="583"/>
      <c r="C57" s="589"/>
      <c r="D57" s="592"/>
      <c r="E57" s="583"/>
      <c r="F57" s="583"/>
      <c r="G57" s="590"/>
      <c r="H57" s="585"/>
      <c r="I57" s="618" t="s">
        <v>879</v>
      </c>
      <c r="J57" s="618" t="s">
        <v>879</v>
      </c>
      <c r="K57" s="618" t="s">
        <v>879</v>
      </c>
      <c r="L57" s="618" t="s">
        <v>879</v>
      </c>
      <c r="M57" s="630"/>
      <c r="N57" s="609"/>
      <c r="O57" s="582"/>
      <c r="P57" s="618" t="s">
        <v>879</v>
      </c>
      <c r="Q57" s="618" t="s">
        <v>879</v>
      </c>
      <c r="R57" s="636"/>
      <c r="S57" s="636"/>
      <c r="T57" s="618"/>
    </row>
    <row r="58" s="556" customFormat="1" ht="20" customHeight="1" outlineLevel="1" spans="1:20">
      <c r="A58" s="593">
        <v>23</v>
      </c>
      <c r="B58" s="594" t="str">
        <f>+动态成本!B117</f>
        <v>工程造价咨询服务</v>
      </c>
      <c r="C58" s="593" t="s">
        <v>966</v>
      </c>
      <c r="D58" s="595" t="s">
        <v>967</v>
      </c>
      <c r="E58" s="594" t="s">
        <v>968</v>
      </c>
      <c r="F58" s="594" t="s">
        <v>969</v>
      </c>
      <c r="G58" s="596">
        <v>300000</v>
      </c>
      <c r="H58" s="597" t="s">
        <v>883</v>
      </c>
      <c r="I58" s="593" t="s">
        <v>876</v>
      </c>
      <c r="J58" s="631"/>
      <c r="K58" s="632">
        <v>0</v>
      </c>
      <c r="L58" s="631">
        <f t="shared" si="4"/>
        <v>0</v>
      </c>
      <c r="M58" s="633">
        <f t="shared" si="5"/>
        <v>0</v>
      </c>
      <c r="N58" s="632">
        <v>0</v>
      </c>
      <c r="O58" s="593">
        <v>0</v>
      </c>
      <c r="P58" s="632"/>
      <c r="Q58" s="637"/>
      <c r="R58" s="637"/>
      <c r="S58" s="637"/>
      <c r="T58" s="632"/>
    </row>
    <row r="59" s="556" customFormat="1" ht="20" customHeight="1" outlineLevel="1" spans="1:20">
      <c r="A59" s="598"/>
      <c r="B59" s="599"/>
      <c r="C59" s="598"/>
      <c r="D59" s="595"/>
      <c r="E59" s="599"/>
      <c r="F59" s="599"/>
      <c r="G59" s="596"/>
      <c r="H59" s="600"/>
      <c r="I59" s="632" t="s">
        <v>879</v>
      </c>
      <c r="J59" s="632" t="s">
        <v>879</v>
      </c>
      <c r="K59" s="632" t="s">
        <v>879</v>
      </c>
      <c r="L59" s="632" t="s">
        <v>879</v>
      </c>
      <c r="M59" s="634"/>
      <c r="N59" s="632"/>
      <c r="O59" s="598"/>
      <c r="P59" s="632" t="s">
        <v>879</v>
      </c>
      <c r="Q59" s="632" t="s">
        <v>879</v>
      </c>
      <c r="R59" s="637"/>
      <c r="S59" s="637"/>
      <c r="T59" s="632"/>
    </row>
    <row r="60" s="555" customFormat="1" ht="20" customHeight="1" outlineLevel="1" spans="1:20">
      <c r="A60" s="572">
        <v>24</v>
      </c>
      <c r="B60" s="573" t="str">
        <f>+动态成本!B86</f>
        <v>建筑垃圾处理费</v>
      </c>
      <c r="C60" s="588" t="s">
        <v>970</v>
      </c>
      <c r="D60" s="592" t="s">
        <v>971</v>
      </c>
      <c r="E60" s="573" t="s">
        <v>972</v>
      </c>
      <c r="F60" s="573" t="s">
        <v>973</v>
      </c>
      <c r="G60" s="590">
        <v>656700</v>
      </c>
      <c r="H60" s="577" t="s">
        <v>883</v>
      </c>
      <c r="I60" s="572" t="s">
        <v>876</v>
      </c>
      <c r="J60" s="610"/>
      <c r="K60" s="609">
        <v>0</v>
      </c>
      <c r="L60" s="610">
        <f t="shared" si="4"/>
        <v>0</v>
      </c>
      <c r="M60" s="628">
        <f t="shared" si="5"/>
        <v>0</v>
      </c>
      <c r="N60" s="609">
        <v>0</v>
      </c>
      <c r="O60" s="572">
        <v>0</v>
      </c>
      <c r="P60" s="613"/>
      <c r="Q60" s="636"/>
      <c r="R60" s="636"/>
      <c r="S60" s="636"/>
      <c r="T60" s="618"/>
    </row>
    <row r="61" s="555" customFormat="1" ht="20" customHeight="1" outlineLevel="1" spans="1:20">
      <c r="A61" s="582"/>
      <c r="B61" s="583"/>
      <c r="C61" s="589"/>
      <c r="D61" s="592"/>
      <c r="E61" s="583"/>
      <c r="F61" s="583"/>
      <c r="G61" s="590"/>
      <c r="H61" s="585"/>
      <c r="I61" s="618" t="s">
        <v>879</v>
      </c>
      <c r="J61" s="618" t="s">
        <v>879</v>
      </c>
      <c r="K61" s="618" t="s">
        <v>879</v>
      </c>
      <c r="L61" s="618" t="s">
        <v>879</v>
      </c>
      <c r="M61" s="630"/>
      <c r="N61" s="609"/>
      <c r="O61" s="582"/>
      <c r="P61" s="618" t="s">
        <v>879</v>
      </c>
      <c r="Q61" s="618" t="s">
        <v>879</v>
      </c>
      <c r="R61" s="636"/>
      <c r="S61" s="636"/>
      <c r="T61" s="618"/>
    </row>
    <row r="62" s="555" customFormat="1" ht="20" customHeight="1" outlineLevel="1" spans="1:20">
      <c r="A62" s="572">
        <v>25</v>
      </c>
      <c r="B62" s="573" t="str">
        <f>+动态成本!B81</f>
        <v>农民工工资保障金
（担保费）</v>
      </c>
      <c r="C62" s="588" t="s">
        <v>974</v>
      </c>
      <c r="D62" s="592" t="s">
        <v>975</v>
      </c>
      <c r="E62" s="573" t="s">
        <v>976</v>
      </c>
      <c r="F62" s="573" t="s">
        <v>977</v>
      </c>
      <c r="G62" s="590">
        <v>118000</v>
      </c>
      <c r="H62" s="577" t="s">
        <v>883</v>
      </c>
      <c r="I62" s="572" t="s">
        <v>876</v>
      </c>
      <c r="J62" s="610"/>
      <c r="K62" s="609">
        <v>0</v>
      </c>
      <c r="L62" s="610">
        <f t="shared" ref="L62:L66" si="6">J62</f>
        <v>0</v>
      </c>
      <c r="M62" s="628">
        <f t="shared" ref="M62:M66" si="7">L62</f>
        <v>0</v>
      </c>
      <c r="N62" s="609">
        <v>0</v>
      </c>
      <c r="O62" s="572">
        <v>0</v>
      </c>
      <c r="P62" s="613"/>
      <c r="Q62" s="636"/>
      <c r="R62" s="636"/>
      <c r="S62" s="636"/>
      <c r="T62" s="618"/>
    </row>
    <row r="63" s="555" customFormat="1" ht="20" customHeight="1" outlineLevel="1" spans="1:20">
      <c r="A63" s="582"/>
      <c r="B63" s="583"/>
      <c r="C63" s="589"/>
      <c r="D63" s="592"/>
      <c r="E63" s="583"/>
      <c r="F63" s="583"/>
      <c r="G63" s="590"/>
      <c r="H63" s="585"/>
      <c r="I63" s="618" t="s">
        <v>879</v>
      </c>
      <c r="J63" s="618" t="s">
        <v>879</v>
      </c>
      <c r="K63" s="618" t="s">
        <v>879</v>
      </c>
      <c r="L63" s="618" t="s">
        <v>879</v>
      </c>
      <c r="M63" s="630"/>
      <c r="N63" s="609"/>
      <c r="O63" s="582"/>
      <c r="P63" s="618" t="s">
        <v>879</v>
      </c>
      <c r="Q63" s="618" t="s">
        <v>879</v>
      </c>
      <c r="R63" s="636"/>
      <c r="S63" s="636"/>
      <c r="T63" s="618"/>
    </row>
    <row r="64" s="555" customFormat="1" ht="20" customHeight="1" outlineLevel="1" spans="1:20">
      <c r="A64" s="572">
        <v>26</v>
      </c>
      <c r="B64" s="573" t="str">
        <f>+动态成本!B69</f>
        <v>水土保持方案</v>
      </c>
      <c r="C64" s="588" t="s">
        <v>978</v>
      </c>
      <c r="D64" s="592" t="s">
        <v>979</v>
      </c>
      <c r="E64" s="573" t="s">
        <v>980</v>
      </c>
      <c r="F64" s="573" t="s">
        <v>981</v>
      </c>
      <c r="G64" s="590">
        <v>45000</v>
      </c>
      <c r="H64" s="577" t="s">
        <v>883</v>
      </c>
      <c r="I64" s="572" t="s">
        <v>876</v>
      </c>
      <c r="J64" s="610"/>
      <c r="K64" s="609">
        <v>0</v>
      </c>
      <c r="L64" s="610">
        <f t="shared" si="6"/>
        <v>0</v>
      </c>
      <c r="M64" s="628">
        <f t="shared" si="7"/>
        <v>0</v>
      </c>
      <c r="N64" s="609">
        <v>0</v>
      </c>
      <c r="O64" s="572">
        <v>0</v>
      </c>
      <c r="P64" s="613"/>
      <c r="Q64" s="636"/>
      <c r="R64" s="636"/>
      <c r="S64" s="636"/>
      <c r="T64" s="618"/>
    </row>
    <row r="65" s="555" customFormat="1" ht="20" customHeight="1" outlineLevel="1" spans="1:20">
      <c r="A65" s="582"/>
      <c r="B65" s="583"/>
      <c r="C65" s="589"/>
      <c r="D65" s="592"/>
      <c r="E65" s="583"/>
      <c r="F65" s="583"/>
      <c r="G65" s="590"/>
      <c r="H65" s="585"/>
      <c r="I65" s="618" t="s">
        <v>879</v>
      </c>
      <c r="J65" s="618" t="s">
        <v>879</v>
      </c>
      <c r="K65" s="618" t="s">
        <v>879</v>
      </c>
      <c r="L65" s="618" t="s">
        <v>879</v>
      </c>
      <c r="M65" s="630"/>
      <c r="N65" s="609"/>
      <c r="O65" s="582"/>
      <c r="P65" s="618" t="s">
        <v>879</v>
      </c>
      <c r="Q65" s="618" t="s">
        <v>879</v>
      </c>
      <c r="R65" s="636"/>
      <c r="S65" s="636"/>
      <c r="T65" s="618"/>
    </row>
    <row r="66" s="555" customFormat="1" ht="20" customHeight="1" outlineLevel="1" spans="1:20">
      <c r="A66" s="572">
        <v>27</v>
      </c>
      <c r="B66" s="573" t="str">
        <f>+动态成本!B127</f>
        <v>围墙基础挡墙加固费用</v>
      </c>
      <c r="C66" s="588" t="s">
        <v>982</v>
      </c>
      <c r="D66" s="592" t="s">
        <v>983</v>
      </c>
      <c r="E66" s="573" t="s">
        <v>984</v>
      </c>
      <c r="F66" s="573" t="s">
        <v>985</v>
      </c>
      <c r="G66" s="590">
        <v>226840</v>
      </c>
      <c r="H66" s="577" t="s">
        <v>883</v>
      </c>
      <c r="I66" s="572" t="s">
        <v>876</v>
      </c>
      <c r="J66" s="610"/>
      <c r="K66" s="609">
        <v>0</v>
      </c>
      <c r="L66" s="610">
        <f t="shared" si="6"/>
        <v>0</v>
      </c>
      <c r="M66" s="628">
        <f t="shared" si="7"/>
        <v>0</v>
      </c>
      <c r="N66" s="609">
        <v>0</v>
      </c>
      <c r="O66" s="572">
        <v>0</v>
      </c>
      <c r="P66" s="613"/>
      <c r="Q66" s="636"/>
      <c r="R66" s="636"/>
      <c r="S66" s="636"/>
      <c r="T66" s="618"/>
    </row>
    <row r="67" s="555" customFormat="1" ht="20" customHeight="1" outlineLevel="1" spans="1:20">
      <c r="A67" s="582"/>
      <c r="B67" s="583"/>
      <c r="C67" s="589"/>
      <c r="D67" s="592"/>
      <c r="E67" s="583"/>
      <c r="F67" s="583"/>
      <c r="G67" s="590"/>
      <c r="H67" s="585"/>
      <c r="I67" s="618" t="s">
        <v>879</v>
      </c>
      <c r="J67" s="618" t="s">
        <v>879</v>
      </c>
      <c r="K67" s="618" t="s">
        <v>879</v>
      </c>
      <c r="L67" s="618" t="s">
        <v>879</v>
      </c>
      <c r="M67" s="630"/>
      <c r="N67" s="609"/>
      <c r="O67" s="582"/>
      <c r="P67" s="618" t="s">
        <v>879</v>
      </c>
      <c r="Q67" s="618" t="s">
        <v>879</v>
      </c>
      <c r="R67" s="636"/>
      <c r="S67" s="636"/>
      <c r="T67" s="618"/>
    </row>
    <row r="68" s="555" customFormat="1" ht="20" customHeight="1" outlineLevel="1" spans="1:20">
      <c r="A68" s="572">
        <v>27</v>
      </c>
      <c r="B68" s="573" t="str">
        <f>+动态成本!B171</f>
        <v>城市展厅精装</v>
      </c>
      <c r="C68" s="588" t="s">
        <v>986</v>
      </c>
      <c r="D68" s="592" t="s">
        <v>987</v>
      </c>
      <c r="E68" s="573" t="s">
        <v>988</v>
      </c>
      <c r="F68" s="573" t="s">
        <v>989</v>
      </c>
      <c r="G68" s="590">
        <f>195000+66000</f>
        <v>261000</v>
      </c>
      <c r="H68" s="577" t="s">
        <v>883</v>
      </c>
      <c r="I68" s="572" t="s">
        <v>876</v>
      </c>
      <c r="J68" s="610"/>
      <c r="K68" s="609">
        <v>0</v>
      </c>
      <c r="L68" s="610">
        <f>J68</f>
        <v>0</v>
      </c>
      <c r="M68" s="628">
        <f>L68</f>
        <v>0</v>
      </c>
      <c r="N68" s="609">
        <v>0</v>
      </c>
      <c r="O68" s="572">
        <v>0</v>
      </c>
      <c r="P68" s="613"/>
      <c r="Q68" s="636"/>
      <c r="R68" s="636"/>
      <c r="S68" s="636"/>
      <c r="T68" s="618"/>
    </row>
    <row r="69" s="555" customFormat="1" ht="20" customHeight="1" outlineLevel="1" spans="1:20">
      <c r="A69" s="582"/>
      <c r="B69" s="583"/>
      <c r="C69" s="589"/>
      <c r="D69" s="592"/>
      <c r="E69" s="583"/>
      <c r="F69" s="583"/>
      <c r="G69" s="590"/>
      <c r="H69" s="585"/>
      <c r="I69" s="618" t="s">
        <v>879</v>
      </c>
      <c r="J69" s="618" t="s">
        <v>879</v>
      </c>
      <c r="K69" s="618" t="s">
        <v>879</v>
      </c>
      <c r="L69" s="618" t="s">
        <v>879</v>
      </c>
      <c r="M69" s="630"/>
      <c r="N69" s="609"/>
      <c r="O69" s="582"/>
      <c r="P69" s="618" t="s">
        <v>879</v>
      </c>
      <c r="Q69" s="618" t="s">
        <v>879</v>
      </c>
      <c r="R69" s="636"/>
      <c r="S69" s="636"/>
      <c r="T69" s="618"/>
    </row>
    <row r="70" s="554" customFormat="1" ht="33" customHeight="1" spans="1:20">
      <c r="A70" s="567"/>
      <c r="B70" s="568"/>
      <c r="C70" s="569" t="s">
        <v>990</v>
      </c>
      <c r="D70" s="569"/>
      <c r="E70" s="569"/>
      <c r="F70" s="570"/>
      <c r="G70" s="570"/>
      <c r="H70" s="571"/>
      <c r="I70" s="567"/>
      <c r="J70" s="602"/>
      <c r="K70" s="603"/>
      <c r="L70" s="604"/>
      <c r="M70" s="605"/>
      <c r="N70" s="604"/>
      <c r="O70" s="606"/>
      <c r="P70" s="607"/>
      <c r="Q70" s="635"/>
      <c r="R70" s="635"/>
      <c r="S70" s="635"/>
      <c r="T70" s="607"/>
    </row>
    <row r="71" s="555" customFormat="1" ht="20" customHeight="1" outlineLevel="1" spans="1:20">
      <c r="A71" s="572">
        <v>1</v>
      </c>
      <c r="B71" s="573" t="str">
        <f>+动态成本!B31</f>
        <v>方案规划设计费</v>
      </c>
      <c r="C71" s="588" t="s">
        <v>986</v>
      </c>
      <c r="D71" s="592" t="s">
        <v>991</v>
      </c>
      <c r="E71" s="573" t="s">
        <v>992</v>
      </c>
      <c r="F71" s="573" t="s">
        <v>993</v>
      </c>
      <c r="G71" s="590">
        <v>1237356</v>
      </c>
      <c r="H71" s="577" t="s">
        <v>883</v>
      </c>
      <c r="I71" s="572" t="s">
        <v>876</v>
      </c>
      <c r="J71" s="610"/>
      <c r="K71" s="609">
        <v>0</v>
      </c>
      <c r="L71" s="610">
        <f>J71</f>
        <v>0</v>
      </c>
      <c r="M71" s="628">
        <f>L71</f>
        <v>0</v>
      </c>
      <c r="N71" s="609">
        <v>0</v>
      </c>
      <c r="O71" s="572">
        <v>0</v>
      </c>
      <c r="P71" s="613"/>
      <c r="Q71" s="636"/>
      <c r="R71" s="636"/>
      <c r="S71" s="636"/>
      <c r="T71" s="618"/>
    </row>
    <row r="72" s="555" customFormat="1" ht="20" customHeight="1" outlineLevel="1" spans="1:20">
      <c r="A72" s="582"/>
      <c r="B72" s="583"/>
      <c r="C72" s="589"/>
      <c r="D72" s="592"/>
      <c r="E72" s="583"/>
      <c r="F72" s="583"/>
      <c r="G72" s="590"/>
      <c r="H72" s="585"/>
      <c r="I72" s="618" t="s">
        <v>879</v>
      </c>
      <c r="J72" s="618" t="s">
        <v>879</v>
      </c>
      <c r="K72" s="618" t="s">
        <v>879</v>
      </c>
      <c r="L72" s="618" t="s">
        <v>879</v>
      </c>
      <c r="M72" s="630"/>
      <c r="N72" s="609"/>
      <c r="O72" s="582"/>
      <c r="P72" s="618" t="s">
        <v>879</v>
      </c>
      <c r="Q72" s="618" t="s">
        <v>879</v>
      </c>
      <c r="R72" s="636"/>
      <c r="S72" s="636"/>
      <c r="T72" s="618"/>
    </row>
    <row r="73" s="555" customFormat="1" ht="20" customHeight="1" outlineLevel="1" spans="1:20">
      <c r="A73" s="572">
        <v>2</v>
      </c>
      <c r="B73" s="573" t="str">
        <f>+动态成本!B32</f>
        <v>建筑施工图设计费</v>
      </c>
      <c r="C73" s="588" t="s">
        <v>994</v>
      </c>
      <c r="D73" s="592" t="s">
        <v>995</v>
      </c>
      <c r="E73" s="573" t="s">
        <v>996</v>
      </c>
      <c r="F73" s="573" t="s">
        <v>997</v>
      </c>
      <c r="G73" s="590">
        <v>875809.72</v>
      </c>
      <c r="H73" s="577" t="s">
        <v>883</v>
      </c>
      <c r="I73" s="572" t="s">
        <v>876</v>
      </c>
      <c r="J73" s="610"/>
      <c r="K73" s="609">
        <v>0</v>
      </c>
      <c r="L73" s="610">
        <f t="shared" ref="L73:L77" si="8">J73</f>
        <v>0</v>
      </c>
      <c r="M73" s="628">
        <f t="shared" ref="M73:M77" si="9">L73</f>
        <v>0</v>
      </c>
      <c r="N73" s="609">
        <v>0</v>
      </c>
      <c r="O73" s="572">
        <v>0</v>
      </c>
      <c r="P73" s="613"/>
      <c r="Q73" s="636"/>
      <c r="R73" s="636"/>
      <c r="S73" s="636"/>
      <c r="T73" s="618"/>
    </row>
    <row r="74" s="555" customFormat="1" ht="20" customHeight="1" outlineLevel="1" spans="1:20">
      <c r="A74" s="582"/>
      <c r="B74" s="583"/>
      <c r="C74" s="589"/>
      <c r="D74" s="592"/>
      <c r="E74" s="583"/>
      <c r="F74" s="583"/>
      <c r="G74" s="590"/>
      <c r="H74" s="585"/>
      <c r="I74" s="618" t="s">
        <v>879</v>
      </c>
      <c r="J74" s="618" t="s">
        <v>879</v>
      </c>
      <c r="K74" s="618" t="s">
        <v>879</v>
      </c>
      <c r="L74" s="618" t="s">
        <v>879</v>
      </c>
      <c r="M74" s="630"/>
      <c r="N74" s="609"/>
      <c r="O74" s="582"/>
      <c r="P74" s="618" t="s">
        <v>879</v>
      </c>
      <c r="Q74" s="618" t="s">
        <v>879</v>
      </c>
      <c r="R74" s="636"/>
      <c r="S74" s="636"/>
      <c r="T74" s="618"/>
    </row>
    <row r="75" s="555" customFormat="1" ht="20" customHeight="1" outlineLevel="1" spans="1:20">
      <c r="A75" s="572">
        <v>3</v>
      </c>
      <c r="B75" s="573" t="str">
        <f>+动态成本!B76</f>
        <v>施工图审查、抗震审查</v>
      </c>
      <c r="C75" s="588" t="s">
        <v>998</v>
      </c>
      <c r="D75" s="592" t="s">
        <v>999</v>
      </c>
      <c r="E75" s="573" t="s">
        <v>1000</v>
      </c>
      <c r="F75" s="573" t="s">
        <v>1001</v>
      </c>
      <c r="G75" s="590">
        <v>70247.86</v>
      </c>
      <c r="H75" s="577" t="s">
        <v>883</v>
      </c>
      <c r="I75" s="572" t="s">
        <v>876</v>
      </c>
      <c r="J75" s="610"/>
      <c r="K75" s="609">
        <v>0</v>
      </c>
      <c r="L75" s="610">
        <f t="shared" si="8"/>
        <v>0</v>
      </c>
      <c r="M75" s="628">
        <f t="shared" si="9"/>
        <v>0</v>
      </c>
      <c r="N75" s="609">
        <v>0</v>
      </c>
      <c r="O75" s="572">
        <v>0</v>
      </c>
      <c r="P75" s="613"/>
      <c r="Q75" s="636"/>
      <c r="R75" s="636"/>
      <c r="S75" s="636"/>
      <c r="T75" s="618"/>
    </row>
    <row r="76" s="555" customFormat="1" ht="20" customHeight="1" outlineLevel="1" spans="1:20">
      <c r="A76" s="582"/>
      <c r="B76" s="583"/>
      <c r="C76" s="589"/>
      <c r="D76" s="592"/>
      <c r="E76" s="583"/>
      <c r="F76" s="583"/>
      <c r="G76" s="590"/>
      <c r="H76" s="585"/>
      <c r="I76" s="618" t="s">
        <v>879</v>
      </c>
      <c r="J76" s="618" t="s">
        <v>879</v>
      </c>
      <c r="K76" s="618" t="s">
        <v>879</v>
      </c>
      <c r="L76" s="618" t="s">
        <v>879</v>
      </c>
      <c r="M76" s="630"/>
      <c r="N76" s="609"/>
      <c r="O76" s="582"/>
      <c r="P76" s="618" t="s">
        <v>879</v>
      </c>
      <c r="Q76" s="618" t="s">
        <v>879</v>
      </c>
      <c r="R76" s="636"/>
      <c r="S76" s="636"/>
      <c r="T76" s="618"/>
    </row>
    <row r="77" s="555" customFormat="1" ht="20" customHeight="1" outlineLevel="1" spans="1:20">
      <c r="A77" s="572">
        <v>4</v>
      </c>
      <c r="B77" s="573" t="str">
        <f>+动态成本!B152</f>
        <v>售楼部室内精装设计</v>
      </c>
      <c r="C77" s="588" t="s">
        <v>1002</v>
      </c>
      <c r="D77" s="592" t="s">
        <v>1003</v>
      </c>
      <c r="E77" s="573" t="s">
        <v>1004</v>
      </c>
      <c r="F77" s="573" t="s">
        <v>1005</v>
      </c>
      <c r="G77" s="590">
        <v>353150</v>
      </c>
      <c r="H77" s="577" t="s">
        <v>883</v>
      </c>
      <c r="I77" s="572" t="s">
        <v>876</v>
      </c>
      <c r="J77" s="610"/>
      <c r="K77" s="609">
        <v>0</v>
      </c>
      <c r="L77" s="610">
        <f t="shared" si="8"/>
        <v>0</v>
      </c>
      <c r="M77" s="628">
        <f t="shared" si="9"/>
        <v>0</v>
      </c>
      <c r="N77" s="609">
        <v>0</v>
      </c>
      <c r="O77" s="572">
        <v>0</v>
      </c>
      <c r="P77" s="613"/>
      <c r="Q77" s="636"/>
      <c r="R77" s="636"/>
      <c r="S77" s="636"/>
      <c r="T77" s="618"/>
    </row>
    <row r="78" s="555" customFormat="1" ht="20" customHeight="1" outlineLevel="1" spans="1:20">
      <c r="A78" s="582"/>
      <c r="B78" s="583"/>
      <c r="C78" s="589"/>
      <c r="D78" s="592"/>
      <c r="E78" s="583"/>
      <c r="F78" s="583"/>
      <c r="G78" s="590"/>
      <c r="H78" s="585"/>
      <c r="I78" s="618" t="s">
        <v>879</v>
      </c>
      <c r="J78" s="618" t="s">
        <v>879</v>
      </c>
      <c r="K78" s="618" t="s">
        <v>879</v>
      </c>
      <c r="L78" s="618" t="s">
        <v>879</v>
      </c>
      <c r="M78" s="630"/>
      <c r="N78" s="609"/>
      <c r="O78" s="582"/>
      <c r="P78" s="618" t="s">
        <v>879</v>
      </c>
      <c r="Q78" s="618" t="s">
        <v>879</v>
      </c>
      <c r="R78" s="636"/>
      <c r="S78" s="636"/>
      <c r="T78" s="618"/>
    </row>
    <row r="79" s="555" customFormat="1" ht="20" customHeight="1" outlineLevel="1" spans="1:20">
      <c r="A79" s="572">
        <v>5</v>
      </c>
      <c r="B79" s="573" t="str">
        <f>+动态成本!B34</f>
        <v>园林景观设计</v>
      </c>
      <c r="C79" s="588" t="s">
        <v>1006</v>
      </c>
      <c r="D79" s="592" t="s">
        <v>1003</v>
      </c>
      <c r="E79" s="573" t="s">
        <v>1007</v>
      </c>
      <c r="F79" s="573" t="s">
        <v>1008</v>
      </c>
      <c r="G79" s="590">
        <v>600000</v>
      </c>
      <c r="H79" s="577" t="s">
        <v>883</v>
      </c>
      <c r="I79" s="572" t="s">
        <v>876</v>
      </c>
      <c r="J79" s="610"/>
      <c r="K79" s="609">
        <v>0</v>
      </c>
      <c r="L79" s="610">
        <f>J79</f>
        <v>0</v>
      </c>
      <c r="M79" s="628">
        <f>L79</f>
        <v>0</v>
      </c>
      <c r="N79" s="609">
        <v>0</v>
      </c>
      <c r="O79" s="572">
        <v>0</v>
      </c>
      <c r="P79" s="613"/>
      <c r="Q79" s="636"/>
      <c r="R79" s="636"/>
      <c r="S79" s="636"/>
      <c r="T79" s="618"/>
    </row>
    <row r="80" s="555" customFormat="1" ht="20" customHeight="1" outlineLevel="1" spans="1:20">
      <c r="A80" s="582"/>
      <c r="B80" s="583"/>
      <c r="C80" s="589"/>
      <c r="D80" s="592"/>
      <c r="E80" s="583"/>
      <c r="F80" s="583"/>
      <c r="G80" s="590"/>
      <c r="H80" s="585"/>
      <c r="I80" s="618" t="s">
        <v>879</v>
      </c>
      <c r="J80" s="618" t="s">
        <v>879</v>
      </c>
      <c r="K80" s="618" t="s">
        <v>879</v>
      </c>
      <c r="L80" s="618" t="s">
        <v>879</v>
      </c>
      <c r="M80" s="630"/>
      <c r="N80" s="609"/>
      <c r="O80" s="582"/>
      <c r="P80" s="618" t="s">
        <v>879</v>
      </c>
      <c r="Q80" s="618" t="s">
        <v>879</v>
      </c>
      <c r="R80" s="636"/>
      <c r="S80" s="636"/>
      <c r="T80" s="618"/>
    </row>
    <row r="81" s="555" customFormat="1" ht="20" customHeight="1" outlineLevel="1" spans="1:20">
      <c r="A81" s="572">
        <v>6</v>
      </c>
      <c r="B81" s="573" t="str">
        <f>+动态成本!B42</f>
        <v>供电设计</v>
      </c>
      <c r="C81" s="588" t="s">
        <v>1009</v>
      </c>
      <c r="D81" s="592" t="s">
        <v>1010</v>
      </c>
      <c r="E81" s="573" t="s">
        <v>1011</v>
      </c>
      <c r="F81" s="573" t="s">
        <v>1012</v>
      </c>
      <c r="G81" s="590">
        <v>52148.72</v>
      </c>
      <c r="H81" s="577" t="s">
        <v>883</v>
      </c>
      <c r="I81" s="572" t="s">
        <v>876</v>
      </c>
      <c r="J81" s="610"/>
      <c r="K81" s="609">
        <v>0</v>
      </c>
      <c r="L81" s="610">
        <f>J81</f>
        <v>0</v>
      </c>
      <c r="M81" s="628">
        <f>L81</f>
        <v>0</v>
      </c>
      <c r="N81" s="609">
        <v>0</v>
      </c>
      <c r="O81" s="572">
        <v>0</v>
      </c>
      <c r="P81" s="613"/>
      <c r="Q81" s="636"/>
      <c r="R81" s="636"/>
      <c r="S81" s="636"/>
      <c r="T81" s="618"/>
    </row>
    <row r="82" s="555" customFormat="1" ht="20" customHeight="1" outlineLevel="1" spans="1:20">
      <c r="A82" s="582"/>
      <c r="B82" s="583"/>
      <c r="C82" s="589"/>
      <c r="D82" s="592"/>
      <c r="E82" s="583"/>
      <c r="F82" s="583"/>
      <c r="G82" s="590"/>
      <c r="H82" s="585"/>
      <c r="I82" s="618" t="s">
        <v>879</v>
      </c>
      <c r="J82" s="618" t="s">
        <v>879</v>
      </c>
      <c r="K82" s="618" t="s">
        <v>879</v>
      </c>
      <c r="L82" s="618" t="s">
        <v>879</v>
      </c>
      <c r="M82" s="630"/>
      <c r="N82" s="609"/>
      <c r="O82" s="582"/>
      <c r="P82" s="618" t="s">
        <v>879</v>
      </c>
      <c r="Q82" s="618" t="s">
        <v>879</v>
      </c>
      <c r="R82" s="636"/>
      <c r="S82" s="636"/>
      <c r="T82" s="618"/>
    </row>
    <row r="83" s="555" customFormat="1" ht="20" customHeight="1" outlineLevel="1" spans="1:20">
      <c r="A83" s="572">
        <v>7</v>
      </c>
      <c r="B83" s="573" t="str">
        <f>+动态成本!B121</f>
        <v>其他咨询服务费</v>
      </c>
      <c r="C83" s="588" t="s">
        <v>1013</v>
      </c>
      <c r="D83" s="592" t="s">
        <v>1014</v>
      </c>
      <c r="E83" s="573" t="s">
        <v>1015</v>
      </c>
      <c r="F83" s="573" t="s">
        <v>1016</v>
      </c>
      <c r="G83" s="590">
        <v>70000</v>
      </c>
      <c r="H83" s="577" t="s">
        <v>883</v>
      </c>
      <c r="I83" s="572" t="s">
        <v>876</v>
      </c>
      <c r="J83" s="610"/>
      <c r="K83" s="609">
        <v>0</v>
      </c>
      <c r="L83" s="610">
        <f t="shared" ref="L83:L87" si="10">J83</f>
        <v>0</v>
      </c>
      <c r="M83" s="628">
        <f t="shared" ref="M83:M87" si="11">L83</f>
        <v>0</v>
      </c>
      <c r="N83" s="609">
        <v>0</v>
      </c>
      <c r="O83" s="572">
        <v>0</v>
      </c>
      <c r="P83" s="613"/>
      <c r="Q83" s="636"/>
      <c r="R83" s="636"/>
      <c r="S83" s="636"/>
      <c r="T83" s="618"/>
    </row>
    <row r="84" s="555" customFormat="1" ht="20" customHeight="1" outlineLevel="1" spans="1:20">
      <c r="A84" s="582"/>
      <c r="B84" s="583"/>
      <c r="C84" s="589"/>
      <c r="D84" s="592"/>
      <c r="E84" s="583"/>
      <c r="F84" s="583"/>
      <c r="G84" s="590"/>
      <c r="H84" s="585"/>
      <c r="I84" s="618" t="s">
        <v>879</v>
      </c>
      <c r="J84" s="618" t="s">
        <v>879</v>
      </c>
      <c r="K84" s="618" t="s">
        <v>879</v>
      </c>
      <c r="L84" s="618" t="s">
        <v>879</v>
      </c>
      <c r="M84" s="630"/>
      <c r="N84" s="609"/>
      <c r="O84" s="582"/>
      <c r="P84" s="618" t="s">
        <v>879</v>
      </c>
      <c r="Q84" s="618" t="s">
        <v>879</v>
      </c>
      <c r="R84" s="636"/>
      <c r="S84" s="636"/>
      <c r="T84" s="618"/>
    </row>
    <row r="85" s="555" customFormat="1" ht="20" customHeight="1" outlineLevel="1" spans="1:20">
      <c r="A85" s="572">
        <v>8</v>
      </c>
      <c r="B85" s="573" t="str">
        <f>+动态成本!B47</f>
        <v>基坑支护降水设计</v>
      </c>
      <c r="C85" s="588" t="s">
        <v>1017</v>
      </c>
      <c r="D85" s="592" t="s">
        <v>1018</v>
      </c>
      <c r="E85" s="573" t="s">
        <v>1015</v>
      </c>
      <c r="F85" s="573" t="s">
        <v>1019</v>
      </c>
      <c r="G85" s="590">
        <v>20000</v>
      </c>
      <c r="H85" s="577" t="s">
        <v>883</v>
      </c>
      <c r="I85" s="572" t="s">
        <v>876</v>
      </c>
      <c r="J85" s="610"/>
      <c r="K85" s="609">
        <v>0</v>
      </c>
      <c r="L85" s="610">
        <f t="shared" si="10"/>
        <v>0</v>
      </c>
      <c r="M85" s="628">
        <f t="shared" si="11"/>
        <v>0</v>
      </c>
      <c r="N85" s="609">
        <v>0</v>
      </c>
      <c r="O85" s="572">
        <v>0</v>
      </c>
      <c r="P85" s="613"/>
      <c r="Q85" s="636"/>
      <c r="R85" s="636"/>
      <c r="S85" s="636"/>
      <c r="T85" s="618"/>
    </row>
    <row r="86" s="555" customFormat="1" ht="20" customHeight="1" outlineLevel="1" spans="1:20">
      <c r="A86" s="582"/>
      <c r="B86" s="583"/>
      <c r="C86" s="589"/>
      <c r="D86" s="592"/>
      <c r="E86" s="583"/>
      <c r="F86" s="583"/>
      <c r="G86" s="590"/>
      <c r="H86" s="585"/>
      <c r="I86" s="618" t="s">
        <v>879</v>
      </c>
      <c r="J86" s="618" t="s">
        <v>879</v>
      </c>
      <c r="K86" s="618" t="s">
        <v>879</v>
      </c>
      <c r="L86" s="618" t="s">
        <v>879</v>
      </c>
      <c r="M86" s="630"/>
      <c r="N86" s="609"/>
      <c r="O86" s="582"/>
      <c r="P86" s="618" t="s">
        <v>879</v>
      </c>
      <c r="Q86" s="618" t="s">
        <v>879</v>
      </c>
      <c r="R86" s="636"/>
      <c r="S86" s="636"/>
      <c r="T86" s="618"/>
    </row>
    <row r="87" s="555" customFormat="1" ht="20" customHeight="1" outlineLevel="1" spans="1:20">
      <c r="A87" s="572">
        <v>9</v>
      </c>
      <c r="B87" s="573" t="str">
        <f>+动态成本!B38</f>
        <v>批量户型精装设计</v>
      </c>
      <c r="C87" s="588" t="s">
        <v>1020</v>
      </c>
      <c r="D87" s="592" t="s">
        <v>1018</v>
      </c>
      <c r="E87" s="573" t="s">
        <v>1021</v>
      </c>
      <c r="F87" s="573" t="s">
        <v>1022</v>
      </c>
      <c r="G87" s="590">
        <v>797915</v>
      </c>
      <c r="H87" s="577"/>
      <c r="I87" s="572" t="s">
        <v>876</v>
      </c>
      <c r="J87" s="610"/>
      <c r="K87" s="609">
        <v>0</v>
      </c>
      <c r="L87" s="610">
        <f t="shared" si="10"/>
        <v>0</v>
      </c>
      <c r="M87" s="628">
        <f t="shared" si="11"/>
        <v>0</v>
      </c>
      <c r="N87" s="609">
        <v>0</v>
      </c>
      <c r="O87" s="572">
        <v>0</v>
      </c>
      <c r="P87" s="613"/>
      <c r="Q87" s="636"/>
      <c r="R87" s="636"/>
      <c r="S87" s="636"/>
      <c r="T87" s="618"/>
    </row>
    <row r="88" s="555" customFormat="1" ht="20" customHeight="1" outlineLevel="1" spans="1:20">
      <c r="A88" s="582"/>
      <c r="B88" s="583"/>
      <c r="C88" s="589"/>
      <c r="D88" s="592"/>
      <c r="E88" s="583"/>
      <c r="F88" s="583"/>
      <c r="G88" s="590"/>
      <c r="H88" s="585"/>
      <c r="I88" s="618" t="s">
        <v>879</v>
      </c>
      <c r="J88" s="618" t="s">
        <v>879</v>
      </c>
      <c r="K88" s="618" t="s">
        <v>879</v>
      </c>
      <c r="L88" s="618" t="s">
        <v>879</v>
      </c>
      <c r="M88" s="630"/>
      <c r="N88" s="609"/>
      <c r="O88" s="582"/>
      <c r="P88" s="618" t="s">
        <v>879</v>
      </c>
      <c r="Q88" s="618" t="s">
        <v>879</v>
      </c>
      <c r="R88" s="636"/>
      <c r="S88" s="636"/>
      <c r="T88" s="618"/>
    </row>
    <row r="89" s="555" customFormat="1" ht="20" customHeight="1" outlineLevel="1" spans="1:20">
      <c r="A89" s="572">
        <v>10</v>
      </c>
      <c r="B89" s="573" t="str">
        <f>+动态成本!B51</f>
        <v>门窗/幕墙深化设计</v>
      </c>
      <c r="C89" s="588" t="s">
        <v>1023</v>
      </c>
      <c r="D89" s="592" t="s">
        <v>1024</v>
      </c>
      <c r="E89" s="573" t="s">
        <v>1025</v>
      </c>
      <c r="F89" s="573" t="s">
        <v>1026</v>
      </c>
      <c r="G89" s="590">
        <f>106950+16000</f>
        <v>122950</v>
      </c>
      <c r="H89" s="577"/>
      <c r="I89" s="572" t="s">
        <v>876</v>
      </c>
      <c r="J89" s="610"/>
      <c r="K89" s="609">
        <v>0</v>
      </c>
      <c r="L89" s="610">
        <f t="shared" ref="L89:L93" si="12">J89</f>
        <v>0</v>
      </c>
      <c r="M89" s="628">
        <f t="shared" ref="M89:M93" si="13">L89</f>
        <v>0</v>
      </c>
      <c r="N89" s="609">
        <v>0</v>
      </c>
      <c r="O89" s="572">
        <v>0</v>
      </c>
      <c r="P89" s="613"/>
      <c r="Q89" s="636"/>
      <c r="R89" s="636"/>
      <c r="S89" s="636"/>
      <c r="T89" s="618"/>
    </row>
    <row r="90" s="555" customFormat="1" ht="20" customHeight="1" outlineLevel="1" spans="1:20">
      <c r="A90" s="582"/>
      <c r="B90" s="583"/>
      <c r="C90" s="589"/>
      <c r="D90" s="592"/>
      <c r="E90" s="583"/>
      <c r="F90" s="583"/>
      <c r="G90" s="590"/>
      <c r="H90" s="585"/>
      <c r="I90" s="618" t="s">
        <v>879</v>
      </c>
      <c r="J90" s="618" t="s">
        <v>879</v>
      </c>
      <c r="K90" s="618" t="s">
        <v>879</v>
      </c>
      <c r="L90" s="618" t="s">
        <v>879</v>
      </c>
      <c r="M90" s="630"/>
      <c r="N90" s="609"/>
      <c r="O90" s="582"/>
      <c r="P90" s="618" t="s">
        <v>879</v>
      </c>
      <c r="Q90" s="618" t="s">
        <v>879</v>
      </c>
      <c r="R90" s="636"/>
      <c r="S90" s="636"/>
      <c r="T90" s="618"/>
    </row>
    <row r="91" s="555" customFormat="1" ht="20" customHeight="1" outlineLevel="1" spans="1:20">
      <c r="A91" s="572">
        <v>11</v>
      </c>
      <c r="B91" s="573" t="str">
        <f>+动态成本!B50</f>
        <v>夜景照明设计</v>
      </c>
      <c r="C91" s="588" t="s">
        <v>1027</v>
      </c>
      <c r="D91" s="592" t="s">
        <v>1018</v>
      </c>
      <c r="E91" s="573" t="s">
        <v>1028</v>
      </c>
      <c r="F91" s="573" t="s">
        <v>1029</v>
      </c>
      <c r="G91" s="590">
        <v>34429.5</v>
      </c>
      <c r="H91" s="577"/>
      <c r="I91" s="572" t="s">
        <v>876</v>
      </c>
      <c r="J91" s="610"/>
      <c r="K91" s="609">
        <v>0</v>
      </c>
      <c r="L91" s="610">
        <f t="shared" si="12"/>
        <v>0</v>
      </c>
      <c r="M91" s="628">
        <f t="shared" si="13"/>
        <v>0</v>
      </c>
      <c r="N91" s="609">
        <v>0</v>
      </c>
      <c r="O91" s="572">
        <v>0</v>
      </c>
      <c r="P91" s="613"/>
      <c r="Q91" s="636"/>
      <c r="R91" s="636"/>
      <c r="S91" s="636"/>
      <c r="T91" s="618"/>
    </row>
    <row r="92" s="555" customFormat="1" ht="20" customHeight="1" outlineLevel="1" spans="1:20">
      <c r="A92" s="582"/>
      <c r="B92" s="583"/>
      <c r="C92" s="589"/>
      <c r="D92" s="592"/>
      <c r="E92" s="583"/>
      <c r="F92" s="583"/>
      <c r="G92" s="590"/>
      <c r="H92" s="585"/>
      <c r="I92" s="618" t="s">
        <v>879</v>
      </c>
      <c r="J92" s="618" t="s">
        <v>879</v>
      </c>
      <c r="K92" s="618" t="s">
        <v>879</v>
      </c>
      <c r="L92" s="618" t="s">
        <v>879</v>
      </c>
      <c r="M92" s="630"/>
      <c r="N92" s="609"/>
      <c r="O92" s="582"/>
      <c r="P92" s="618" t="s">
        <v>879</v>
      </c>
      <c r="Q92" s="618" t="s">
        <v>879</v>
      </c>
      <c r="R92" s="636"/>
      <c r="S92" s="636"/>
      <c r="T92" s="618"/>
    </row>
    <row r="93" s="555" customFormat="1" ht="20" customHeight="1" outlineLevel="1" spans="1:20">
      <c r="A93" s="572">
        <v>12</v>
      </c>
      <c r="B93" s="573" t="str">
        <f>+动态成本!B43</f>
        <v>智能化设计</v>
      </c>
      <c r="C93" s="588" t="s">
        <v>1030</v>
      </c>
      <c r="D93" s="592" t="s">
        <v>967</v>
      </c>
      <c r="E93" s="573" t="s">
        <v>1031</v>
      </c>
      <c r="F93" s="573" t="s">
        <v>1032</v>
      </c>
      <c r="G93" s="590">
        <v>28688</v>
      </c>
      <c r="H93" s="577"/>
      <c r="I93" s="572" t="s">
        <v>876</v>
      </c>
      <c r="J93" s="610"/>
      <c r="K93" s="609">
        <v>0</v>
      </c>
      <c r="L93" s="610">
        <f t="shared" si="12"/>
        <v>0</v>
      </c>
      <c r="M93" s="628">
        <f t="shared" si="13"/>
        <v>0</v>
      </c>
      <c r="N93" s="609">
        <v>0</v>
      </c>
      <c r="O93" s="572">
        <v>0</v>
      </c>
      <c r="P93" s="613"/>
      <c r="Q93" s="636"/>
      <c r="R93" s="636"/>
      <c r="S93" s="636"/>
      <c r="T93" s="618"/>
    </row>
    <row r="94" s="555" customFormat="1" ht="20" customHeight="1" outlineLevel="1" spans="1:20">
      <c r="A94" s="582"/>
      <c r="B94" s="583"/>
      <c r="C94" s="589"/>
      <c r="D94" s="592"/>
      <c r="E94" s="583"/>
      <c r="F94" s="583"/>
      <c r="G94" s="590"/>
      <c r="H94" s="585"/>
      <c r="I94" s="618" t="s">
        <v>879</v>
      </c>
      <c r="J94" s="618" t="s">
        <v>879</v>
      </c>
      <c r="K94" s="618" t="s">
        <v>879</v>
      </c>
      <c r="L94" s="618" t="s">
        <v>879</v>
      </c>
      <c r="M94" s="630"/>
      <c r="N94" s="609"/>
      <c r="O94" s="582"/>
      <c r="P94" s="618" t="s">
        <v>879</v>
      </c>
      <c r="Q94" s="618" t="s">
        <v>879</v>
      </c>
      <c r="R94" s="636"/>
      <c r="S94" s="636"/>
      <c r="T94" s="618"/>
    </row>
    <row r="95" s="555" customFormat="1" ht="20" customHeight="1" outlineLevel="1" spans="1:20">
      <c r="A95" s="572">
        <v>13</v>
      </c>
      <c r="B95" s="573" t="str">
        <f>+动态成本!B39</f>
        <v>公区精装修设计</v>
      </c>
      <c r="C95" s="588" t="s">
        <v>1033</v>
      </c>
      <c r="D95" s="592" t="s">
        <v>1034</v>
      </c>
      <c r="E95" s="573" t="s">
        <v>1021</v>
      </c>
      <c r="F95" s="573" t="s">
        <v>1035</v>
      </c>
      <c r="G95" s="590">
        <v>166150</v>
      </c>
      <c r="H95" s="577"/>
      <c r="I95" s="572" t="s">
        <v>876</v>
      </c>
      <c r="J95" s="610"/>
      <c r="K95" s="609">
        <v>0</v>
      </c>
      <c r="L95" s="610">
        <f>J95</f>
        <v>0</v>
      </c>
      <c r="M95" s="628">
        <f>L95</f>
        <v>0</v>
      </c>
      <c r="N95" s="609">
        <v>0</v>
      </c>
      <c r="O95" s="572">
        <v>0</v>
      </c>
      <c r="P95" s="613"/>
      <c r="Q95" s="636"/>
      <c r="R95" s="636"/>
      <c r="S95" s="636"/>
      <c r="T95" s="618"/>
    </row>
    <row r="96" s="555" customFormat="1" ht="20" customHeight="1" outlineLevel="1" spans="1:20">
      <c r="A96" s="582"/>
      <c r="B96" s="583"/>
      <c r="C96" s="589"/>
      <c r="D96" s="592"/>
      <c r="E96" s="583"/>
      <c r="F96" s="583"/>
      <c r="G96" s="590"/>
      <c r="H96" s="585"/>
      <c r="I96" s="618" t="s">
        <v>879</v>
      </c>
      <c r="J96" s="618" t="s">
        <v>879</v>
      </c>
      <c r="K96" s="618" t="s">
        <v>879</v>
      </c>
      <c r="L96" s="618" t="s">
        <v>879</v>
      </c>
      <c r="M96" s="630"/>
      <c r="N96" s="609"/>
      <c r="O96" s="582"/>
      <c r="P96" s="618" t="s">
        <v>879</v>
      </c>
      <c r="Q96" s="618" t="s">
        <v>879</v>
      </c>
      <c r="R96" s="636"/>
      <c r="S96" s="636"/>
      <c r="T96" s="618"/>
    </row>
    <row r="97" s="555" customFormat="1" ht="20" customHeight="1" outlineLevel="1" spans="1:20">
      <c r="A97" s="572">
        <v>14</v>
      </c>
      <c r="B97" s="573" t="str">
        <f>+动态成本!B61</f>
        <v>可行性研究编制</v>
      </c>
      <c r="C97" s="588" t="s">
        <v>1036</v>
      </c>
      <c r="D97" s="592" t="s">
        <v>1037</v>
      </c>
      <c r="E97" s="573" t="s">
        <v>1038</v>
      </c>
      <c r="F97" s="573" t="s">
        <v>1039</v>
      </c>
      <c r="G97" s="590">
        <v>60000</v>
      </c>
      <c r="H97" s="577"/>
      <c r="I97" s="572" t="s">
        <v>876</v>
      </c>
      <c r="J97" s="610"/>
      <c r="K97" s="609">
        <v>0</v>
      </c>
      <c r="L97" s="610">
        <f>J97</f>
        <v>0</v>
      </c>
      <c r="M97" s="628">
        <f>L97</f>
        <v>0</v>
      </c>
      <c r="N97" s="609">
        <v>0</v>
      </c>
      <c r="O97" s="572">
        <v>0</v>
      </c>
      <c r="P97" s="613"/>
      <c r="Q97" s="636"/>
      <c r="R97" s="636"/>
      <c r="S97" s="636"/>
      <c r="T97" s="618"/>
    </row>
    <row r="98" s="555" customFormat="1" ht="20" customHeight="1" outlineLevel="1" spans="1:20">
      <c r="A98" s="582"/>
      <c r="B98" s="583"/>
      <c r="C98" s="589"/>
      <c r="D98" s="592"/>
      <c r="E98" s="583"/>
      <c r="F98" s="583"/>
      <c r="G98" s="590"/>
      <c r="H98" s="585"/>
      <c r="I98" s="618" t="s">
        <v>879</v>
      </c>
      <c r="J98" s="618" t="s">
        <v>879</v>
      </c>
      <c r="K98" s="618" t="s">
        <v>879</v>
      </c>
      <c r="L98" s="618" t="s">
        <v>879</v>
      </c>
      <c r="M98" s="630"/>
      <c r="N98" s="609"/>
      <c r="O98" s="582"/>
      <c r="P98" s="618" t="s">
        <v>879</v>
      </c>
      <c r="Q98" s="618" t="s">
        <v>879</v>
      </c>
      <c r="R98" s="636"/>
      <c r="S98" s="636"/>
      <c r="T98" s="618"/>
    </row>
    <row r="99" s="555" customFormat="1" ht="20" customHeight="1" spans="1:20">
      <c r="A99" s="572">
        <v>28</v>
      </c>
      <c r="B99" s="573"/>
      <c r="C99" s="588"/>
      <c r="D99" s="592"/>
      <c r="E99" s="573"/>
      <c r="F99" s="573"/>
      <c r="G99" s="590"/>
      <c r="H99" s="577"/>
      <c r="I99" s="572"/>
      <c r="J99" s="610"/>
      <c r="K99" s="609"/>
      <c r="L99" s="610"/>
      <c r="M99" s="628"/>
      <c r="N99" s="609"/>
      <c r="O99" s="572"/>
      <c r="P99" s="613"/>
      <c r="Q99" s="636"/>
      <c r="R99" s="636"/>
      <c r="S99" s="636"/>
      <c r="T99" s="618"/>
    </row>
    <row r="100" s="555" customFormat="1" ht="20" customHeight="1" spans="1:20">
      <c r="A100" s="582"/>
      <c r="B100" s="583"/>
      <c r="C100" s="589"/>
      <c r="D100" s="592"/>
      <c r="E100" s="583"/>
      <c r="F100" s="583"/>
      <c r="G100" s="590"/>
      <c r="H100" s="585"/>
      <c r="I100" s="618"/>
      <c r="J100" s="618"/>
      <c r="K100" s="618"/>
      <c r="L100" s="618"/>
      <c r="M100" s="630"/>
      <c r="N100" s="609"/>
      <c r="O100" s="582"/>
      <c r="P100" s="618"/>
      <c r="Q100" s="618"/>
      <c r="R100" s="636"/>
      <c r="S100" s="636"/>
      <c r="T100" s="618"/>
    </row>
    <row r="101" s="555" customFormat="1" ht="20" customHeight="1" spans="1:20">
      <c r="A101" s="613"/>
      <c r="B101" s="574"/>
      <c r="C101" s="618"/>
      <c r="D101" s="575"/>
      <c r="E101" s="574"/>
      <c r="F101" s="574"/>
      <c r="G101" s="638"/>
      <c r="H101" s="639"/>
      <c r="I101" s="640"/>
      <c r="J101" s="618"/>
      <c r="K101" s="618"/>
      <c r="L101" s="618"/>
      <c r="M101" s="645"/>
      <c r="N101" s="609"/>
      <c r="O101" s="613"/>
      <c r="P101" s="618"/>
      <c r="Q101" s="618"/>
      <c r="R101" s="636"/>
      <c r="S101" s="636"/>
      <c r="T101" s="618"/>
    </row>
    <row r="102" s="555" customFormat="1" ht="20" customHeight="1" spans="1:20">
      <c r="A102" s="613"/>
      <c r="B102" s="574"/>
      <c r="C102" s="618"/>
      <c r="D102" s="575"/>
      <c r="E102" s="574"/>
      <c r="F102" s="574"/>
      <c r="G102" s="638"/>
      <c r="H102" s="639"/>
      <c r="I102" s="640"/>
      <c r="J102" s="618"/>
      <c r="K102" s="618"/>
      <c r="L102" s="618"/>
      <c r="M102" s="645"/>
      <c r="N102" s="609"/>
      <c r="O102" s="613"/>
      <c r="P102" s="618"/>
      <c r="Q102" s="618"/>
      <c r="R102" s="636"/>
      <c r="S102" s="636"/>
      <c r="T102" s="618"/>
    </row>
    <row r="103" s="555" customFormat="1" ht="20" customHeight="1" spans="1:20">
      <c r="A103" s="613"/>
      <c r="B103" s="574"/>
      <c r="C103" s="618"/>
      <c r="D103" s="575"/>
      <c r="E103" s="574"/>
      <c r="F103" s="574"/>
      <c r="G103" s="638"/>
      <c r="H103" s="639"/>
      <c r="I103" s="640"/>
      <c r="J103" s="618"/>
      <c r="K103" s="618"/>
      <c r="L103" s="618"/>
      <c r="M103" s="645"/>
      <c r="N103" s="609"/>
      <c r="O103" s="613"/>
      <c r="P103" s="618"/>
      <c r="Q103" s="618"/>
      <c r="R103" s="636"/>
      <c r="S103" s="636"/>
      <c r="T103" s="618"/>
    </row>
    <row r="104" s="555" customFormat="1" ht="20" customHeight="1" spans="1:20">
      <c r="A104" s="613"/>
      <c r="B104" s="574"/>
      <c r="C104" s="618"/>
      <c r="D104" s="575"/>
      <c r="E104" s="574"/>
      <c r="F104" s="574"/>
      <c r="G104" s="638"/>
      <c r="H104" s="639"/>
      <c r="I104" s="640"/>
      <c r="J104" s="618"/>
      <c r="K104" s="618"/>
      <c r="L104" s="618"/>
      <c r="M104" s="645"/>
      <c r="N104" s="609"/>
      <c r="O104" s="613"/>
      <c r="P104" s="618"/>
      <c r="Q104" s="618"/>
      <c r="R104" s="636"/>
      <c r="S104" s="636"/>
      <c r="T104" s="618"/>
    </row>
    <row r="105" s="555" customFormat="1" ht="20" customHeight="1" spans="1:20">
      <c r="A105" s="572"/>
      <c r="B105" s="573"/>
      <c r="C105" s="640" t="s">
        <v>1040</v>
      </c>
      <c r="D105" s="575"/>
      <c r="E105" s="573"/>
      <c r="F105" s="573"/>
      <c r="G105" s="576"/>
      <c r="H105" s="577"/>
      <c r="I105" s="572" t="s">
        <v>1041</v>
      </c>
      <c r="J105" s="613"/>
      <c r="K105" s="609"/>
      <c r="L105" s="609"/>
      <c r="M105" s="621"/>
      <c r="N105" s="609"/>
      <c r="O105" s="612"/>
      <c r="P105" s="613"/>
      <c r="Q105" s="636"/>
      <c r="R105" s="636"/>
      <c r="S105" s="636"/>
      <c r="T105" s="613"/>
    </row>
    <row r="106" s="555" customFormat="1" ht="20" customHeight="1" spans="1:20">
      <c r="A106" s="582"/>
      <c r="B106" s="583"/>
      <c r="C106" s="641"/>
      <c r="D106" s="575"/>
      <c r="E106" s="583"/>
      <c r="F106" s="583"/>
      <c r="G106" s="584"/>
      <c r="H106" s="585"/>
      <c r="I106" s="618" t="s">
        <v>879</v>
      </c>
      <c r="J106" s="618" t="s">
        <v>879</v>
      </c>
      <c r="K106" s="618" t="s">
        <v>879</v>
      </c>
      <c r="L106" s="618" t="s">
        <v>879</v>
      </c>
      <c r="M106" s="624"/>
      <c r="N106" s="609"/>
      <c r="O106" s="620"/>
      <c r="P106" s="618" t="s">
        <v>879</v>
      </c>
      <c r="Q106" s="618" t="s">
        <v>879</v>
      </c>
      <c r="R106" s="636"/>
      <c r="S106" s="636"/>
      <c r="T106" s="618"/>
    </row>
    <row r="107" s="555" customFormat="1" spans="2:7">
      <c r="B107" s="642"/>
      <c r="G107" s="643"/>
    </row>
    <row r="108" spans="7:7">
      <c r="G108" s="644"/>
    </row>
  </sheetData>
  <autoFilter ref="A3:T106">
    <extLst/>
  </autoFilter>
  <mergeCells count="499">
    <mergeCell ref="A1:T1"/>
    <mergeCell ref="A2:T2"/>
    <mergeCell ref="C4:E4"/>
    <mergeCell ref="C70:E70"/>
    <mergeCell ref="A5:A7"/>
    <mergeCell ref="A8:A11"/>
    <mergeCell ref="A12:A14"/>
    <mergeCell ref="A15:A16"/>
    <mergeCell ref="A17:A19"/>
    <mergeCell ref="A20:A21"/>
    <mergeCell ref="A22:A23"/>
    <mergeCell ref="A24:A26"/>
    <mergeCell ref="A27:A29"/>
    <mergeCell ref="A30:A32"/>
    <mergeCell ref="A33:A35"/>
    <mergeCell ref="A36:A37"/>
    <mergeCell ref="A38:A39"/>
    <mergeCell ref="A40:A41"/>
    <mergeCell ref="A42:A43"/>
    <mergeCell ref="A44:A45"/>
    <mergeCell ref="A46:A47"/>
    <mergeCell ref="A48:A49"/>
    <mergeCell ref="A50:A51"/>
    <mergeCell ref="A52:A53"/>
    <mergeCell ref="A54:A55"/>
    <mergeCell ref="A56:A57"/>
    <mergeCell ref="A58:A59"/>
    <mergeCell ref="A60:A61"/>
    <mergeCell ref="A62:A63"/>
    <mergeCell ref="A64:A65"/>
    <mergeCell ref="A66:A67"/>
    <mergeCell ref="A68:A69"/>
    <mergeCell ref="A71:A72"/>
    <mergeCell ref="A73:A74"/>
    <mergeCell ref="A75:A76"/>
    <mergeCell ref="A77:A78"/>
    <mergeCell ref="A79:A80"/>
    <mergeCell ref="A81:A82"/>
    <mergeCell ref="A83:A84"/>
    <mergeCell ref="A85:A86"/>
    <mergeCell ref="A87:A88"/>
    <mergeCell ref="A89:A90"/>
    <mergeCell ref="A91:A92"/>
    <mergeCell ref="A93:A94"/>
    <mergeCell ref="A95:A96"/>
    <mergeCell ref="A97:A98"/>
    <mergeCell ref="A99:A100"/>
    <mergeCell ref="A105:A106"/>
    <mergeCell ref="B5:B7"/>
    <mergeCell ref="B8:B11"/>
    <mergeCell ref="B12:B14"/>
    <mergeCell ref="B15:B16"/>
    <mergeCell ref="B17:B19"/>
    <mergeCell ref="B20:B21"/>
    <mergeCell ref="B22:B23"/>
    <mergeCell ref="B24:B26"/>
    <mergeCell ref="B27:B29"/>
    <mergeCell ref="B30:B32"/>
    <mergeCell ref="B33:B35"/>
    <mergeCell ref="B36:B37"/>
    <mergeCell ref="B38:B39"/>
    <mergeCell ref="B40:B41"/>
    <mergeCell ref="B42:B43"/>
    <mergeCell ref="B44:B45"/>
    <mergeCell ref="B46:B47"/>
    <mergeCell ref="B48:B49"/>
    <mergeCell ref="B50:B51"/>
    <mergeCell ref="B52:B53"/>
    <mergeCell ref="B54:B55"/>
    <mergeCell ref="B56:B57"/>
    <mergeCell ref="B58:B59"/>
    <mergeCell ref="B60:B61"/>
    <mergeCell ref="B62:B63"/>
    <mergeCell ref="B64:B65"/>
    <mergeCell ref="B66:B67"/>
    <mergeCell ref="B68:B69"/>
    <mergeCell ref="B71:B72"/>
    <mergeCell ref="B73:B74"/>
    <mergeCell ref="B75:B76"/>
    <mergeCell ref="B77:B78"/>
    <mergeCell ref="B79:B80"/>
    <mergeCell ref="B81:B82"/>
    <mergeCell ref="B83:B84"/>
    <mergeCell ref="B85:B86"/>
    <mergeCell ref="B87:B88"/>
    <mergeCell ref="B89:B90"/>
    <mergeCell ref="B91:B92"/>
    <mergeCell ref="B93:B94"/>
    <mergeCell ref="B95:B96"/>
    <mergeCell ref="B97:B98"/>
    <mergeCell ref="B99:B100"/>
    <mergeCell ref="C5:C7"/>
    <mergeCell ref="C8:C11"/>
    <mergeCell ref="C12:C14"/>
    <mergeCell ref="C15:C16"/>
    <mergeCell ref="C17:C19"/>
    <mergeCell ref="C20:C21"/>
    <mergeCell ref="C22:C23"/>
    <mergeCell ref="C24:C26"/>
    <mergeCell ref="C27:C29"/>
    <mergeCell ref="C30:C32"/>
    <mergeCell ref="C33:C35"/>
    <mergeCell ref="C36:C37"/>
    <mergeCell ref="C38:C39"/>
    <mergeCell ref="C40:C41"/>
    <mergeCell ref="C42:C43"/>
    <mergeCell ref="C44:C45"/>
    <mergeCell ref="C46:C47"/>
    <mergeCell ref="C48:C49"/>
    <mergeCell ref="C50:C51"/>
    <mergeCell ref="C52:C53"/>
    <mergeCell ref="C54:C55"/>
    <mergeCell ref="C56:C57"/>
    <mergeCell ref="C58:C59"/>
    <mergeCell ref="C60:C61"/>
    <mergeCell ref="C62:C63"/>
    <mergeCell ref="C64:C65"/>
    <mergeCell ref="C66:C67"/>
    <mergeCell ref="C68:C69"/>
    <mergeCell ref="C71:C72"/>
    <mergeCell ref="C73:C74"/>
    <mergeCell ref="C75:C76"/>
    <mergeCell ref="C77:C78"/>
    <mergeCell ref="C79:C80"/>
    <mergeCell ref="C81:C82"/>
    <mergeCell ref="C83:C84"/>
    <mergeCell ref="C85:C86"/>
    <mergeCell ref="C87:C88"/>
    <mergeCell ref="C89:C90"/>
    <mergeCell ref="C91:C92"/>
    <mergeCell ref="C93:C94"/>
    <mergeCell ref="C95:C96"/>
    <mergeCell ref="C97:C98"/>
    <mergeCell ref="C99:C100"/>
    <mergeCell ref="C105:C106"/>
    <mergeCell ref="D5:D7"/>
    <mergeCell ref="D8:D11"/>
    <mergeCell ref="D12:D14"/>
    <mergeCell ref="D15:D16"/>
    <mergeCell ref="D17:D19"/>
    <mergeCell ref="D20:D21"/>
    <mergeCell ref="D22:D23"/>
    <mergeCell ref="D24:D26"/>
    <mergeCell ref="D27:D29"/>
    <mergeCell ref="D30:D32"/>
    <mergeCell ref="D33:D35"/>
    <mergeCell ref="D36:D37"/>
    <mergeCell ref="D38:D39"/>
    <mergeCell ref="D40:D41"/>
    <mergeCell ref="D42:D43"/>
    <mergeCell ref="D44:D45"/>
    <mergeCell ref="D46:D47"/>
    <mergeCell ref="D48:D49"/>
    <mergeCell ref="D50:D51"/>
    <mergeCell ref="D52:D53"/>
    <mergeCell ref="D54:D55"/>
    <mergeCell ref="D56:D57"/>
    <mergeCell ref="D58:D59"/>
    <mergeCell ref="D60:D61"/>
    <mergeCell ref="D62:D63"/>
    <mergeCell ref="D64:D65"/>
    <mergeCell ref="D66:D67"/>
    <mergeCell ref="D68:D69"/>
    <mergeCell ref="D71:D72"/>
    <mergeCell ref="D73:D74"/>
    <mergeCell ref="D75:D76"/>
    <mergeCell ref="D77:D78"/>
    <mergeCell ref="D79:D80"/>
    <mergeCell ref="D81:D82"/>
    <mergeCell ref="D83:D84"/>
    <mergeCell ref="D85:D86"/>
    <mergeCell ref="D87:D88"/>
    <mergeCell ref="D89:D90"/>
    <mergeCell ref="D91:D92"/>
    <mergeCell ref="D93:D94"/>
    <mergeCell ref="D95:D96"/>
    <mergeCell ref="D97:D98"/>
    <mergeCell ref="D99:D100"/>
    <mergeCell ref="D101:D102"/>
    <mergeCell ref="D103:D104"/>
    <mergeCell ref="D105:D106"/>
    <mergeCell ref="E5:E7"/>
    <mergeCell ref="E8:E11"/>
    <mergeCell ref="E12:E14"/>
    <mergeCell ref="E15:E16"/>
    <mergeCell ref="E17:E19"/>
    <mergeCell ref="E20:E21"/>
    <mergeCell ref="E22:E23"/>
    <mergeCell ref="E24:E26"/>
    <mergeCell ref="E27:E29"/>
    <mergeCell ref="E30:E32"/>
    <mergeCell ref="E33:E35"/>
    <mergeCell ref="E36:E37"/>
    <mergeCell ref="E38:E39"/>
    <mergeCell ref="E40:E41"/>
    <mergeCell ref="E42:E43"/>
    <mergeCell ref="E44:E45"/>
    <mergeCell ref="E46:E47"/>
    <mergeCell ref="E48:E49"/>
    <mergeCell ref="E50:E51"/>
    <mergeCell ref="E52:E53"/>
    <mergeCell ref="E54:E55"/>
    <mergeCell ref="E56:E57"/>
    <mergeCell ref="E58:E59"/>
    <mergeCell ref="E60:E61"/>
    <mergeCell ref="E62:E63"/>
    <mergeCell ref="E64:E65"/>
    <mergeCell ref="E66:E67"/>
    <mergeCell ref="E68:E69"/>
    <mergeCell ref="E71:E72"/>
    <mergeCell ref="E73:E74"/>
    <mergeCell ref="E75:E76"/>
    <mergeCell ref="E77:E78"/>
    <mergeCell ref="E79:E80"/>
    <mergeCell ref="E81:E82"/>
    <mergeCell ref="E83:E84"/>
    <mergeCell ref="E85:E86"/>
    <mergeCell ref="E87:E88"/>
    <mergeCell ref="E89:E90"/>
    <mergeCell ref="E91:E92"/>
    <mergeCell ref="E93:E94"/>
    <mergeCell ref="E95:E96"/>
    <mergeCell ref="E97:E98"/>
    <mergeCell ref="E99:E100"/>
    <mergeCell ref="E105:E106"/>
    <mergeCell ref="F5:F7"/>
    <mergeCell ref="F8:F11"/>
    <mergeCell ref="F12:F14"/>
    <mergeCell ref="F15:F16"/>
    <mergeCell ref="F17:F19"/>
    <mergeCell ref="F20:F21"/>
    <mergeCell ref="F22:F23"/>
    <mergeCell ref="F24:F26"/>
    <mergeCell ref="F27:F29"/>
    <mergeCell ref="F30:F32"/>
    <mergeCell ref="F33:F35"/>
    <mergeCell ref="F36:F37"/>
    <mergeCell ref="F38:F39"/>
    <mergeCell ref="F40:F41"/>
    <mergeCell ref="F42:F43"/>
    <mergeCell ref="F44:F45"/>
    <mergeCell ref="F46:F47"/>
    <mergeCell ref="F48:F49"/>
    <mergeCell ref="F50:F51"/>
    <mergeCell ref="F52:F53"/>
    <mergeCell ref="F54:F55"/>
    <mergeCell ref="F56:F57"/>
    <mergeCell ref="F58:F59"/>
    <mergeCell ref="F60:F61"/>
    <mergeCell ref="F62:F63"/>
    <mergeCell ref="F64:F65"/>
    <mergeCell ref="F66:F67"/>
    <mergeCell ref="F68:F69"/>
    <mergeCell ref="F71:F72"/>
    <mergeCell ref="F73:F74"/>
    <mergeCell ref="F75:F76"/>
    <mergeCell ref="F77:F78"/>
    <mergeCell ref="F79:F80"/>
    <mergeCell ref="F81:F82"/>
    <mergeCell ref="F83:F84"/>
    <mergeCell ref="F85:F86"/>
    <mergeCell ref="F87:F88"/>
    <mergeCell ref="F89:F90"/>
    <mergeCell ref="F91:F92"/>
    <mergeCell ref="F93:F94"/>
    <mergeCell ref="F95:F96"/>
    <mergeCell ref="F97:F98"/>
    <mergeCell ref="F99:F100"/>
    <mergeCell ref="F105:F106"/>
    <mergeCell ref="G5:G7"/>
    <mergeCell ref="G8:G11"/>
    <mergeCell ref="G12:G14"/>
    <mergeCell ref="G15:G16"/>
    <mergeCell ref="G17:G19"/>
    <mergeCell ref="G20:G21"/>
    <mergeCell ref="G22:G23"/>
    <mergeCell ref="G24:G26"/>
    <mergeCell ref="G27:G29"/>
    <mergeCell ref="G30:G32"/>
    <mergeCell ref="G33:G35"/>
    <mergeCell ref="G36:G37"/>
    <mergeCell ref="G38:G39"/>
    <mergeCell ref="G40:G41"/>
    <mergeCell ref="G42:G43"/>
    <mergeCell ref="G44:G45"/>
    <mergeCell ref="G46:G47"/>
    <mergeCell ref="G48:G49"/>
    <mergeCell ref="G50:G51"/>
    <mergeCell ref="G52:G53"/>
    <mergeCell ref="G54:G55"/>
    <mergeCell ref="G56:G57"/>
    <mergeCell ref="G58:G59"/>
    <mergeCell ref="G60:G61"/>
    <mergeCell ref="G62:G63"/>
    <mergeCell ref="G64:G65"/>
    <mergeCell ref="G66:G67"/>
    <mergeCell ref="G68:G69"/>
    <mergeCell ref="G71:G72"/>
    <mergeCell ref="G73:G74"/>
    <mergeCell ref="G75:G76"/>
    <mergeCell ref="G77:G78"/>
    <mergeCell ref="G79:G80"/>
    <mergeCell ref="G81:G82"/>
    <mergeCell ref="G83:G84"/>
    <mergeCell ref="G85:G86"/>
    <mergeCell ref="G87:G88"/>
    <mergeCell ref="G89:G90"/>
    <mergeCell ref="G91:G92"/>
    <mergeCell ref="G93:G94"/>
    <mergeCell ref="G95:G96"/>
    <mergeCell ref="G97:G98"/>
    <mergeCell ref="G99:G100"/>
    <mergeCell ref="G105:G106"/>
    <mergeCell ref="H5:H7"/>
    <mergeCell ref="H8:H11"/>
    <mergeCell ref="H12:H14"/>
    <mergeCell ref="H15:H16"/>
    <mergeCell ref="H17:H19"/>
    <mergeCell ref="H20:H21"/>
    <mergeCell ref="H22:H23"/>
    <mergeCell ref="H24:H26"/>
    <mergeCell ref="H27:H29"/>
    <mergeCell ref="H30:H32"/>
    <mergeCell ref="H33:H35"/>
    <mergeCell ref="H36:H37"/>
    <mergeCell ref="H38:H39"/>
    <mergeCell ref="H40:H41"/>
    <mergeCell ref="H42:H43"/>
    <mergeCell ref="H44:H45"/>
    <mergeCell ref="H46:H47"/>
    <mergeCell ref="H48:H49"/>
    <mergeCell ref="H50:H51"/>
    <mergeCell ref="H52:H53"/>
    <mergeCell ref="H54:H55"/>
    <mergeCell ref="H56:H57"/>
    <mergeCell ref="H58:H59"/>
    <mergeCell ref="H60:H61"/>
    <mergeCell ref="H62:H63"/>
    <mergeCell ref="H64:H65"/>
    <mergeCell ref="H66:H67"/>
    <mergeCell ref="H68:H69"/>
    <mergeCell ref="H71:H72"/>
    <mergeCell ref="H73:H74"/>
    <mergeCell ref="H75:H76"/>
    <mergeCell ref="H77:H78"/>
    <mergeCell ref="H79:H80"/>
    <mergeCell ref="H81:H82"/>
    <mergeCell ref="H83:H84"/>
    <mergeCell ref="H85:H86"/>
    <mergeCell ref="H87:H88"/>
    <mergeCell ref="H89:H90"/>
    <mergeCell ref="H91:H92"/>
    <mergeCell ref="H93:H94"/>
    <mergeCell ref="H95:H96"/>
    <mergeCell ref="H97:H98"/>
    <mergeCell ref="H99:H100"/>
    <mergeCell ref="H105:H106"/>
    <mergeCell ref="I5:I6"/>
    <mergeCell ref="I27:I28"/>
    <mergeCell ref="I30:I31"/>
    <mergeCell ref="J5:J6"/>
    <mergeCell ref="J27:J28"/>
    <mergeCell ref="J30:J31"/>
    <mergeCell ref="M5:M7"/>
    <mergeCell ref="M8:M11"/>
    <mergeCell ref="M12:M14"/>
    <mergeCell ref="M15:M16"/>
    <mergeCell ref="M17:M19"/>
    <mergeCell ref="M20:M21"/>
    <mergeCell ref="M22:M23"/>
    <mergeCell ref="M24:M26"/>
    <mergeCell ref="M27:M29"/>
    <mergeCell ref="M30:M32"/>
    <mergeCell ref="M33:M35"/>
    <mergeCell ref="M36:M37"/>
    <mergeCell ref="M38:M39"/>
    <mergeCell ref="M40:M41"/>
    <mergeCell ref="M42:M43"/>
    <mergeCell ref="M44:M45"/>
    <mergeCell ref="M46:M47"/>
    <mergeCell ref="M48:M49"/>
    <mergeCell ref="M50:M51"/>
    <mergeCell ref="M52:M53"/>
    <mergeCell ref="M54:M55"/>
    <mergeCell ref="M56:M57"/>
    <mergeCell ref="M58:M59"/>
    <mergeCell ref="M60:M61"/>
    <mergeCell ref="M62:M63"/>
    <mergeCell ref="M64:M65"/>
    <mergeCell ref="M66:M67"/>
    <mergeCell ref="M68:M69"/>
    <mergeCell ref="M71:M72"/>
    <mergeCell ref="M73:M74"/>
    <mergeCell ref="M75:M76"/>
    <mergeCell ref="M77:M78"/>
    <mergeCell ref="M79:M80"/>
    <mergeCell ref="M81:M82"/>
    <mergeCell ref="M83:M84"/>
    <mergeCell ref="M85:M86"/>
    <mergeCell ref="M87:M88"/>
    <mergeCell ref="M89:M90"/>
    <mergeCell ref="M91:M92"/>
    <mergeCell ref="M93:M94"/>
    <mergeCell ref="M95:M96"/>
    <mergeCell ref="M97:M98"/>
    <mergeCell ref="M99:M100"/>
    <mergeCell ref="M105:M106"/>
    <mergeCell ref="N5:N7"/>
    <mergeCell ref="N8:N11"/>
    <mergeCell ref="N12:N14"/>
    <mergeCell ref="N15:N16"/>
    <mergeCell ref="N17:N19"/>
    <mergeCell ref="N20:N21"/>
    <mergeCell ref="N22:N23"/>
    <mergeCell ref="N24:N26"/>
    <mergeCell ref="N27:N29"/>
    <mergeCell ref="N30:N32"/>
    <mergeCell ref="N33:N35"/>
    <mergeCell ref="N36:N37"/>
    <mergeCell ref="N38:N39"/>
    <mergeCell ref="N40:N41"/>
    <mergeCell ref="N42:N43"/>
    <mergeCell ref="N44:N45"/>
    <mergeCell ref="N46:N47"/>
    <mergeCell ref="N48:N49"/>
    <mergeCell ref="N50:N51"/>
    <mergeCell ref="N52:N53"/>
    <mergeCell ref="N54:N55"/>
    <mergeCell ref="N56:N57"/>
    <mergeCell ref="N58:N59"/>
    <mergeCell ref="N60:N61"/>
    <mergeCell ref="N62:N63"/>
    <mergeCell ref="N64:N65"/>
    <mergeCell ref="N66:N67"/>
    <mergeCell ref="N68:N69"/>
    <mergeCell ref="N71:N72"/>
    <mergeCell ref="N73:N74"/>
    <mergeCell ref="N75:N76"/>
    <mergeCell ref="N77:N78"/>
    <mergeCell ref="N79:N80"/>
    <mergeCell ref="N81:N82"/>
    <mergeCell ref="N83:N84"/>
    <mergeCell ref="N85:N86"/>
    <mergeCell ref="N87:N88"/>
    <mergeCell ref="N89:N90"/>
    <mergeCell ref="N91:N92"/>
    <mergeCell ref="N93:N94"/>
    <mergeCell ref="N95:N96"/>
    <mergeCell ref="N97:N98"/>
    <mergeCell ref="N99:N100"/>
    <mergeCell ref="N101:N102"/>
    <mergeCell ref="N103:N104"/>
    <mergeCell ref="N105:N106"/>
    <mergeCell ref="O5:O7"/>
    <mergeCell ref="O8:O11"/>
    <mergeCell ref="O12:O14"/>
    <mergeCell ref="O15:O16"/>
    <mergeCell ref="O17:O19"/>
    <mergeCell ref="O20:O21"/>
    <mergeCell ref="O22:O23"/>
    <mergeCell ref="O24:O26"/>
    <mergeCell ref="O27:O29"/>
    <mergeCell ref="O30:O32"/>
    <mergeCell ref="O33:O35"/>
    <mergeCell ref="O36:O37"/>
    <mergeCell ref="O38:O39"/>
    <mergeCell ref="O40:O41"/>
    <mergeCell ref="O42:O43"/>
    <mergeCell ref="O44:O45"/>
    <mergeCell ref="O46:O47"/>
    <mergeCell ref="O48:O49"/>
    <mergeCell ref="O50:O51"/>
    <mergeCell ref="O52:O53"/>
    <mergeCell ref="O54:O55"/>
    <mergeCell ref="O56:O57"/>
    <mergeCell ref="O58:O59"/>
    <mergeCell ref="O60:O61"/>
    <mergeCell ref="O62:O63"/>
    <mergeCell ref="O64:O65"/>
    <mergeCell ref="O66:O67"/>
    <mergeCell ref="O68:O69"/>
    <mergeCell ref="O71:O72"/>
    <mergeCell ref="O73:O74"/>
    <mergeCell ref="O75:O76"/>
    <mergeCell ref="O77:O78"/>
    <mergeCell ref="O79:O80"/>
    <mergeCell ref="O81:O82"/>
    <mergeCell ref="O83:O84"/>
    <mergeCell ref="O85:O86"/>
    <mergeCell ref="O87:O88"/>
    <mergeCell ref="O89:O90"/>
    <mergeCell ref="O91:O92"/>
    <mergeCell ref="O93:O94"/>
    <mergeCell ref="O95:O96"/>
    <mergeCell ref="O97:O98"/>
    <mergeCell ref="O99:O100"/>
    <mergeCell ref="O105:O106"/>
    <mergeCell ref="P27:P28"/>
    <mergeCell ref="P30:P31"/>
  </mergeCells>
  <pageMargins left="0.75" right="0.75" top="1" bottom="1" header="0.5" footer="0.5"/>
  <pageSetup paperSize="9" scale="27" orientation="portrait"/>
  <headerFooter/>
  <legacyDrawing r:id="rId2"/>
</worksheet>
</file>

<file path=docProps/app.xml><?xml version="1.0" encoding="utf-8"?>
<Properties xmlns="http://schemas.openxmlformats.org/officeDocument/2006/extended-properties" xmlns:vt="http://schemas.openxmlformats.org/officeDocument/2006/docPropsVTypes">
  <Company>www.ftpdown.com</Company>
  <Application>Microsoft Excel</Application>
  <HeadingPairs>
    <vt:vector size="2" baseType="variant">
      <vt:variant>
        <vt:lpstr>工作表</vt:lpstr>
      </vt:variant>
      <vt:variant>
        <vt:i4>28</vt:i4>
      </vt:variant>
    </vt:vector>
  </HeadingPairs>
  <TitlesOfParts>
    <vt:vector size="28" baseType="lpstr">
      <vt:lpstr>目录</vt:lpstr>
      <vt:lpstr>项目测算对比分析</vt:lpstr>
      <vt:lpstr>项目动态成本数据摘要汇总</vt:lpstr>
      <vt:lpstr>项目概况</vt:lpstr>
      <vt:lpstr>经济指标</vt:lpstr>
      <vt:lpstr>成本测算明细</vt:lpstr>
      <vt:lpstr>动态成本</vt:lpstr>
      <vt:lpstr>表1-签证变更</vt:lpstr>
      <vt:lpstr>表2-合同及付款台账</vt:lpstr>
      <vt:lpstr>附件3-扣款台账</vt:lpstr>
      <vt:lpstr>附件4-认质认价单台账</vt:lpstr>
      <vt:lpstr>附件5-甲供材台账</vt:lpstr>
      <vt:lpstr>税率</vt:lpstr>
      <vt:lpstr>收入及土地测算</vt:lpstr>
      <vt:lpstr>预计销售收入及费用情况表</vt:lpstr>
      <vt:lpstr>项目资金筹措</vt:lpstr>
      <vt:lpstr>税金计算表</vt:lpstr>
      <vt:lpstr>项目利润情况表</vt:lpstr>
      <vt:lpstr>销售计划表</vt:lpstr>
      <vt:lpstr>工程及开发计划</vt:lpstr>
      <vt:lpstr>管理费用</vt:lpstr>
      <vt:lpstr>数据源（不可删除）</vt:lpstr>
      <vt:lpstr>Sheet1</vt:lpstr>
      <vt:lpstr>成本变化对比</vt:lpstr>
      <vt:lpstr>推售计划</vt:lpstr>
      <vt:lpstr>监管资金节点</vt:lpstr>
      <vt:lpstr>现金流</vt: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huaming</dc:creator>
  <cp:lastModifiedBy>向向</cp:lastModifiedBy>
  <cp:revision>1</cp:revision>
  <dcterms:created xsi:type="dcterms:W3CDTF">2007-11-03T17:46:00Z</dcterms:created>
  <cp:lastPrinted>2018-08-01T22:15:00Z</cp:lastPrinted>
  <dcterms:modified xsi:type="dcterms:W3CDTF">2023-09-26T08:44:53Z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KSORubyTemplateID" linkTarget="0">
    <vt:lpwstr>14</vt:lpwstr>
  </property>
  <property fmtid="{D5CDD505-2E9C-101B-9397-08002B2CF9AE}" pid="4" name="ICV">
    <vt:lpwstr>DC334861F7E545778758F612559A6F28_13</vt:lpwstr>
  </property>
</Properties>
</file>