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9"/>
  </bookViews>
  <sheets>
    <sheet name="16#楼" sheetId="6" r:id="rId1"/>
    <sheet name="04、工程量计算书" sheetId="5" r:id="rId2"/>
  </sheets>
  <definedNames>
    <definedName name="_xlnm._FilterDatabase" localSheetId="1" hidden="1">'04、工程量计算书'!#REF!</definedName>
  </definedNames>
  <calcPr calcId="144525"/>
</workbook>
</file>

<file path=xl/sharedStrings.xml><?xml version="1.0" encoding="utf-8"?>
<sst xmlns="http://schemas.openxmlformats.org/spreadsheetml/2006/main" count="224" uniqueCount="118">
  <si>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</si>
  <si>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</si>
  <si>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</si>
  <si>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</si>
  <si>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</si>
  <si>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</si>
  <si>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</si>
  <si>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</si>
  <si>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</si>
  <si>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</si>
  <si>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</si>
  <si>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</si>
  <si>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</si>
  <si>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</si>
  <si>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</si>
  <si>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</si>
  <si>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</si>
  <si>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</si>
  <si>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</si>
  <si>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</si>
  <si>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</si>
  <si>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</si>
  <si>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</si>
  <si>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</si>
  <si>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</si>
  <si>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</si>
  <si>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</si>
  <si>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</si>
  <si>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</si>
  <si>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</si>
  <si>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</si>
  <si>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16#楼栏杆、百叶</t>
  </si>
  <si>
    <t>地车库栏杆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</si>
  <si>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</si>
  <si>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</si>
  <si>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</si>
  <si>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</si>
  <si>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</si>
  <si>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</si>
  <si>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</si>
  <si>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</si>
  <si>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</si>
  <si>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16#楼</t>
  </si>
  <si>
    <t>部位</t>
  </si>
  <si>
    <t>名称</t>
  </si>
  <si>
    <t>规格</t>
  </si>
  <si>
    <t>含税13%
综合单价(元)</t>
  </si>
  <si>
    <t>单位</t>
  </si>
  <si>
    <t>负1层</t>
  </si>
  <si>
    <t>1层</t>
  </si>
  <si>
    <t>2层</t>
  </si>
  <si>
    <t>3层</t>
  </si>
  <si>
    <t>4-12层</t>
  </si>
  <si>
    <t>13层</t>
  </si>
  <si>
    <t>百叶窗</t>
  </si>
  <si>
    <t>F1-BY01</t>
  </si>
  <si>
    <t>1*2.3</t>
  </si>
  <si>
    <t>㎡</t>
  </si>
  <si>
    <t>F1-BY02</t>
  </si>
  <si>
    <t>1*2</t>
  </si>
  <si>
    <t>F2-BY01</t>
  </si>
  <si>
    <t>F2-BY02</t>
  </si>
  <si>
    <t>H1-BY01</t>
  </si>
  <si>
    <t>0.75*2.3</t>
  </si>
  <si>
    <t>H1-BY02</t>
  </si>
  <si>
    <t>0.75*2</t>
  </si>
  <si>
    <t>飘窗栏杆</t>
  </si>
  <si>
    <t>F1-TCLG01</t>
  </si>
  <si>
    <t>900mm</t>
  </si>
  <si>
    <t>m</t>
  </si>
  <si>
    <t>F2-TCLG01</t>
  </si>
  <si>
    <t>H1-TCLG01</t>
  </si>
  <si>
    <t>H2-TCLG01</t>
  </si>
  <si>
    <t>H3-TCLG01</t>
  </si>
  <si>
    <t>H4-TCLG01</t>
  </si>
  <si>
    <t>H5-TCLG02</t>
  </si>
  <si>
    <t>阳台栏杆</t>
  </si>
  <si>
    <t>F1-YTLG01</t>
  </si>
  <si>
    <t>1100mm L&gt;4M</t>
  </si>
  <si>
    <t>F2-YTLG01</t>
  </si>
  <si>
    <t>H1-YTLG01</t>
  </si>
  <si>
    <t>1100mm L≤4M</t>
  </si>
  <si>
    <t>H2-YTLG01</t>
  </si>
  <si>
    <t>H3-YTLG01</t>
  </si>
  <si>
    <t>H4-YTLG01</t>
  </si>
  <si>
    <t>空调板栏杆</t>
  </si>
  <si>
    <t>H1-ACLG02</t>
  </si>
  <si>
    <t>600高</t>
  </si>
  <si>
    <t>SW-ACLG01</t>
  </si>
  <si>
    <t>H3-ACLG01</t>
  </si>
  <si>
    <t>H4-ACLG02</t>
  </si>
  <si>
    <t>H5-ACLG02</t>
  </si>
  <si>
    <t>H5-ACLG01</t>
  </si>
  <si>
    <t>H1-ACLG01</t>
  </si>
  <si>
    <t>H1-ACLG03</t>
  </si>
  <si>
    <t>F2-ACLG01</t>
  </si>
  <si>
    <t>F1-ACLG01</t>
  </si>
  <si>
    <t>F1-YTLG02</t>
  </si>
  <si>
    <t>F2-YTLG02</t>
  </si>
  <si>
    <t xml:space="preserve">阳台预留洞栏杆 </t>
  </si>
  <si>
    <t>F1-YTLG03</t>
  </si>
  <si>
    <t>1020高</t>
  </si>
  <si>
    <t>F2-YTLG03</t>
  </si>
  <si>
    <t>楼梯栏杆</t>
  </si>
  <si>
    <t>塑木扶手栏杆</t>
  </si>
  <si>
    <t>靠墙楼梯扶手</t>
  </si>
  <si>
    <t>直径50塑木</t>
  </si>
  <si>
    <t>地下车库</t>
  </si>
  <si>
    <t>项目名称</t>
  </si>
  <si>
    <t>总量</t>
  </si>
  <si>
    <t>不锈钢楼梯栏杆</t>
  </si>
  <si>
    <t>不锈钢无障碍坡道栏杆</t>
  </si>
  <si>
    <t>950mm高</t>
  </si>
  <si>
    <t>车库栏杆</t>
  </si>
  <si>
    <t>1100mm高 L&gt;4M</t>
  </si>
  <si>
    <t>车库栏杆80*80*1.5大立柱，大立柱焊接于底部钢板上底部钢板用4个膨胀螺丝与主体结构固定牢固</t>
  </si>
  <si>
    <t>1100mm高L&gt;4M</t>
  </si>
  <si>
    <t>1100mm高 L≤4M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</si>
</sst>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;[Red]0.00"/>
    <numFmt numFmtId="178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78" fontId="0" fillId="0" borderId="0" xfId="3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78" fontId="7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78" fontId="7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0" fontId="11" fillId="5" borderId="1" xfId="3" applyNumberFormat="1" applyFont="1" applyFill="1" applyBorder="1" applyAlignment="1">
      <alignment horizontal="center" vertical="center"/>
    </xf>
    <xf numFmtId="178" fontId="11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10" fontId="12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8" fontId="5" fillId="0" borderId="0" xfId="3" applyNumberFormat="1" applyFont="1" applyAlignment="1">
      <alignment horizontal="center" vertical="center"/>
    </xf>
    <xf numFmtId="178" fontId="6" fillId="2" borderId="1" xfId="3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178" fontId="7" fillId="3" borderId="1" xfId="3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8" fontId="7" fillId="4" borderId="1" xfId="3" applyNumberFormat="1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 wrapText="1"/>
    </xf>
    <xf numFmtId="10" fontId="11" fillId="5" borderId="1" xfId="0" applyNumberFormat="1" applyFont="1" applyFill="1" applyBorder="1" applyAlignment="1">
      <alignment horizontal="center" vertical="center"/>
    </xf>
    <xf numFmtId="178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78" fontId="11" fillId="0" borderId="1" xfId="3" applyNumberFormat="1" applyFont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12" fillId="0" borderId="0" xfId="3" applyNumberFormat="1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178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8" fontId="13" fillId="0" borderId="0" xfId="3" applyNumberFormat="1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合肥万达文旅新城一期塔楼门窗测算2014.6.4（修改版）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V6" sqref="V6"/>
    </sheetView>
  </sheetViews>
  <sheetFormatPr defaultColWidth="9" defaultRowHeight="13.5"/>
  <cols>
    <col min="1" max="1" width="3.875" style="14" customWidth="1"/>
    <col min="2" max="2" width="8.375" style="14" customWidth="1"/>
    <col min="3" max="3" width="7.875" style="14" customWidth="1"/>
    <col min="4" max="5" width="7.625" style="14" customWidth="1"/>
    <col min="6" max="6" width="7.125" style="15" customWidth="1"/>
    <col min="7" max="7" width="6" style="14" customWidth="1"/>
    <col min="8" max="8" width="10.625" style="14" customWidth="1"/>
    <col min="9" max="9" width="8.375" style="14" customWidth="1"/>
    <col min="10" max="10" width="13.5" style="14" customWidth="1"/>
    <col min="11" max="11" width="7.5" style="16" customWidth="1"/>
    <col min="12" max="12" width="6.125" style="15" customWidth="1"/>
    <col min="13" max="13" width="8.25" style="14" customWidth="1"/>
    <col min="14" max="14" width="9.625" style="14" customWidth="1"/>
    <col min="15" max="15" width="14.5" style="14" customWidth="1"/>
    <col min="16" max="16384" width="9" style="14"/>
  </cols>
  <sheetData>
    <row r="1" s="14" customFormat="1" ht="27" customHeight="1" spans="1:15">
      <c r="A1" s="17" t="s">
        <v>0</v>
      </c>
      <c r="B1" s="18"/>
      <c r="C1" s="18"/>
      <c r="D1" s="18"/>
      <c r="E1" s="18"/>
      <c r="F1" s="19"/>
      <c r="G1" s="18"/>
      <c r="H1" s="18"/>
      <c r="I1" s="18"/>
      <c r="J1" s="18"/>
      <c r="K1" s="46"/>
      <c r="L1" s="19"/>
      <c r="M1" s="18"/>
      <c r="N1" s="18"/>
      <c r="O1" s="18"/>
    </row>
    <row r="2" s="14" customFormat="1" ht="29.1" customHeight="1" spans="1:1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0"/>
      <c r="H2" s="20" t="s">
        <v>7</v>
      </c>
      <c r="I2" s="20"/>
      <c r="J2" s="20"/>
      <c r="K2" s="47" t="s">
        <v>8</v>
      </c>
      <c r="L2" s="21"/>
      <c r="M2" s="20" t="s">
        <v>9</v>
      </c>
      <c r="N2" s="20" t="s">
        <v>10</v>
      </c>
      <c r="O2" s="20" t="s">
        <v>11</v>
      </c>
    </row>
    <row r="3" s="14" customFormat="1" ht="42" customHeight="1" spans="1:15">
      <c r="A3" s="20"/>
      <c r="B3" s="20"/>
      <c r="C3" s="20"/>
      <c r="D3" s="20"/>
      <c r="E3" s="20"/>
      <c r="F3" s="21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47" t="s">
        <v>17</v>
      </c>
      <c r="L3" s="21" t="s">
        <v>18</v>
      </c>
      <c r="M3" s="20"/>
      <c r="N3" s="20"/>
      <c r="O3" s="20"/>
    </row>
    <row r="4" s="14" customFormat="1" ht="48.95" customHeight="1" spans="1:15">
      <c r="A4" s="22"/>
      <c r="B4" s="22"/>
      <c r="C4" s="23" t="s">
        <v>19</v>
      </c>
      <c r="D4" s="24" t="s">
        <v>20</v>
      </c>
      <c r="E4" s="24" t="s">
        <v>20</v>
      </c>
      <c r="F4" s="25" t="s">
        <v>21</v>
      </c>
      <c r="G4" s="26" t="s">
        <v>22</v>
      </c>
      <c r="H4" s="25" t="s">
        <v>23</v>
      </c>
      <c r="I4" s="48" t="s">
        <v>24</v>
      </c>
      <c r="J4" s="26" t="s">
        <v>25</v>
      </c>
      <c r="K4" s="49" t="s">
        <v>26</v>
      </c>
      <c r="L4" s="50" t="s">
        <v>27</v>
      </c>
      <c r="M4" s="26" t="s">
        <v>28</v>
      </c>
      <c r="N4" s="26" t="s">
        <v>29</v>
      </c>
      <c r="O4" s="51" t="s">
        <v>30</v>
      </c>
    </row>
    <row r="5" s="14" customFormat="1" ht="41" customHeight="1" spans="1:15">
      <c r="A5" s="27">
        <v>1</v>
      </c>
      <c r="B5" s="27" t="s">
        <v>31</v>
      </c>
      <c r="C5" s="28"/>
      <c r="D5" s="29"/>
      <c r="E5" s="29"/>
      <c r="F5" s="30"/>
      <c r="G5" s="31"/>
      <c r="H5" s="30">
        <f>'04、工程量计算书'!P40</f>
        <v>102390.246571113</v>
      </c>
      <c r="I5" s="52">
        <v>0.8</v>
      </c>
      <c r="J5" s="31">
        <f>H5*I5</f>
        <v>81912.1972568903</v>
      </c>
      <c r="K5" s="53"/>
      <c r="L5" s="54"/>
      <c r="M5" s="31"/>
      <c r="N5" s="31"/>
      <c r="O5" s="30"/>
    </row>
    <row r="6" s="14" customFormat="1" ht="41" customHeight="1" spans="1:15">
      <c r="A6" s="27">
        <v>2</v>
      </c>
      <c r="B6" s="27" t="s">
        <v>32</v>
      </c>
      <c r="C6" s="28"/>
      <c r="D6" s="29"/>
      <c r="E6" s="29"/>
      <c r="F6" s="30"/>
      <c r="G6" s="31"/>
      <c r="H6" s="30">
        <f>'04、工程量计算书'!P50</f>
        <v>10584.6141986</v>
      </c>
      <c r="I6" s="52">
        <f>I5</f>
        <v>0.8</v>
      </c>
      <c r="J6" s="31">
        <f>H6*I6</f>
        <v>8467.69135888</v>
      </c>
      <c r="K6" s="53"/>
      <c r="L6" s="54"/>
      <c r="M6" s="31"/>
      <c r="N6" s="31"/>
      <c r="O6" s="30"/>
    </row>
    <row r="7" s="14" customFormat="1" ht="24.95" customHeight="1" spans="1:15">
      <c r="A7" s="32"/>
      <c r="B7" s="33" t="s">
        <v>33</v>
      </c>
      <c r="C7" s="33"/>
      <c r="D7" s="33"/>
      <c r="E7" s="32"/>
      <c r="F7" s="34"/>
      <c r="G7" s="35"/>
      <c r="H7" s="35"/>
      <c r="I7" s="55"/>
      <c r="J7" s="35">
        <f>J5+J6</f>
        <v>90379.8886157703</v>
      </c>
      <c r="K7" s="35"/>
      <c r="L7" s="56"/>
      <c r="M7" s="57" t="s">
        <v>34</v>
      </c>
      <c r="N7" s="57" t="s">
        <v>35</v>
      </c>
      <c r="O7" s="58"/>
    </row>
    <row r="8" s="14" customFormat="1" ht="24.95" customHeight="1" spans="1:15">
      <c r="A8" s="36"/>
      <c r="B8" s="36" t="s">
        <v>36</v>
      </c>
      <c r="C8" s="36"/>
      <c r="D8" s="36"/>
      <c r="E8" s="36"/>
      <c r="F8" s="37"/>
      <c r="G8" s="38"/>
      <c r="H8" s="38"/>
      <c r="I8" s="38"/>
      <c r="J8" s="38">
        <v>90000</v>
      </c>
      <c r="K8" s="59"/>
      <c r="L8" s="60"/>
      <c r="M8" s="38"/>
      <c r="N8" s="38"/>
      <c r="O8" s="61" t="s">
        <v>37</v>
      </c>
    </row>
    <row r="9" s="14" customFormat="1" ht="40" customHeight="1" spans="1:15">
      <c r="A9" s="39" t="s">
        <v>38</v>
      </c>
      <c r="B9" s="39"/>
      <c r="C9" s="39"/>
      <c r="D9" s="39"/>
      <c r="E9" s="39"/>
      <c r="F9" s="40"/>
      <c r="G9" s="39"/>
      <c r="H9" s="39"/>
      <c r="I9" s="39"/>
      <c r="J9" s="39"/>
      <c r="K9" s="62"/>
      <c r="L9" s="40"/>
      <c r="M9" s="39"/>
      <c r="N9" s="39"/>
      <c r="O9" s="39"/>
    </row>
    <row r="10" s="14" customFormat="1" ht="24.95" customHeight="1" spans="1:15">
      <c r="A10" s="41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="14" customFormat="1" ht="26.25" customHeight="1" spans="1:15">
      <c r="A11" s="42"/>
      <c r="B11" s="43"/>
      <c r="C11" s="43"/>
      <c r="D11" s="43"/>
      <c r="E11" s="43"/>
      <c r="F11" s="44"/>
      <c r="G11" s="45" t="s">
        <v>40</v>
      </c>
      <c r="H11" s="45"/>
      <c r="I11" s="45"/>
      <c r="J11" s="63"/>
      <c r="K11" s="64"/>
      <c r="L11" s="65" t="s">
        <v>41</v>
      </c>
      <c r="M11" s="66"/>
      <c r="N11" s="43"/>
      <c r="O11" s="43"/>
    </row>
    <row r="12" s="14" customFormat="1" ht="28.5" customHeight="1" spans="1:15">
      <c r="A12" s="42"/>
      <c r="B12" s="43"/>
      <c r="C12" s="43"/>
      <c r="D12" s="43"/>
      <c r="E12" s="43"/>
      <c r="F12" s="44"/>
      <c r="J12" s="43"/>
      <c r="K12" s="67"/>
      <c r="L12" s="44"/>
      <c r="M12" s="43"/>
      <c r="N12" s="43"/>
      <c r="O12" s="43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opLeftCell="A34" workbookViewId="0">
      <selection activeCell="P51" sqref="P51"/>
    </sheetView>
  </sheetViews>
  <sheetFormatPr defaultColWidth="9" defaultRowHeight="13.5"/>
  <cols>
    <col min="1" max="1" width="4.375" style="1" customWidth="1"/>
    <col min="2" max="2" width="17.1333333333333" style="1" customWidth="1"/>
    <col min="3" max="3" width="12.5" style="1" customWidth="1"/>
    <col min="4" max="4" width="11.875" style="2" customWidth="1"/>
    <col min="5" max="5" width="4.375" style="1" customWidth="1"/>
    <col min="6" max="6" width="8.375" style="3" customWidth="1"/>
    <col min="7" max="9" width="6.375" style="3" customWidth="1"/>
    <col min="10" max="11" width="7.375" style="3" customWidth="1"/>
    <col min="12" max="12" width="7.125" style="3" customWidth="1"/>
    <col min="13" max="13" width="8.5" style="3" customWidth="1"/>
    <col min="14" max="14" width="11" style="3" customWidth="1"/>
    <col min="15" max="15" width="14.75" style="3" customWidth="1"/>
    <col min="16" max="16" width="12.625" style="3"/>
    <col min="17" max="16384" width="9" style="3"/>
  </cols>
  <sheetData>
    <row r="1" ht="24.95" customHeight="1" spans="1:16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"/>
    </row>
    <row r="2" ht="27" spans="1:16">
      <c r="A2" s="5" t="s">
        <v>1</v>
      </c>
      <c r="B2" s="5" t="s">
        <v>43</v>
      </c>
      <c r="C2" s="5" t="s">
        <v>44</v>
      </c>
      <c r="D2" s="5" t="s">
        <v>45</v>
      </c>
      <c r="E2" s="5" t="s">
        <v>42</v>
      </c>
      <c r="F2" s="5"/>
      <c r="G2" s="5"/>
      <c r="H2" s="5"/>
      <c r="I2" s="5"/>
      <c r="J2" s="5"/>
      <c r="K2" s="5"/>
      <c r="L2" s="5"/>
      <c r="M2" s="5"/>
      <c r="N2" s="6"/>
      <c r="O2" s="11" t="s">
        <v>46</v>
      </c>
      <c r="P2" s="12" t="s">
        <v>33</v>
      </c>
    </row>
    <row r="3" spans="1:16">
      <c r="A3" s="5"/>
      <c r="B3" s="5"/>
      <c r="C3" s="5"/>
      <c r="D3" s="5"/>
      <c r="E3" s="5" t="s">
        <v>47</v>
      </c>
      <c r="F3" s="5" t="s">
        <v>48</v>
      </c>
      <c r="G3" s="6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L3" s="6"/>
      <c r="M3" s="6"/>
      <c r="N3" s="6" t="s">
        <v>33</v>
      </c>
      <c r="O3" s="6"/>
      <c r="P3" s="6"/>
    </row>
    <row r="4" spans="1:16">
      <c r="A4" s="5">
        <v>1</v>
      </c>
      <c r="B4" s="6" t="s">
        <v>54</v>
      </c>
      <c r="C4" s="5" t="s">
        <v>55</v>
      </c>
      <c r="D4" s="7" t="s">
        <v>56</v>
      </c>
      <c r="E4" s="5" t="s">
        <v>57</v>
      </c>
      <c r="F4" s="5">
        <f>2.3*1*3</f>
        <v>6.9</v>
      </c>
      <c r="G4" s="5">
        <f>2.3*1*2</f>
        <v>4.6</v>
      </c>
      <c r="H4" s="5">
        <f>2.3*1*2</f>
        <v>4.6</v>
      </c>
      <c r="I4" s="6"/>
      <c r="J4" s="5">
        <f>2.3*1*2*9</f>
        <v>41.4</v>
      </c>
      <c r="K4" s="6"/>
      <c r="L4" s="6"/>
      <c r="M4" s="6"/>
      <c r="N4" s="6">
        <f t="shared" ref="N4:N38" si="0">F4+G4+H4+I4+J4+K4</f>
        <v>57.5</v>
      </c>
      <c r="O4" s="6">
        <v>223.125034676058</v>
      </c>
      <c r="P4" s="6">
        <f>O4*N4</f>
        <v>12829.6894938733</v>
      </c>
    </row>
    <row r="5" spans="1:16">
      <c r="A5" s="5">
        <v>2</v>
      </c>
      <c r="B5" s="6" t="s">
        <v>54</v>
      </c>
      <c r="C5" s="5" t="s">
        <v>58</v>
      </c>
      <c r="D5" s="7" t="s">
        <v>59</v>
      </c>
      <c r="E5" s="5" t="s">
        <v>57</v>
      </c>
      <c r="F5" s="5"/>
      <c r="G5" s="5"/>
      <c r="H5" s="5"/>
      <c r="I5" s="6">
        <f>2*1*2</f>
        <v>4</v>
      </c>
      <c r="J5" s="5"/>
      <c r="K5" s="6">
        <f>2*1*2</f>
        <v>4</v>
      </c>
      <c r="L5" s="6"/>
      <c r="M5" s="6"/>
      <c r="N5" s="6">
        <f t="shared" si="0"/>
        <v>8</v>
      </c>
      <c r="O5" s="6">
        <v>223.125034676058</v>
      </c>
      <c r="P5" s="6">
        <f>O5*N5</f>
        <v>1785.00027740846</v>
      </c>
    </row>
    <row r="6" spans="1:16">
      <c r="A6" s="5">
        <v>3</v>
      </c>
      <c r="B6" s="6" t="s">
        <v>54</v>
      </c>
      <c r="C6" s="5" t="s">
        <v>60</v>
      </c>
      <c r="D6" s="7" t="s">
        <v>56</v>
      </c>
      <c r="E6" s="5" t="s">
        <v>57</v>
      </c>
      <c r="F6" s="5"/>
      <c r="G6" s="5">
        <f>2.3*1*1</f>
        <v>2.3</v>
      </c>
      <c r="H6" s="5">
        <f>2.3*1*1</f>
        <v>2.3</v>
      </c>
      <c r="I6" s="6"/>
      <c r="J6" s="5">
        <f>2.3*1*1*9</f>
        <v>20.7</v>
      </c>
      <c r="K6" s="6"/>
      <c r="L6" s="6"/>
      <c r="M6" s="6"/>
      <c r="N6" s="6">
        <f t="shared" si="0"/>
        <v>25.3</v>
      </c>
      <c r="O6" s="6">
        <v>223.125034676058</v>
      </c>
      <c r="P6" s="6">
        <f>O6*N6</f>
        <v>5645.06337730427</v>
      </c>
    </row>
    <row r="7" spans="1:16">
      <c r="A7" s="5">
        <v>4</v>
      </c>
      <c r="B7" s="6" t="s">
        <v>54</v>
      </c>
      <c r="C7" s="5" t="s">
        <v>61</v>
      </c>
      <c r="D7" s="7" t="s">
        <v>59</v>
      </c>
      <c r="E7" s="5" t="s">
        <v>57</v>
      </c>
      <c r="F7" s="5"/>
      <c r="G7" s="6"/>
      <c r="H7" s="6"/>
      <c r="I7" s="6">
        <f>2*1</f>
        <v>2</v>
      </c>
      <c r="J7" s="6"/>
      <c r="K7" s="6">
        <f>2*1</f>
        <v>2</v>
      </c>
      <c r="L7" s="6"/>
      <c r="M7" s="6"/>
      <c r="N7" s="6">
        <f t="shared" si="0"/>
        <v>4</v>
      </c>
      <c r="O7" s="6">
        <v>223.125034676058</v>
      </c>
      <c r="P7" s="6">
        <f>O7*N7</f>
        <v>892.500138704232</v>
      </c>
    </row>
    <row r="8" spans="1:16">
      <c r="A8" s="5">
        <v>5</v>
      </c>
      <c r="B8" s="6" t="s">
        <v>54</v>
      </c>
      <c r="C8" s="5" t="s">
        <v>62</v>
      </c>
      <c r="D8" s="7" t="s">
        <v>63</v>
      </c>
      <c r="E8" s="5" t="s">
        <v>57</v>
      </c>
      <c r="F8" s="5">
        <f t="shared" ref="F8:H8" si="1">0.75*2.3*1</f>
        <v>1.725</v>
      </c>
      <c r="G8" s="5">
        <f t="shared" si="1"/>
        <v>1.725</v>
      </c>
      <c r="H8" s="5">
        <f t="shared" si="1"/>
        <v>1.725</v>
      </c>
      <c r="I8" s="6"/>
      <c r="J8" s="5">
        <f>0.75*2.3*1*9</f>
        <v>15.525</v>
      </c>
      <c r="K8" s="6"/>
      <c r="L8" s="6"/>
      <c r="M8" s="6"/>
      <c r="N8" s="6">
        <f t="shared" si="0"/>
        <v>20.7</v>
      </c>
      <c r="O8" s="6">
        <v>223.125034676058</v>
      </c>
      <c r="P8" s="6">
        <f>O8*N8</f>
        <v>4618.6882177944</v>
      </c>
    </row>
    <row r="9" spans="1:16">
      <c r="A9" s="5">
        <v>6</v>
      </c>
      <c r="B9" s="6" t="s">
        <v>54</v>
      </c>
      <c r="C9" s="5" t="s">
        <v>64</v>
      </c>
      <c r="D9" s="7" t="s">
        <v>65</v>
      </c>
      <c r="E9" s="5" t="s">
        <v>57</v>
      </c>
      <c r="F9" s="5"/>
      <c r="G9" s="6"/>
      <c r="H9" s="6"/>
      <c r="I9" s="6">
        <f>0.75*2</f>
        <v>1.5</v>
      </c>
      <c r="J9" s="6"/>
      <c r="K9" s="6">
        <f>0.75*2</f>
        <v>1.5</v>
      </c>
      <c r="L9" s="6"/>
      <c r="M9" s="6"/>
      <c r="N9" s="6">
        <f t="shared" si="0"/>
        <v>3</v>
      </c>
      <c r="O9" s="6">
        <v>223.125034676058</v>
      </c>
      <c r="P9" s="6">
        <f>O9*N9</f>
        <v>669.375104028174</v>
      </c>
    </row>
    <row r="10" spans="1:16">
      <c r="A10" s="5">
        <v>7</v>
      </c>
      <c r="B10" s="5" t="s">
        <v>66</v>
      </c>
      <c r="C10" s="5" t="s">
        <v>67</v>
      </c>
      <c r="D10" s="7" t="s">
        <v>68</v>
      </c>
      <c r="E10" s="5" t="s">
        <v>69</v>
      </c>
      <c r="F10" s="5"/>
      <c r="G10" s="6">
        <v>1.8</v>
      </c>
      <c r="H10" s="6">
        <v>1.8</v>
      </c>
      <c r="I10" s="6">
        <v>1.8</v>
      </c>
      <c r="J10" s="6">
        <f t="shared" ref="J10:J12" si="2">1.8*9</f>
        <v>16.2</v>
      </c>
      <c r="K10" s="6">
        <v>1.8</v>
      </c>
      <c r="L10" s="6"/>
      <c r="M10" s="6"/>
      <c r="N10" s="6">
        <f t="shared" si="0"/>
        <v>23.4</v>
      </c>
      <c r="O10" s="6">
        <v>84.9986</v>
      </c>
      <c r="P10" s="6">
        <f>O10*N10</f>
        <v>1988.96724</v>
      </c>
    </row>
    <row r="11" spans="1:16">
      <c r="A11" s="5">
        <v>8</v>
      </c>
      <c r="B11" s="5" t="s">
        <v>66</v>
      </c>
      <c r="C11" s="5" t="s">
        <v>70</v>
      </c>
      <c r="D11" s="7" t="s">
        <v>68</v>
      </c>
      <c r="E11" s="5" t="s">
        <v>69</v>
      </c>
      <c r="F11" s="5"/>
      <c r="G11" s="6">
        <v>1.8</v>
      </c>
      <c r="H11" s="6">
        <v>1.8</v>
      </c>
      <c r="I11" s="6">
        <v>1.8</v>
      </c>
      <c r="J11" s="6">
        <f t="shared" si="2"/>
        <v>16.2</v>
      </c>
      <c r="K11" s="6">
        <v>1.8</v>
      </c>
      <c r="L11" s="6"/>
      <c r="M11" s="6"/>
      <c r="N11" s="6">
        <f t="shared" si="0"/>
        <v>23.4</v>
      </c>
      <c r="O11" s="6">
        <v>84.9986</v>
      </c>
      <c r="P11" s="6">
        <f t="shared" ref="P11:P39" si="3">O11*N11</f>
        <v>1988.96724</v>
      </c>
    </row>
    <row r="12" spans="1:16">
      <c r="A12" s="5">
        <v>9</v>
      </c>
      <c r="B12" s="5" t="s">
        <v>66</v>
      </c>
      <c r="C12" s="5" t="s">
        <v>71</v>
      </c>
      <c r="D12" s="7" t="s">
        <v>68</v>
      </c>
      <c r="E12" s="5" t="s">
        <v>69</v>
      </c>
      <c r="F12" s="5"/>
      <c r="G12" s="6">
        <v>1.8</v>
      </c>
      <c r="H12" s="6">
        <v>1.8</v>
      </c>
      <c r="I12" s="6">
        <v>1.8</v>
      </c>
      <c r="J12" s="6">
        <f t="shared" si="2"/>
        <v>16.2</v>
      </c>
      <c r="K12" s="6">
        <v>1.8</v>
      </c>
      <c r="L12" s="6"/>
      <c r="M12" s="6"/>
      <c r="N12" s="6">
        <f t="shared" si="0"/>
        <v>23.4</v>
      </c>
      <c r="O12" s="6">
        <v>84.9986</v>
      </c>
      <c r="P12" s="6">
        <f t="shared" si="3"/>
        <v>1988.96724</v>
      </c>
    </row>
    <row r="13" spans="1:16">
      <c r="A13" s="5">
        <v>10</v>
      </c>
      <c r="B13" s="5" t="s">
        <v>66</v>
      </c>
      <c r="C13" s="5" t="s">
        <v>72</v>
      </c>
      <c r="D13" s="7" t="s">
        <v>68</v>
      </c>
      <c r="E13" s="5" t="s">
        <v>69</v>
      </c>
      <c r="F13" s="5"/>
      <c r="G13" s="6">
        <v>1.5</v>
      </c>
      <c r="H13" s="6">
        <v>1.5</v>
      </c>
      <c r="I13" s="6">
        <v>1.5</v>
      </c>
      <c r="J13" s="6">
        <f>1.5*9</f>
        <v>13.5</v>
      </c>
      <c r="K13" s="6">
        <v>1.5</v>
      </c>
      <c r="L13" s="6"/>
      <c r="M13" s="6"/>
      <c r="N13" s="6">
        <f t="shared" si="0"/>
        <v>19.5</v>
      </c>
      <c r="O13" s="6">
        <v>84.9986</v>
      </c>
      <c r="P13" s="6">
        <f t="shared" si="3"/>
        <v>1657.4727</v>
      </c>
    </row>
    <row r="14" spans="1:16">
      <c r="A14" s="5">
        <v>11</v>
      </c>
      <c r="B14" s="5" t="s">
        <v>66</v>
      </c>
      <c r="C14" s="5" t="s">
        <v>73</v>
      </c>
      <c r="D14" s="7" t="s">
        <v>68</v>
      </c>
      <c r="E14" s="5" t="s">
        <v>69</v>
      </c>
      <c r="F14" s="5"/>
      <c r="G14" s="6">
        <f t="shared" ref="G14:I14" si="4">1.5*2</f>
        <v>3</v>
      </c>
      <c r="H14" s="6">
        <f t="shared" si="4"/>
        <v>3</v>
      </c>
      <c r="I14" s="6">
        <f t="shared" si="4"/>
        <v>3</v>
      </c>
      <c r="J14" s="6">
        <f>1.5*2*9</f>
        <v>27</v>
      </c>
      <c r="K14" s="6">
        <f>1.5*2</f>
        <v>3</v>
      </c>
      <c r="L14" s="6"/>
      <c r="M14" s="6"/>
      <c r="N14" s="6">
        <f t="shared" si="0"/>
        <v>39</v>
      </c>
      <c r="O14" s="6">
        <v>84.9986</v>
      </c>
      <c r="P14" s="6">
        <f t="shared" si="3"/>
        <v>3314.9454</v>
      </c>
    </row>
    <row r="15" spans="1:16">
      <c r="A15" s="5">
        <v>12</v>
      </c>
      <c r="B15" s="5" t="s">
        <v>66</v>
      </c>
      <c r="C15" s="5" t="s">
        <v>74</v>
      </c>
      <c r="D15" s="7" t="s">
        <v>68</v>
      </c>
      <c r="E15" s="5" t="s">
        <v>69</v>
      </c>
      <c r="F15" s="5"/>
      <c r="G15" s="6">
        <v>1.5</v>
      </c>
      <c r="H15" s="6">
        <v>1.5</v>
      </c>
      <c r="I15" s="6">
        <v>1.5</v>
      </c>
      <c r="J15" s="6">
        <f>1.5*9</f>
        <v>13.5</v>
      </c>
      <c r="K15" s="6">
        <v>1.5</v>
      </c>
      <c r="L15" s="6"/>
      <c r="M15" s="6"/>
      <c r="N15" s="6">
        <f t="shared" si="0"/>
        <v>19.5</v>
      </c>
      <c r="O15" s="6">
        <v>84.9986</v>
      </c>
      <c r="P15" s="6">
        <f t="shared" si="3"/>
        <v>1657.4727</v>
      </c>
    </row>
    <row r="16" spans="1:16">
      <c r="A16" s="5">
        <v>13</v>
      </c>
      <c r="B16" s="5" t="s">
        <v>66</v>
      </c>
      <c r="C16" s="5" t="s">
        <v>75</v>
      </c>
      <c r="D16" s="7" t="s">
        <v>68</v>
      </c>
      <c r="E16" s="5" t="s">
        <v>69</v>
      </c>
      <c r="F16" s="5"/>
      <c r="G16" s="6">
        <v>2</v>
      </c>
      <c r="H16" s="6">
        <v>2</v>
      </c>
      <c r="I16" s="6">
        <v>2</v>
      </c>
      <c r="J16" s="6">
        <f>2*9</f>
        <v>18</v>
      </c>
      <c r="K16" s="6">
        <v>2</v>
      </c>
      <c r="L16" s="6"/>
      <c r="M16" s="6"/>
      <c r="N16" s="6">
        <f t="shared" si="0"/>
        <v>26</v>
      </c>
      <c r="O16" s="6">
        <v>84.9986</v>
      </c>
      <c r="P16" s="6">
        <f t="shared" si="3"/>
        <v>2209.9636</v>
      </c>
    </row>
    <row r="17" ht="21" customHeight="1" spans="1:16">
      <c r="A17" s="5">
        <v>14</v>
      </c>
      <c r="B17" s="6" t="s">
        <v>76</v>
      </c>
      <c r="C17" s="5" t="s">
        <v>77</v>
      </c>
      <c r="D17" s="5" t="s">
        <v>78</v>
      </c>
      <c r="E17" s="5" t="s">
        <v>69</v>
      </c>
      <c r="F17" s="5"/>
      <c r="G17" s="6">
        <v>4.85</v>
      </c>
      <c r="H17" s="6">
        <v>4.85</v>
      </c>
      <c r="I17" s="6">
        <v>4.85</v>
      </c>
      <c r="J17" s="6">
        <f>4.85*9</f>
        <v>43.65</v>
      </c>
      <c r="K17" s="6">
        <v>4.85</v>
      </c>
      <c r="L17" s="6"/>
      <c r="M17" s="6"/>
      <c r="N17" s="6">
        <f t="shared" si="0"/>
        <v>63.05</v>
      </c>
      <c r="O17" s="6">
        <v>119.9947</v>
      </c>
      <c r="P17" s="6">
        <f t="shared" si="3"/>
        <v>7565.665835</v>
      </c>
    </row>
    <row r="18" ht="24" customHeight="1" spans="1:16">
      <c r="A18" s="5">
        <v>15</v>
      </c>
      <c r="B18" s="6" t="s">
        <v>76</v>
      </c>
      <c r="C18" s="5" t="s">
        <v>79</v>
      </c>
      <c r="D18" s="5" t="s">
        <v>78</v>
      </c>
      <c r="E18" s="5" t="s">
        <v>69</v>
      </c>
      <c r="F18" s="5"/>
      <c r="G18" s="6">
        <v>4.85</v>
      </c>
      <c r="H18" s="6">
        <v>4.85</v>
      </c>
      <c r="I18" s="6">
        <v>4.85</v>
      </c>
      <c r="J18" s="6">
        <f>4.85*9</f>
        <v>43.65</v>
      </c>
      <c r="K18" s="6">
        <v>4.85</v>
      </c>
      <c r="L18" s="6"/>
      <c r="M18" s="6"/>
      <c r="N18" s="6">
        <f t="shared" si="0"/>
        <v>63.05</v>
      </c>
      <c r="O18" s="6">
        <v>119.9947</v>
      </c>
      <c r="P18" s="6">
        <f t="shared" si="3"/>
        <v>7565.665835</v>
      </c>
    </row>
    <row r="19" ht="27" spans="1:16">
      <c r="A19" s="5">
        <v>16</v>
      </c>
      <c r="B19" s="6" t="s">
        <v>76</v>
      </c>
      <c r="C19" s="5" t="s">
        <v>80</v>
      </c>
      <c r="D19" s="5" t="s">
        <v>81</v>
      </c>
      <c r="E19" s="5" t="s">
        <v>69</v>
      </c>
      <c r="F19" s="5"/>
      <c r="G19" s="6">
        <v>1.2</v>
      </c>
      <c r="H19" s="6">
        <v>1.2</v>
      </c>
      <c r="I19" s="6">
        <v>1.2</v>
      </c>
      <c r="J19" s="6">
        <f>1.2*9</f>
        <v>10.8</v>
      </c>
      <c r="K19" s="6">
        <v>1.2</v>
      </c>
      <c r="L19" s="6"/>
      <c r="M19" s="6"/>
      <c r="N19" s="6">
        <f t="shared" si="0"/>
        <v>15.6</v>
      </c>
      <c r="O19" s="6">
        <v>114.9888</v>
      </c>
      <c r="P19" s="6">
        <f t="shared" si="3"/>
        <v>1793.82528</v>
      </c>
    </row>
    <row r="20" ht="27" spans="1:16">
      <c r="A20" s="5">
        <v>17</v>
      </c>
      <c r="B20" s="6" t="s">
        <v>76</v>
      </c>
      <c r="C20" s="5" t="s">
        <v>82</v>
      </c>
      <c r="D20" s="5" t="s">
        <v>81</v>
      </c>
      <c r="E20" s="5" t="s">
        <v>69</v>
      </c>
      <c r="F20" s="5"/>
      <c r="G20" s="6">
        <v>1.13</v>
      </c>
      <c r="H20" s="6">
        <v>1.13</v>
      </c>
      <c r="I20" s="6">
        <v>1.13</v>
      </c>
      <c r="J20" s="6">
        <f>1.13*9</f>
        <v>10.17</v>
      </c>
      <c r="K20" s="6">
        <v>1.13</v>
      </c>
      <c r="L20" s="6"/>
      <c r="M20" s="6"/>
      <c r="N20" s="6">
        <f t="shared" si="0"/>
        <v>14.69</v>
      </c>
      <c r="O20" s="6">
        <v>114.9888</v>
      </c>
      <c r="P20" s="6">
        <f t="shared" si="3"/>
        <v>1689.185472</v>
      </c>
    </row>
    <row r="21" ht="27" spans="1:16">
      <c r="A21" s="5">
        <v>18</v>
      </c>
      <c r="B21" s="6" t="s">
        <v>76</v>
      </c>
      <c r="C21" s="5" t="s">
        <v>83</v>
      </c>
      <c r="D21" s="5" t="s">
        <v>81</v>
      </c>
      <c r="E21" s="5" t="s">
        <v>69</v>
      </c>
      <c r="F21" s="5"/>
      <c r="G21" s="6">
        <f t="shared" ref="G21:I21" si="5">1.2*2</f>
        <v>2.4</v>
      </c>
      <c r="H21" s="6">
        <f t="shared" si="5"/>
        <v>2.4</v>
      </c>
      <c r="I21" s="6">
        <f t="shared" si="5"/>
        <v>2.4</v>
      </c>
      <c r="J21" s="6">
        <f>1.2*2*9</f>
        <v>21.6</v>
      </c>
      <c r="K21" s="6">
        <f>1.2*2</f>
        <v>2.4</v>
      </c>
      <c r="L21" s="6"/>
      <c r="M21" s="6"/>
      <c r="N21" s="6">
        <f t="shared" si="0"/>
        <v>31.2</v>
      </c>
      <c r="O21" s="6">
        <v>114.9888</v>
      </c>
      <c r="P21" s="6">
        <f t="shared" si="3"/>
        <v>3587.65056</v>
      </c>
    </row>
    <row r="22" ht="27" spans="1:16">
      <c r="A22" s="5">
        <v>19</v>
      </c>
      <c r="B22" s="6" t="s">
        <v>76</v>
      </c>
      <c r="C22" s="5" t="s">
        <v>84</v>
      </c>
      <c r="D22" s="5" t="s">
        <v>81</v>
      </c>
      <c r="E22" s="5" t="s">
        <v>69</v>
      </c>
      <c r="F22" s="5"/>
      <c r="G22" s="6">
        <v>1.2</v>
      </c>
      <c r="H22" s="6">
        <v>1.2</v>
      </c>
      <c r="I22" s="6">
        <v>1.2</v>
      </c>
      <c r="J22" s="6">
        <f>1.2*9</f>
        <v>10.8</v>
      </c>
      <c r="K22" s="6">
        <v>1.2</v>
      </c>
      <c r="L22" s="6"/>
      <c r="M22" s="6"/>
      <c r="N22" s="6">
        <f t="shared" si="0"/>
        <v>15.6</v>
      </c>
      <c r="O22" s="6">
        <v>114.9888</v>
      </c>
      <c r="P22" s="6">
        <f t="shared" si="3"/>
        <v>1793.82528</v>
      </c>
    </row>
    <row r="23" spans="1:16">
      <c r="A23" s="5">
        <v>20</v>
      </c>
      <c r="B23" s="5" t="s">
        <v>85</v>
      </c>
      <c r="C23" s="5" t="s">
        <v>86</v>
      </c>
      <c r="D23" s="6" t="s">
        <v>87</v>
      </c>
      <c r="E23" s="5" t="s">
        <v>69</v>
      </c>
      <c r="F23" s="5"/>
      <c r="G23" s="6">
        <f t="shared" ref="G23:I23" si="6">1.5+0.8</f>
        <v>2.3</v>
      </c>
      <c r="H23" s="6">
        <f t="shared" si="6"/>
        <v>2.3</v>
      </c>
      <c r="I23" s="6">
        <f t="shared" si="6"/>
        <v>2.3</v>
      </c>
      <c r="J23" s="6">
        <f>(1.5+0.8)*9</f>
        <v>20.7</v>
      </c>
      <c r="K23" s="6">
        <f>1.5+0.8</f>
        <v>2.3</v>
      </c>
      <c r="L23" s="6"/>
      <c r="M23" s="6"/>
      <c r="N23" s="6">
        <f t="shared" si="0"/>
        <v>29.9</v>
      </c>
      <c r="O23" s="6">
        <v>76.84</v>
      </c>
      <c r="P23" s="6">
        <f t="shared" si="3"/>
        <v>2297.516</v>
      </c>
    </row>
    <row r="24" spans="1:16">
      <c r="A24" s="5">
        <v>21</v>
      </c>
      <c r="B24" s="5" t="s">
        <v>85</v>
      </c>
      <c r="C24" s="5" t="s">
        <v>88</v>
      </c>
      <c r="D24" s="6" t="s">
        <v>87</v>
      </c>
      <c r="E24" s="5" t="s">
        <v>69</v>
      </c>
      <c r="F24" s="5"/>
      <c r="G24" s="6">
        <f>1.3*2</f>
        <v>2.6</v>
      </c>
      <c r="H24" s="6">
        <f t="shared" ref="H24:K24" si="7">1.3*2*2</f>
        <v>5.2</v>
      </c>
      <c r="I24" s="6">
        <f t="shared" si="7"/>
        <v>5.2</v>
      </c>
      <c r="J24" s="6">
        <f>1.3*2*2*9</f>
        <v>46.8</v>
      </c>
      <c r="K24" s="6">
        <f t="shared" si="7"/>
        <v>5.2</v>
      </c>
      <c r="L24" s="6"/>
      <c r="M24" s="6"/>
      <c r="N24" s="6">
        <f t="shared" si="0"/>
        <v>65</v>
      </c>
      <c r="O24" s="6">
        <v>76.84</v>
      </c>
      <c r="P24" s="6">
        <f t="shared" si="3"/>
        <v>4994.6</v>
      </c>
    </row>
    <row r="25" spans="1:16">
      <c r="A25" s="5">
        <v>22</v>
      </c>
      <c r="B25" s="5" t="s">
        <v>85</v>
      </c>
      <c r="C25" s="6" t="s">
        <v>89</v>
      </c>
      <c r="D25" s="6" t="s">
        <v>87</v>
      </c>
      <c r="E25" s="5" t="s">
        <v>69</v>
      </c>
      <c r="F25" s="5"/>
      <c r="G25" s="6">
        <v>2.8</v>
      </c>
      <c r="H25" s="6">
        <v>2.8</v>
      </c>
      <c r="I25" s="6">
        <v>2.8</v>
      </c>
      <c r="J25" s="6">
        <f>2.8*9</f>
        <v>25.2</v>
      </c>
      <c r="K25" s="6">
        <v>2.8</v>
      </c>
      <c r="L25" s="6"/>
      <c r="M25" s="6"/>
      <c r="N25" s="6">
        <f t="shared" si="0"/>
        <v>36.4</v>
      </c>
      <c r="O25" s="6">
        <v>76.84</v>
      </c>
      <c r="P25" s="6">
        <f t="shared" si="3"/>
        <v>2796.976</v>
      </c>
    </row>
    <row r="26" spans="1:16">
      <c r="A26" s="5">
        <v>23</v>
      </c>
      <c r="B26" s="5" t="s">
        <v>85</v>
      </c>
      <c r="C26" s="6" t="s">
        <v>90</v>
      </c>
      <c r="D26" s="6" t="s">
        <v>87</v>
      </c>
      <c r="E26" s="5" t="s">
        <v>69</v>
      </c>
      <c r="F26" s="5"/>
      <c r="G26" s="6">
        <f t="shared" ref="G26:I26" si="8">1.5+0.8</f>
        <v>2.3</v>
      </c>
      <c r="H26" s="6">
        <f t="shared" si="8"/>
        <v>2.3</v>
      </c>
      <c r="I26" s="6">
        <f t="shared" si="8"/>
        <v>2.3</v>
      </c>
      <c r="J26" s="6">
        <f>(1.5+0.8)*9</f>
        <v>20.7</v>
      </c>
      <c r="K26" s="6">
        <f>1.5+0.8</f>
        <v>2.3</v>
      </c>
      <c r="L26" s="6"/>
      <c r="M26" s="6"/>
      <c r="N26" s="6">
        <f t="shared" si="0"/>
        <v>29.9</v>
      </c>
      <c r="O26" s="6">
        <v>76.84</v>
      </c>
      <c r="P26" s="6">
        <f t="shared" si="3"/>
        <v>2297.516</v>
      </c>
    </row>
    <row r="27" spans="1:16">
      <c r="A27" s="5">
        <v>24</v>
      </c>
      <c r="B27" s="5" t="s">
        <v>85</v>
      </c>
      <c r="C27" s="6" t="s">
        <v>91</v>
      </c>
      <c r="D27" s="6" t="s">
        <v>87</v>
      </c>
      <c r="E27" s="5" t="s">
        <v>69</v>
      </c>
      <c r="F27" s="5"/>
      <c r="G27" s="6">
        <v>4.6</v>
      </c>
      <c r="H27" s="6">
        <v>4.6</v>
      </c>
      <c r="I27" s="6">
        <v>4.6</v>
      </c>
      <c r="J27" s="6">
        <f>4.6*9</f>
        <v>41.4</v>
      </c>
      <c r="K27" s="6">
        <v>4.6</v>
      </c>
      <c r="L27" s="6"/>
      <c r="M27" s="6"/>
      <c r="N27" s="6">
        <f t="shared" si="0"/>
        <v>59.8</v>
      </c>
      <c r="O27" s="6">
        <v>76.84</v>
      </c>
      <c r="P27" s="6">
        <f t="shared" si="3"/>
        <v>4595.032</v>
      </c>
    </row>
    <row r="28" spans="1:16">
      <c r="A28" s="5">
        <v>25</v>
      </c>
      <c r="B28" s="5" t="s">
        <v>85</v>
      </c>
      <c r="C28" s="6" t="s">
        <v>92</v>
      </c>
      <c r="D28" s="6" t="s">
        <v>87</v>
      </c>
      <c r="E28" s="5" t="s">
        <v>69</v>
      </c>
      <c r="F28" s="5"/>
      <c r="G28" s="6">
        <f t="shared" ref="G28:I28" si="9">1.5+0.8*2</f>
        <v>3.1</v>
      </c>
      <c r="H28" s="6">
        <f t="shared" si="9"/>
        <v>3.1</v>
      </c>
      <c r="I28" s="6">
        <f t="shared" si="9"/>
        <v>3.1</v>
      </c>
      <c r="J28" s="6">
        <f>(1.5+0.8*2)*9</f>
        <v>27.9</v>
      </c>
      <c r="K28" s="6">
        <f>1.5+0.8*2</f>
        <v>3.1</v>
      </c>
      <c r="L28" s="6"/>
      <c r="M28" s="6"/>
      <c r="N28" s="6">
        <f t="shared" si="0"/>
        <v>40.3</v>
      </c>
      <c r="O28" s="6">
        <v>76.84</v>
      </c>
      <c r="P28" s="6">
        <f t="shared" si="3"/>
        <v>3096.652</v>
      </c>
    </row>
    <row r="29" spans="1:16">
      <c r="A29" s="5">
        <v>26</v>
      </c>
      <c r="B29" s="5" t="s">
        <v>85</v>
      </c>
      <c r="C29" s="6" t="s">
        <v>93</v>
      </c>
      <c r="D29" s="6" t="s">
        <v>87</v>
      </c>
      <c r="E29" s="5" t="s">
        <v>69</v>
      </c>
      <c r="F29" s="5"/>
      <c r="G29" s="6"/>
      <c r="H29" s="6">
        <f t="shared" ref="H29:K29" si="10">1.7+1.3</f>
        <v>3</v>
      </c>
      <c r="I29" s="6">
        <f t="shared" si="10"/>
        <v>3</v>
      </c>
      <c r="J29" s="6">
        <f>(1.7+1.3)*9</f>
        <v>27</v>
      </c>
      <c r="K29" s="6">
        <f t="shared" si="10"/>
        <v>3</v>
      </c>
      <c r="L29" s="6"/>
      <c r="M29" s="6"/>
      <c r="N29" s="6">
        <f t="shared" si="0"/>
        <v>36</v>
      </c>
      <c r="O29" s="6">
        <v>76.84</v>
      </c>
      <c r="P29" s="6">
        <f t="shared" si="3"/>
        <v>2766.24</v>
      </c>
    </row>
    <row r="30" spans="1:16">
      <c r="A30" s="5">
        <v>27</v>
      </c>
      <c r="B30" s="5" t="s">
        <v>85</v>
      </c>
      <c r="C30" s="6" t="s">
        <v>94</v>
      </c>
      <c r="D30" s="6" t="s">
        <v>87</v>
      </c>
      <c r="E30" s="5" t="s">
        <v>69</v>
      </c>
      <c r="F30" s="5"/>
      <c r="G30" s="6">
        <f>2.5+0.8</f>
        <v>3.3</v>
      </c>
      <c r="H30" s="6"/>
      <c r="I30" s="6"/>
      <c r="J30" s="6"/>
      <c r="K30" s="6"/>
      <c r="L30" s="6"/>
      <c r="M30" s="6"/>
      <c r="N30" s="6">
        <f t="shared" si="0"/>
        <v>3.3</v>
      </c>
      <c r="O30" s="6">
        <v>76.84</v>
      </c>
      <c r="P30" s="6">
        <f t="shared" si="3"/>
        <v>253.572</v>
      </c>
    </row>
    <row r="31" spans="1:16">
      <c r="A31" s="5">
        <v>28</v>
      </c>
      <c r="B31" s="5" t="s">
        <v>85</v>
      </c>
      <c r="C31" s="6" t="s">
        <v>95</v>
      </c>
      <c r="D31" s="6" t="s">
        <v>87</v>
      </c>
      <c r="E31" s="5" t="s">
        <v>69</v>
      </c>
      <c r="F31" s="5"/>
      <c r="G31" s="6">
        <f t="shared" ref="G31:I31" si="11">1.45+0.8*2</f>
        <v>3.05</v>
      </c>
      <c r="H31" s="6">
        <f t="shared" si="11"/>
        <v>3.05</v>
      </c>
      <c r="I31" s="6">
        <f t="shared" si="11"/>
        <v>3.05</v>
      </c>
      <c r="J31" s="6">
        <f>(1.45+0.8*2)*9</f>
        <v>27.45</v>
      </c>
      <c r="K31" s="6">
        <f>1.45+0.8*2</f>
        <v>3.05</v>
      </c>
      <c r="L31" s="6"/>
      <c r="M31" s="6"/>
      <c r="N31" s="6">
        <f t="shared" si="0"/>
        <v>39.65</v>
      </c>
      <c r="O31" s="6">
        <v>76.84</v>
      </c>
      <c r="P31" s="6">
        <f t="shared" si="3"/>
        <v>3046.706</v>
      </c>
    </row>
    <row r="32" spans="1:16">
      <c r="A32" s="5">
        <v>29</v>
      </c>
      <c r="B32" s="5" t="s">
        <v>85</v>
      </c>
      <c r="C32" s="6" t="s">
        <v>96</v>
      </c>
      <c r="D32" s="6" t="s">
        <v>87</v>
      </c>
      <c r="E32" s="5" t="s">
        <v>69</v>
      </c>
      <c r="F32" s="5"/>
      <c r="G32" s="6">
        <f t="shared" ref="G32:I32" si="12">1.45+0.8*2</f>
        <v>3.05</v>
      </c>
      <c r="H32" s="6">
        <f t="shared" si="12"/>
        <v>3.05</v>
      </c>
      <c r="I32" s="6">
        <f t="shared" si="12"/>
        <v>3.05</v>
      </c>
      <c r="J32" s="6">
        <f>(1.45+0.8*2)*9</f>
        <v>27.45</v>
      </c>
      <c r="K32" s="6">
        <f>1.45+0.8*2</f>
        <v>3.05</v>
      </c>
      <c r="L32" s="6"/>
      <c r="M32" s="6"/>
      <c r="N32" s="6">
        <f t="shared" si="0"/>
        <v>39.65</v>
      </c>
      <c r="O32" s="6">
        <v>76.84</v>
      </c>
      <c r="P32" s="6">
        <f t="shared" si="3"/>
        <v>3046.706</v>
      </c>
    </row>
    <row r="33" ht="27" spans="1:16">
      <c r="A33" s="5">
        <v>30</v>
      </c>
      <c r="B33" s="6" t="s">
        <v>76</v>
      </c>
      <c r="C33" s="6" t="s">
        <v>97</v>
      </c>
      <c r="D33" s="5" t="s">
        <v>81</v>
      </c>
      <c r="E33" s="5" t="s">
        <v>69</v>
      </c>
      <c r="F33" s="5"/>
      <c r="G33" s="6">
        <v>1.7</v>
      </c>
      <c r="H33" s="6">
        <v>1.7</v>
      </c>
      <c r="I33" s="6">
        <v>1.7</v>
      </c>
      <c r="J33" s="6">
        <f>1.7*9</f>
        <v>15.3</v>
      </c>
      <c r="K33" s="6">
        <v>1.7</v>
      </c>
      <c r="L33" s="6"/>
      <c r="M33" s="6"/>
      <c r="N33" s="6">
        <f t="shared" si="0"/>
        <v>22.1</v>
      </c>
      <c r="O33" s="6">
        <v>114.9888</v>
      </c>
      <c r="P33" s="6">
        <f t="shared" si="3"/>
        <v>2541.25248</v>
      </c>
    </row>
    <row r="34" ht="27" spans="1:16">
      <c r="A34" s="5">
        <v>31</v>
      </c>
      <c r="B34" s="6" t="s">
        <v>76</v>
      </c>
      <c r="C34" s="6" t="s">
        <v>98</v>
      </c>
      <c r="D34" s="5" t="s">
        <v>81</v>
      </c>
      <c r="E34" s="5" t="s">
        <v>69</v>
      </c>
      <c r="F34" s="5"/>
      <c r="G34" s="6">
        <v>1.7</v>
      </c>
      <c r="H34" s="6">
        <v>1.7</v>
      </c>
      <c r="I34" s="6">
        <v>1.7</v>
      </c>
      <c r="J34" s="6">
        <f>1.7*9</f>
        <v>15.3</v>
      </c>
      <c r="K34" s="6">
        <v>1.7</v>
      </c>
      <c r="L34" s="6"/>
      <c r="M34" s="6"/>
      <c r="N34" s="6">
        <f t="shared" si="0"/>
        <v>22.1</v>
      </c>
      <c r="O34" s="6">
        <v>114.9888</v>
      </c>
      <c r="P34" s="6">
        <f t="shared" si="3"/>
        <v>2541.25248</v>
      </c>
    </row>
    <row r="35" spans="1:16">
      <c r="A35" s="5">
        <v>32</v>
      </c>
      <c r="B35" s="6" t="s">
        <v>99</v>
      </c>
      <c r="C35" s="6" t="s">
        <v>100</v>
      </c>
      <c r="D35" s="5" t="s">
        <v>101</v>
      </c>
      <c r="E35" s="5" t="s">
        <v>69</v>
      </c>
      <c r="F35" s="5"/>
      <c r="G35" s="6">
        <v>1.3</v>
      </c>
      <c r="H35" s="6">
        <v>1.3</v>
      </c>
      <c r="I35" s="6">
        <v>1.3</v>
      </c>
      <c r="J35" s="6">
        <f>1.3*9</f>
        <v>11.7</v>
      </c>
      <c r="K35" s="6">
        <v>1.3</v>
      </c>
      <c r="L35" s="6"/>
      <c r="M35" s="6"/>
      <c r="N35" s="6">
        <f t="shared" si="0"/>
        <v>16.9</v>
      </c>
      <c r="O35" s="6">
        <v>85.0099</v>
      </c>
      <c r="P35" s="6">
        <f t="shared" si="3"/>
        <v>1436.66731</v>
      </c>
    </row>
    <row r="36" spans="1:16">
      <c r="A36" s="5">
        <v>33</v>
      </c>
      <c r="B36" s="6" t="s">
        <v>99</v>
      </c>
      <c r="C36" s="6" t="s">
        <v>102</v>
      </c>
      <c r="D36" s="5" t="s">
        <v>101</v>
      </c>
      <c r="E36" s="5" t="s">
        <v>69</v>
      </c>
      <c r="F36" s="5"/>
      <c r="G36" s="6">
        <v>1.3</v>
      </c>
      <c r="H36" s="6">
        <v>1.3</v>
      </c>
      <c r="I36" s="6">
        <v>1.3</v>
      </c>
      <c r="J36" s="6">
        <f>1.3*9</f>
        <v>11.7</v>
      </c>
      <c r="K36" s="6">
        <v>1.3</v>
      </c>
      <c r="L36" s="6"/>
      <c r="M36" s="6"/>
      <c r="N36" s="6">
        <f t="shared" si="0"/>
        <v>16.9</v>
      </c>
      <c r="O36" s="6">
        <v>85.0099</v>
      </c>
      <c r="P36" s="6">
        <f t="shared" si="3"/>
        <v>1436.66731</v>
      </c>
    </row>
    <row r="37" spans="1:16">
      <c r="A37" s="5">
        <v>34</v>
      </c>
      <c r="B37" s="6" t="s">
        <v>103</v>
      </c>
      <c r="C37" s="5"/>
      <c r="D37" s="6" t="s">
        <v>104</v>
      </c>
      <c r="E37" s="5" t="s">
        <v>69</v>
      </c>
      <c r="F37" s="8">
        <f>1.845</f>
        <v>1.845</v>
      </c>
      <c r="G37" s="6">
        <f t="shared" ref="G37:I37" si="13">2.474+2.474+0.2</f>
        <v>5.148</v>
      </c>
      <c r="H37" s="6">
        <f t="shared" si="13"/>
        <v>5.148</v>
      </c>
      <c r="I37" s="6">
        <f t="shared" si="13"/>
        <v>5.148</v>
      </c>
      <c r="J37" s="6">
        <f>(2.474+2.474+0.2)*8</f>
        <v>41.184</v>
      </c>
      <c r="K37" s="6">
        <f>2.474+2.657</f>
        <v>5.131</v>
      </c>
      <c r="L37" s="6"/>
      <c r="M37" s="6"/>
      <c r="N37" s="6">
        <f t="shared" si="0"/>
        <v>63.604</v>
      </c>
      <c r="O37" s="6"/>
      <c r="P37" s="6">
        <f t="shared" si="3"/>
        <v>0</v>
      </c>
    </row>
    <row r="38" spans="1:16">
      <c r="A38" s="5">
        <v>34</v>
      </c>
      <c r="B38" s="6" t="s">
        <v>103</v>
      </c>
      <c r="C38" s="5"/>
      <c r="D38" s="6" t="s">
        <v>104</v>
      </c>
      <c r="E38" s="5" t="s">
        <v>69</v>
      </c>
      <c r="F38" s="8">
        <f>1.845+2.454+2.134+0.32+2.464+5*0.15</f>
        <v>9.967</v>
      </c>
      <c r="G38" s="6">
        <f>4.42+2.86+0.653+0.2</f>
        <v>8.133</v>
      </c>
      <c r="H38" s="6">
        <f>3.3+1.7+1.528+0.2*2</f>
        <v>6.928</v>
      </c>
      <c r="I38" s="6">
        <f>2.438+2.447+0.2</f>
        <v>5.085</v>
      </c>
      <c r="J38" s="6">
        <f>(2.438+2.447+0.2)*8</f>
        <v>40.68</v>
      </c>
      <c r="K38" s="6">
        <f>2.447+2.599+1.36+0.2*2</f>
        <v>6.806</v>
      </c>
      <c r="L38" s="6"/>
      <c r="M38" s="6"/>
      <c r="N38" s="6">
        <f t="shared" si="0"/>
        <v>77.599</v>
      </c>
      <c r="O38" s="6"/>
      <c r="P38" s="6">
        <f t="shared" si="3"/>
        <v>0</v>
      </c>
    </row>
    <row r="39" ht="14.25" spans="1:16">
      <c r="A39" s="5"/>
      <c r="B39" s="6" t="s">
        <v>105</v>
      </c>
      <c r="C39" s="6"/>
      <c r="D39" s="6" t="s">
        <v>106</v>
      </c>
      <c r="E39" s="5" t="s">
        <v>69</v>
      </c>
      <c r="F39" s="5">
        <f>5.25+2.454+2.413+2.464+2.754+2.728</f>
        <v>18.063</v>
      </c>
      <c r="G39" s="6"/>
      <c r="H39" s="6"/>
      <c r="I39" s="6"/>
      <c r="J39" s="6"/>
      <c r="K39" s="6"/>
      <c r="L39" s="6"/>
      <c r="M39" s="6"/>
      <c r="N39" s="13">
        <f>F39*2</f>
        <v>36.126</v>
      </c>
      <c r="O39" s="6"/>
      <c r="P39" s="6">
        <f t="shared" si="3"/>
        <v>0</v>
      </c>
    </row>
    <row r="40" spans="1:16">
      <c r="A40" s="5"/>
      <c r="B40" s="5" t="s">
        <v>33</v>
      </c>
      <c r="C40" s="5"/>
      <c r="D40" s="7"/>
      <c r="E40" s="5"/>
      <c r="F40" s="6"/>
      <c r="G40" s="6"/>
      <c r="H40" s="6"/>
      <c r="I40" s="6"/>
      <c r="J40" s="6"/>
      <c r="K40" s="6"/>
      <c r="L40" s="6"/>
      <c r="M40" s="6"/>
      <c r="N40" s="6"/>
      <c r="O40" s="6"/>
      <c r="P40" s="6">
        <f>SUM(P3:P39)</f>
        <v>102390.246571113</v>
      </c>
    </row>
    <row r="42" ht="27" spans="1:16">
      <c r="A42" s="9" t="s">
        <v>107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>
      <c r="A43" s="9" t="s">
        <v>1</v>
      </c>
      <c r="B43" s="6" t="s">
        <v>43</v>
      </c>
      <c r="C43" s="6"/>
      <c r="D43" s="6" t="s">
        <v>108</v>
      </c>
      <c r="E43" s="6" t="s">
        <v>47</v>
      </c>
      <c r="F43" s="6"/>
      <c r="G43" s="6"/>
      <c r="H43" s="6"/>
      <c r="I43" s="6"/>
      <c r="J43" s="6"/>
      <c r="K43" s="6"/>
      <c r="L43" s="6"/>
      <c r="M43" s="6"/>
      <c r="N43" s="6" t="s">
        <v>109</v>
      </c>
      <c r="O43" s="6"/>
      <c r="P43" s="6"/>
    </row>
    <row r="44" spans="1:16">
      <c r="A44" s="10">
        <v>1</v>
      </c>
      <c r="B44" s="6" t="s">
        <v>105</v>
      </c>
      <c r="C44" s="6"/>
      <c r="D44" s="6" t="s">
        <v>106</v>
      </c>
      <c r="E44" s="5" t="s">
        <v>69</v>
      </c>
      <c r="F44" s="6">
        <f>3.08*1.2+2.45*1.2+2.86+1.2+(2.8+2.029)*1.2</f>
        <v>16.4908</v>
      </c>
      <c r="G44" s="6"/>
      <c r="H44" s="6"/>
      <c r="I44" s="6"/>
      <c r="J44" s="6"/>
      <c r="K44" s="6"/>
      <c r="L44" s="6"/>
      <c r="M44" s="6"/>
      <c r="N44" s="6">
        <f t="shared" ref="N44:N46" si="14">F44+G44+H44+I44+J44+K44+L44+M44</f>
        <v>16.4908</v>
      </c>
      <c r="O44" s="6"/>
      <c r="P44" s="6"/>
    </row>
    <row r="45" spans="1:16">
      <c r="A45" s="10">
        <v>2</v>
      </c>
      <c r="B45" s="6" t="s">
        <v>110</v>
      </c>
      <c r="C45" s="6"/>
      <c r="D45" s="6"/>
      <c r="E45" s="5" t="s">
        <v>69</v>
      </c>
      <c r="F45" s="6">
        <f>3.69*1.2+1.3*1.2+(2.115+2.065)*1.2+1.82*1.2+1.425+2.86*1.2</f>
        <v>18.045</v>
      </c>
      <c r="G45" s="6">
        <f>(2.22+2.22)*1.2+1.3*1.2*5+1.2+2.34*1.2+1.25</f>
        <v>18.386</v>
      </c>
      <c r="H45" s="6">
        <f>2.86*1.2+2.75+1.94*2*1.2+3+2.85+3.49+2.04*1.2</f>
        <v>22.626</v>
      </c>
      <c r="I45" s="6">
        <f>1.04+2.86*1.2+2.86*1.2*2</f>
        <v>11.336</v>
      </c>
      <c r="J45" s="6"/>
      <c r="K45" s="6"/>
      <c r="L45" s="6"/>
      <c r="M45" s="6"/>
      <c r="N45" s="6">
        <f t="shared" si="14"/>
        <v>70.393</v>
      </c>
      <c r="O45" s="6"/>
      <c r="P45" s="6"/>
    </row>
    <row r="46" ht="27" spans="1:16">
      <c r="A46" s="10">
        <v>3</v>
      </c>
      <c r="B46" s="6" t="s">
        <v>111</v>
      </c>
      <c r="C46" s="6"/>
      <c r="D46" s="6" t="s">
        <v>112</v>
      </c>
      <c r="E46" s="5" t="s">
        <v>69</v>
      </c>
      <c r="F46" s="6">
        <f>4.355+7.55+4.7+6.6+1.85</f>
        <v>25.055</v>
      </c>
      <c r="G46" s="6"/>
      <c r="H46" s="6"/>
      <c r="I46" s="6"/>
      <c r="J46" s="6"/>
      <c r="K46" s="6"/>
      <c r="L46" s="6"/>
      <c r="M46" s="6"/>
      <c r="N46" s="6">
        <f t="shared" si="14"/>
        <v>25.055</v>
      </c>
      <c r="O46" s="6"/>
      <c r="P46" s="6"/>
    </row>
    <row r="47" ht="27" spans="1:16">
      <c r="A47" s="10">
        <v>4</v>
      </c>
      <c r="B47" s="6" t="s">
        <v>113</v>
      </c>
      <c r="C47" s="6"/>
      <c r="D47" s="6" t="s">
        <v>114</v>
      </c>
      <c r="E47" s="5" t="s">
        <v>69</v>
      </c>
      <c r="F47" s="6">
        <f>4.7+4.35</f>
        <v>9.05</v>
      </c>
      <c r="G47" s="6"/>
      <c r="H47" s="6">
        <v>4.7</v>
      </c>
      <c r="I47" s="6"/>
      <c r="J47" s="6"/>
      <c r="K47" s="6"/>
      <c r="L47" s="6"/>
      <c r="M47" s="6"/>
      <c r="N47" s="6">
        <f t="shared" ref="N47:N49" si="15">F47+G47+I47+H47+J47+K47+L47+M47</f>
        <v>13.75</v>
      </c>
      <c r="O47" s="6">
        <v>119.9947</v>
      </c>
      <c r="P47" s="6">
        <f>O47*N47</f>
        <v>1649.927125</v>
      </c>
    </row>
    <row r="48" ht="81" spans="1:16">
      <c r="A48" s="10">
        <v>5</v>
      </c>
      <c r="B48" s="6" t="s">
        <v>115</v>
      </c>
      <c r="C48" s="6"/>
      <c r="D48" s="6" t="s">
        <v>116</v>
      </c>
      <c r="E48" s="5" t="s">
        <v>69</v>
      </c>
      <c r="F48" s="6">
        <v>6.5</v>
      </c>
      <c r="G48" s="6">
        <f>8+7.35</f>
        <v>15.35</v>
      </c>
      <c r="H48" s="6"/>
      <c r="I48" s="6">
        <f>6.565+1.557</f>
        <v>8.122</v>
      </c>
      <c r="J48" s="6">
        <v>7.5</v>
      </c>
      <c r="K48" s="6">
        <v>5.6</v>
      </c>
      <c r="L48" s="6">
        <v>6</v>
      </c>
      <c r="M48" s="6"/>
      <c r="N48" s="6">
        <f t="shared" si="15"/>
        <v>49.072</v>
      </c>
      <c r="O48" s="6">
        <v>127.9951</v>
      </c>
      <c r="P48" s="6">
        <f>O48*N48</f>
        <v>6280.9755472</v>
      </c>
    </row>
    <row r="49" ht="27" spans="1:16">
      <c r="A49" s="10">
        <v>6</v>
      </c>
      <c r="B49" s="6" t="s">
        <v>113</v>
      </c>
      <c r="C49" s="6"/>
      <c r="D49" s="6" t="s">
        <v>117</v>
      </c>
      <c r="E49" s="5" t="s">
        <v>69</v>
      </c>
      <c r="F49" s="6">
        <v>3.2</v>
      </c>
      <c r="G49" s="6">
        <v>2.7</v>
      </c>
      <c r="H49" s="6">
        <v>3.3</v>
      </c>
      <c r="I49" s="6">
        <v>2.128</v>
      </c>
      <c r="J49" s="6">
        <v>3.725</v>
      </c>
      <c r="K49" s="6">
        <v>2.525</v>
      </c>
      <c r="L49" s="6">
        <v>4.43</v>
      </c>
      <c r="M49" s="6">
        <v>1.07</v>
      </c>
      <c r="N49" s="6">
        <f t="shared" si="15"/>
        <v>23.078</v>
      </c>
      <c r="O49" s="6">
        <v>114.9888</v>
      </c>
      <c r="P49" s="6">
        <f>O49*N49</f>
        <v>2653.7115264</v>
      </c>
    </row>
    <row r="50" spans="1:16">
      <c r="A50" s="10"/>
      <c r="B50" s="5"/>
      <c r="C50" s="5"/>
      <c r="D50" s="7"/>
      <c r="E50" s="5"/>
      <c r="F50" s="6"/>
      <c r="G50" s="6"/>
      <c r="H50" s="6"/>
      <c r="I50" s="6"/>
      <c r="J50" s="6"/>
      <c r="K50" s="6"/>
      <c r="L50" s="6"/>
      <c r="M50" s="6"/>
      <c r="N50" s="6"/>
      <c r="O50" s="6"/>
      <c r="P50" s="6">
        <f>SUM(P47:P49)</f>
        <v>10584.6141986</v>
      </c>
    </row>
  </sheetData>
  <mergeCells count="6">
    <mergeCell ref="A1:O1"/>
    <mergeCell ref="E2:M2"/>
    <mergeCell ref="A2:A3"/>
    <mergeCell ref="B2:B3"/>
    <mergeCell ref="C2:C3"/>
    <mergeCell ref="D2:D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16#楼</vt:lpstr>
      <vt:lpstr>04、工程量计算书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2020-12-05T09:38:00Z</dcterms:created>
  <dcterms:modified xsi:type="dcterms:W3CDTF">2023-10-14T02:27:22Z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0D7F1678D3C946F78A472997CEACF851</vt:lpwstr>
  </property>
</Properties>
</file>