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17"/>
  </bookViews>
  <sheets>
    <sheet name="进款汇总" sheetId="19" r:id="rId1"/>
    <sheet name="汇总表" sheetId="9" r:id="rId2"/>
    <sheet name="硬质铺装" sheetId="1" r:id="rId3"/>
    <sheet name="绿植乔木" sheetId="16" r:id="rId4"/>
    <sheet name="绿植灌木" sheetId="17" r:id="rId5"/>
    <sheet name="景观水电" sheetId="18" r:id="rId6"/>
  </sheets>
  <definedNames>
    <definedName name="_xlnm._FilterDatabase" localSheetId="2" hidden="1">硬质铺装!$3:$65</definedName>
    <definedName name="_xlnm._FilterDatabase" localSheetId="5" hidden="1">景观水电!$A$4:$N$26</definedName>
    <definedName name="_xlnm.Print_Area" localSheetId="2">硬质铺装!$A$1:$O$21</definedName>
  </definedNames>
  <calcPr calcId="144525"/>
</workbook>
</file>

<file path=xl/sharedStrings.xml><?xml version="1.0" encoding="utf-8"?>
<sst xmlns="http://schemas.openxmlformats.org/spreadsheetml/2006/main" count="423" uniqueCount="220">
  <si>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</si>
  <si>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</si>
  <si>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</si>
  <si>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</si>
  <si>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</si>
  <si>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</si>
  <si>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</si>
  <si>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</si>
  <si>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</si>
  <si>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</si>
  <si>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</si>
  <si>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</si>
  <si>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</si>
  <si>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</si>
  <si>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</si>
  <si>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</si>
  <si>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</si>
  <si>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</si>
  <si>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</si>
  <si>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</si>
  <si>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</si>
  <si>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</si>
  <si>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</si>
  <si>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</si>
  <si>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</si>
  <si>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</si>
  <si>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</si>
  <si>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</si>
  <si>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</si>
  <si>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</si>
  <si>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</si>
  <si>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硬质铺装</t>
  </si>
  <si>
    <t>绿植乔木</t>
  </si>
  <si>
    <t>绿植灌木</t>
  </si>
  <si>
    <t>景观水电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</si>
  <si>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</si>
  <si>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</si>
  <si>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</si>
  <si>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</si>
  <si>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</si>
  <si>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</si>
  <si>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</si>
  <si>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</si>
  <si>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</si>
  <si>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栾川山水文苑S1地块商业街工程造价汇总表
（单位：元）</t>
  </si>
  <si>
    <t>序 号</t>
  </si>
  <si>
    <t>项目名称</t>
  </si>
  <si>
    <t>单位</t>
  </si>
  <si>
    <t>工程量</t>
  </si>
  <si>
    <t>金额 
(元)</t>
  </si>
  <si>
    <t>10.14进度款</t>
  </si>
  <si>
    <t>备注</t>
  </si>
  <si>
    <t>项</t>
  </si>
  <si>
    <t>合计(元)</t>
  </si>
  <si>
    <t>栾川山水文苑项目硬质景观清单及计价表</t>
  </si>
  <si>
    <t>项目特征描述</t>
  </si>
  <si>
    <t>计量
单位</t>
  </si>
  <si>
    <t>其中：各子项构成（元）</t>
  </si>
  <si>
    <t>含税综合单价(元)
f=(a+b+c+d+e)</t>
  </si>
  <si>
    <t>合价(元)=g*f</t>
  </si>
  <si>
    <t>主要材料品牌</t>
  </si>
  <si>
    <t>10.14日进度款</t>
  </si>
  <si>
    <t>人工费
a</t>
  </si>
  <si>
    <t>主材费
b</t>
  </si>
  <si>
    <t>机械、辅材及其他c</t>
  </si>
  <si>
    <t>管理费、利润、措施、规费等一切费用
d=(a+b+c)*费率</t>
  </si>
  <si>
    <t>税金
e=(a+b+c+d)*费率</t>
  </si>
  <si>
    <t>一</t>
  </si>
  <si>
    <t>铺装</t>
  </si>
  <si>
    <t>挖土方</t>
  </si>
  <si>
    <t>1.土壤类别：综合
2.挖土深度：详设计
3.开挖方式：人工、机械综合考虑   
4.多余土方运送场内指定位置
5.其它满足规范和设计图纸要求</t>
  </si>
  <si>
    <t>m3</t>
  </si>
  <si>
    <t>素土夯实</t>
  </si>
  <si>
    <t>1.素土夯实，密实度≥0.93
2、其它满足规范和设计图纸要求</t>
  </si>
  <si>
    <t>m2</t>
  </si>
  <si>
    <t>碎石垫层</t>
  </si>
  <si>
    <t>1.200厚级配碎石垫层，密实度≥0.93
2.其它说明：其它满足规范和设计图纸要求</t>
  </si>
  <si>
    <t>砼垫层</t>
  </si>
  <si>
    <t>1.混凝土强度等级:200厚C20砼垫层
2.混凝土拌合料要求：符合规范要求
3.模板安拆费用计入综合单价，支模方式综合考虑
4.其它满足规范和设计图纸要求</t>
  </si>
  <si>
    <t>碎石垫层（非机动车）</t>
  </si>
  <si>
    <t>1.100厚级配碎石垫层，密实度≥0.93
2.其它说明：其它满足规范和设计图纸要求</t>
  </si>
  <si>
    <t>砼垫层（非机动车）</t>
  </si>
  <si>
    <t>1.混凝土强度等级:100厚C20砼垫层
2.混凝土拌合料要求：符合规范要求
3.模板安拆费用计入综合单价，支模方式综合考虑
4.其它满足规范和设计图纸要求</t>
  </si>
  <si>
    <t>仿石材面石英砖面层</t>
  </si>
  <si>
    <t>1.18厚300*600仿芝麻灰、黑荔枝面石英砖（按图施工）
2.30厚1：3干硬性水泥砂浆粘结层
3.其它满足规范和设计图纸要求</t>
  </si>
  <si>
    <t>仿石材面石英砖面层（非机动车部分）</t>
  </si>
  <si>
    <t>1.18厚200*600仿芝麻灰、黑荔枝面石英砖（按图施工）
2.30厚1：3干硬性水泥砂浆粘结层
4.其它满足规范和设计图纸要求</t>
  </si>
  <si>
    <t>二</t>
  </si>
  <si>
    <t>休闲平台一</t>
  </si>
  <si>
    <t>剖面图7/BG01-C-1.02</t>
  </si>
  <si>
    <t>砖砌体</t>
  </si>
  <si>
    <t>1、MU10页岩砖，M7.5水泥砂浆砌筑
2、其它满足规范和设计图纸要求</t>
  </si>
  <si>
    <t>侧面石材</t>
  </si>
  <si>
    <t>1、20厚600*250/400芝麻黑花岗岩烧面上拉10*20凹槽
2.25厚1：2.5水泥砂浆粘结层
3.其它满足规范和设计图纸要求</t>
  </si>
  <si>
    <t>石材压顶</t>
  </si>
  <si>
    <t>1、50厚600*300芝麻黑花岗岩光面
2.25厚1：2.5水泥砂浆粘结层
3.其它满足规范和设计图纸要求</t>
  </si>
  <si>
    <t>剖面图4-2/BG01-C-1.02</t>
  </si>
  <si>
    <t>1、20厚900*400芝麻黑花岗岩烧面上拉10*20凹槽
2.25厚1：2.5水泥砂浆粘结层
3.其它满足规范和设计图纸要求</t>
  </si>
  <si>
    <t>1、50厚600*900芝麻黑花岗岩光面
2.25厚1：2.5水泥砂浆粘结层
3.其它满足规范和设计图纸要求</t>
  </si>
  <si>
    <t>不锈钢构件</t>
  </si>
  <si>
    <t>1、3厚304#不锈钢板，电镀深咖拉丝面5厚镀锌钢板按形折
2、框架采用3厚20*20热镀锌角钢
3、规格500*700*600
4.、其它满足规范和设计图纸要求</t>
  </si>
  <si>
    <t>个</t>
  </si>
  <si>
    <t>雕塑</t>
  </si>
  <si>
    <t>1、棕色卡通熊雕塑、玻璃钢 专业厂家二次深化色设计并安装
2、规格890*1150*1801
3、其它满足规范和设计图纸要求</t>
  </si>
  <si>
    <t>户外高耐竹木地板</t>
  </si>
  <si>
    <t>1、18厚1860*137户外高耐竹木地板，粟色、对中错缝安装、留缝3 
2、5厚50*50方钢管龙骨@465，与角钢焊接
3、80长3厚L50*50角钢@500
4、侧板采用12厚100宽户外高耐竹木檐板
5、计算规则：水平投影面积
6、其它满足规范和设计图纸要求</t>
  </si>
  <si>
    <t>三</t>
  </si>
  <si>
    <t>休闲平台二</t>
  </si>
  <si>
    <t>剖面图4/BG01-C-2.02</t>
  </si>
  <si>
    <t>1、20厚600*h变量芝麻黑花岗岩烧面上拉10*20凹槽
2.25厚1：2.5水泥砂浆粘结层
3.其它满足规范和设计图纸要求</t>
  </si>
  <si>
    <t>剖面图5、6/BG01-C-2.02</t>
  </si>
  <si>
    <t>1、50厚900*1200芝麻黑花岗岩光面
2.25厚1：2.5水泥砂浆粘结层
3.其它满足规范和设计图纸要求</t>
  </si>
  <si>
    <t>1、白色卡通兔子雕塑、玻璃钢 专业厂家二次深化色设计并安装
2、规格900*860*1570
3、其它满足规范和设计图纸要求</t>
  </si>
  <si>
    <t>台阶石材</t>
  </si>
  <si>
    <t>1、20厚220*600芝麻黑花岗岩烧面
2、20厚70*300芝麻黑花岗岩烧面，
2.25厚1：2.5水泥砂浆粘结层
3.其它满足规范和设计图纸要求</t>
  </si>
  <si>
    <t>1、100厚100*600芝麻黑花岗岩烧面，按形定制
2.25厚1：2.5水泥砂浆粘结层
3.其它满足规范和设计图纸要求</t>
  </si>
  <si>
    <t>m</t>
  </si>
  <si>
    <t>四</t>
  </si>
  <si>
    <t>休闲平台三</t>
  </si>
  <si>
    <t>1、棕色卡通熊雕塑、玻璃钢 专业厂家二次深化色设计并安装
2、规格980*1050*1400
3、其它满足规范和设计图纸要求</t>
  </si>
  <si>
    <t>元</t>
  </si>
  <si>
    <r>
      <rPr>
        <sz val="10"/>
        <rFont val="宋体"/>
        <charset val="1"/>
      </rPr>
      <t>备注：</t>
    </r>
    <r>
      <rPr>
        <sz val="10"/>
        <rFont val="Arial"/>
        <charset val="1"/>
      </rPr>
      <t>1.</t>
    </r>
    <r>
      <rPr>
        <sz val="10"/>
        <rFont val="宋体"/>
        <charset val="1"/>
      </rPr>
      <t>综合单价包括且不限于人工、材料、机械、措施、检验检测、规费、管理费、利润、税金</t>
    </r>
    <r>
      <rPr>
        <sz val="10"/>
        <rFont val="Arial"/>
        <charset val="1"/>
      </rPr>
      <t>(</t>
    </r>
    <r>
      <rPr>
        <sz val="10"/>
        <rFont val="宋体"/>
        <charset val="1"/>
      </rPr>
      <t>增值税专用发票</t>
    </r>
    <r>
      <rPr>
        <sz val="10"/>
        <rFont val="Arial"/>
        <charset val="1"/>
      </rPr>
      <t>)</t>
    </r>
    <r>
      <rPr>
        <sz val="10"/>
        <rFont val="宋体"/>
        <charset val="1"/>
      </rPr>
      <t>、赶工措施、安全防护、现场文明施工措施、风险等全部费用。</t>
    </r>
    <r>
      <rPr>
        <sz val="10"/>
        <rFont val="Arial"/>
        <charset val="1"/>
      </rPr>
      <t xml:space="preserve">
     2.</t>
    </r>
    <r>
      <rPr>
        <sz val="10"/>
        <rFont val="宋体"/>
        <charset val="1"/>
      </rPr>
      <t>本工程清单，无论是否存在缺项、漏项、工程量偏差，均视为乙方已综合考虑在固定合同总价内。</t>
    </r>
  </si>
  <si>
    <t>乔木配置表</t>
  </si>
  <si>
    <t>名称</t>
  </si>
  <si>
    <t>规格</t>
  </si>
  <si>
    <t>数量</t>
  </si>
  <si>
    <t>单
位</t>
  </si>
  <si>
    <t>综合单价</t>
  </si>
  <si>
    <t>合价</t>
  </si>
  <si>
    <t>胸径(cm)</t>
  </si>
  <si>
    <t>树高(m)</t>
  </si>
  <si>
    <t>冠径(m)</t>
  </si>
  <si>
    <t>分支点（m）</t>
  </si>
  <si>
    <t>常绿乔木</t>
  </si>
  <si>
    <t>桂花OF</t>
  </si>
  <si>
    <r>
      <rPr>
        <sz val="10"/>
        <color theme="1"/>
        <rFont val="宋体"/>
        <charset val="134"/>
      </rPr>
      <t>∅</t>
    </r>
    <r>
      <rPr>
        <sz val="10"/>
        <color theme="1"/>
        <rFont val="新宋体"/>
        <charset val="134"/>
      </rPr>
      <t>12</t>
    </r>
  </si>
  <si>
    <t>3.5-4</t>
  </si>
  <si>
    <t>3-3.5</t>
  </si>
  <si>
    <t>1-1.2</t>
  </si>
  <si>
    <t>株</t>
  </si>
  <si>
    <t>全冠假植苗，冠型均匀完整，枝繁叶茂，修剪成型</t>
  </si>
  <si>
    <t>落叶乔木</t>
  </si>
  <si>
    <t>山杏AS-A</t>
  </si>
  <si>
    <t>D18</t>
  </si>
  <si>
    <t>4-4.5</t>
  </si>
  <si>
    <t>0.2-0.6</t>
  </si>
  <si>
    <t>低分枝，主杆四分叉以上，全冠假植苗，冠型开展、均匀完整，枝繁叶茂</t>
  </si>
  <si>
    <t>红叶李PE-B</t>
  </si>
  <si>
    <t>D15</t>
  </si>
  <si>
    <t>0.3-0.8</t>
  </si>
  <si>
    <t>红枫AT-B</t>
  </si>
  <si>
    <t>D12</t>
  </si>
  <si>
    <t>2.5-3</t>
  </si>
  <si>
    <t>低分枝，冠型开展,冠型均匀完整，枝繁叶茂，特选</t>
  </si>
  <si>
    <t>特别说明：1、选苗胸径/基径的浮动范围应不小于标注胸径/基径，且修剪后苗木冠幅、高度不能小于以上设计规格标准，基径按照离地30公分处测量；</t>
  </si>
  <si>
    <t>2、三方选定乔木必须由甲方、设计方、施工方共同确定树形；3、所有乔木需保证全冠栽植，可在保全树形的前提下适当疏枝疏叶;</t>
  </si>
  <si>
    <t>4、特选斜飘丛生朴树、特选弯杆朴树、特选斜飘山杏、丛生鸡爪槭与水景边红梅、丛生乌桕等乔木的倾斜方向参照ZS-2.01植物配置图中的箭头方向</t>
  </si>
  <si>
    <t>灌木地被配置表</t>
  </si>
  <si>
    <t>序
号</t>
  </si>
  <si>
    <t>备注（密度仅供参考,以不见土为原则）</t>
  </si>
  <si>
    <t>高度(m)</t>
  </si>
  <si>
    <t>种植密度</t>
  </si>
  <si>
    <t>蓬径(m)</t>
  </si>
  <si>
    <t>大叶黄杨</t>
  </si>
  <si>
    <t>0.5-0.6</t>
  </si>
  <si>
    <t>25株/㎡</t>
  </si>
  <si>
    <t>0.26-0.3</t>
  </si>
  <si>
    <t>㎡</t>
  </si>
  <si>
    <t>笼子货，修剪整形</t>
  </si>
  <si>
    <t>毛鹃</t>
  </si>
  <si>
    <t>0.3-0.35</t>
  </si>
  <si>
    <t>36株/㎡</t>
  </si>
  <si>
    <t>黄金庆典</t>
  </si>
  <si>
    <t>藤长1.5m</t>
  </si>
  <si>
    <t>4株/m</t>
  </si>
  <si>
    <t>说明：以上苗木规格均为修剪后苗木规格</t>
  </si>
  <si>
    <t>栾川山水文苑S1地块商业街工程招标清单与计价表-水电</t>
  </si>
  <si>
    <t>工程项目名称</t>
  </si>
  <si>
    <t>工程内容</t>
  </si>
  <si>
    <t>工程量
g</t>
  </si>
  <si>
    <t>品牌</t>
  </si>
  <si>
    <t>管理费及利润
d=(a+b+c)*费率</t>
  </si>
  <si>
    <t>景观照明</t>
  </si>
  <si>
    <t>配电箱</t>
  </si>
  <si>
    <t>1、名称:配电箱 AL-2
2、规格:370*600*600
3、含预埋、接地、端子接线等
4、未详尽处满足图纸设计、相关规范要求</t>
  </si>
  <si>
    <t>台</t>
  </si>
  <si>
    <t>商业柱灯</t>
  </si>
  <si>
    <t>1、名称:商业柱灯
2、规格：220V/50W LED/3000k IP65,H=4m
3、含灯具基础、预埋基础螺栓、接地、调试等
4、详见景观详图
5、未详尽处满足图纸设计、相关规范要求</t>
  </si>
  <si>
    <t>套</t>
  </si>
  <si>
    <t>特色灯3</t>
  </si>
  <si>
    <t>1、名称:特色灯3
2、规格：220V/10W LED/3000k IP65
3、详见景观详图
4、未详尽处满足图纸设计、相关规范要求</t>
  </si>
  <si>
    <t>手孔井1</t>
  </si>
  <si>
    <t>1、名称:手孔井1
2、规格:400*400*500(净尺寸)
3、未详尽处满足图纸设计、相关规范要求</t>
  </si>
  <si>
    <t>座</t>
  </si>
  <si>
    <t>配管</t>
  </si>
  <si>
    <t>1、名称：配管
2、规格：PVC32
3、敷设方式:埋地敷设
4、未详尽处满足图纸设计、相关规范要求</t>
  </si>
  <si>
    <t>中财、公元</t>
  </si>
  <si>
    <t>1、名称：配管
2、规格：PVC25
3、敷设方式:埋地敷设
4、未详尽处满足图纸设计、相关规范要求</t>
  </si>
  <si>
    <t>南侧景观照明箱进线电缆</t>
  </si>
  <si>
    <t>1、名称：景观照明箱进线电缆
2、规格：WDZ-YJY-0.6/1KV-5*6
3、敷设方式:穿桥架或管敷设
4、未详尽处满足图纸设计、相关规范要求</t>
  </si>
  <si>
    <t>三缆、郑缆、恒天、金水</t>
  </si>
  <si>
    <t>电缆</t>
  </si>
  <si>
    <t>1、名称：电缆
2、规格：YJV-3*4
3、敷设方式:穿管敷设
4、未详尽处满足图纸设计、相关规范要求</t>
  </si>
  <si>
    <t>1、名称：电缆
2、规格：YJV-3*2.5
3、敷设方式:穿管敷设
4、未详尽处满足图纸设计、相关规范要求</t>
  </si>
  <si>
    <t>1、名称:土方的开挖
2、含穿线管、配电箱基础、灯具基础、手孔井及变压器井土方</t>
  </si>
  <si>
    <t>回填方</t>
  </si>
  <si>
    <t>1、名称:土方的回填
2、含穿线管、配电箱基础、灯具基础、手孔井及变压器井土方</t>
  </si>
  <si>
    <t>景观给水</t>
  </si>
  <si>
    <t>快速取水阀</t>
  </si>
  <si>
    <t>1、名称：快速取水阀
2、规格：DN25
3、含埋地式(铜质)快速取水阀配套闸阀、成品箱体、铰接管等附件
4、未详尽处满足图纸设计、相关规范要求</t>
  </si>
  <si>
    <t>给水管</t>
  </si>
  <si>
    <t>1、名称：PE给水管,S4系列
2、规格：De25
3、连接方式：热熔连接
4、压力等级:1.25Mpa
5、压力试验及吹、洗设计要求: 满足规范及设计要求
6、未详尽处满足图纸设计、相关规范要求</t>
  </si>
  <si>
    <t>1、名称：PE给水管,S4系列
2、规格：De32
3、连接方式：热熔连接
4、压力等级:1.25Mpa
5、压力试验及吹、洗设计要求: 满足规范及设计要求
6、未详尽处满足图纸设计、相关规范要求</t>
  </si>
  <si>
    <t>1、名称：PE给水管,S4系列
2、规格：De40
3、连接方式：热熔连接
4、压力等级:1.25Mpa
5、压力试验及吹、洗设计要求: 满足规范及设计要求
6、未详尽处满足图纸设计、相关规范要求</t>
  </si>
  <si>
    <t>1、名称：PE给水管,S4系列
2、规格：De50
3、连接方式：热熔连接
4、压力等级:1.25Mpa
5、压力试验及吹、洗设计要求: 满足规范及设计要求
6、未详尽处满足图纸设计、相关规范要求</t>
  </si>
  <si>
    <t>1、名称:土方的开挖
2、未详尽处满足图纸设计、相关规范要求</t>
  </si>
  <si>
    <t>回填土</t>
  </si>
  <si>
    <t>1、名称:土方的回填
2、未详尽处满足图纸设计、相关规范要求</t>
  </si>
  <si>
    <t>合计（元）</t>
  </si>
  <si>
    <t>注：1.综合单价包括且不限于人工、材料、机械、措施、检验检测、规费、管理费、利润、税金(增值税专用发票)、赶工措施、安全防护、现场文明施工措施、风险等全部费用。
 2.本工程清单，无论是否存在缺项、漏项、工程量偏差，均视为乙方已综合考虑在固定合同总价内。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</si>
</sst>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60">
    <font>
      <sz val="10"/>
      <name val="Arial"/>
      <charset val="1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.5"/>
      <color indexed="8"/>
      <name val="宋体"/>
      <charset val="134"/>
    </font>
    <font>
      <sz val="9"/>
      <name val="Arial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0"/>
      <name val="新宋体"/>
      <charset val="1"/>
    </font>
    <font>
      <sz val="11"/>
      <color theme="1"/>
      <name val="新宋体"/>
      <charset val="134"/>
    </font>
    <font>
      <b/>
      <sz val="10"/>
      <name val="新宋体"/>
      <charset val="134"/>
    </font>
    <font>
      <b/>
      <sz val="14"/>
      <color theme="1"/>
      <name val="新宋体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9"/>
      <name val="Arial"/>
      <charset val="1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7" borderId="1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15" applyNumberFormat="0" applyAlignment="0" applyProtection="0">
      <alignment vertical="center"/>
    </xf>
    <xf numFmtId="0" fontId="47" fillId="9" borderId="16" applyNumberFormat="0" applyAlignment="0" applyProtection="0">
      <alignment vertical="center"/>
    </xf>
    <xf numFmtId="0" fontId="48" fillId="9" borderId="15" applyNumberFormat="0" applyAlignment="0" applyProtection="0">
      <alignment vertical="center"/>
    </xf>
    <xf numFmtId="0" fontId="49" fillId="10" borderId="17" applyNumberFormat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8" fillId="0" borderId="0">
      <alignment vertical="center"/>
    </xf>
    <xf numFmtId="0" fontId="59" fillId="0" borderId="0"/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176" fontId="3" fillId="0" borderId="6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76" fontId="3" fillId="0" borderId="8" xfId="0" applyNumberFormat="1" applyFont="1" applyFill="1" applyBorder="1" applyAlignment="1" applyProtection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 applyProtection="1">
      <alignment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176" fontId="3" fillId="0" borderId="9" xfId="53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176" fontId="8" fillId="0" borderId="10" xfId="0" applyNumberFormat="1" applyFont="1" applyFill="1" applyBorder="1" applyAlignment="1" applyProtection="1">
      <alignment horizontal="righ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vertical="center"/>
    </xf>
    <xf numFmtId="176" fontId="3" fillId="0" borderId="11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/>
    <xf numFmtId="0" fontId="9" fillId="0" borderId="9" xfId="0" applyFont="1" applyFill="1" applyBorder="1" applyAlignment="1"/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vertical="center"/>
    </xf>
    <xf numFmtId="176" fontId="0" fillId="2" borderId="9" xfId="0" applyNumberForma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3" borderId="0" xfId="0" applyFill="1"/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1" fillId="0" borderId="9" xfId="55" applyFont="1" applyFill="1" applyBorder="1" applyAlignment="1">
      <alignment horizontal="center" vertical="center" wrapText="1"/>
    </xf>
    <xf numFmtId="0" fontId="11" fillId="0" borderId="9" xfId="55" applyFont="1" applyFill="1" applyBorder="1" applyAlignment="1">
      <alignment horizontal="left" vertical="center" wrapText="1"/>
    </xf>
    <xf numFmtId="49" fontId="11" fillId="0" borderId="9" xfId="55" applyNumberFormat="1" applyFont="1" applyFill="1" applyBorder="1" applyAlignment="1">
      <alignment horizontal="center" vertical="center"/>
    </xf>
    <xf numFmtId="49" fontId="11" fillId="0" borderId="9" xfId="55" applyNumberFormat="1" applyFont="1" applyFill="1" applyBorder="1" applyAlignment="1">
      <alignment horizontal="center" vertical="center" wrapText="1"/>
    </xf>
    <xf numFmtId="0" fontId="11" fillId="0" borderId="9" xfId="54" applyFont="1" applyFill="1" applyBorder="1" applyAlignment="1" applyProtection="1">
      <alignment horizontal="center" vertical="center" wrapText="1"/>
    </xf>
    <xf numFmtId="0" fontId="11" fillId="0" borderId="9" xfId="54" applyFont="1" applyFill="1" applyBorder="1" applyAlignment="1" applyProtection="1">
      <alignment horizontal="left" vertical="center" wrapText="1"/>
    </xf>
    <xf numFmtId="176" fontId="11" fillId="0" borderId="9" xfId="54" applyNumberFormat="1" applyFont="1" applyFill="1" applyBorder="1" applyAlignment="1" applyProtection="1">
      <alignment horizontal="center" vertical="center" wrapText="1"/>
    </xf>
    <xf numFmtId="0" fontId="11" fillId="3" borderId="9" xfId="54" applyFont="1" applyFill="1" applyBorder="1" applyAlignment="1" applyProtection="1">
      <alignment horizontal="center" vertical="center" wrapText="1"/>
    </xf>
    <xf numFmtId="0" fontId="11" fillId="3" borderId="9" xfId="54" applyFont="1" applyFill="1" applyBorder="1" applyAlignment="1" applyProtection="1">
      <alignment horizontal="left" vertical="center" wrapText="1"/>
    </xf>
    <xf numFmtId="176" fontId="11" fillId="3" borderId="9" xfId="54" applyNumberFormat="1" applyFont="1" applyFill="1" applyBorder="1" applyAlignment="1" applyProtection="1">
      <alignment horizontal="center" vertical="center" wrapText="1"/>
    </xf>
    <xf numFmtId="0" fontId="11" fillId="0" borderId="9" xfId="52" applyFont="1" applyFill="1" applyBorder="1" applyAlignment="1">
      <alignment horizontal="left" vertical="center"/>
    </xf>
    <xf numFmtId="0" fontId="11" fillId="0" borderId="9" xfId="52" applyFont="1" applyFill="1" applyBorder="1" applyAlignment="1">
      <alignment horizontal="center" vertical="center"/>
    </xf>
    <xf numFmtId="0" fontId="11" fillId="0" borderId="9" xfId="49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2" xfId="55" applyFont="1" applyFill="1" applyBorder="1" applyAlignment="1">
      <alignment horizontal="center" vertical="center" wrapText="1"/>
    </xf>
    <xf numFmtId="0" fontId="11" fillId="0" borderId="8" xfId="55" applyFont="1" applyFill="1" applyBorder="1" applyAlignment="1">
      <alignment horizontal="center" vertical="center" wrapText="1"/>
    </xf>
    <xf numFmtId="176" fontId="13" fillId="0" borderId="9" xfId="0" applyNumberFormat="1" applyFont="1" applyBorder="1" applyAlignment="1">
      <alignment vertical="center"/>
    </xf>
    <xf numFmtId="176" fontId="13" fillId="3" borderId="9" xfId="0" applyNumberFormat="1" applyFont="1" applyFill="1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1" fillId="0" borderId="9" xfId="52" applyFont="1" applyFill="1" applyBorder="1" applyAlignment="1">
      <alignment vertical="center"/>
    </xf>
    <xf numFmtId="0" fontId="12" fillId="0" borderId="11" xfId="0" applyFont="1" applyFill="1" applyBorder="1" applyAlignment="1">
      <alignment horizontal="left" vertical="center"/>
    </xf>
    <xf numFmtId="0" fontId="11" fillId="0" borderId="9" xfId="55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left" vertical="center"/>
    </xf>
    <xf numFmtId="49" fontId="18" fillId="0" borderId="9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176" fontId="18" fillId="0" borderId="9" xfId="0" applyNumberFormat="1" applyFont="1" applyFill="1" applyBorder="1" applyAlignment="1">
      <alignment horizontal="center" vertical="center"/>
    </xf>
    <xf numFmtId="0" fontId="18" fillId="0" borderId="9" xfId="55" applyFont="1" applyFill="1" applyBorder="1" applyAlignment="1">
      <alignment horizontal="left" vertical="center"/>
    </xf>
    <xf numFmtId="176" fontId="18" fillId="0" borderId="9" xfId="54" applyNumberFormat="1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21" fillId="3" borderId="0" xfId="0" applyFont="1" applyFill="1" applyProtection="1">
      <protection locked="0"/>
    </xf>
    <xf numFmtId="0" fontId="21" fillId="3" borderId="0" xfId="0" applyFont="1" applyFill="1" applyAlignment="1" applyProtection="1">
      <alignment vertical="center"/>
      <protection locked="0"/>
    </xf>
    <xf numFmtId="0" fontId="21" fillId="3" borderId="0" xfId="0" applyFont="1" applyFill="1" applyBorder="1" applyAlignment="1" applyProtection="1">
      <alignment horizontal="center"/>
    </xf>
    <xf numFmtId="0" fontId="21" fillId="3" borderId="0" xfId="0" applyFont="1" applyFill="1" applyBorder="1" applyProtection="1"/>
    <xf numFmtId="0" fontId="21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21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0" fontId="22" fillId="3" borderId="9" xfId="0" applyFont="1" applyFill="1" applyBorder="1" applyAlignment="1" applyProtection="1">
      <alignment horizontal="center" vertical="center" wrapText="1"/>
    </xf>
    <xf numFmtId="0" fontId="23" fillId="3" borderId="9" xfId="0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 applyProtection="1">
      <alignment horizontal="center" vertical="center" wrapText="1"/>
    </xf>
    <xf numFmtId="176" fontId="3" fillId="3" borderId="9" xfId="53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0" fontId="21" fillId="3" borderId="9" xfId="0" applyFont="1" applyFill="1" applyBorder="1" applyAlignment="1" applyProtection="1">
      <alignment horizontal="center" vertical="center"/>
      <protection locked="0"/>
    </xf>
    <xf numFmtId="0" fontId="22" fillId="3" borderId="9" xfId="0" applyFont="1" applyFill="1" applyBorder="1" applyAlignment="1" applyProtection="1">
      <alignment horizontal="left" vertical="center" wrapText="1"/>
    </xf>
    <xf numFmtId="0" fontId="21" fillId="3" borderId="0" xfId="0" applyFont="1" applyFill="1" applyAlignment="1" applyProtection="1">
      <alignment horizontal="center" vertical="center"/>
      <protection locked="0"/>
    </xf>
    <xf numFmtId="176" fontId="3" fillId="3" borderId="8" xfId="0" applyNumberFormat="1" applyFont="1" applyFill="1" applyBorder="1" applyAlignment="1" applyProtection="1">
      <alignment horizontal="center" vertical="center" wrapText="1"/>
    </xf>
    <xf numFmtId="0" fontId="21" fillId="3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left" vertical="center" wrapText="1"/>
    </xf>
    <xf numFmtId="0" fontId="24" fillId="3" borderId="9" xfId="0" applyNumberFormat="1" applyFont="1" applyFill="1" applyBorder="1" applyAlignment="1" applyProtection="1">
      <alignment horizontal="center" vertical="center" wrapText="1"/>
    </xf>
    <xf numFmtId="0" fontId="25" fillId="3" borderId="9" xfId="0" applyNumberFormat="1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176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vertical="center" wrapText="1"/>
      <protection locked="0"/>
    </xf>
    <xf numFmtId="176" fontId="21" fillId="3" borderId="9" xfId="0" applyNumberFormat="1" applyFont="1" applyFill="1" applyBorder="1" applyAlignment="1">
      <alignment vertical="center"/>
    </xf>
    <xf numFmtId="0" fontId="2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26" fillId="3" borderId="0" xfId="0" applyFont="1" applyFill="1" applyBorder="1" applyAlignment="1" applyProtection="1">
      <alignment horizontal="left" vertical="center" wrapText="1"/>
    </xf>
    <xf numFmtId="0" fontId="0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7" fillId="0" borderId="9" xfId="0" applyFont="1" applyFill="1" applyBorder="1" applyAlignment="1">
      <alignment horizontal="center" vertical="center"/>
    </xf>
    <xf numFmtId="176" fontId="28" fillId="0" borderId="9" xfId="0" applyNumberFormat="1" applyFont="1" applyFill="1" applyBorder="1" applyAlignment="1">
      <alignment horizontal="center" vertical="center" wrapText="1"/>
    </xf>
    <xf numFmtId="176" fontId="27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177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horizontal="center" vertical="center" wrapText="1"/>
    </xf>
    <xf numFmtId="178" fontId="1" fillId="0" borderId="9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176" fontId="0" fillId="0" borderId="0" xfId="0" applyNumberFormat="1" applyAlignment="1">
      <alignment horizontal="center"/>
    </xf>
    <xf numFmtId="0" fontId="29" fillId="0" borderId="0" xfId="0" applyFont="1" applyFill="1" applyAlignment="1">
      <alignment horizontal="center" vertical="center"/>
    </xf>
    <xf numFmtId="10" fontId="29" fillId="0" borderId="0" xfId="0" applyNumberFormat="1" applyFont="1" applyFill="1" applyAlignment="1">
      <alignment horizontal="center" vertical="center"/>
    </xf>
    <xf numFmtId="176" fontId="29" fillId="0" borderId="0" xfId="3" applyNumberFormat="1" applyFont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10" fontId="31" fillId="0" borderId="0" xfId="0" applyNumberFormat="1" applyFont="1" applyFill="1" applyAlignment="1">
      <alignment horizontal="center" vertical="center"/>
    </xf>
    <xf numFmtId="0" fontId="32" fillId="4" borderId="9" xfId="0" applyFont="1" applyFill="1" applyBorder="1" applyAlignment="1">
      <alignment horizontal="center" vertical="center" wrapText="1"/>
    </xf>
    <xf numFmtId="10" fontId="32" fillId="4" borderId="9" xfId="0" applyNumberFormat="1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2" fontId="33" fillId="5" borderId="9" xfId="0" applyNumberFormat="1" applyFont="1" applyFill="1" applyBorder="1" applyAlignment="1">
      <alignment horizontal="center" vertical="center"/>
    </xf>
    <xf numFmtId="0" fontId="33" fillId="5" borderId="9" xfId="0" applyFont="1" applyFill="1" applyBorder="1" applyAlignment="1">
      <alignment horizontal="center" vertical="center" wrapText="1"/>
    </xf>
    <xf numFmtId="2" fontId="33" fillId="5" borderId="9" xfId="0" applyNumberFormat="1" applyFont="1" applyFill="1" applyBorder="1" applyAlignment="1">
      <alignment horizontal="center" vertical="center" wrapText="1"/>
    </xf>
    <xf numFmtId="176" fontId="33" fillId="5" borderId="9" xfId="0" applyNumberFormat="1" applyFont="1" applyFill="1" applyBorder="1" applyAlignment="1">
      <alignment horizontal="center" vertical="center" wrapText="1"/>
    </xf>
    <xf numFmtId="2" fontId="33" fillId="3" borderId="9" xfId="0" applyNumberFormat="1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 wrapText="1"/>
    </xf>
    <xf numFmtId="2" fontId="33" fillId="3" borderId="9" xfId="0" applyNumberFormat="1" applyFont="1" applyFill="1" applyBorder="1" applyAlignment="1">
      <alignment horizontal="center" vertical="center" wrapText="1"/>
    </xf>
    <xf numFmtId="176" fontId="33" fillId="3" borderId="9" xfId="0" applyNumberFormat="1" applyFont="1" applyFill="1" applyBorder="1" applyAlignment="1">
      <alignment horizontal="center" vertical="center" wrapText="1"/>
    </xf>
    <xf numFmtId="0" fontId="34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10" fontId="35" fillId="6" borderId="9" xfId="3" applyNumberFormat="1" applyFont="1" applyFill="1" applyBorder="1" applyAlignment="1">
      <alignment horizontal="center" vertical="center"/>
    </xf>
    <xf numFmtId="176" fontId="35" fillId="6" borderId="9" xfId="0" applyNumberFormat="1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10" fontId="35" fillId="0" borderId="9" xfId="3" applyNumberFormat="1" applyFont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left" vertical="center" wrapText="1"/>
    </xf>
    <xf numFmtId="10" fontId="36" fillId="0" borderId="0" xfId="0" applyNumberFormat="1" applyFont="1" applyFill="1" applyAlignment="1">
      <alignment horizontal="left" vertical="center" wrapText="1"/>
    </xf>
    <xf numFmtId="0" fontId="3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10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176" fontId="31" fillId="0" borderId="0" xfId="3" applyNumberFormat="1" applyFont="1" applyAlignment="1">
      <alignment horizontal="center" vertical="center"/>
    </xf>
    <xf numFmtId="176" fontId="32" fillId="4" borderId="9" xfId="3" applyNumberFormat="1" applyFont="1" applyFill="1" applyBorder="1" applyAlignment="1">
      <alignment horizontal="center" vertical="center" wrapText="1"/>
    </xf>
    <xf numFmtId="9" fontId="33" fillId="5" borderId="9" xfId="0" applyNumberFormat="1" applyFont="1" applyFill="1" applyBorder="1" applyAlignment="1">
      <alignment horizontal="center" vertical="center" wrapText="1"/>
    </xf>
    <xf numFmtId="176" fontId="33" fillId="5" borderId="9" xfId="3" applyNumberFormat="1" applyFont="1" applyFill="1" applyBorder="1" applyAlignment="1">
      <alignment horizontal="center" vertical="center" wrapText="1"/>
    </xf>
    <xf numFmtId="10" fontId="33" fillId="5" borderId="9" xfId="0" applyNumberFormat="1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 wrapText="1"/>
    </xf>
    <xf numFmtId="9" fontId="33" fillId="3" borderId="9" xfId="0" applyNumberFormat="1" applyFont="1" applyFill="1" applyBorder="1" applyAlignment="1">
      <alignment horizontal="center" vertical="center" wrapText="1"/>
    </xf>
    <xf numFmtId="176" fontId="33" fillId="3" borderId="9" xfId="3" applyNumberFormat="1" applyFont="1" applyFill="1" applyBorder="1" applyAlignment="1">
      <alignment horizontal="center" vertical="center" wrapText="1"/>
    </xf>
    <xf numFmtId="10" fontId="33" fillId="3" borderId="9" xfId="0" applyNumberFormat="1" applyFont="1" applyFill="1" applyBorder="1" applyAlignment="1">
      <alignment horizontal="center" vertical="center"/>
    </xf>
    <xf numFmtId="9" fontId="36" fillId="6" borderId="9" xfId="0" applyNumberFormat="1" applyFont="1" applyFill="1" applyBorder="1" applyAlignment="1">
      <alignment horizontal="center" vertical="center" wrapText="1"/>
    </xf>
    <xf numFmtId="10" fontId="35" fillId="6" borderId="9" xfId="0" applyNumberFormat="1" applyFont="1" applyFill="1" applyBorder="1" applyAlignment="1">
      <alignment horizontal="center" vertical="center"/>
    </xf>
    <xf numFmtId="176" fontId="35" fillId="6" borderId="9" xfId="0" applyNumberFormat="1" applyFont="1" applyFill="1" applyBorder="1" applyAlignment="1">
      <alignment horizontal="center" vertical="center" wrapText="1"/>
    </xf>
    <xf numFmtId="0" fontId="35" fillId="6" borderId="9" xfId="0" applyFont="1" applyFill="1" applyBorder="1" applyAlignment="1">
      <alignment horizontal="center" vertical="center"/>
    </xf>
    <xf numFmtId="176" fontId="35" fillId="0" borderId="9" xfId="3" applyNumberFormat="1" applyFont="1" applyBorder="1" applyAlignment="1">
      <alignment horizontal="center" vertical="center"/>
    </xf>
    <xf numFmtId="10" fontId="35" fillId="0" borderId="9" xfId="0" applyNumberFormat="1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 wrapText="1"/>
    </xf>
    <xf numFmtId="176" fontId="36" fillId="0" borderId="0" xfId="3" applyNumberFormat="1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176" fontId="6" fillId="0" borderId="0" xfId="3" applyNumberFormat="1" applyFont="1" applyFill="1" applyAlignment="1">
      <alignment horizontal="center" vertical="center"/>
    </xf>
    <xf numFmtId="10" fontId="6" fillId="0" borderId="0" xfId="0" applyNumberFormat="1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176" fontId="6" fillId="0" borderId="0" xfId="3" applyNumberFormat="1" applyFont="1" applyFill="1" applyAlignme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凯德·风尚三期景观工程植物造价估算" xfId="49"/>
    <cellStyle name="常规 53" xfId="50"/>
    <cellStyle name="常规 3 2" xfId="51"/>
    <cellStyle name="3232" xfId="52"/>
    <cellStyle name="常规 2" xfId="53"/>
    <cellStyle name="常规_一、绿化清单1-广东、福建_2" xfId="54"/>
    <cellStyle name="常规 3" xfId="55"/>
    <cellStyle name="常规 5" xfId="56"/>
    <cellStyle name="常规 7" xfId="57"/>
    <cellStyle name="常规_蓝湖郡调拨单统计" xfId="58"/>
  </cellStyles>
  <tableStyles count="0" defaultTableStyle="TableStyleMedium9"/>
  <colors>
    <mruColors>
      <color rgb="00FF0000"/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K14" sqref="K14"/>
    </sheetView>
  </sheetViews>
  <sheetFormatPr defaultColWidth="10.2857142857143" defaultRowHeight="13.5"/>
  <cols>
    <col min="1" max="1" width="3.85714285714286" style="155" customWidth="1"/>
    <col min="2" max="2" width="9.85714285714286" style="155" customWidth="1"/>
    <col min="3" max="3" width="12.4285714285714" style="155" customWidth="1"/>
    <col min="4" max="4" width="8.57142857142857" style="155" customWidth="1"/>
    <col min="5" max="5" width="7.14285714285714" style="155" customWidth="1"/>
    <col min="6" max="6" width="8.14285714285714" style="156" customWidth="1"/>
    <col min="7" max="7" width="6.85714285714286" style="155" customWidth="1"/>
    <col min="8" max="8" width="12.1428571428571" style="155" customWidth="1"/>
    <col min="9" max="9" width="9.57142857142857" style="155" customWidth="1"/>
    <col min="10" max="10" width="10.1428571428571" style="155" customWidth="1"/>
    <col min="11" max="11" width="7.57142857142857" style="157" customWidth="1"/>
    <col min="12" max="12" width="7" style="156" customWidth="1"/>
    <col min="13" max="13" width="9.42857142857143" style="155" customWidth="1"/>
    <col min="14" max="14" width="8" style="155" customWidth="1"/>
    <col min="15" max="15" width="11.7142857142857" style="155" customWidth="1"/>
    <col min="16" max="16384" width="10.2857142857143" style="155"/>
  </cols>
  <sheetData>
    <row r="1" s="155" customFormat="1" ht="27" customHeight="1" spans="1:15">
      <c r="A1" s="158" t="s">
        <v>0</v>
      </c>
      <c r="B1" s="159"/>
      <c r="C1" s="159"/>
      <c r="D1" s="159"/>
      <c r="E1" s="159"/>
      <c r="F1" s="160"/>
      <c r="G1" s="159"/>
      <c r="H1" s="159"/>
      <c r="I1" s="159"/>
      <c r="J1" s="159"/>
      <c r="K1" s="186"/>
      <c r="L1" s="160"/>
      <c r="M1" s="159"/>
      <c r="N1" s="159"/>
      <c r="O1" s="159"/>
    </row>
    <row r="2" s="155" customFormat="1" ht="29.1" customHeight="1" spans="1:15">
      <c r="A2" s="161" t="s">
        <v>1</v>
      </c>
      <c r="B2" s="161" t="s">
        <v>2</v>
      </c>
      <c r="C2" s="161" t="s">
        <v>3</v>
      </c>
      <c r="D2" s="161" t="s">
        <v>4</v>
      </c>
      <c r="E2" s="161" t="s">
        <v>5</v>
      </c>
      <c r="F2" s="162" t="s">
        <v>6</v>
      </c>
      <c r="G2" s="161"/>
      <c r="H2" s="161" t="s">
        <v>7</v>
      </c>
      <c r="I2" s="161"/>
      <c r="J2" s="161"/>
      <c r="K2" s="187" t="s">
        <v>8</v>
      </c>
      <c r="L2" s="162"/>
      <c r="M2" s="161" t="s">
        <v>9</v>
      </c>
      <c r="N2" s="161" t="s">
        <v>10</v>
      </c>
      <c r="O2" s="161" t="s">
        <v>11</v>
      </c>
    </row>
    <row r="3" s="155" customFormat="1" ht="42" customHeight="1" spans="1:15">
      <c r="A3" s="161"/>
      <c r="B3" s="161"/>
      <c r="C3" s="161"/>
      <c r="D3" s="161"/>
      <c r="E3" s="161"/>
      <c r="F3" s="162" t="s">
        <v>12</v>
      </c>
      <c r="G3" s="161" t="s">
        <v>13</v>
      </c>
      <c r="H3" s="161" t="s">
        <v>14</v>
      </c>
      <c r="I3" s="161" t="s">
        <v>15</v>
      </c>
      <c r="J3" s="161" t="s">
        <v>16</v>
      </c>
      <c r="K3" s="187" t="s">
        <v>17</v>
      </c>
      <c r="L3" s="162" t="s">
        <v>18</v>
      </c>
      <c r="M3" s="161"/>
      <c r="N3" s="161"/>
      <c r="O3" s="161"/>
    </row>
    <row r="4" s="155" customFormat="1" ht="48.95" customHeight="1" spans="1:15">
      <c r="A4" s="163"/>
      <c r="B4" s="163"/>
      <c r="C4" s="164" t="s">
        <v>19</v>
      </c>
      <c r="D4" s="165" t="s">
        <v>20</v>
      </c>
      <c r="E4" s="165" t="s">
        <v>20</v>
      </c>
      <c r="F4" s="166" t="s">
        <v>21</v>
      </c>
      <c r="G4" s="167" t="s">
        <v>22</v>
      </c>
      <c r="H4" s="166" t="s">
        <v>23</v>
      </c>
      <c r="I4" s="188" t="s">
        <v>24</v>
      </c>
      <c r="J4" s="167" t="s">
        <v>25</v>
      </c>
      <c r="K4" s="189" t="s">
        <v>26</v>
      </c>
      <c r="L4" s="190" t="s">
        <v>27</v>
      </c>
      <c r="M4" s="167" t="s">
        <v>28</v>
      </c>
      <c r="N4" s="167" t="s">
        <v>29</v>
      </c>
      <c r="O4" s="191" t="s">
        <v>30</v>
      </c>
    </row>
    <row r="5" s="155" customFormat="1" ht="25" customHeight="1" spans="1:15">
      <c r="A5" s="147">
        <v>1</v>
      </c>
      <c r="B5" s="147" t="s">
        <v>31</v>
      </c>
      <c r="C5" s="168">
        <v>641972.59793062</v>
      </c>
      <c r="D5" s="169"/>
      <c r="E5" s="169"/>
      <c r="F5" s="170"/>
      <c r="G5" s="171"/>
      <c r="H5" s="170">
        <f>汇总表!G3</f>
        <v>381849.0191336</v>
      </c>
      <c r="I5" s="192">
        <v>0.8</v>
      </c>
      <c r="J5" s="171">
        <f>H5*I5</f>
        <v>305479.21530688</v>
      </c>
      <c r="K5" s="193"/>
      <c r="L5" s="194"/>
      <c r="M5" s="171"/>
      <c r="N5" s="171"/>
      <c r="O5" s="170"/>
    </row>
    <row r="6" s="155" customFormat="1" ht="25" customHeight="1" spans="1:15">
      <c r="A6" s="147">
        <v>2</v>
      </c>
      <c r="B6" s="147" t="s">
        <v>32</v>
      </c>
      <c r="C6" s="168">
        <v>25731.412</v>
      </c>
      <c r="D6" s="169"/>
      <c r="E6" s="169"/>
      <c r="F6" s="170"/>
      <c r="G6" s="171"/>
      <c r="H6" s="170"/>
      <c r="I6" s="192">
        <v>0.8</v>
      </c>
      <c r="J6" s="171">
        <f>H6*I6</f>
        <v>0</v>
      </c>
      <c r="K6" s="193"/>
      <c r="L6" s="194"/>
      <c r="M6" s="171"/>
      <c r="N6" s="171"/>
      <c r="O6" s="170"/>
    </row>
    <row r="7" s="155" customFormat="1" ht="25" customHeight="1" spans="1:15">
      <c r="A7" s="147">
        <v>3</v>
      </c>
      <c r="B7" s="147" t="s">
        <v>33</v>
      </c>
      <c r="C7" s="168">
        <v>31346.96992</v>
      </c>
      <c r="D7" s="169"/>
      <c r="E7" s="169"/>
      <c r="F7" s="170"/>
      <c r="G7" s="171"/>
      <c r="H7" s="170"/>
      <c r="I7" s="192">
        <v>0.8</v>
      </c>
      <c r="J7" s="171">
        <f>H7*I7</f>
        <v>0</v>
      </c>
      <c r="K7" s="193"/>
      <c r="L7" s="194"/>
      <c r="M7" s="171"/>
      <c r="N7" s="171"/>
      <c r="O7" s="170"/>
    </row>
    <row r="8" s="155" customFormat="1" ht="25" customHeight="1" spans="1:15">
      <c r="A8" s="147">
        <v>4</v>
      </c>
      <c r="B8" s="147" t="s">
        <v>34</v>
      </c>
      <c r="C8" s="168">
        <v>50949.0632190949</v>
      </c>
      <c r="D8" s="169"/>
      <c r="E8" s="169"/>
      <c r="F8" s="170"/>
      <c r="G8" s="171"/>
      <c r="H8" s="170"/>
      <c r="I8" s="192">
        <v>0.8</v>
      </c>
      <c r="J8" s="171">
        <f>H8*I8</f>
        <v>0</v>
      </c>
      <c r="K8" s="193"/>
      <c r="L8" s="194"/>
      <c r="M8" s="171"/>
      <c r="N8" s="171"/>
      <c r="O8" s="170"/>
    </row>
    <row r="9" s="155" customFormat="1" ht="24.95" customHeight="1" spans="1:15">
      <c r="A9" s="172"/>
      <c r="B9" s="173" t="s">
        <v>35</v>
      </c>
      <c r="C9" s="173"/>
      <c r="D9" s="173"/>
      <c r="E9" s="172"/>
      <c r="F9" s="174"/>
      <c r="G9" s="175"/>
      <c r="H9" s="175"/>
      <c r="I9" s="195"/>
      <c r="J9" s="175">
        <f>J5+J6+J7+J8</f>
        <v>305479.21530688</v>
      </c>
      <c r="K9" s="175"/>
      <c r="L9" s="196"/>
      <c r="M9" s="197" t="s">
        <v>36</v>
      </c>
      <c r="N9" s="197" t="s">
        <v>37</v>
      </c>
      <c r="O9" s="198"/>
    </row>
    <row r="10" s="155" customFormat="1" ht="24.95" customHeight="1" spans="1:15">
      <c r="A10" s="176"/>
      <c r="B10" s="176" t="s">
        <v>38</v>
      </c>
      <c r="C10" s="176"/>
      <c r="D10" s="176"/>
      <c r="E10" s="176"/>
      <c r="F10" s="177"/>
      <c r="G10" s="178"/>
      <c r="H10" s="178"/>
      <c r="I10" s="178"/>
      <c r="J10" s="178">
        <v>300000</v>
      </c>
      <c r="K10" s="199"/>
      <c r="L10" s="200"/>
      <c r="M10" s="178"/>
      <c r="N10" s="178"/>
      <c r="O10" s="201" t="s">
        <v>39</v>
      </c>
    </row>
    <row r="11" s="155" customFormat="1" ht="48" customHeight="1" spans="1:15">
      <c r="A11" s="179" t="s">
        <v>40</v>
      </c>
      <c r="B11" s="179"/>
      <c r="C11" s="179"/>
      <c r="D11" s="179"/>
      <c r="E11" s="179"/>
      <c r="F11" s="180"/>
      <c r="G11" s="179"/>
      <c r="H11" s="179"/>
      <c r="I11" s="179"/>
      <c r="J11" s="179"/>
      <c r="K11" s="202"/>
      <c r="L11" s="180"/>
      <c r="M11" s="179"/>
      <c r="N11" s="179"/>
      <c r="O11" s="179"/>
    </row>
    <row r="12" s="155" customFormat="1" ht="24.95" customHeight="1" spans="1:15">
      <c r="A12" s="181" t="s">
        <v>41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</row>
    <row r="13" s="155" customFormat="1" ht="26.25" customHeight="1" spans="1:15">
      <c r="A13" s="182"/>
      <c r="B13" s="183"/>
      <c r="C13" s="183"/>
      <c r="D13" s="183"/>
      <c r="E13" s="183"/>
      <c r="F13" s="184"/>
      <c r="G13" s="185" t="s">
        <v>42</v>
      </c>
      <c r="H13" s="185"/>
      <c r="I13" s="185"/>
      <c r="J13" s="203"/>
      <c r="K13" s="204"/>
      <c r="L13" s="205" t="s">
        <v>43</v>
      </c>
      <c r="M13" s="206"/>
      <c r="N13" s="183"/>
      <c r="O13" s="183"/>
    </row>
    <row r="14" s="155" customFormat="1" ht="28.5" customHeight="1" spans="1:15">
      <c r="A14" s="182"/>
      <c r="B14" s="183"/>
      <c r="C14" s="183"/>
      <c r="D14" s="183"/>
      <c r="E14" s="183"/>
      <c r="F14" s="184"/>
      <c r="J14" s="183"/>
      <c r="K14" s="207"/>
      <c r="L14" s="184"/>
      <c r="M14" s="183"/>
      <c r="N14" s="183"/>
      <c r="O14" s="183"/>
    </row>
  </sheetData>
  <mergeCells count="18">
    <mergeCell ref="A1:O1"/>
    <mergeCell ref="F2:G2"/>
    <mergeCell ref="H2:J2"/>
    <mergeCell ref="K2:L2"/>
    <mergeCell ref="B10:E10"/>
    <mergeCell ref="A11:O11"/>
    <mergeCell ref="A12:O12"/>
    <mergeCell ref="G13:I13"/>
    <mergeCell ref="J13:K13"/>
    <mergeCell ref="L13:M13"/>
    <mergeCell ref="A2:A3"/>
    <mergeCell ref="B2:B3"/>
    <mergeCell ref="C2:C3"/>
    <mergeCell ref="D2:D3"/>
    <mergeCell ref="E2:E3"/>
    <mergeCell ref="M2:M3"/>
    <mergeCell ref="N2:N3"/>
    <mergeCell ref="O2:O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6" sqref="F6"/>
    </sheetView>
  </sheetViews>
  <sheetFormatPr defaultColWidth="8.88571428571429" defaultRowHeight="12.75" outlineLevelCol="7"/>
  <cols>
    <col min="1" max="1" width="5.85714285714286" customWidth="1"/>
    <col min="2" max="2" width="16.7142857142857" customWidth="1"/>
    <col min="3" max="3" width="9.85714285714286" style="143" customWidth="1"/>
    <col min="4" max="4" width="11.7142857142857" customWidth="1"/>
    <col min="5" max="5" width="17.4285714285714" customWidth="1"/>
    <col min="6" max="7" width="17.1428571428571" customWidth="1"/>
    <col min="8" max="8" width="14.5714285714286" customWidth="1"/>
    <col min="9" max="10" width="14.5714285714286"/>
  </cols>
  <sheetData>
    <row r="1" s="142" customFormat="1" ht="57" customHeight="1" spans="1:8">
      <c r="A1" s="3" t="s">
        <v>44</v>
      </c>
      <c r="B1" s="3"/>
      <c r="C1" s="3"/>
      <c r="D1" s="3"/>
      <c r="E1" s="3"/>
      <c r="F1" s="3"/>
      <c r="G1" s="3"/>
      <c r="H1" s="3"/>
    </row>
    <row r="2" s="142" customFormat="1" ht="39" customHeight="1" spans="1:8">
      <c r="A2" s="144" t="s">
        <v>45</v>
      </c>
      <c r="B2" s="144" t="s">
        <v>46</v>
      </c>
      <c r="C2" s="144" t="s">
        <v>47</v>
      </c>
      <c r="D2" s="144" t="s">
        <v>48</v>
      </c>
      <c r="E2" s="145" t="s">
        <v>49</v>
      </c>
      <c r="F2" s="145" t="s">
        <v>35</v>
      </c>
      <c r="G2" s="145" t="s">
        <v>50</v>
      </c>
      <c r="H2" s="146" t="s">
        <v>51</v>
      </c>
    </row>
    <row r="3" s="142" customFormat="1" ht="54" customHeight="1" spans="1:8">
      <c r="A3" s="147">
        <v>1</v>
      </c>
      <c r="B3" s="147" t="s">
        <v>31</v>
      </c>
      <c r="C3" s="147" t="s">
        <v>52</v>
      </c>
      <c r="D3" s="148">
        <v>1</v>
      </c>
      <c r="E3" s="149">
        <f>硬质铺装!M64</f>
        <v>641972.59793062</v>
      </c>
      <c r="F3" s="149">
        <f>E3*D3</f>
        <v>641972.59793062</v>
      </c>
      <c r="G3" s="149">
        <f>硬质铺装!N64</f>
        <v>381849.0191336</v>
      </c>
      <c r="H3" s="150"/>
    </row>
    <row r="4" s="142" customFormat="1" ht="54" customHeight="1" spans="1:8">
      <c r="A4" s="147">
        <v>2</v>
      </c>
      <c r="B4" s="147" t="s">
        <v>32</v>
      </c>
      <c r="C4" s="147" t="s">
        <v>52</v>
      </c>
      <c r="D4" s="148">
        <v>1</v>
      </c>
      <c r="E4" s="151">
        <f>绿植乔木!O10</f>
        <v>25731.412</v>
      </c>
      <c r="F4" s="149">
        <f>D4*E4</f>
        <v>25731.412</v>
      </c>
      <c r="G4" s="149"/>
      <c r="H4" s="150"/>
    </row>
    <row r="5" s="142" customFormat="1" ht="54" customHeight="1" spans="1:8">
      <c r="A5" s="147">
        <v>3</v>
      </c>
      <c r="B5" s="147" t="s">
        <v>33</v>
      </c>
      <c r="C5" s="147" t="s">
        <v>52</v>
      </c>
      <c r="D5" s="148">
        <v>1</v>
      </c>
      <c r="E5" s="151">
        <f>绿植灌木!N7</f>
        <v>31346.96992</v>
      </c>
      <c r="F5" s="149">
        <f>D5*E5</f>
        <v>31346.96992</v>
      </c>
      <c r="G5" s="149"/>
      <c r="H5" s="150"/>
    </row>
    <row r="6" s="142" customFormat="1" ht="54" customHeight="1" spans="1:8">
      <c r="A6" s="147">
        <v>4</v>
      </c>
      <c r="B6" s="147" t="s">
        <v>34</v>
      </c>
      <c r="C6" s="147" t="s">
        <v>52</v>
      </c>
      <c r="D6" s="148">
        <v>1</v>
      </c>
      <c r="E6" s="151">
        <f>景观水电!L25</f>
        <v>50949.0632190949</v>
      </c>
      <c r="F6" s="149">
        <f>D6*E6</f>
        <v>50949.0632190949</v>
      </c>
      <c r="G6" s="149"/>
      <c r="H6" s="150"/>
    </row>
    <row r="7" s="142" customFormat="1" ht="51" customHeight="1" spans="1:8">
      <c r="A7" s="147" t="s">
        <v>53</v>
      </c>
      <c r="B7" s="147"/>
      <c r="C7" s="147"/>
      <c r="D7" s="148"/>
      <c r="E7" s="151" t="s">
        <v>35</v>
      </c>
      <c r="F7" s="152">
        <f>SUM(F3:F6)</f>
        <v>750000.043069714</v>
      </c>
      <c r="G7" s="152"/>
      <c r="H7" s="150"/>
    </row>
    <row r="9" spans="5:7">
      <c r="E9" s="153"/>
      <c r="F9" s="154"/>
      <c r="G9" s="154"/>
    </row>
  </sheetData>
  <mergeCells count="2">
    <mergeCell ref="A1:H1"/>
    <mergeCell ref="A7:B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O65"/>
  <sheetViews>
    <sheetView workbookViewId="0">
      <pane ySplit="3" topLeftCell="A60" activePane="bottomLeft" state="frozen"/>
      <selection/>
      <selection pane="bottomLeft" activeCell="N64" sqref="N64"/>
    </sheetView>
  </sheetViews>
  <sheetFormatPr defaultColWidth="9.14285714285714" defaultRowHeight="14.25"/>
  <cols>
    <col min="1" max="1" width="8.14285714285714" style="95" customWidth="1"/>
    <col min="2" max="2" width="33.5714285714286" style="96" customWidth="1"/>
    <col min="3" max="3" width="46.1428571428571" style="96" customWidth="1"/>
    <col min="4" max="4" width="7.4" style="95" customWidth="1"/>
    <col min="5" max="6" width="13.0285714285714" style="97" customWidth="1"/>
    <col min="7" max="7" width="10.5714285714286" style="98"/>
    <col min="8" max="8" width="12" style="98" customWidth="1"/>
    <col min="9" max="9" width="11.5428571428571" style="99" customWidth="1"/>
    <col min="10" max="10" width="15.647619047619" style="99" customWidth="1"/>
    <col min="11" max="11" width="11.8571428571429" style="99" customWidth="1"/>
    <col min="12" max="12" width="10.2857142857143" style="98"/>
    <col min="13" max="13" width="14.5714285714286" style="99"/>
    <col min="14" max="14" width="14.4285714285714" style="100" customWidth="1"/>
    <col min="15" max="15" width="8" style="100" customWidth="1"/>
    <col min="16" max="16" width="18.2857142857143" style="93" customWidth="1"/>
    <col min="17" max="17" width="12.8571428571429" style="93"/>
    <col min="18" max="18" width="9.14285714285714" style="93"/>
    <col min="19" max="19" width="9.57142857142857" style="93"/>
    <col min="20" max="16383" width="9.14285714285714" style="93"/>
    <col min="16384" max="16384" width="11.7142857142857" style="93"/>
  </cols>
  <sheetData>
    <row r="1" s="93" customFormat="1" ht="30" customHeight="1" spans="1:15">
      <c r="A1" s="101" t="s">
        <v>54</v>
      </c>
      <c r="B1" s="101"/>
      <c r="C1" s="101"/>
      <c r="D1" s="101"/>
      <c r="E1" s="101"/>
      <c r="F1" s="101"/>
      <c r="G1" s="102"/>
      <c r="H1" s="102"/>
      <c r="I1" s="102"/>
      <c r="J1" s="102"/>
      <c r="K1" s="102"/>
      <c r="L1" s="98"/>
      <c r="M1" s="99"/>
      <c r="N1" s="127"/>
      <c r="O1" s="127"/>
    </row>
    <row r="2" s="94" customFormat="1" ht="28" customHeight="1" spans="1:15">
      <c r="A2" s="103" t="s">
        <v>1</v>
      </c>
      <c r="B2" s="103" t="s">
        <v>46</v>
      </c>
      <c r="C2" s="103" t="s">
        <v>55</v>
      </c>
      <c r="D2" s="103" t="s">
        <v>56</v>
      </c>
      <c r="E2" s="103" t="s">
        <v>48</v>
      </c>
      <c r="F2" s="103"/>
      <c r="G2" s="104" t="s">
        <v>57</v>
      </c>
      <c r="H2" s="104"/>
      <c r="I2" s="104"/>
      <c r="J2" s="104"/>
      <c r="K2" s="104"/>
      <c r="L2" s="106" t="s">
        <v>58</v>
      </c>
      <c r="M2" s="106" t="s">
        <v>59</v>
      </c>
      <c r="N2" s="128" t="s">
        <v>50</v>
      </c>
      <c r="O2" s="128" t="s">
        <v>60</v>
      </c>
    </row>
    <row r="3" s="94" customFormat="1" ht="54" customHeight="1" spans="1:15">
      <c r="A3" s="105"/>
      <c r="B3" s="105"/>
      <c r="C3" s="105"/>
      <c r="D3" s="105"/>
      <c r="E3" s="105"/>
      <c r="F3" s="105" t="s">
        <v>61</v>
      </c>
      <c r="G3" s="106" t="s">
        <v>62</v>
      </c>
      <c r="H3" s="106" t="s">
        <v>63</v>
      </c>
      <c r="I3" s="106" t="s">
        <v>64</v>
      </c>
      <c r="J3" s="104" t="s">
        <v>65</v>
      </c>
      <c r="K3" s="104" t="s">
        <v>66</v>
      </c>
      <c r="L3" s="129"/>
      <c r="M3" s="129"/>
      <c r="N3" s="130"/>
      <c r="O3" s="130"/>
    </row>
    <row r="4" s="93" customFormat="1" ht="39" customHeight="1" spans="1:15">
      <c r="A4" s="107" t="s">
        <v>67</v>
      </c>
      <c r="B4" s="108" t="s">
        <v>68</v>
      </c>
      <c r="C4" s="109"/>
      <c r="D4" s="110"/>
      <c r="E4" s="110"/>
      <c r="F4" s="110"/>
      <c r="G4" s="111"/>
      <c r="H4" s="112"/>
      <c r="I4" s="111"/>
      <c r="J4" s="131"/>
      <c r="K4" s="132"/>
      <c r="L4" s="126"/>
      <c r="M4" s="126"/>
      <c r="N4" s="133"/>
      <c r="O4" s="134"/>
    </row>
    <row r="5" s="93" customFormat="1" ht="69" customHeight="1" spans="1:15">
      <c r="A5" s="110">
        <v>1</v>
      </c>
      <c r="B5" s="109" t="s">
        <v>69</v>
      </c>
      <c r="C5" s="109" t="s">
        <v>70</v>
      </c>
      <c r="D5" s="110" t="s">
        <v>71</v>
      </c>
      <c r="E5" s="113">
        <f>E7+E8+E9+E10</f>
        <v>609.174</v>
      </c>
      <c r="F5" s="113">
        <f>E5</f>
        <v>609.174</v>
      </c>
      <c r="G5" s="114">
        <v>3</v>
      </c>
      <c r="H5" s="115"/>
      <c r="I5" s="113">
        <v>15</v>
      </c>
      <c r="J5" s="135">
        <f t="shared" ref="J5:J9" si="0">(G5+I5)*0.12</f>
        <v>2.16</v>
      </c>
      <c r="K5" s="135">
        <f t="shared" ref="K5:K10" si="1">SUM(G5:J5)*0.09</f>
        <v>1.8144</v>
      </c>
      <c r="L5" s="135">
        <f t="shared" ref="L5:L10" si="2">SUM(G5:K5)</f>
        <v>21.9744</v>
      </c>
      <c r="M5" s="74">
        <f>E5*L5</f>
        <v>13386.2331456</v>
      </c>
      <c r="N5" s="133">
        <f t="shared" ref="N5:N11" si="3">F5*L5</f>
        <v>13386.2331456</v>
      </c>
      <c r="O5" s="134"/>
    </row>
    <row r="6" s="93" customFormat="1" ht="33" customHeight="1" spans="1:15">
      <c r="A6" s="110">
        <v>2</v>
      </c>
      <c r="B6" s="109" t="s">
        <v>72</v>
      </c>
      <c r="C6" s="109" t="s">
        <v>73</v>
      </c>
      <c r="D6" s="110" t="s">
        <v>74</v>
      </c>
      <c r="E6" s="113">
        <f>E11+E12</f>
        <v>1549.97</v>
      </c>
      <c r="F6" s="113">
        <f t="shared" ref="F6:F12" si="4">E6</f>
        <v>1549.97</v>
      </c>
      <c r="G6" s="116">
        <v>1</v>
      </c>
      <c r="H6" s="115"/>
      <c r="I6" s="113">
        <v>1</v>
      </c>
      <c r="J6" s="135">
        <f t="shared" si="0"/>
        <v>0.24</v>
      </c>
      <c r="K6" s="135">
        <f t="shared" si="1"/>
        <v>0.2016</v>
      </c>
      <c r="L6" s="135">
        <f t="shared" si="2"/>
        <v>2.4416</v>
      </c>
      <c r="M6" s="74">
        <f>E6*L6</f>
        <v>3784.406752</v>
      </c>
      <c r="N6" s="133">
        <f t="shared" si="3"/>
        <v>3784.406752</v>
      </c>
      <c r="O6" s="134"/>
    </row>
    <row r="7" s="93" customFormat="1" ht="38" customHeight="1" spans="1:15">
      <c r="A7" s="110">
        <v>3</v>
      </c>
      <c r="B7" s="109" t="s">
        <v>75</v>
      </c>
      <c r="C7" s="109" t="s">
        <v>76</v>
      </c>
      <c r="D7" s="110" t="s">
        <v>71</v>
      </c>
      <c r="E7" s="113">
        <f>(41.44+1559.16-16.5-61.5-26.7)*0.2</f>
        <v>299.18</v>
      </c>
      <c r="F7" s="113">
        <f t="shared" si="4"/>
        <v>299.18</v>
      </c>
      <c r="G7" s="117">
        <v>20</v>
      </c>
      <c r="H7" s="117">
        <v>80</v>
      </c>
      <c r="I7" s="117">
        <v>20</v>
      </c>
      <c r="J7" s="135">
        <f t="shared" si="0"/>
        <v>4.8</v>
      </c>
      <c r="K7" s="135">
        <f t="shared" si="1"/>
        <v>11.232</v>
      </c>
      <c r="L7" s="135">
        <f t="shared" si="2"/>
        <v>136.032</v>
      </c>
      <c r="M7" s="74">
        <f>E7*L7</f>
        <v>40698.05376</v>
      </c>
      <c r="N7" s="133">
        <f t="shared" si="3"/>
        <v>40698.05376</v>
      </c>
      <c r="O7" s="134"/>
    </row>
    <row r="8" s="93" customFormat="1" ht="54" customHeight="1" spans="1:15">
      <c r="A8" s="110">
        <v>4</v>
      </c>
      <c r="B8" s="109" t="s">
        <v>77</v>
      </c>
      <c r="C8" s="109" t="s">
        <v>78</v>
      </c>
      <c r="D8" s="110" t="s">
        <v>71</v>
      </c>
      <c r="E8" s="113">
        <f>(41.44+1559.16-16.5-61.5-26.7)*0.2</f>
        <v>299.18</v>
      </c>
      <c r="F8" s="113">
        <f t="shared" si="4"/>
        <v>299.18</v>
      </c>
      <c r="G8" s="116">
        <v>60</v>
      </c>
      <c r="H8" s="115">
        <v>400</v>
      </c>
      <c r="I8" s="113">
        <v>50</v>
      </c>
      <c r="J8" s="135">
        <f t="shared" ref="J8:J12" si="5">(G8+H8+I8)*0.12</f>
        <v>61.2</v>
      </c>
      <c r="K8" s="135">
        <f t="shared" si="1"/>
        <v>51.408</v>
      </c>
      <c r="L8" s="135">
        <f t="shared" si="2"/>
        <v>622.608</v>
      </c>
      <c r="M8" s="74">
        <f t="shared" ref="M8:M12" si="6">E8*L8</f>
        <v>186271.86144</v>
      </c>
      <c r="N8" s="133">
        <f t="shared" si="3"/>
        <v>186271.86144</v>
      </c>
      <c r="O8" s="134"/>
    </row>
    <row r="9" s="93" customFormat="1" ht="50" customHeight="1" spans="1:15">
      <c r="A9" s="110">
        <v>5</v>
      </c>
      <c r="B9" s="109" t="s">
        <v>79</v>
      </c>
      <c r="C9" s="109" t="s">
        <v>80</v>
      </c>
      <c r="D9" s="110" t="s">
        <v>71</v>
      </c>
      <c r="E9" s="113">
        <f>54.07*0.1</f>
        <v>5.407</v>
      </c>
      <c r="F9" s="113">
        <f t="shared" si="4"/>
        <v>5.407</v>
      </c>
      <c r="G9" s="117">
        <v>20</v>
      </c>
      <c r="H9" s="117">
        <v>80</v>
      </c>
      <c r="I9" s="117">
        <v>20</v>
      </c>
      <c r="J9" s="135">
        <f t="shared" si="0"/>
        <v>4.8</v>
      </c>
      <c r="K9" s="135">
        <f t="shared" si="1"/>
        <v>11.232</v>
      </c>
      <c r="L9" s="135">
        <f t="shared" si="2"/>
        <v>136.032</v>
      </c>
      <c r="M9" s="74">
        <f t="shared" si="6"/>
        <v>735.525024</v>
      </c>
      <c r="N9" s="133">
        <f t="shared" si="3"/>
        <v>735.525024</v>
      </c>
      <c r="O9" s="134"/>
    </row>
    <row r="10" s="93" customFormat="1" ht="60" customHeight="1" spans="1:15">
      <c r="A10" s="110">
        <v>6</v>
      </c>
      <c r="B10" s="109" t="s">
        <v>81</v>
      </c>
      <c r="C10" s="109" t="s">
        <v>82</v>
      </c>
      <c r="D10" s="110" t="s">
        <v>71</v>
      </c>
      <c r="E10" s="113">
        <f>54.07*0.1</f>
        <v>5.407</v>
      </c>
      <c r="F10" s="113">
        <f t="shared" si="4"/>
        <v>5.407</v>
      </c>
      <c r="G10" s="116">
        <v>70</v>
      </c>
      <c r="H10" s="115">
        <v>400</v>
      </c>
      <c r="I10" s="113">
        <v>50</v>
      </c>
      <c r="J10" s="135">
        <f t="shared" si="5"/>
        <v>62.4</v>
      </c>
      <c r="K10" s="135">
        <f t="shared" si="1"/>
        <v>52.416</v>
      </c>
      <c r="L10" s="135">
        <f t="shared" si="2"/>
        <v>634.816</v>
      </c>
      <c r="M10" s="74">
        <f t="shared" si="6"/>
        <v>3432.450112</v>
      </c>
      <c r="N10" s="133">
        <f t="shared" si="3"/>
        <v>3432.450112</v>
      </c>
      <c r="O10" s="134"/>
    </row>
    <row r="11" s="93" customFormat="1" ht="50" customHeight="1" spans="1:15">
      <c r="A11" s="110">
        <v>7</v>
      </c>
      <c r="B11" s="109" t="s">
        <v>83</v>
      </c>
      <c r="C11" s="109" t="s">
        <v>84</v>
      </c>
      <c r="D11" s="110" t="s">
        <v>74</v>
      </c>
      <c r="E11" s="113">
        <f>41.44+1559.16-16.5-61.5-26.7</f>
        <v>1495.9</v>
      </c>
      <c r="F11" s="113">
        <f>E11/2</f>
        <v>747.95</v>
      </c>
      <c r="G11" s="116">
        <v>40</v>
      </c>
      <c r="H11" s="115">
        <v>85</v>
      </c>
      <c r="I11" s="113">
        <f>H11*0.25</f>
        <v>21.25</v>
      </c>
      <c r="J11" s="135">
        <f t="shared" si="5"/>
        <v>17.55</v>
      </c>
      <c r="K11" s="135">
        <f t="shared" ref="K11:K17" si="7">SUM(G11:J11)*0.09</f>
        <v>14.742</v>
      </c>
      <c r="L11" s="135">
        <f t="shared" ref="L11:L17" si="8">SUM(G11:K11)</f>
        <v>178.542</v>
      </c>
      <c r="M11" s="74">
        <f t="shared" si="6"/>
        <v>267080.9778</v>
      </c>
      <c r="N11" s="133">
        <f t="shared" si="3"/>
        <v>133540.4889</v>
      </c>
      <c r="O11" s="134"/>
    </row>
    <row r="12" s="93" customFormat="1" ht="50" customHeight="1" spans="1:15">
      <c r="A12" s="110">
        <v>8</v>
      </c>
      <c r="B12" s="109" t="s">
        <v>85</v>
      </c>
      <c r="C12" s="109" t="s">
        <v>86</v>
      </c>
      <c r="D12" s="110" t="s">
        <v>71</v>
      </c>
      <c r="E12" s="113">
        <f>54.07</f>
        <v>54.07</v>
      </c>
      <c r="F12" s="113"/>
      <c r="G12" s="116">
        <v>40</v>
      </c>
      <c r="H12" s="115">
        <v>85</v>
      </c>
      <c r="I12" s="113">
        <f>H12*0.25</f>
        <v>21.25</v>
      </c>
      <c r="J12" s="135">
        <f t="shared" si="5"/>
        <v>17.55</v>
      </c>
      <c r="K12" s="135">
        <f t="shared" si="7"/>
        <v>14.742</v>
      </c>
      <c r="L12" s="135">
        <f t="shared" si="8"/>
        <v>178.542</v>
      </c>
      <c r="M12" s="74">
        <f t="shared" si="6"/>
        <v>9653.76594</v>
      </c>
      <c r="N12" s="133"/>
      <c r="O12" s="134"/>
    </row>
    <row r="13" s="93" customFormat="1" ht="50" customHeight="1" spans="1:15">
      <c r="A13" s="107" t="s">
        <v>87</v>
      </c>
      <c r="B13" s="118" t="s">
        <v>88</v>
      </c>
      <c r="C13" s="109"/>
      <c r="D13" s="110"/>
      <c r="E13" s="113"/>
      <c r="F13" s="113"/>
      <c r="G13" s="116"/>
      <c r="H13" s="115"/>
      <c r="I13" s="116"/>
      <c r="J13" s="135"/>
      <c r="K13" s="135"/>
      <c r="L13" s="74"/>
      <c r="M13" s="74"/>
      <c r="N13" s="133"/>
      <c r="O13" s="134"/>
    </row>
    <row r="14" s="93" customFormat="1" ht="66" customHeight="1" spans="1:15">
      <c r="A14" s="110">
        <v>1</v>
      </c>
      <c r="B14" s="109" t="s">
        <v>69</v>
      </c>
      <c r="C14" s="109" t="s">
        <v>70</v>
      </c>
      <c r="D14" s="110" t="s">
        <v>71</v>
      </c>
      <c r="E14" s="113">
        <f>E16+E17</f>
        <v>2.9604</v>
      </c>
      <c r="F14" s="113"/>
      <c r="G14" s="114">
        <v>3</v>
      </c>
      <c r="H14" s="115"/>
      <c r="I14" s="113">
        <v>15</v>
      </c>
      <c r="J14" s="135">
        <f t="shared" ref="J14:J16" si="9">(G14+I14)*0.12</f>
        <v>2.16</v>
      </c>
      <c r="K14" s="135">
        <f t="shared" si="7"/>
        <v>1.8144</v>
      </c>
      <c r="L14" s="135">
        <f t="shared" si="8"/>
        <v>21.9744</v>
      </c>
      <c r="M14" s="74">
        <f t="shared" ref="M14:M17" si="10">E14*L14</f>
        <v>65.05301376</v>
      </c>
      <c r="N14" s="133"/>
      <c r="O14" s="134"/>
    </row>
    <row r="15" s="93" customFormat="1" ht="38" customHeight="1" spans="1:15">
      <c r="A15" s="110">
        <v>2</v>
      </c>
      <c r="B15" s="109" t="s">
        <v>72</v>
      </c>
      <c r="C15" s="109" t="s">
        <v>73</v>
      </c>
      <c r="D15" s="110" t="s">
        <v>74</v>
      </c>
      <c r="E15" s="113">
        <f>E21+E25+E28</f>
        <v>14.802</v>
      </c>
      <c r="F15" s="113"/>
      <c r="G15" s="116">
        <v>1</v>
      </c>
      <c r="H15" s="115"/>
      <c r="I15" s="113">
        <v>1</v>
      </c>
      <c r="J15" s="135">
        <f t="shared" si="9"/>
        <v>0.24</v>
      </c>
      <c r="K15" s="135">
        <f t="shared" si="7"/>
        <v>0.2016</v>
      </c>
      <c r="L15" s="135">
        <f t="shared" si="8"/>
        <v>2.4416</v>
      </c>
      <c r="M15" s="74">
        <f t="shared" si="10"/>
        <v>36.1405632</v>
      </c>
      <c r="N15" s="133"/>
      <c r="O15" s="134"/>
    </row>
    <row r="16" s="93" customFormat="1" ht="50" customHeight="1" spans="1:15">
      <c r="A16" s="110">
        <v>3</v>
      </c>
      <c r="B16" s="109" t="s">
        <v>75</v>
      </c>
      <c r="C16" s="109" t="s">
        <v>80</v>
      </c>
      <c r="D16" s="110" t="s">
        <v>71</v>
      </c>
      <c r="E16" s="113">
        <f>E15*0.1</f>
        <v>1.4802</v>
      </c>
      <c r="F16" s="113"/>
      <c r="G16" s="117">
        <v>20</v>
      </c>
      <c r="H16" s="117">
        <v>80</v>
      </c>
      <c r="I16" s="136">
        <v>20</v>
      </c>
      <c r="J16" s="135">
        <f t="shared" si="9"/>
        <v>4.8</v>
      </c>
      <c r="K16" s="135">
        <f t="shared" si="7"/>
        <v>11.232</v>
      </c>
      <c r="L16" s="135">
        <f t="shared" si="8"/>
        <v>136.032</v>
      </c>
      <c r="M16" s="74">
        <f t="shared" si="10"/>
        <v>201.3545664</v>
      </c>
      <c r="N16" s="133"/>
      <c r="O16" s="134"/>
    </row>
    <row r="17" s="93" customFormat="1" ht="56" customHeight="1" spans="1:15">
      <c r="A17" s="110">
        <v>4</v>
      </c>
      <c r="B17" s="109" t="s">
        <v>77</v>
      </c>
      <c r="C17" s="109" t="s">
        <v>82</v>
      </c>
      <c r="D17" s="110" t="s">
        <v>71</v>
      </c>
      <c r="E17" s="113">
        <f>E16</f>
        <v>1.4802</v>
      </c>
      <c r="F17" s="113"/>
      <c r="G17" s="116">
        <v>70</v>
      </c>
      <c r="H17" s="115">
        <v>400</v>
      </c>
      <c r="I17" s="113">
        <v>50</v>
      </c>
      <c r="J17" s="135">
        <f>(G17+H17+I17)*0.12</f>
        <v>62.4</v>
      </c>
      <c r="K17" s="135">
        <f t="shared" si="7"/>
        <v>52.416</v>
      </c>
      <c r="L17" s="135">
        <f t="shared" si="8"/>
        <v>634.816</v>
      </c>
      <c r="M17" s="74">
        <f t="shared" si="10"/>
        <v>939.6546432</v>
      </c>
      <c r="N17" s="133"/>
      <c r="O17" s="134"/>
    </row>
    <row r="18" s="93" customFormat="1" ht="50" customHeight="1" spans="1:15">
      <c r="A18" s="110"/>
      <c r="B18" s="109" t="s">
        <v>89</v>
      </c>
      <c r="C18" s="109"/>
      <c r="D18" s="110"/>
      <c r="E18" s="113"/>
      <c r="F18" s="113"/>
      <c r="G18" s="116"/>
      <c r="H18" s="115"/>
      <c r="I18" s="116"/>
      <c r="J18" s="135"/>
      <c r="K18" s="135"/>
      <c r="L18" s="135"/>
      <c r="M18" s="74"/>
      <c r="N18" s="133"/>
      <c r="O18" s="134"/>
    </row>
    <row r="19" s="93" customFormat="1" ht="50" customHeight="1" spans="1:15">
      <c r="A19" s="110"/>
      <c r="B19" s="109" t="s">
        <v>90</v>
      </c>
      <c r="C19" s="109" t="s">
        <v>91</v>
      </c>
      <c r="D19" s="110" t="s">
        <v>71</v>
      </c>
      <c r="E19" s="113">
        <f>(0.235*0.375)*(1.6+2.54+1.2+1.8+1.9)</f>
        <v>0.79665</v>
      </c>
      <c r="F19" s="113"/>
      <c r="G19" s="116">
        <v>80</v>
      </c>
      <c r="H19" s="115">
        <v>360</v>
      </c>
      <c r="I19" s="116">
        <f>H19*0.05</f>
        <v>18</v>
      </c>
      <c r="J19" s="135">
        <f>(G19+H19+I19)*0.12</f>
        <v>54.96</v>
      </c>
      <c r="K19" s="135">
        <f t="shared" ref="K19:K28" si="11">SUM(G19:J19)*0.09</f>
        <v>46.1664</v>
      </c>
      <c r="L19" s="135">
        <f t="shared" ref="L19:L28" si="12">SUM(G19:K19)</f>
        <v>559.1264</v>
      </c>
      <c r="M19" s="74">
        <f>E19*L19</f>
        <v>445.42804656</v>
      </c>
      <c r="N19" s="133"/>
      <c r="O19" s="134"/>
    </row>
    <row r="20" s="93" customFormat="1" ht="66" customHeight="1" spans="1:15">
      <c r="A20" s="110"/>
      <c r="B20" s="109" t="s">
        <v>92</v>
      </c>
      <c r="C20" s="109" t="s">
        <v>93</v>
      </c>
      <c r="D20" s="110" t="s">
        <v>74</v>
      </c>
      <c r="E20" s="113">
        <f>0.4*(1.604+1.934+2.195+1.8)+0.25*(1.199+1.2)</f>
        <v>3.61295</v>
      </c>
      <c r="F20" s="113"/>
      <c r="G20" s="116">
        <v>60</v>
      </c>
      <c r="H20" s="115">
        <v>200</v>
      </c>
      <c r="I20" s="116">
        <v>60</v>
      </c>
      <c r="J20" s="135">
        <f t="shared" ref="J19:J28" si="13">(G20+H20+I20)*0.12</f>
        <v>38.4</v>
      </c>
      <c r="K20" s="135">
        <f t="shared" si="11"/>
        <v>32.256</v>
      </c>
      <c r="L20" s="135">
        <f t="shared" si="12"/>
        <v>390.656</v>
      </c>
      <c r="M20" s="74">
        <f>E20*L20</f>
        <v>1411.4205952</v>
      </c>
      <c r="N20" s="133"/>
      <c r="O20" s="134"/>
    </row>
    <row r="21" s="93" customFormat="1" ht="75" customHeight="1" spans="1:15">
      <c r="A21" s="110"/>
      <c r="B21" s="109" t="s">
        <v>94</v>
      </c>
      <c r="C21" s="109" t="s">
        <v>95</v>
      </c>
      <c r="D21" s="110" t="s">
        <v>74</v>
      </c>
      <c r="E21" s="113">
        <f>(1.6+2.54+1.2+1.8+1.9)*0.3</f>
        <v>2.712</v>
      </c>
      <c r="F21" s="113"/>
      <c r="G21" s="116">
        <v>60</v>
      </c>
      <c r="H21" s="115">
        <v>250</v>
      </c>
      <c r="I21" s="116">
        <v>60</v>
      </c>
      <c r="J21" s="135">
        <f t="shared" si="13"/>
        <v>44.4</v>
      </c>
      <c r="K21" s="135">
        <f t="shared" si="11"/>
        <v>37.296</v>
      </c>
      <c r="L21" s="135">
        <f t="shared" si="12"/>
        <v>451.696</v>
      </c>
      <c r="M21" s="74">
        <f t="shared" ref="M21:M28" si="14">E21*L21</f>
        <v>1224.999552</v>
      </c>
      <c r="N21" s="133"/>
      <c r="O21" s="134"/>
    </row>
    <row r="22" s="93" customFormat="1" ht="75" customHeight="1" spans="1:15">
      <c r="A22" s="110"/>
      <c r="B22" s="109" t="s">
        <v>96</v>
      </c>
      <c r="C22" s="109"/>
      <c r="D22" s="110"/>
      <c r="E22" s="113"/>
      <c r="F22" s="113"/>
      <c r="G22" s="116"/>
      <c r="H22" s="115"/>
      <c r="I22" s="116"/>
      <c r="J22" s="135"/>
      <c r="K22" s="135"/>
      <c r="L22" s="74"/>
      <c r="M22" s="74"/>
      <c r="N22" s="133"/>
      <c r="O22" s="134"/>
    </row>
    <row r="23" s="93" customFormat="1" ht="75" customHeight="1" spans="1:15">
      <c r="A23" s="110"/>
      <c r="B23" s="109" t="s">
        <v>90</v>
      </c>
      <c r="C23" s="109" t="s">
        <v>91</v>
      </c>
      <c r="D23" s="110" t="s">
        <v>71</v>
      </c>
      <c r="E23" s="113">
        <f>0.51*0.4*3.6+0.51*0.5*5.1</f>
        <v>2.0349</v>
      </c>
      <c r="F23" s="113"/>
      <c r="G23" s="116">
        <v>80</v>
      </c>
      <c r="H23" s="115">
        <v>360</v>
      </c>
      <c r="I23" s="116">
        <f>H23*0.05</f>
        <v>18</v>
      </c>
      <c r="J23" s="135">
        <f>(G23+H23+I23)*0.12</f>
        <v>54.96</v>
      </c>
      <c r="K23" s="135">
        <f>SUM(G23:J23)*0.09</f>
        <v>46.1664</v>
      </c>
      <c r="L23" s="135">
        <f>SUM(G23:K23)</f>
        <v>559.1264</v>
      </c>
      <c r="M23" s="74">
        <f t="shared" si="14"/>
        <v>1137.76631136</v>
      </c>
      <c r="N23" s="133"/>
      <c r="O23" s="134"/>
    </row>
    <row r="24" s="93" customFormat="1" ht="75" customHeight="1" spans="1:15">
      <c r="A24" s="110"/>
      <c r="B24" s="109" t="s">
        <v>92</v>
      </c>
      <c r="C24" s="109" t="s">
        <v>97</v>
      </c>
      <c r="D24" s="110" t="s">
        <v>74</v>
      </c>
      <c r="E24" s="113">
        <f>3.6*0.4*2+0.6*0.4+(1.2+0.6+5.1+0.6+3.6)*0.3</f>
        <v>6.45</v>
      </c>
      <c r="F24" s="113"/>
      <c r="G24" s="116">
        <v>60</v>
      </c>
      <c r="H24" s="115">
        <v>200</v>
      </c>
      <c r="I24" s="116">
        <v>60</v>
      </c>
      <c r="J24" s="135">
        <f t="shared" si="13"/>
        <v>38.4</v>
      </c>
      <c r="K24" s="135">
        <f t="shared" si="11"/>
        <v>32.256</v>
      </c>
      <c r="L24" s="135">
        <f t="shared" si="12"/>
        <v>390.656</v>
      </c>
      <c r="M24" s="74">
        <f t="shared" si="14"/>
        <v>2519.7312</v>
      </c>
      <c r="N24" s="133"/>
      <c r="O24" s="134"/>
    </row>
    <row r="25" s="93" customFormat="1" ht="75" customHeight="1" spans="1:15">
      <c r="A25" s="110"/>
      <c r="B25" s="109" t="s">
        <v>94</v>
      </c>
      <c r="C25" s="109" t="s">
        <v>98</v>
      </c>
      <c r="D25" s="110" t="s">
        <v>74</v>
      </c>
      <c r="E25" s="113">
        <f>3.6*0.6*2</f>
        <v>4.32</v>
      </c>
      <c r="F25" s="113"/>
      <c r="G25" s="116">
        <v>60</v>
      </c>
      <c r="H25" s="115">
        <v>250</v>
      </c>
      <c r="I25" s="116">
        <v>60</v>
      </c>
      <c r="J25" s="135">
        <f t="shared" si="13"/>
        <v>44.4</v>
      </c>
      <c r="K25" s="135">
        <f t="shared" si="11"/>
        <v>37.296</v>
      </c>
      <c r="L25" s="135">
        <f t="shared" si="12"/>
        <v>451.696</v>
      </c>
      <c r="M25" s="74">
        <f t="shared" si="14"/>
        <v>1951.32672</v>
      </c>
      <c r="N25" s="133"/>
      <c r="O25" s="134"/>
    </row>
    <row r="26" s="93" customFormat="1" ht="75" customHeight="1" spans="1:15">
      <c r="A26" s="110"/>
      <c r="B26" s="109" t="s">
        <v>99</v>
      </c>
      <c r="C26" s="109" t="s">
        <v>100</v>
      </c>
      <c r="D26" s="110" t="s">
        <v>101</v>
      </c>
      <c r="E26" s="119">
        <v>2</v>
      </c>
      <c r="F26" s="119"/>
      <c r="G26" s="116">
        <v>100</v>
      </c>
      <c r="H26" s="115">
        <v>2452.43</v>
      </c>
      <c r="I26" s="116">
        <f>H26*0.03</f>
        <v>73.5729</v>
      </c>
      <c r="J26" s="135">
        <f t="shared" si="13"/>
        <v>315.120348</v>
      </c>
      <c r="K26" s="135">
        <f t="shared" si="11"/>
        <v>264.70109232</v>
      </c>
      <c r="L26" s="135">
        <f t="shared" si="12"/>
        <v>3205.82434032</v>
      </c>
      <c r="M26" s="74">
        <f t="shared" si="14"/>
        <v>6411.64868064</v>
      </c>
      <c r="N26" s="133"/>
      <c r="O26" s="134"/>
    </row>
    <row r="27" s="93" customFormat="1" ht="75" customHeight="1" spans="1:15">
      <c r="A27" s="110"/>
      <c r="B27" s="109" t="s">
        <v>102</v>
      </c>
      <c r="C27" s="109" t="s">
        <v>103</v>
      </c>
      <c r="D27" s="110" t="s">
        <v>101</v>
      </c>
      <c r="E27" s="113">
        <v>1</v>
      </c>
      <c r="F27" s="113"/>
      <c r="G27" s="116">
        <v>100</v>
      </c>
      <c r="H27" s="115">
        <v>6980</v>
      </c>
      <c r="I27" s="116">
        <f>H27*0.03</f>
        <v>209.4</v>
      </c>
      <c r="J27" s="135">
        <f t="shared" si="13"/>
        <v>874.728</v>
      </c>
      <c r="K27" s="135">
        <f t="shared" si="11"/>
        <v>734.77152</v>
      </c>
      <c r="L27" s="135">
        <f t="shared" si="12"/>
        <v>8898.89952</v>
      </c>
      <c r="M27" s="74">
        <f t="shared" si="14"/>
        <v>8898.89952</v>
      </c>
      <c r="N27" s="133"/>
      <c r="O27" s="134"/>
    </row>
    <row r="28" s="93" customFormat="1" ht="85" customHeight="1" spans="1:15">
      <c r="A28" s="110"/>
      <c r="B28" s="109" t="s">
        <v>104</v>
      </c>
      <c r="C28" s="109" t="s">
        <v>105</v>
      </c>
      <c r="D28" s="110" t="s">
        <v>74</v>
      </c>
      <c r="E28" s="113">
        <v>7.77</v>
      </c>
      <c r="F28" s="113"/>
      <c r="G28" s="116">
        <v>60</v>
      </c>
      <c r="H28" s="115">
        <v>200</v>
      </c>
      <c r="I28" s="116">
        <v>15</v>
      </c>
      <c r="J28" s="135">
        <f t="shared" si="13"/>
        <v>33</v>
      </c>
      <c r="K28" s="135">
        <f t="shared" si="11"/>
        <v>27.72</v>
      </c>
      <c r="L28" s="135">
        <f t="shared" si="12"/>
        <v>335.72</v>
      </c>
      <c r="M28" s="74">
        <f t="shared" si="14"/>
        <v>2608.5444</v>
      </c>
      <c r="N28" s="133"/>
      <c r="O28" s="134"/>
    </row>
    <row r="29" s="93" customFormat="1" ht="85" customHeight="1" spans="1:15">
      <c r="A29" s="107" t="s">
        <v>106</v>
      </c>
      <c r="B29" s="118" t="s">
        <v>107</v>
      </c>
      <c r="C29" s="109"/>
      <c r="D29" s="110"/>
      <c r="E29" s="113"/>
      <c r="F29" s="113"/>
      <c r="G29" s="116"/>
      <c r="H29" s="115"/>
      <c r="I29" s="116"/>
      <c r="J29" s="135"/>
      <c r="K29" s="135"/>
      <c r="L29" s="135"/>
      <c r="M29" s="74"/>
      <c r="N29" s="133"/>
      <c r="O29" s="134"/>
    </row>
    <row r="30" s="93" customFormat="1" ht="85" customHeight="1" spans="1:15">
      <c r="A30" s="110">
        <v>1</v>
      </c>
      <c r="B30" s="109" t="s">
        <v>69</v>
      </c>
      <c r="C30" s="109" t="s">
        <v>70</v>
      </c>
      <c r="D30" s="110" t="s">
        <v>71</v>
      </c>
      <c r="E30" s="113">
        <f>E32+E33</f>
        <v>10.834198</v>
      </c>
      <c r="F30" s="113"/>
      <c r="G30" s="114">
        <v>3</v>
      </c>
      <c r="H30" s="115"/>
      <c r="I30" s="113">
        <v>15</v>
      </c>
      <c r="J30" s="135">
        <f t="shared" ref="J30:J32" si="15">(G30+I30)*0.12</f>
        <v>2.16</v>
      </c>
      <c r="K30" s="135">
        <f t="shared" ref="K26:K52" si="16">SUM(G30:J30)*0.09</f>
        <v>1.8144</v>
      </c>
      <c r="L30" s="135">
        <f t="shared" ref="L26:L52" si="17">SUM(G30:K30)</f>
        <v>21.9744</v>
      </c>
      <c r="M30" s="74">
        <f t="shared" ref="M26:M52" si="18">E30*L30</f>
        <v>238.0750005312</v>
      </c>
      <c r="N30" s="133"/>
      <c r="O30" s="134"/>
    </row>
    <row r="31" s="93" customFormat="1" ht="85" customHeight="1" spans="1:15">
      <c r="A31" s="110">
        <v>2</v>
      </c>
      <c r="B31" s="109" t="s">
        <v>72</v>
      </c>
      <c r="C31" s="109" t="s">
        <v>73</v>
      </c>
      <c r="D31" s="110" t="s">
        <v>74</v>
      </c>
      <c r="E31" s="113">
        <f>E37+E41+E45+E42+E46</f>
        <v>54.17099</v>
      </c>
      <c r="F31" s="113"/>
      <c r="G31" s="116">
        <v>1</v>
      </c>
      <c r="H31" s="115"/>
      <c r="I31" s="113">
        <v>1</v>
      </c>
      <c r="J31" s="135">
        <f t="shared" si="15"/>
        <v>0.24</v>
      </c>
      <c r="K31" s="135">
        <f t="shared" si="16"/>
        <v>0.2016</v>
      </c>
      <c r="L31" s="135">
        <f t="shared" si="17"/>
        <v>2.4416</v>
      </c>
      <c r="M31" s="74">
        <f t="shared" si="18"/>
        <v>132.263889184</v>
      </c>
      <c r="N31" s="133"/>
      <c r="O31" s="134"/>
    </row>
    <row r="32" s="93" customFormat="1" ht="85" customHeight="1" spans="1:15">
      <c r="A32" s="110">
        <v>3</v>
      </c>
      <c r="B32" s="109" t="s">
        <v>75</v>
      </c>
      <c r="C32" s="109" t="s">
        <v>80</v>
      </c>
      <c r="D32" s="110" t="s">
        <v>71</v>
      </c>
      <c r="E32" s="113">
        <f>E31*0.1</f>
        <v>5.417099</v>
      </c>
      <c r="F32" s="120"/>
      <c r="G32" s="121">
        <v>20</v>
      </c>
      <c r="H32" s="121">
        <v>80</v>
      </c>
      <c r="I32" s="121">
        <v>20</v>
      </c>
      <c r="J32" s="135">
        <f t="shared" si="15"/>
        <v>4.8</v>
      </c>
      <c r="K32" s="135">
        <f t="shared" si="16"/>
        <v>11.232</v>
      </c>
      <c r="L32" s="135">
        <f t="shared" si="17"/>
        <v>136.032</v>
      </c>
      <c r="M32" s="74">
        <f t="shared" si="18"/>
        <v>736.898811168</v>
      </c>
      <c r="N32" s="133"/>
      <c r="O32" s="134"/>
    </row>
    <row r="33" s="93" customFormat="1" ht="85" customHeight="1" spans="1:15">
      <c r="A33" s="110">
        <v>4</v>
      </c>
      <c r="B33" s="109" t="s">
        <v>77</v>
      </c>
      <c r="C33" s="109" t="s">
        <v>82</v>
      </c>
      <c r="D33" s="110" t="s">
        <v>71</v>
      </c>
      <c r="E33" s="113">
        <f>E32</f>
        <v>5.417099</v>
      </c>
      <c r="F33" s="113"/>
      <c r="G33" s="116">
        <v>70</v>
      </c>
      <c r="H33" s="115">
        <v>400</v>
      </c>
      <c r="I33" s="113">
        <v>60</v>
      </c>
      <c r="J33" s="135">
        <f>(G33+H33+I33)*0.12</f>
        <v>63.6</v>
      </c>
      <c r="K33" s="135">
        <f t="shared" si="16"/>
        <v>53.424</v>
      </c>
      <c r="L33" s="135">
        <f t="shared" si="17"/>
        <v>647.024</v>
      </c>
      <c r="M33" s="74">
        <f t="shared" si="18"/>
        <v>3504.993063376</v>
      </c>
      <c r="N33" s="133"/>
      <c r="O33" s="134"/>
    </row>
    <row r="34" s="93" customFormat="1" ht="85" customHeight="1" spans="1:15">
      <c r="A34" s="122"/>
      <c r="B34" s="123" t="s">
        <v>108</v>
      </c>
      <c r="D34" s="123"/>
      <c r="E34" s="120"/>
      <c r="F34" s="120"/>
      <c r="G34" s="116"/>
      <c r="H34" s="115"/>
      <c r="I34" s="116"/>
      <c r="J34" s="135"/>
      <c r="K34" s="135"/>
      <c r="L34" s="135"/>
      <c r="M34" s="74"/>
      <c r="N34" s="133"/>
      <c r="O34" s="134"/>
    </row>
    <row r="35" s="93" customFormat="1" ht="85" customHeight="1" spans="1:15">
      <c r="A35" s="110"/>
      <c r="B35" s="109" t="s">
        <v>90</v>
      </c>
      <c r="C35" s="109" t="s">
        <v>91</v>
      </c>
      <c r="D35" s="110" t="s">
        <v>71</v>
      </c>
      <c r="E35" s="113">
        <f>(0.22*0.525/2)*(4.2)+(0.22*0.425)*(4.74)+(0.36*0.12+0.22*0.48)*1.8</f>
        <v>0.95358</v>
      </c>
      <c r="F35" s="113"/>
      <c r="G35" s="116">
        <v>80</v>
      </c>
      <c r="H35" s="115">
        <v>360</v>
      </c>
      <c r="I35" s="116">
        <f>H35*0.05</f>
        <v>18</v>
      </c>
      <c r="J35" s="135">
        <f t="shared" ref="J26:J48" si="19">(G35+H35+I35)*0.12</f>
        <v>54.96</v>
      </c>
      <c r="K35" s="135">
        <f t="shared" si="16"/>
        <v>46.1664</v>
      </c>
      <c r="L35" s="135">
        <f t="shared" si="17"/>
        <v>559.1264</v>
      </c>
      <c r="M35" s="74">
        <f t="shared" si="18"/>
        <v>533.171752512</v>
      </c>
      <c r="N35" s="133"/>
      <c r="O35" s="134"/>
    </row>
    <row r="36" s="93" customFormat="1" ht="85" customHeight="1" spans="1:15">
      <c r="A36" s="110"/>
      <c r="B36" s="109" t="s">
        <v>92</v>
      </c>
      <c r="C36" s="109" t="s">
        <v>109</v>
      </c>
      <c r="D36" s="110" t="s">
        <v>74</v>
      </c>
      <c r="E36" s="113">
        <f>0.525/2*4.2+0.425*4.74</f>
        <v>3.117</v>
      </c>
      <c r="F36" s="113"/>
      <c r="G36" s="116">
        <v>60</v>
      </c>
      <c r="H36" s="115">
        <v>200</v>
      </c>
      <c r="I36" s="116">
        <v>60</v>
      </c>
      <c r="J36" s="135">
        <f t="shared" si="19"/>
        <v>38.4</v>
      </c>
      <c r="K36" s="135">
        <f t="shared" si="16"/>
        <v>32.256</v>
      </c>
      <c r="L36" s="135">
        <f t="shared" si="17"/>
        <v>390.656</v>
      </c>
      <c r="M36" s="74">
        <f t="shared" si="18"/>
        <v>1217.674752</v>
      </c>
      <c r="N36" s="133"/>
      <c r="O36" s="134"/>
    </row>
    <row r="37" s="93" customFormat="1" ht="85" customHeight="1" spans="1:15">
      <c r="A37" s="110"/>
      <c r="B37" s="109" t="s">
        <v>94</v>
      </c>
      <c r="C37" s="109" t="s">
        <v>95</v>
      </c>
      <c r="D37" s="110" t="s">
        <v>74</v>
      </c>
      <c r="E37" s="113">
        <f>0.3*4.2+0.3*4.71</f>
        <v>2.673</v>
      </c>
      <c r="F37" s="113"/>
      <c r="G37" s="116">
        <v>60</v>
      </c>
      <c r="H37" s="115">
        <v>250</v>
      </c>
      <c r="I37" s="116">
        <v>60</v>
      </c>
      <c r="J37" s="135">
        <f t="shared" si="19"/>
        <v>44.4</v>
      </c>
      <c r="K37" s="135">
        <f t="shared" si="16"/>
        <v>37.296</v>
      </c>
      <c r="L37" s="135">
        <f t="shared" si="17"/>
        <v>451.696</v>
      </c>
      <c r="M37" s="74">
        <f t="shared" si="18"/>
        <v>1207.383408</v>
      </c>
      <c r="N37" s="133"/>
      <c r="O37" s="134"/>
    </row>
    <row r="38" s="93" customFormat="1" ht="85" customHeight="1" spans="1:15">
      <c r="A38" s="110"/>
      <c r="B38" s="109" t="s">
        <v>110</v>
      </c>
      <c r="C38" s="109"/>
      <c r="D38" s="110"/>
      <c r="E38" s="113"/>
      <c r="F38" s="113"/>
      <c r="G38" s="116"/>
      <c r="H38" s="115"/>
      <c r="I38" s="116"/>
      <c r="J38" s="135"/>
      <c r="K38" s="135"/>
      <c r="L38" s="135"/>
      <c r="M38" s="74"/>
      <c r="N38" s="133"/>
      <c r="O38" s="134"/>
    </row>
    <row r="39" s="93" customFormat="1" ht="85" customHeight="1" spans="1:15">
      <c r="A39" s="110"/>
      <c r="B39" s="109" t="s">
        <v>90</v>
      </c>
      <c r="C39" s="109" t="s">
        <v>91</v>
      </c>
      <c r="D39" s="110" t="s">
        <v>71</v>
      </c>
      <c r="E39" s="113">
        <f>0.51*0.468*6.3+(0.81*1.1)*0.43*2</f>
        <v>2.269944</v>
      </c>
      <c r="F39" s="113"/>
      <c r="G39" s="116">
        <v>80</v>
      </c>
      <c r="H39" s="115">
        <v>360</v>
      </c>
      <c r="I39" s="116">
        <f>H39*0.05</f>
        <v>18</v>
      </c>
      <c r="J39" s="135">
        <f t="shared" si="19"/>
        <v>54.96</v>
      </c>
      <c r="K39" s="135">
        <f t="shared" si="16"/>
        <v>46.1664</v>
      </c>
      <c r="L39" s="135">
        <f t="shared" si="17"/>
        <v>559.1264</v>
      </c>
      <c r="M39" s="74">
        <f t="shared" si="18"/>
        <v>1269.1856169216</v>
      </c>
      <c r="N39" s="133"/>
      <c r="O39" s="134"/>
    </row>
    <row r="40" s="93" customFormat="1" ht="85" customHeight="1" spans="1:15">
      <c r="A40" s="110"/>
      <c r="B40" s="109" t="s">
        <v>92</v>
      </c>
      <c r="C40" s="109" t="s">
        <v>97</v>
      </c>
      <c r="D40" s="110" t="s">
        <v>74</v>
      </c>
      <c r="E40" s="113">
        <f>0.372*(6.3+0.6)+(0.9+1.2)*0.43*2</f>
        <v>4.3728</v>
      </c>
      <c r="F40" s="113"/>
      <c r="G40" s="116">
        <v>60</v>
      </c>
      <c r="H40" s="115">
        <v>200</v>
      </c>
      <c r="I40" s="116">
        <v>60</v>
      </c>
      <c r="J40" s="135">
        <f t="shared" si="19"/>
        <v>38.4</v>
      </c>
      <c r="K40" s="135">
        <f t="shared" si="16"/>
        <v>32.256</v>
      </c>
      <c r="L40" s="135">
        <f t="shared" si="17"/>
        <v>390.656</v>
      </c>
      <c r="M40" s="74">
        <f t="shared" si="18"/>
        <v>1708.2605568</v>
      </c>
      <c r="N40" s="133"/>
      <c r="O40" s="134"/>
    </row>
    <row r="41" s="93" customFormat="1" ht="85" customHeight="1" spans="1:15">
      <c r="A41" s="110"/>
      <c r="B41" s="109" t="s">
        <v>94</v>
      </c>
      <c r="C41" s="109" t="s">
        <v>98</v>
      </c>
      <c r="D41" s="110" t="s">
        <v>74</v>
      </c>
      <c r="E41" s="113">
        <f>6.3*0.6</f>
        <v>3.78</v>
      </c>
      <c r="F41" s="113"/>
      <c r="G41" s="116">
        <v>60</v>
      </c>
      <c r="H41" s="115">
        <v>250</v>
      </c>
      <c r="I41" s="116">
        <v>60</v>
      </c>
      <c r="J41" s="135">
        <f t="shared" si="19"/>
        <v>44.4</v>
      </c>
      <c r="K41" s="135">
        <f t="shared" si="16"/>
        <v>37.296</v>
      </c>
      <c r="L41" s="135">
        <f t="shared" si="17"/>
        <v>451.696</v>
      </c>
      <c r="M41" s="74">
        <f t="shared" si="18"/>
        <v>1707.41088</v>
      </c>
      <c r="N41" s="133"/>
      <c r="O41" s="134"/>
    </row>
    <row r="42" s="93" customFormat="1" ht="85" customHeight="1" spans="1:15">
      <c r="A42" s="110"/>
      <c r="B42" s="109" t="s">
        <v>94</v>
      </c>
      <c r="C42" s="109" t="s">
        <v>111</v>
      </c>
      <c r="D42" s="110" t="s">
        <v>74</v>
      </c>
      <c r="E42" s="113">
        <f>1.2*0.9*2</f>
        <v>2.16</v>
      </c>
      <c r="F42" s="113"/>
      <c r="G42" s="116">
        <v>60</v>
      </c>
      <c r="H42" s="115">
        <v>250</v>
      </c>
      <c r="I42" s="116">
        <v>60</v>
      </c>
      <c r="J42" s="135">
        <f t="shared" si="19"/>
        <v>44.4</v>
      </c>
      <c r="K42" s="135">
        <f t="shared" si="16"/>
        <v>37.296</v>
      </c>
      <c r="L42" s="135">
        <f t="shared" si="17"/>
        <v>451.696</v>
      </c>
      <c r="M42" s="74">
        <f t="shared" si="18"/>
        <v>975.66336</v>
      </c>
      <c r="N42" s="133"/>
      <c r="O42" s="134"/>
    </row>
    <row r="43" s="93" customFormat="1" ht="85" customHeight="1" spans="1:15">
      <c r="A43" s="110"/>
      <c r="B43" s="109" t="s">
        <v>99</v>
      </c>
      <c r="C43" s="109" t="s">
        <v>100</v>
      </c>
      <c r="D43" s="110" t="s">
        <v>101</v>
      </c>
      <c r="E43" s="113">
        <v>2</v>
      </c>
      <c r="F43" s="113"/>
      <c r="G43" s="116">
        <v>100</v>
      </c>
      <c r="H43" s="115">
        <v>2452.43</v>
      </c>
      <c r="I43" s="116">
        <f>H43*0.03</f>
        <v>73.5729</v>
      </c>
      <c r="J43" s="135">
        <f t="shared" si="19"/>
        <v>315.120348</v>
      </c>
      <c r="K43" s="135">
        <f t="shared" si="16"/>
        <v>264.70109232</v>
      </c>
      <c r="L43" s="135">
        <f t="shared" si="17"/>
        <v>3205.82434032</v>
      </c>
      <c r="M43" s="74">
        <f t="shared" si="18"/>
        <v>6411.64868064</v>
      </c>
      <c r="N43" s="133"/>
      <c r="O43" s="134"/>
    </row>
    <row r="44" s="93" customFormat="1" ht="85" customHeight="1" spans="1:15">
      <c r="A44" s="110"/>
      <c r="B44" s="109" t="s">
        <v>102</v>
      </c>
      <c r="C44" s="109" t="s">
        <v>112</v>
      </c>
      <c r="D44" s="110" t="s">
        <v>101</v>
      </c>
      <c r="E44" s="113">
        <v>1</v>
      </c>
      <c r="F44" s="113"/>
      <c r="G44" s="116">
        <v>100</v>
      </c>
      <c r="H44" s="115">
        <v>6980</v>
      </c>
      <c r="I44" s="116">
        <f>H44*0.03</f>
        <v>209.4</v>
      </c>
      <c r="J44" s="135">
        <f t="shared" si="19"/>
        <v>874.728</v>
      </c>
      <c r="K44" s="135">
        <f t="shared" si="16"/>
        <v>734.77152</v>
      </c>
      <c r="L44" s="135">
        <f t="shared" si="17"/>
        <v>8898.89952</v>
      </c>
      <c r="M44" s="74">
        <f t="shared" si="18"/>
        <v>8898.89952</v>
      </c>
      <c r="N44" s="133"/>
      <c r="O44" s="134"/>
    </row>
    <row r="45" s="93" customFormat="1" ht="85" customHeight="1" spans="1:15">
      <c r="A45" s="110"/>
      <c r="B45" s="109" t="s">
        <v>104</v>
      </c>
      <c r="C45" s="109" t="s">
        <v>105</v>
      </c>
      <c r="D45" s="110" t="s">
        <v>74</v>
      </c>
      <c r="E45" s="113">
        <f>8.64+9.42+6.58</f>
        <v>24.64</v>
      </c>
      <c r="F45" s="113"/>
      <c r="G45" s="116">
        <v>60</v>
      </c>
      <c r="H45" s="115">
        <v>200</v>
      </c>
      <c r="I45" s="116">
        <v>15</v>
      </c>
      <c r="J45" s="135">
        <f t="shared" si="19"/>
        <v>33</v>
      </c>
      <c r="K45" s="135">
        <f t="shared" si="16"/>
        <v>27.72</v>
      </c>
      <c r="L45" s="135">
        <f t="shared" si="17"/>
        <v>335.72</v>
      </c>
      <c r="M45" s="74">
        <f t="shared" si="18"/>
        <v>8272.1408</v>
      </c>
      <c r="N45" s="133"/>
      <c r="O45" s="134"/>
    </row>
    <row r="46" s="93" customFormat="1" ht="85" customHeight="1" spans="1:15">
      <c r="A46" s="110"/>
      <c r="B46" s="109" t="s">
        <v>113</v>
      </c>
      <c r="C46" s="109" t="s">
        <v>114</v>
      </c>
      <c r="D46" s="110" t="s">
        <v>74</v>
      </c>
      <c r="E46" s="113">
        <f>(1.8+1.8*2+1.8*3+1.776*4+2.34*5+2.278*2+2.4*3+1.8*2+5.4+3.6+2.1*3+2.4+0.792+2.69+1.029+1.99+2.97)*(0.22+0.07)</f>
        <v>20.91799</v>
      </c>
      <c r="F46" s="113"/>
      <c r="G46" s="116">
        <v>75</v>
      </c>
      <c r="H46" s="115">
        <v>230</v>
      </c>
      <c r="I46" s="116">
        <f>H46*0.1</f>
        <v>23</v>
      </c>
      <c r="J46" s="135">
        <f t="shared" si="19"/>
        <v>39.36</v>
      </c>
      <c r="K46" s="135">
        <f t="shared" si="16"/>
        <v>33.0624</v>
      </c>
      <c r="L46" s="135">
        <f t="shared" si="17"/>
        <v>400.4224</v>
      </c>
      <c r="M46" s="74">
        <f t="shared" si="18"/>
        <v>8376.031758976</v>
      </c>
      <c r="N46" s="133"/>
      <c r="O46" s="134"/>
    </row>
    <row r="47" s="93" customFormat="1" ht="85" customHeight="1" spans="1:15">
      <c r="A47" s="110"/>
      <c r="B47" s="109" t="s">
        <v>113</v>
      </c>
      <c r="C47" s="109" t="s">
        <v>115</v>
      </c>
      <c r="D47" s="110" t="s">
        <v>116</v>
      </c>
      <c r="E47" s="113">
        <f>(1.8+1.8*2+1.8*3+1.776*4+2.34*5+2.278*2+2.4*3+1.8*2+5.4+3.6+2.1*3+2.4+0.792+2.69+1.029+1.99+2.97)</f>
        <v>72.131</v>
      </c>
      <c r="F47" s="113"/>
      <c r="G47" s="116">
        <v>50</v>
      </c>
      <c r="H47" s="115">
        <v>150</v>
      </c>
      <c r="I47" s="116">
        <f>H47*0.1</f>
        <v>15</v>
      </c>
      <c r="J47" s="135">
        <f t="shared" si="19"/>
        <v>25.8</v>
      </c>
      <c r="K47" s="135">
        <f t="shared" si="16"/>
        <v>21.672</v>
      </c>
      <c r="L47" s="135">
        <f t="shared" si="17"/>
        <v>262.472</v>
      </c>
      <c r="M47" s="74">
        <f t="shared" si="18"/>
        <v>18932.367832</v>
      </c>
      <c r="N47" s="133"/>
      <c r="O47" s="134"/>
    </row>
    <row r="48" s="93" customFormat="1" ht="31" customHeight="1" spans="1:15">
      <c r="A48" s="107" t="s">
        <v>117</v>
      </c>
      <c r="B48" s="118" t="s">
        <v>118</v>
      </c>
      <c r="C48" s="109"/>
      <c r="D48" s="110"/>
      <c r="E48" s="113"/>
      <c r="F48" s="113"/>
      <c r="G48" s="116"/>
      <c r="H48" s="115"/>
      <c r="I48" s="116"/>
      <c r="J48" s="135"/>
      <c r="K48" s="135"/>
      <c r="L48" s="135"/>
      <c r="M48" s="74"/>
      <c r="N48" s="133"/>
      <c r="O48" s="134"/>
    </row>
    <row r="49" s="93" customFormat="1" ht="85" customHeight="1" spans="1:15">
      <c r="A49" s="110">
        <v>1</v>
      </c>
      <c r="B49" s="109" t="s">
        <v>69</v>
      </c>
      <c r="C49" s="109" t="s">
        <v>70</v>
      </c>
      <c r="D49" s="110" t="s">
        <v>71</v>
      </c>
      <c r="E49" s="113">
        <f>E51+E52</f>
        <v>2.82576</v>
      </c>
      <c r="F49" s="113"/>
      <c r="G49" s="114">
        <v>3</v>
      </c>
      <c r="H49" s="115"/>
      <c r="I49" s="113">
        <v>15</v>
      </c>
      <c r="J49" s="135">
        <f t="shared" ref="J49:J51" si="20">(G49+I49)*0.12</f>
        <v>2.16</v>
      </c>
      <c r="K49" s="135">
        <f t="shared" si="16"/>
        <v>1.8144</v>
      </c>
      <c r="L49" s="135">
        <f t="shared" si="17"/>
        <v>21.9744</v>
      </c>
      <c r="M49" s="74">
        <f t="shared" si="18"/>
        <v>62.094380544</v>
      </c>
      <c r="N49" s="133"/>
      <c r="O49" s="134"/>
    </row>
    <row r="50" s="93" customFormat="1" ht="85" customHeight="1" spans="1:15">
      <c r="A50" s="110">
        <v>2</v>
      </c>
      <c r="B50" s="109" t="s">
        <v>72</v>
      </c>
      <c r="C50" s="109" t="s">
        <v>73</v>
      </c>
      <c r="D50" s="110" t="s">
        <v>74</v>
      </c>
      <c r="E50" s="113">
        <f>E56+E60+E63</f>
        <v>14.1288</v>
      </c>
      <c r="F50" s="113"/>
      <c r="G50" s="116">
        <v>1</v>
      </c>
      <c r="H50" s="115"/>
      <c r="I50" s="113">
        <v>1</v>
      </c>
      <c r="J50" s="135">
        <f t="shared" si="20"/>
        <v>0.24</v>
      </c>
      <c r="K50" s="135">
        <f t="shared" si="16"/>
        <v>0.2016</v>
      </c>
      <c r="L50" s="135">
        <f t="shared" si="17"/>
        <v>2.4416</v>
      </c>
      <c r="M50" s="74">
        <f t="shared" si="18"/>
        <v>34.49687808</v>
      </c>
      <c r="N50" s="133"/>
      <c r="O50" s="134"/>
    </row>
    <row r="51" s="93" customFormat="1" ht="85" customHeight="1" spans="1:15">
      <c r="A51" s="110">
        <v>3</v>
      </c>
      <c r="B51" s="109" t="s">
        <v>75</v>
      </c>
      <c r="C51" s="109" t="s">
        <v>80</v>
      </c>
      <c r="D51" s="110" t="s">
        <v>71</v>
      </c>
      <c r="E51" s="113">
        <f>E50*0.1</f>
        <v>1.41288</v>
      </c>
      <c r="F51" s="113"/>
      <c r="G51" s="117">
        <v>20</v>
      </c>
      <c r="H51" s="117">
        <v>80</v>
      </c>
      <c r="I51" s="136">
        <v>20</v>
      </c>
      <c r="J51" s="135">
        <f t="shared" si="20"/>
        <v>4.8</v>
      </c>
      <c r="K51" s="135">
        <f t="shared" si="16"/>
        <v>11.232</v>
      </c>
      <c r="L51" s="135">
        <f t="shared" si="17"/>
        <v>136.032</v>
      </c>
      <c r="M51" s="74">
        <f t="shared" si="18"/>
        <v>192.19689216</v>
      </c>
      <c r="N51" s="133"/>
      <c r="O51" s="134"/>
    </row>
    <row r="52" s="93" customFormat="1" ht="85" customHeight="1" spans="1:15">
      <c r="A52" s="110">
        <v>4</v>
      </c>
      <c r="B52" s="109" t="s">
        <v>77</v>
      </c>
      <c r="C52" s="109" t="s">
        <v>82</v>
      </c>
      <c r="D52" s="110" t="s">
        <v>71</v>
      </c>
      <c r="E52" s="113">
        <f>E51</f>
        <v>1.41288</v>
      </c>
      <c r="F52" s="113"/>
      <c r="G52" s="116">
        <v>70</v>
      </c>
      <c r="H52" s="115">
        <v>400</v>
      </c>
      <c r="I52" s="113">
        <v>60</v>
      </c>
      <c r="J52" s="135">
        <f t="shared" ref="J52:J56" si="21">(G52+H52+I52)*0.12</f>
        <v>63.6</v>
      </c>
      <c r="K52" s="135">
        <f t="shared" si="16"/>
        <v>53.424</v>
      </c>
      <c r="L52" s="135">
        <f t="shared" si="17"/>
        <v>647.024</v>
      </c>
      <c r="M52" s="74">
        <f t="shared" si="18"/>
        <v>914.16726912</v>
      </c>
      <c r="N52" s="133"/>
      <c r="O52" s="134"/>
    </row>
    <row r="53" s="93" customFormat="1" ht="33" customHeight="1" spans="1:15">
      <c r="A53" s="110"/>
      <c r="B53" s="109" t="s">
        <v>89</v>
      </c>
      <c r="C53" s="109"/>
      <c r="D53" s="110"/>
      <c r="E53" s="113"/>
      <c r="F53" s="113"/>
      <c r="G53" s="116"/>
      <c r="H53" s="115"/>
      <c r="I53" s="116"/>
      <c r="J53" s="135"/>
      <c r="K53" s="135"/>
      <c r="L53" s="74"/>
      <c r="M53" s="74"/>
      <c r="N53" s="133"/>
      <c r="O53" s="134"/>
    </row>
    <row r="54" s="93" customFormat="1" ht="37" customHeight="1" spans="1:15">
      <c r="A54" s="110"/>
      <c r="B54" s="109" t="s">
        <v>90</v>
      </c>
      <c r="C54" s="109" t="s">
        <v>91</v>
      </c>
      <c r="D54" s="110" t="s">
        <v>71</v>
      </c>
      <c r="E54" s="113">
        <f>(0.235*0.225)*(1.896+2.4+1.5+0.85+1.95)</f>
        <v>0.4545135</v>
      </c>
      <c r="F54" s="113"/>
      <c r="G54" s="116">
        <v>80</v>
      </c>
      <c r="H54" s="115">
        <v>360</v>
      </c>
      <c r="I54" s="116">
        <f>H54*0.05</f>
        <v>18</v>
      </c>
      <c r="J54" s="135">
        <f t="shared" si="21"/>
        <v>54.96</v>
      </c>
      <c r="K54" s="135">
        <f t="shared" ref="K54:K56" si="22">SUM(G54:J54)*0.09</f>
        <v>46.1664</v>
      </c>
      <c r="L54" s="135">
        <f t="shared" ref="L54:L56" si="23">SUM(G54:K54)</f>
        <v>559.1264</v>
      </c>
      <c r="M54" s="74">
        <f t="shared" ref="M54:M56" si="24">E54*L54</f>
        <v>254.1304970064</v>
      </c>
      <c r="N54" s="133"/>
      <c r="O54" s="134"/>
    </row>
    <row r="55" s="93" customFormat="1" ht="57" customHeight="1" spans="1:15">
      <c r="A55" s="110"/>
      <c r="B55" s="109" t="s">
        <v>92</v>
      </c>
      <c r="C55" s="109" t="s">
        <v>93</v>
      </c>
      <c r="D55" s="110" t="s">
        <v>74</v>
      </c>
      <c r="E55" s="113">
        <f>0.25*(2.196+2.4+0.85+1.95)</f>
        <v>1.849</v>
      </c>
      <c r="F55" s="113"/>
      <c r="G55" s="116">
        <v>60</v>
      </c>
      <c r="H55" s="115">
        <v>200</v>
      </c>
      <c r="I55" s="116">
        <v>60</v>
      </c>
      <c r="J55" s="135">
        <f t="shared" si="21"/>
        <v>38.4</v>
      </c>
      <c r="K55" s="135">
        <f t="shared" si="22"/>
        <v>32.256</v>
      </c>
      <c r="L55" s="135">
        <f t="shared" si="23"/>
        <v>390.656</v>
      </c>
      <c r="M55" s="74">
        <f t="shared" si="24"/>
        <v>722.322944</v>
      </c>
      <c r="N55" s="133"/>
      <c r="O55" s="134"/>
    </row>
    <row r="56" s="93" customFormat="1" ht="48" customHeight="1" spans="1:15">
      <c r="A56" s="110"/>
      <c r="B56" s="109" t="s">
        <v>94</v>
      </c>
      <c r="C56" s="109" t="s">
        <v>95</v>
      </c>
      <c r="D56" s="110" t="s">
        <v>74</v>
      </c>
      <c r="E56" s="113">
        <f>(1.896+2.4+1.5+0.85+1.95)*0.3</f>
        <v>2.5788</v>
      </c>
      <c r="F56" s="113"/>
      <c r="G56" s="116">
        <v>60</v>
      </c>
      <c r="H56" s="115">
        <v>250</v>
      </c>
      <c r="I56" s="116">
        <v>60</v>
      </c>
      <c r="J56" s="135">
        <f t="shared" si="21"/>
        <v>44.4</v>
      </c>
      <c r="K56" s="135">
        <f t="shared" si="22"/>
        <v>37.296</v>
      </c>
      <c r="L56" s="135">
        <f t="shared" si="23"/>
        <v>451.696</v>
      </c>
      <c r="M56" s="74">
        <f t="shared" si="24"/>
        <v>1164.8336448</v>
      </c>
      <c r="N56" s="133"/>
      <c r="O56" s="134"/>
    </row>
    <row r="57" s="93" customFormat="1" ht="42" customHeight="1" spans="1:15">
      <c r="A57" s="110"/>
      <c r="B57" s="109" t="s">
        <v>96</v>
      </c>
      <c r="C57" s="109"/>
      <c r="D57" s="110"/>
      <c r="E57" s="113"/>
      <c r="F57" s="113"/>
      <c r="G57" s="116"/>
      <c r="H57" s="115"/>
      <c r="I57" s="116"/>
      <c r="J57" s="135"/>
      <c r="K57" s="135"/>
      <c r="L57" s="74"/>
      <c r="M57" s="74"/>
      <c r="N57" s="133"/>
      <c r="O57" s="134"/>
    </row>
    <row r="58" s="93" customFormat="1" ht="36" customHeight="1" spans="1:15">
      <c r="A58" s="110"/>
      <c r="B58" s="109" t="s">
        <v>90</v>
      </c>
      <c r="C58" s="109" t="s">
        <v>91</v>
      </c>
      <c r="D58" s="110" t="s">
        <v>71</v>
      </c>
      <c r="E58" s="113">
        <f>0.51*0.225*3.3+0.51*0.7*3.9</f>
        <v>1.770975</v>
      </c>
      <c r="F58" s="113"/>
      <c r="G58" s="116">
        <v>80</v>
      </c>
      <c r="H58" s="115">
        <v>360</v>
      </c>
      <c r="I58" s="116">
        <f>H58*0.05</f>
        <v>18</v>
      </c>
      <c r="J58" s="135">
        <f t="shared" ref="J58:J63" si="25">(G58+H58+I58)*0.12</f>
        <v>54.96</v>
      </c>
      <c r="K58" s="135">
        <f t="shared" ref="K58:K63" si="26">SUM(G58:J58)*0.09</f>
        <v>46.1664</v>
      </c>
      <c r="L58" s="135">
        <f t="shared" ref="L58:L63" si="27">SUM(G58:K58)</f>
        <v>559.1264</v>
      </c>
      <c r="M58" s="74">
        <f t="shared" ref="M58:M63" si="28">E58*L58</f>
        <v>990.19887624</v>
      </c>
      <c r="N58" s="133"/>
      <c r="O58" s="134"/>
    </row>
    <row r="59" s="93" customFormat="1" ht="57" customHeight="1" spans="1:15">
      <c r="A59" s="110"/>
      <c r="B59" s="109" t="s">
        <v>92</v>
      </c>
      <c r="C59" s="109" t="s">
        <v>97</v>
      </c>
      <c r="D59" s="110" t="s">
        <v>74</v>
      </c>
      <c r="E59" s="113">
        <f>3.3*0.25+3.9*0.4</f>
        <v>2.385</v>
      </c>
      <c r="F59" s="113"/>
      <c r="G59" s="116">
        <v>60</v>
      </c>
      <c r="H59" s="115">
        <v>200</v>
      </c>
      <c r="I59" s="116">
        <v>60</v>
      </c>
      <c r="J59" s="135">
        <f t="shared" si="25"/>
        <v>38.4</v>
      </c>
      <c r="K59" s="135">
        <f t="shared" si="26"/>
        <v>32.256</v>
      </c>
      <c r="L59" s="135">
        <f t="shared" si="27"/>
        <v>390.656</v>
      </c>
      <c r="M59" s="74">
        <f t="shared" si="28"/>
        <v>931.71456</v>
      </c>
      <c r="N59" s="133"/>
      <c r="O59" s="134"/>
    </row>
    <row r="60" s="93" customFormat="1" ht="45" customHeight="1" spans="1:15">
      <c r="A60" s="110"/>
      <c r="B60" s="109" t="s">
        <v>94</v>
      </c>
      <c r="C60" s="109" t="s">
        <v>98</v>
      </c>
      <c r="D60" s="110" t="s">
        <v>74</v>
      </c>
      <c r="E60" s="113">
        <f>(3.3+3.9)*0.6</f>
        <v>4.32</v>
      </c>
      <c r="F60" s="113"/>
      <c r="G60" s="116">
        <v>60</v>
      </c>
      <c r="H60" s="115">
        <v>250</v>
      </c>
      <c r="I60" s="116">
        <v>60</v>
      </c>
      <c r="J60" s="135">
        <f t="shared" si="25"/>
        <v>44.4</v>
      </c>
      <c r="K60" s="135">
        <f t="shared" si="26"/>
        <v>37.296</v>
      </c>
      <c r="L60" s="135">
        <f t="shared" si="27"/>
        <v>451.696</v>
      </c>
      <c r="M60" s="74">
        <f t="shared" si="28"/>
        <v>1951.32672</v>
      </c>
      <c r="N60" s="133"/>
      <c r="O60" s="134"/>
    </row>
    <row r="61" s="93" customFormat="1" ht="59" customHeight="1" spans="1:15">
      <c r="A61" s="110"/>
      <c r="B61" s="109" t="s">
        <v>99</v>
      </c>
      <c r="C61" s="109" t="s">
        <v>100</v>
      </c>
      <c r="D61" s="110" t="s">
        <v>101</v>
      </c>
      <c r="E61" s="119">
        <v>2</v>
      </c>
      <c r="F61" s="119"/>
      <c r="G61" s="116">
        <v>100</v>
      </c>
      <c r="H61" s="115">
        <v>2452.43</v>
      </c>
      <c r="I61" s="116">
        <f>H61*0.03</f>
        <v>73.5729</v>
      </c>
      <c r="J61" s="135">
        <f t="shared" si="25"/>
        <v>315.120348</v>
      </c>
      <c r="K61" s="135">
        <f t="shared" si="26"/>
        <v>264.70109232</v>
      </c>
      <c r="L61" s="135">
        <f t="shared" si="27"/>
        <v>3205.82434032</v>
      </c>
      <c r="M61" s="74">
        <f t="shared" si="28"/>
        <v>6411.64868064</v>
      </c>
      <c r="N61" s="133"/>
      <c r="O61" s="134"/>
    </row>
    <row r="62" s="93" customFormat="1" ht="54" customHeight="1" spans="1:15">
      <c r="A62" s="110"/>
      <c r="B62" s="109" t="s">
        <v>102</v>
      </c>
      <c r="C62" s="109" t="s">
        <v>119</v>
      </c>
      <c r="D62" s="110" t="s">
        <v>101</v>
      </c>
      <c r="E62" s="113">
        <v>1</v>
      </c>
      <c r="F62" s="113"/>
      <c r="G62" s="116">
        <v>100</v>
      </c>
      <c r="H62" s="115">
        <v>6980</v>
      </c>
      <c r="I62" s="116">
        <f>H62*0.03</f>
        <v>209.4</v>
      </c>
      <c r="J62" s="135">
        <f t="shared" si="25"/>
        <v>874.728</v>
      </c>
      <c r="K62" s="135">
        <f t="shared" si="26"/>
        <v>734.77152</v>
      </c>
      <c r="L62" s="135">
        <f t="shared" si="27"/>
        <v>8898.89952</v>
      </c>
      <c r="M62" s="74">
        <f t="shared" si="28"/>
        <v>8898.89952</v>
      </c>
      <c r="N62" s="133"/>
      <c r="O62" s="134"/>
    </row>
    <row r="63" s="93" customFormat="1" ht="90" customHeight="1" spans="1:15">
      <c r="A63" s="110"/>
      <c r="B63" s="109" t="s">
        <v>104</v>
      </c>
      <c r="C63" s="109" t="s">
        <v>105</v>
      </c>
      <c r="D63" s="110" t="s">
        <v>74</v>
      </c>
      <c r="E63" s="113">
        <v>7.23</v>
      </c>
      <c r="F63" s="113"/>
      <c r="G63" s="116">
        <v>60</v>
      </c>
      <c r="H63" s="115">
        <v>200</v>
      </c>
      <c r="I63" s="116">
        <v>15</v>
      </c>
      <c r="J63" s="135">
        <f t="shared" si="25"/>
        <v>33</v>
      </c>
      <c r="K63" s="135">
        <f t="shared" si="26"/>
        <v>27.72</v>
      </c>
      <c r="L63" s="135">
        <f t="shared" si="27"/>
        <v>335.72</v>
      </c>
      <c r="M63" s="74">
        <f t="shared" si="28"/>
        <v>2427.2556</v>
      </c>
      <c r="N63" s="133"/>
      <c r="O63" s="134"/>
    </row>
    <row r="64" s="93" customFormat="1" ht="85" customHeight="1" spans="1:15">
      <c r="A64" s="124" t="s">
        <v>35</v>
      </c>
      <c r="B64" s="125"/>
      <c r="C64" s="110"/>
      <c r="D64" s="110" t="s">
        <v>120</v>
      </c>
      <c r="E64" s="107"/>
      <c r="F64" s="107"/>
      <c r="G64" s="126"/>
      <c r="H64" s="126"/>
      <c r="I64" s="137"/>
      <c r="J64" s="137"/>
      <c r="K64" s="137"/>
      <c r="L64" s="126"/>
      <c r="M64" s="74">
        <f>SUM(M5:M63)</f>
        <v>641972.59793062</v>
      </c>
      <c r="N64" s="74">
        <f>SUM(N5:N63)</f>
        <v>381849.0191336</v>
      </c>
      <c r="O64" s="134"/>
    </row>
    <row r="65" s="93" customFormat="1" ht="39" customHeight="1" spans="1:15">
      <c r="A65" s="138" t="s">
        <v>121</v>
      </c>
      <c r="B65" s="139"/>
      <c r="C65" s="139"/>
      <c r="D65" s="139"/>
      <c r="E65" s="139"/>
      <c r="F65" s="139"/>
      <c r="G65" s="140"/>
      <c r="H65" s="140"/>
      <c r="I65" s="141"/>
      <c r="J65" s="141"/>
      <c r="K65" s="141"/>
      <c r="L65" s="140"/>
      <c r="M65" s="141"/>
      <c r="N65" s="139"/>
      <c r="O65" s="139"/>
    </row>
  </sheetData>
  <sheetProtection selectLockedCells="1"/>
  <autoFilter ref="A3:XFD65">
    <extLst/>
  </autoFilter>
  <mergeCells count="13">
    <mergeCell ref="A1:O1"/>
    <mergeCell ref="G2:K2"/>
    <mergeCell ref="A64:B64"/>
    <mergeCell ref="A65:O65"/>
    <mergeCell ref="A2:A3"/>
    <mergeCell ref="B2:B3"/>
    <mergeCell ref="C2:C3"/>
    <mergeCell ref="D2:D3"/>
    <mergeCell ref="E2:E3"/>
    <mergeCell ref="L2:L3"/>
    <mergeCell ref="M2:M3"/>
    <mergeCell ref="N2:N3"/>
    <mergeCell ref="O2:O3"/>
  </mergeCells>
  <pageMargins left="0.786805555555556" right="0.196527777777778" top="0.786805555555556" bottom="0.393055555555556" header="0" footer="0"/>
  <pageSetup paperSize="9" scale="6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zoomScale="130" zoomScaleNormal="130" workbookViewId="0">
      <selection activeCell="J5" sqref="J5"/>
    </sheetView>
  </sheetViews>
  <sheetFormatPr defaultColWidth="8.88571428571429" defaultRowHeight="12.75"/>
  <cols>
    <col min="2" max="2" width="23.4285714285714" customWidth="1"/>
    <col min="9" max="9" width="9.66666666666667"/>
    <col min="10" max="10" width="10.7809523809524"/>
    <col min="11" max="13" width="9.66666666666667"/>
    <col min="14" max="14" width="10.7809523809524"/>
    <col min="15" max="15" width="13"/>
    <col min="16" max="16" width="80.3333333333333" customWidth="1"/>
  </cols>
  <sheetData>
    <row r="1" ht="18.75" spans="1:16">
      <c r="A1" s="50" t="s">
        <v>122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>
      <c r="A2" s="52" t="s">
        <v>1</v>
      </c>
      <c r="B2" s="52" t="s">
        <v>123</v>
      </c>
      <c r="C2" s="54" t="s">
        <v>124</v>
      </c>
      <c r="D2" s="54"/>
      <c r="E2" s="54"/>
      <c r="F2" s="54"/>
      <c r="G2" s="77" t="s">
        <v>125</v>
      </c>
      <c r="H2" s="77" t="s">
        <v>126</v>
      </c>
      <c r="I2" s="24" t="s">
        <v>57</v>
      </c>
      <c r="J2" s="24"/>
      <c r="K2" s="24"/>
      <c r="L2" s="24"/>
      <c r="M2" s="24"/>
      <c r="N2" s="70" t="s">
        <v>127</v>
      </c>
      <c r="O2" s="70" t="s">
        <v>128</v>
      </c>
      <c r="P2" s="81" t="s">
        <v>51</v>
      </c>
    </row>
    <row r="3" ht="67.5" spans="1:16">
      <c r="A3" s="52"/>
      <c r="B3" s="52"/>
      <c r="C3" s="55" t="s">
        <v>129</v>
      </c>
      <c r="D3" s="55" t="s">
        <v>130</v>
      </c>
      <c r="E3" s="55" t="s">
        <v>131</v>
      </c>
      <c r="F3" s="54" t="s">
        <v>132</v>
      </c>
      <c r="G3" s="77"/>
      <c r="H3" s="77"/>
      <c r="I3" s="12" t="s">
        <v>62</v>
      </c>
      <c r="J3" s="12" t="s">
        <v>63</v>
      </c>
      <c r="K3" s="12" t="s">
        <v>64</v>
      </c>
      <c r="L3" s="24" t="s">
        <v>65</v>
      </c>
      <c r="M3" s="24" t="s">
        <v>66</v>
      </c>
      <c r="N3" s="71"/>
      <c r="O3" s="71"/>
      <c r="P3" s="81"/>
    </row>
    <row r="4" ht="33" customHeight="1" spans="1:16">
      <c r="A4" s="78" t="s">
        <v>67</v>
      </c>
      <c r="B4" s="79" t="s">
        <v>133</v>
      </c>
      <c r="C4" s="80"/>
      <c r="D4" s="80"/>
      <c r="E4" s="80"/>
      <c r="F4" s="80"/>
      <c r="G4" s="80"/>
      <c r="H4" s="80"/>
      <c r="I4" s="89"/>
      <c r="J4" s="80"/>
      <c r="K4" s="80"/>
      <c r="L4" s="58"/>
      <c r="M4" s="80"/>
      <c r="N4" s="80"/>
      <c r="O4" s="80"/>
      <c r="P4" s="80"/>
    </row>
    <row r="5" ht="33" customHeight="1" spans="1:16">
      <c r="A5" s="81">
        <v>1</v>
      </c>
      <c r="B5" s="82" t="s">
        <v>134</v>
      </c>
      <c r="C5" s="83" t="s">
        <v>135</v>
      </c>
      <c r="D5" s="84" t="s">
        <v>136</v>
      </c>
      <c r="E5" s="84" t="s">
        <v>137</v>
      </c>
      <c r="F5" s="84" t="s">
        <v>138</v>
      </c>
      <c r="G5" s="84">
        <f>1+1+1</f>
        <v>3</v>
      </c>
      <c r="H5" s="85" t="s">
        <v>139</v>
      </c>
      <c r="I5" s="89">
        <v>458</v>
      </c>
      <c r="J5" s="89">
        <v>2800</v>
      </c>
      <c r="K5" s="89">
        <f>J5*0.03</f>
        <v>84</v>
      </c>
      <c r="L5" s="72">
        <f>(I5+J5+K5)*0.12</f>
        <v>401.04</v>
      </c>
      <c r="M5" s="72">
        <f>SUM(I5:L5)*0.09</f>
        <v>336.8736</v>
      </c>
      <c r="N5" s="72">
        <f>SUM(I5:M5)</f>
        <v>4079.9136</v>
      </c>
      <c r="O5" s="45">
        <f>G5*N5</f>
        <v>12239.7408</v>
      </c>
      <c r="P5" s="90" t="s">
        <v>140</v>
      </c>
    </row>
    <row r="6" ht="33" customHeight="1" spans="1:16">
      <c r="A6" s="78" t="s">
        <v>87</v>
      </c>
      <c r="B6" s="79" t="s">
        <v>141</v>
      </c>
      <c r="C6" s="80"/>
      <c r="D6" s="80"/>
      <c r="E6" s="80"/>
      <c r="F6" s="80"/>
      <c r="G6" s="80"/>
      <c r="H6" s="80"/>
      <c r="I6" s="89"/>
      <c r="J6" s="80"/>
      <c r="K6" s="80"/>
      <c r="L6" s="91"/>
      <c r="M6" s="80"/>
      <c r="N6" s="80"/>
      <c r="O6" s="58"/>
      <c r="P6" s="80"/>
    </row>
    <row r="7" ht="33" customHeight="1" spans="1:16">
      <c r="A7" s="85">
        <v>2</v>
      </c>
      <c r="B7" s="82" t="s">
        <v>142</v>
      </c>
      <c r="C7" s="83" t="s">
        <v>143</v>
      </c>
      <c r="D7" s="84" t="s">
        <v>144</v>
      </c>
      <c r="E7" s="84" t="s">
        <v>136</v>
      </c>
      <c r="F7" s="84" t="s">
        <v>145</v>
      </c>
      <c r="G7" s="84">
        <v>1</v>
      </c>
      <c r="H7" s="85" t="s">
        <v>139</v>
      </c>
      <c r="I7" s="89">
        <v>200</v>
      </c>
      <c r="J7" s="89">
        <v>1500</v>
      </c>
      <c r="K7" s="89">
        <f>J7*0.03</f>
        <v>45</v>
      </c>
      <c r="L7" s="72">
        <f>(I7+J7+K7)*0.12</f>
        <v>209.4</v>
      </c>
      <c r="M7" s="72">
        <f>SUM(I7:L7)*0.09</f>
        <v>175.896</v>
      </c>
      <c r="N7" s="72">
        <f>SUM(I7:M7)</f>
        <v>2130.296</v>
      </c>
      <c r="O7" s="45">
        <f>G7*N7</f>
        <v>2130.296</v>
      </c>
      <c r="P7" s="90" t="s">
        <v>146</v>
      </c>
    </row>
    <row r="8" ht="33" customHeight="1" spans="1:16">
      <c r="A8" s="85">
        <v>3</v>
      </c>
      <c r="B8" s="82" t="s">
        <v>147</v>
      </c>
      <c r="C8" s="83" t="s">
        <v>148</v>
      </c>
      <c r="D8" s="84" t="s">
        <v>144</v>
      </c>
      <c r="E8" s="84" t="s">
        <v>137</v>
      </c>
      <c r="F8" s="84" t="s">
        <v>149</v>
      </c>
      <c r="G8" s="84">
        <v>1</v>
      </c>
      <c r="H8" s="85" t="s">
        <v>139</v>
      </c>
      <c r="I8" s="92">
        <v>200</v>
      </c>
      <c r="J8" s="92">
        <v>1350</v>
      </c>
      <c r="K8" s="89">
        <f>J8*0.03</f>
        <v>40.5</v>
      </c>
      <c r="L8" s="72">
        <f>(I8+J8+K8)*0.12</f>
        <v>190.86</v>
      </c>
      <c r="M8" s="72">
        <f>SUM(I8:L8)*0.09</f>
        <v>160.3224</v>
      </c>
      <c r="N8" s="72">
        <f>SUM(I8:M8)</f>
        <v>1941.6824</v>
      </c>
      <c r="O8" s="45">
        <f>G8*N8</f>
        <v>1941.6824</v>
      </c>
      <c r="P8" s="90" t="s">
        <v>146</v>
      </c>
    </row>
    <row r="9" ht="33" customHeight="1" spans="1:16">
      <c r="A9" s="85">
        <v>4</v>
      </c>
      <c r="B9" s="82" t="s">
        <v>150</v>
      </c>
      <c r="C9" s="83" t="s">
        <v>151</v>
      </c>
      <c r="D9" s="84" t="s">
        <v>152</v>
      </c>
      <c r="E9" s="84" t="s">
        <v>152</v>
      </c>
      <c r="F9" s="84" t="s">
        <v>149</v>
      </c>
      <c r="G9" s="84">
        <f>1+1</f>
        <v>2</v>
      </c>
      <c r="H9" s="85" t="s">
        <v>139</v>
      </c>
      <c r="I9" s="89">
        <v>768</v>
      </c>
      <c r="J9" s="89">
        <v>3000</v>
      </c>
      <c r="K9" s="89">
        <f>J9*0.03</f>
        <v>90</v>
      </c>
      <c r="L9" s="72">
        <f>(I9+J9+K9)*0.12</f>
        <v>462.96</v>
      </c>
      <c r="M9" s="72">
        <f>SUM(I9:L9)*0.09</f>
        <v>388.8864</v>
      </c>
      <c r="N9" s="72">
        <f>SUM(I9:M9)</f>
        <v>4709.8464</v>
      </c>
      <c r="O9" s="45">
        <f>G9*N9</f>
        <v>9419.6928</v>
      </c>
      <c r="P9" s="90" t="s">
        <v>153</v>
      </c>
    </row>
    <row r="10" ht="33" customHeight="1" spans="1:16">
      <c r="A10" s="85" t="s">
        <v>106</v>
      </c>
      <c r="B10" s="79" t="s">
        <v>35</v>
      </c>
      <c r="C10" s="83"/>
      <c r="D10" s="84"/>
      <c r="E10" s="84"/>
      <c r="F10" s="84"/>
      <c r="G10" s="85"/>
      <c r="H10" s="85"/>
      <c r="I10" s="89"/>
      <c r="J10" s="89"/>
      <c r="K10" s="89"/>
      <c r="L10" s="89"/>
      <c r="M10" s="89"/>
      <c r="N10" s="89"/>
      <c r="O10" s="89">
        <f>SUM(O5:O9)</f>
        <v>25731.412</v>
      </c>
      <c r="P10" s="90"/>
    </row>
    <row r="11" ht="13.5" spans="1:16">
      <c r="A11" s="86" t="s">
        <v>154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</row>
    <row r="12" ht="13.5" spans="1:16">
      <c r="A12" s="86" t="s">
        <v>155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</row>
    <row r="13" ht="13.5" spans="1:16">
      <c r="A13" s="87" t="s">
        <v>156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</row>
  </sheetData>
  <mergeCells count="13">
    <mergeCell ref="A1:P1"/>
    <mergeCell ref="C2:E2"/>
    <mergeCell ref="I2:M2"/>
    <mergeCell ref="A11:P11"/>
    <mergeCell ref="A12:P12"/>
    <mergeCell ref="A13:P13"/>
    <mergeCell ref="A2:A3"/>
    <mergeCell ref="B2:B3"/>
    <mergeCell ref="G2:G3"/>
    <mergeCell ref="H2:H3"/>
    <mergeCell ref="N2:N3"/>
    <mergeCell ref="O2:O3"/>
    <mergeCell ref="P2:P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I6" sqref="I6"/>
    </sheetView>
  </sheetViews>
  <sheetFormatPr defaultColWidth="8.88571428571429" defaultRowHeight="12.75" outlineLevelRow="7"/>
  <cols>
    <col min="2" max="2" width="14.5714285714286" customWidth="1"/>
    <col min="3" max="3" width="12.4285714285714" customWidth="1"/>
    <col min="8" max="9" width="10.7809523809524"/>
    <col min="10" max="10" width="9.66666666666667"/>
    <col min="11" max="12" width="10.7809523809524"/>
    <col min="13" max="13" width="11.8857142857143"/>
    <col min="14" max="14" width="15.2190476190476"/>
    <col min="15" max="15" width="48.6666666666667" customWidth="1"/>
  </cols>
  <sheetData>
    <row r="1" ht="45" customHeight="1" spans="1:15">
      <c r="A1" s="50" t="s">
        <v>157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>
      <c r="A2" s="52" t="s">
        <v>158</v>
      </c>
      <c r="B2" s="53" t="s">
        <v>123</v>
      </c>
      <c r="C2" s="54" t="s">
        <v>124</v>
      </c>
      <c r="D2" s="54"/>
      <c r="E2" s="54"/>
      <c r="F2" s="52" t="s">
        <v>48</v>
      </c>
      <c r="G2" s="52" t="s">
        <v>47</v>
      </c>
      <c r="H2" s="24" t="s">
        <v>57</v>
      </c>
      <c r="I2" s="24"/>
      <c r="J2" s="24"/>
      <c r="K2" s="24"/>
      <c r="L2" s="24"/>
      <c r="M2" s="70" t="s">
        <v>127</v>
      </c>
      <c r="N2" s="70" t="s">
        <v>128</v>
      </c>
      <c r="O2" s="52" t="s">
        <v>159</v>
      </c>
    </row>
    <row r="3" ht="67.5" spans="1:15">
      <c r="A3" s="52"/>
      <c r="B3" s="53"/>
      <c r="C3" s="55" t="s">
        <v>160</v>
      </c>
      <c r="D3" s="55" t="s">
        <v>161</v>
      </c>
      <c r="E3" s="55" t="s">
        <v>162</v>
      </c>
      <c r="F3" s="52"/>
      <c r="G3" s="52"/>
      <c r="H3" s="12" t="s">
        <v>62</v>
      </c>
      <c r="I3" s="12" t="s">
        <v>63</v>
      </c>
      <c r="J3" s="12" t="s">
        <v>64</v>
      </c>
      <c r="K3" s="24" t="s">
        <v>65</v>
      </c>
      <c r="L3" s="24" t="s">
        <v>66</v>
      </c>
      <c r="M3" s="71"/>
      <c r="N3" s="71"/>
      <c r="O3" s="52"/>
    </row>
    <row r="4" ht="33" customHeight="1" spans="1:15">
      <c r="A4" s="56">
        <v>1</v>
      </c>
      <c r="B4" s="57" t="s">
        <v>163</v>
      </c>
      <c r="C4" s="56" t="s">
        <v>164</v>
      </c>
      <c r="D4" s="56" t="s">
        <v>165</v>
      </c>
      <c r="E4" s="56" t="s">
        <v>166</v>
      </c>
      <c r="F4" s="56">
        <f>15+10+11</f>
        <v>36</v>
      </c>
      <c r="G4" s="56" t="s">
        <v>167</v>
      </c>
      <c r="H4" s="58">
        <v>45</v>
      </c>
      <c r="I4" s="58">
        <v>100</v>
      </c>
      <c r="J4" s="58">
        <f>I4*0.03</f>
        <v>3</v>
      </c>
      <c r="K4" s="72">
        <f>(H4+I4+J4)*0.12</f>
        <v>17.76</v>
      </c>
      <c r="L4" s="72">
        <f>SUM(H4:K4)*0.09</f>
        <v>14.9184</v>
      </c>
      <c r="M4" s="72">
        <f>SUM(H4:L4)</f>
        <v>180.6784</v>
      </c>
      <c r="N4" s="45">
        <f>F4*M4</f>
        <v>6504.4224</v>
      </c>
      <c r="O4" s="57" t="s">
        <v>168</v>
      </c>
    </row>
    <row r="5" s="49" customFormat="1" ht="33" customHeight="1" spans="1:15">
      <c r="A5" s="59">
        <v>2</v>
      </c>
      <c r="B5" s="60" t="s">
        <v>169</v>
      </c>
      <c r="C5" s="59" t="s">
        <v>170</v>
      </c>
      <c r="D5" s="59" t="s">
        <v>171</v>
      </c>
      <c r="E5" s="59" t="s">
        <v>166</v>
      </c>
      <c r="F5" s="59">
        <f>8+3+7+28</f>
        <v>46</v>
      </c>
      <c r="G5" s="59" t="s">
        <v>167</v>
      </c>
      <c r="H5" s="61">
        <v>50</v>
      </c>
      <c r="I5" s="61">
        <v>140</v>
      </c>
      <c r="J5" s="61">
        <f>I5*0.03</f>
        <v>4.2</v>
      </c>
      <c r="K5" s="73">
        <f>(H5+I5+J5)*0.12</f>
        <v>23.304</v>
      </c>
      <c r="L5" s="73">
        <f>SUM(H5:K5)*0.09</f>
        <v>19.57536</v>
      </c>
      <c r="M5" s="73">
        <f>SUM(H5:L5)</f>
        <v>237.07936</v>
      </c>
      <c r="N5" s="74">
        <f>F5*M5</f>
        <v>10905.65056</v>
      </c>
      <c r="O5" s="60"/>
    </row>
    <row r="6" s="49" customFormat="1" ht="33" customHeight="1" spans="1:15">
      <c r="A6" s="59">
        <v>3</v>
      </c>
      <c r="B6" s="60" t="s">
        <v>172</v>
      </c>
      <c r="C6" s="59" t="s">
        <v>173</v>
      </c>
      <c r="D6" s="59" t="s">
        <v>174</v>
      </c>
      <c r="E6" s="59"/>
      <c r="F6" s="59">
        <f>13+9+14+7+10</f>
        <v>53</v>
      </c>
      <c r="G6" s="59" t="s">
        <v>167</v>
      </c>
      <c r="H6" s="61">
        <v>30</v>
      </c>
      <c r="I6" s="61">
        <v>180</v>
      </c>
      <c r="J6" s="61">
        <f>I6*0.03</f>
        <v>5.4</v>
      </c>
      <c r="K6" s="73">
        <f>(H6+I6+J6)*0.12</f>
        <v>25.848</v>
      </c>
      <c r="L6" s="73">
        <f>SUM(H6:K6)*0.09</f>
        <v>21.71232</v>
      </c>
      <c r="M6" s="73">
        <f>SUM(H6:L6)</f>
        <v>262.96032</v>
      </c>
      <c r="N6" s="74">
        <f>F6*M6</f>
        <v>13936.89696</v>
      </c>
      <c r="O6" s="60"/>
    </row>
    <row r="7" ht="33" customHeight="1" spans="1:15">
      <c r="A7" s="56">
        <v>4</v>
      </c>
      <c r="B7" s="62" t="s">
        <v>35</v>
      </c>
      <c r="C7" s="63"/>
      <c r="D7" s="63"/>
      <c r="E7" s="63"/>
      <c r="F7" s="64"/>
      <c r="G7" s="65"/>
      <c r="H7" s="66"/>
      <c r="I7" s="66"/>
      <c r="J7" s="66"/>
      <c r="K7" s="66"/>
      <c r="L7" s="66"/>
      <c r="M7" s="66"/>
      <c r="N7" s="66">
        <f>SUM(N4:N6)</f>
        <v>31346.96992</v>
      </c>
      <c r="O7" s="75"/>
    </row>
    <row r="8" ht="39" customHeight="1" spans="1:15">
      <c r="A8" s="67" t="s">
        <v>175</v>
      </c>
      <c r="B8" s="68"/>
      <c r="C8" s="68"/>
      <c r="D8" s="69"/>
      <c r="E8" s="69"/>
      <c r="F8" s="68"/>
      <c r="G8" s="68"/>
      <c r="H8" s="68"/>
      <c r="I8" s="68"/>
      <c r="J8" s="68"/>
      <c r="K8" s="68"/>
      <c r="L8" s="68"/>
      <c r="M8" s="68"/>
      <c r="N8" s="68"/>
      <c r="O8" s="76"/>
    </row>
  </sheetData>
  <mergeCells count="11">
    <mergeCell ref="A1:O1"/>
    <mergeCell ref="C2:E2"/>
    <mergeCell ref="H2:L2"/>
    <mergeCell ref="A8:O8"/>
    <mergeCell ref="A2:A3"/>
    <mergeCell ref="B2:B3"/>
    <mergeCell ref="F2:F3"/>
    <mergeCell ref="G2:G3"/>
    <mergeCell ref="M2:M3"/>
    <mergeCell ref="N2:N3"/>
    <mergeCell ref="O2:O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zoomScaleSheetLayoutView="130" workbookViewId="0">
      <pane xSplit="5" ySplit="4" topLeftCell="F5" activePane="bottomRight" state="frozen"/>
      <selection/>
      <selection pane="topRight"/>
      <selection pane="bottomLeft"/>
      <selection pane="bottomRight" activeCell="M14" sqref="M14"/>
    </sheetView>
  </sheetViews>
  <sheetFormatPr defaultColWidth="10.2857142857143" defaultRowHeight="14.25"/>
  <cols>
    <col min="1" max="1" width="4.42857142857143" style="1" customWidth="1"/>
    <col min="2" max="2" width="12.8571428571429" style="1" customWidth="1"/>
    <col min="3" max="3" width="26.1428571428571" style="1" customWidth="1"/>
    <col min="4" max="4" width="4.42857142857143" style="1" customWidth="1"/>
    <col min="5" max="5" width="8.57142857142857" style="1" customWidth="1"/>
    <col min="6" max="6" width="10.5714285714286" style="1"/>
    <col min="7" max="7" width="8.71428571428571" style="1" customWidth="1"/>
    <col min="8" max="8" width="11.5714285714286" style="1" customWidth="1"/>
    <col min="9" max="9" width="15.7142857142857" style="1" customWidth="1"/>
    <col min="10" max="10" width="11.8571428571429" style="1" customWidth="1"/>
    <col min="11" max="11" width="10.2857142857143" style="2"/>
    <col min="12" max="16384" width="10.2857142857143" style="1"/>
  </cols>
  <sheetData>
    <row r="1" ht="33.95" customHeight="1" spans="1:13">
      <c r="A1" s="3" t="s">
        <v>176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2.95" customHeight="1" spans="1:13">
      <c r="A2" s="4" t="s">
        <v>1</v>
      </c>
      <c r="B2" s="5" t="s">
        <v>177</v>
      </c>
      <c r="C2" s="5" t="s">
        <v>178</v>
      </c>
      <c r="D2" s="5" t="s">
        <v>47</v>
      </c>
      <c r="E2" s="6" t="s">
        <v>179</v>
      </c>
      <c r="F2" s="7" t="s">
        <v>57</v>
      </c>
      <c r="G2" s="8"/>
      <c r="H2" s="8"/>
      <c r="I2" s="8"/>
      <c r="J2" s="38"/>
      <c r="K2" s="12" t="s">
        <v>58</v>
      </c>
      <c r="L2" s="12" t="s">
        <v>59</v>
      </c>
      <c r="M2" s="12" t="s">
        <v>180</v>
      </c>
    </row>
    <row r="3" ht="24.95" customHeight="1" spans="1:13">
      <c r="A3" s="9"/>
      <c r="B3" s="10"/>
      <c r="C3" s="10"/>
      <c r="D3" s="10"/>
      <c r="E3" s="11"/>
      <c r="F3" s="12" t="s">
        <v>62</v>
      </c>
      <c r="G3" s="12" t="s">
        <v>63</v>
      </c>
      <c r="H3" s="12" t="s">
        <v>64</v>
      </c>
      <c r="I3" s="24" t="s">
        <v>181</v>
      </c>
      <c r="J3" s="24" t="s">
        <v>66</v>
      </c>
      <c r="K3" s="39"/>
      <c r="L3" s="39"/>
      <c r="M3" s="39"/>
    </row>
    <row r="4" ht="9.95" customHeight="1" spans="1:13">
      <c r="A4" s="13"/>
      <c r="B4" s="14"/>
      <c r="C4" s="14"/>
      <c r="D4" s="14"/>
      <c r="E4" s="15"/>
      <c r="F4" s="16"/>
      <c r="G4" s="16"/>
      <c r="H4" s="16"/>
      <c r="I4" s="24"/>
      <c r="J4" s="24"/>
      <c r="K4" s="16"/>
      <c r="L4" s="16"/>
      <c r="M4" s="16"/>
    </row>
    <row r="5" ht="12.75" spans="1:13">
      <c r="A5" s="17" t="s">
        <v>67</v>
      </c>
      <c r="B5" s="18" t="s">
        <v>182</v>
      </c>
      <c r="C5" s="18"/>
      <c r="D5" s="17"/>
      <c r="E5" s="17"/>
      <c r="F5" s="19"/>
      <c r="G5" s="20"/>
      <c r="H5" s="19"/>
      <c r="I5" s="40"/>
      <c r="J5" s="41"/>
      <c r="K5" s="42"/>
      <c r="L5" s="43"/>
      <c r="M5" s="43"/>
    </row>
    <row r="6" ht="56.25" spans="1:13">
      <c r="A6" s="17">
        <v>1</v>
      </c>
      <c r="B6" s="21" t="s">
        <v>183</v>
      </c>
      <c r="C6" s="21" t="s">
        <v>184</v>
      </c>
      <c r="D6" s="22" t="s">
        <v>185</v>
      </c>
      <c r="E6" s="23">
        <v>1</v>
      </c>
      <c r="F6" s="19">
        <v>250</v>
      </c>
      <c r="G6" s="24">
        <v>1800</v>
      </c>
      <c r="H6" s="19">
        <f t="shared" ref="H6:H14" si="0">G6*0.13</f>
        <v>234</v>
      </c>
      <c r="I6" s="44">
        <f>(F6+G6+H6)*0.12</f>
        <v>274.08</v>
      </c>
      <c r="J6" s="44">
        <f>SUM(F6:I6)*0.09</f>
        <v>230.2272</v>
      </c>
      <c r="K6" s="44">
        <f>SUM(F6:J6)</f>
        <v>2788.3072</v>
      </c>
      <c r="L6" s="45">
        <f>K6*E6</f>
        <v>2788.3072</v>
      </c>
      <c r="M6" s="46"/>
    </row>
    <row r="7" ht="90" spans="1:13">
      <c r="A7" s="17">
        <v>2</v>
      </c>
      <c r="B7" s="21" t="s">
        <v>186</v>
      </c>
      <c r="C7" s="21" t="s">
        <v>187</v>
      </c>
      <c r="D7" s="22" t="s">
        <v>188</v>
      </c>
      <c r="E7" s="23">
        <v>13</v>
      </c>
      <c r="F7" s="19">
        <v>212</v>
      </c>
      <c r="G7" s="24"/>
      <c r="H7" s="19">
        <f t="shared" si="0"/>
        <v>0</v>
      </c>
      <c r="I7" s="44">
        <f>(F7+G7+H7)*0.12</f>
        <v>25.44</v>
      </c>
      <c r="J7" s="44">
        <f>SUM(F7:I7)*0.09</f>
        <v>21.3696</v>
      </c>
      <c r="K7" s="44">
        <f>SUM(F7:J7)</f>
        <v>258.8096</v>
      </c>
      <c r="L7" s="45">
        <f t="shared" ref="L7:L16" si="1">K7*E7</f>
        <v>3364.5248</v>
      </c>
      <c r="M7" s="46"/>
    </row>
    <row r="8" ht="67.5" spans="1:13">
      <c r="A8" s="17">
        <v>3</v>
      </c>
      <c r="B8" s="21" t="s">
        <v>189</v>
      </c>
      <c r="C8" s="21" t="s">
        <v>190</v>
      </c>
      <c r="D8" s="22" t="s">
        <v>188</v>
      </c>
      <c r="E8" s="19">
        <v>6</v>
      </c>
      <c r="F8" s="25">
        <v>250</v>
      </c>
      <c r="G8" s="26">
        <v>1300</v>
      </c>
      <c r="H8" s="19">
        <v>100</v>
      </c>
      <c r="I8" s="44">
        <f>(F8+G8+H8)*0.12</f>
        <v>198</v>
      </c>
      <c r="J8" s="44">
        <f>SUM(F8:I8)*0.09</f>
        <v>166.32</v>
      </c>
      <c r="K8" s="44">
        <f>SUM(F8:J8)</f>
        <v>2014.32</v>
      </c>
      <c r="L8" s="45">
        <f t="shared" si="1"/>
        <v>12085.92</v>
      </c>
      <c r="M8" s="46"/>
    </row>
    <row r="9" ht="45" spans="1:13">
      <c r="A9" s="17">
        <v>4</v>
      </c>
      <c r="B9" s="18" t="s">
        <v>191</v>
      </c>
      <c r="C9" s="21" t="s">
        <v>192</v>
      </c>
      <c r="D9" s="17" t="s">
        <v>193</v>
      </c>
      <c r="E9" s="19">
        <v>6</v>
      </c>
      <c r="F9" s="25">
        <v>112</v>
      </c>
      <c r="G9" s="26">
        <v>450</v>
      </c>
      <c r="H9" s="19">
        <f t="shared" si="0"/>
        <v>58.5</v>
      </c>
      <c r="I9" s="44">
        <f t="shared" ref="I9:I24" si="2">(F9+G9+H9)*0.12</f>
        <v>74.46</v>
      </c>
      <c r="J9" s="44">
        <f>SUM(F9:I9)*0.09</f>
        <v>62.5464</v>
      </c>
      <c r="K9" s="44">
        <f>SUM(F9:J9)</f>
        <v>757.5064</v>
      </c>
      <c r="L9" s="45">
        <f t="shared" si="1"/>
        <v>4545.0384</v>
      </c>
      <c r="M9" s="46"/>
    </row>
    <row r="10" ht="56.25" spans="1:13">
      <c r="A10" s="17">
        <v>5</v>
      </c>
      <c r="B10" s="21" t="s">
        <v>194</v>
      </c>
      <c r="C10" s="21" t="s">
        <v>195</v>
      </c>
      <c r="D10" s="22" t="s">
        <v>116</v>
      </c>
      <c r="E10" s="19">
        <f>5.47+0.6*2</f>
        <v>6.67</v>
      </c>
      <c r="F10" s="25">
        <v>1.13</v>
      </c>
      <c r="G10" s="25">
        <v>4.5</v>
      </c>
      <c r="H10" s="19">
        <f t="shared" si="0"/>
        <v>0.585</v>
      </c>
      <c r="I10" s="44">
        <f t="shared" si="2"/>
        <v>0.7458</v>
      </c>
      <c r="J10" s="44">
        <f t="shared" ref="J10:J15" si="3">SUM(F10:I10)*0.09</f>
        <v>0.626472</v>
      </c>
      <c r="K10" s="44">
        <f t="shared" ref="K10:K15" si="4">SUM(F10:J10)</f>
        <v>7.587272</v>
      </c>
      <c r="L10" s="45">
        <f t="shared" si="1"/>
        <v>50.60710424</v>
      </c>
      <c r="M10" s="46" t="s">
        <v>196</v>
      </c>
    </row>
    <row r="11" ht="56.25" spans="1:13">
      <c r="A11" s="17">
        <v>6</v>
      </c>
      <c r="B11" s="21" t="s">
        <v>194</v>
      </c>
      <c r="C11" s="21" t="s">
        <v>197</v>
      </c>
      <c r="D11" s="22" t="s">
        <v>116</v>
      </c>
      <c r="E11" s="19">
        <f>134.65+121.41+113.85+101.28+13*0.4*2+8.61+4.44+86.62+65.36+6*0.4*2+3.8+68.63+57.55</f>
        <v>781.4</v>
      </c>
      <c r="F11" s="25">
        <v>0.78</v>
      </c>
      <c r="G11" s="25">
        <v>3.12</v>
      </c>
      <c r="H11" s="19">
        <f t="shared" si="0"/>
        <v>0.4056</v>
      </c>
      <c r="I11" s="44">
        <f t="shared" si="2"/>
        <v>0.516672</v>
      </c>
      <c r="J11" s="44">
        <f t="shared" si="3"/>
        <v>0.43400448</v>
      </c>
      <c r="K11" s="44">
        <f t="shared" si="4"/>
        <v>5.25627648</v>
      </c>
      <c r="L11" s="45">
        <f t="shared" si="1"/>
        <v>4107.254441472</v>
      </c>
      <c r="M11" s="46" t="s">
        <v>196</v>
      </c>
    </row>
    <row r="12" ht="56.25" spans="1:13">
      <c r="A12" s="17">
        <v>7</v>
      </c>
      <c r="B12" s="21" t="s">
        <v>198</v>
      </c>
      <c r="C12" s="21" t="s">
        <v>199</v>
      </c>
      <c r="D12" s="22" t="s">
        <v>116</v>
      </c>
      <c r="E12" s="19">
        <v>100</v>
      </c>
      <c r="F12" s="25">
        <v>3.58</v>
      </c>
      <c r="G12" s="25">
        <v>30</v>
      </c>
      <c r="H12" s="19">
        <f t="shared" si="0"/>
        <v>3.9</v>
      </c>
      <c r="I12" s="44">
        <f t="shared" si="2"/>
        <v>4.4976</v>
      </c>
      <c r="J12" s="44">
        <f t="shared" si="3"/>
        <v>3.777984</v>
      </c>
      <c r="K12" s="47">
        <f t="shared" si="4"/>
        <v>45.755584</v>
      </c>
      <c r="L12" s="45">
        <f t="shared" si="1"/>
        <v>4575.5584</v>
      </c>
      <c r="M12" s="46" t="s">
        <v>200</v>
      </c>
    </row>
    <row r="13" ht="56.25" spans="1:13">
      <c r="A13" s="17">
        <v>8</v>
      </c>
      <c r="B13" s="21" t="s">
        <v>201</v>
      </c>
      <c r="C13" s="21" t="s">
        <v>202</v>
      </c>
      <c r="D13" s="22" t="s">
        <v>116</v>
      </c>
      <c r="E13" s="19">
        <f>(134.65+121.41+113.85+101.28+13*0.4*2)*1.025</f>
        <v>493.62975</v>
      </c>
      <c r="F13" s="25">
        <v>2.39</v>
      </c>
      <c r="G13" s="25">
        <v>10.76</v>
      </c>
      <c r="H13" s="19">
        <f t="shared" si="0"/>
        <v>1.3988</v>
      </c>
      <c r="I13" s="44">
        <f t="shared" si="2"/>
        <v>1.745856</v>
      </c>
      <c r="J13" s="44">
        <f t="shared" si="3"/>
        <v>1.46651904</v>
      </c>
      <c r="K13" s="47">
        <f t="shared" si="4"/>
        <v>17.76117504</v>
      </c>
      <c r="L13" s="45">
        <f t="shared" si="1"/>
        <v>8767.44439470144</v>
      </c>
      <c r="M13" s="46" t="s">
        <v>200</v>
      </c>
    </row>
    <row r="14" ht="56.25" spans="1:13">
      <c r="A14" s="17">
        <v>9</v>
      </c>
      <c r="B14" s="21" t="s">
        <v>201</v>
      </c>
      <c r="C14" s="21" t="s">
        <v>203</v>
      </c>
      <c r="D14" s="22" t="s">
        <v>116</v>
      </c>
      <c r="E14" s="19">
        <f>(8.61+4.44+86.62+65.36+6*0.4*2)*1.025</f>
        <v>174.07575</v>
      </c>
      <c r="F14" s="25">
        <v>2</v>
      </c>
      <c r="G14" s="25">
        <v>7.48</v>
      </c>
      <c r="H14" s="19">
        <f t="shared" si="0"/>
        <v>0.9724</v>
      </c>
      <c r="I14" s="44">
        <f t="shared" si="2"/>
        <v>1.254288</v>
      </c>
      <c r="J14" s="44">
        <f t="shared" si="3"/>
        <v>1.05360192</v>
      </c>
      <c r="K14" s="47">
        <f t="shared" si="4"/>
        <v>12.76028992</v>
      </c>
      <c r="L14" s="45">
        <f t="shared" si="1"/>
        <v>2221.25703804144</v>
      </c>
      <c r="M14" s="46" t="s">
        <v>200</v>
      </c>
    </row>
    <row r="15" ht="48" spans="1:13">
      <c r="A15" s="17">
        <v>10</v>
      </c>
      <c r="B15" s="27" t="s">
        <v>69</v>
      </c>
      <c r="C15" s="27" t="s">
        <v>204</v>
      </c>
      <c r="D15" s="28" t="s">
        <v>71</v>
      </c>
      <c r="E15" s="19">
        <f>(6.81+250+13.08+4.97+8.2)*0.4*0.4</f>
        <v>45.2896</v>
      </c>
      <c r="F15" s="29">
        <v>3</v>
      </c>
      <c r="G15" s="30"/>
      <c r="H15" s="31">
        <v>15</v>
      </c>
      <c r="I15" s="44">
        <f t="shared" si="2"/>
        <v>2.16</v>
      </c>
      <c r="J15" s="44">
        <f t="shared" si="3"/>
        <v>1.8144</v>
      </c>
      <c r="K15" s="44">
        <f t="shared" si="4"/>
        <v>21.9744</v>
      </c>
      <c r="L15" s="45">
        <f t="shared" si="1"/>
        <v>995.21178624</v>
      </c>
      <c r="M15" s="46"/>
    </row>
    <row r="16" ht="48" spans="1:13">
      <c r="A16" s="17">
        <v>11</v>
      </c>
      <c r="B16" s="27" t="s">
        <v>205</v>
      </c>
      <c r="C16" s="27" t="s">
        <v>206</v>
      </c>
      <c r="D16" s="28" t="s">
        <v>71</v>
      </c>
      <c r="E16" s="19">
        <f>(6.81+250+13.08+4.97+8.2)*0.4*0.4</f>
        <v>45.2896</v>
      </c>
      <c r="F16" s="25">
        <v>5</v>
      </c>
      <c r="G16" s="26"/>
      <c r="H16" s="19">
        <v>20</v>
      </c>
      <c r="I16" s="44">
        <f t="shared" si="2"/>
        <v>3</v>
      </c>
      <c r="J16" s="44">
        <f t="shared" ref="J16:J24" si="5">SUM(F16:I16)*0.09</f>
        <v>2.52</v>
      </c>
      <c r="K16" s="44">
        <f t="shared" ref="K16:K24" si="6">SUM(F16:J16)</f>
        <v>30.52</v>
      </c>
      <c r="L16" s="45">
        <f t="shared" si="1"/>
        <v>1382.238592</v>
      </c>
      <c r="M16" s="46"/>
    </row>
    <row r="17" ht="12.75" spans="1:13">
      <c r="A17" s="17" t="s">
        <v>87</v>
      </c>
      <c r="B17" s="18" t="s">
        <v>207</v>
      </c>
      <c r="C17" s="18"/>
      <c r="D17" s="17"/>
      <c r="E17" s="19"/>
      <c r="F17" s="25"/>
      <c r="G17" s="26"/>
      <c r="H17" s="19"/>
      <c r="I17" s="44"/>
      <c r="J17" s="44"/>
      <c r="K17" s="45"/>
      <c r="L17" s="45"/>
      <c r="M17" s="46"/>
    </row>
    <row r="18" ht="84" spans="1:13">
      <c r="A18" s="17">
        <v>1</v>
      </c>
      <c r="B18" s="32" t="s">
        <v>208</v>
      </c>
      <c r="C18" s="32" t="s">
        <v>209</v>
      </c>
      <c r="D18" s="30" t="s">
        <v>193</v>
      </c>
      <c r="E18" s="19">
        <v>7</v>
      </c>
      <c r="F18" s="33">
        <v>46</v>
      </c>
      <c r="G18" s="33">
        <v>100</v>
      </c>
      <c r="H18" s="19">
        <v>20</v>
      </c>
      <c r="I18" s="44">
        <f t="shared" si="2"/>
        <v>19.92</v>
      </c>
      <c r="J18" s="44">
        <f t="shared" si="5"/>
        <v>16.7328</v>
      </c>
      <c r="K18" s="44">
        <f>SUM(F18:J18)</f>
        <v>202.6528</v>
      </c>
      <c r="L18" s="45">
        <f>K18*E18</f>
        <v>1418.5696</v>
      </c>
      <c r="M18" s="46"/>
    </row>
    <row r="19" ht="90" spans="1:13">
      <c r="A19" s="17">
        <v>2</v>
      </c>
      <c r="B19" s="34" t="s">
        <v>210</v>
      </c>
      <c r="C19" s="34" t="s">
        <v>211</v>
      </c>
      <c r="D19" s="20" t="s">
        <v>116</v>
      </c>
      <c r="E19" s="19">
        <f>0.7*7</f>
        <v>4.9</v>
      </c>
      <c r="F19" s="33">
        <v>1.6</v>
      </c>
      <c r="G19" s="33">
        <v>5</v>
      </c>
      <c r="H19" s="19">
        <f t="shared" ref="H19:H22" si="7">G19*0.13</f>
        <v>0.65</v>
      </c>
      <c r="I19" s="44">
        <f t="shared" si="2"/>
        <v>0.87</v>
      </c>
      <c r="J19" s="44">
        <f t="shared" si="5"/>
        <v>0.7308</v>
      </c>
      <c r="K19" s="44">
        <f t="shared" si="6"/>
        <v>8.8508</v>
      </c>
      <c r="L19" s="45">
        <f t="shared" ref="L19:L24" si="8">K19*E19</f>
        <v>43.36892</v>
      </c>
      <c r="M19" s="46" t="s">
        <v>196</v>
      </c>
    </row>
    <row r="20" ht="90" spans="1:13">
      <c r="A20" s="17">
        <v>3</v>
      </c>
      <c r="B20" s="34" t="s">
        <v>210</v>
      </c>
      <c r="C20" s="34" t="s">
        <v>212</v>
      </c>
      <c r="D20" s="20" t="s">
        <v>116</v>
      </c>
      <c r="E20" s="19">
        <f>75.27+76.7</f>
        <v>151.97</v>
      </c>
      <c r="F20" s="33">
        <v>1.6</v>
      </c>
      <c r="G20" s="33">
        <v>6.4</v>
      </c>
      <c r="H20" s="19">
        <f t="shared" si="7"/>
        <v>0.832</v>
      </c>
      <c r="I20" s="44">
        <f t="shared" si="2"/>
        <v>1.05984</v>
      </c>
      <c r="J20" s="44">
        <f t="shared" si="5"/>
        <v>0.8902656</v>
      </c>
      <c r="K20" s="44">
        <f t="shared" si="6"/>
        <v>10.7821056</v>
      </c>
      <c r="L20" s="45">
        <f t="shared" si="8"/>
        <v>1638.556588032</v>
      </c>
      <c r="M20" s="46" t="s">
        <v>196</v>
      </c>
    </row>
    <row r="21" ht="90" spans="1:13">
      <c r="A21" s="17">
        <v>4</v>
      </c>
      <c r="B21" s="34" t="s">
        <v>210</v>
      </c>
      <c r="C21" s="34" t="s">
        <v>213</v>
      </c>
      <c r="D21" s="20" t="s">
        <v>116</v>
      </c>
      <c r="E21" s="19">
        <f>10.66+66.49</f>
        <v>77.15</v>
      </c>
      <c r="F21" s="33">
        <v>3.77</v>
      </c>
      <c r="G21" s="33">
        <v>15.08</v>
      </c>
      <c r="H21" s="19">
        <f t="shared" si="7"/>
        <v>1.9604</v>
      </c>
      <c r="I21" s="44">
        <f t="shared" si="2"/>
        <v>2.497248</v>
      </c>
      <c r="J21" s="44">
        <f t="shared" si="5"/>
        <v>2.09768832</v>
      </c>
      <c r="K21" s="44">
        <f t="shared" si="6"/>
        <v>25.40533632</v>
      </c>
      <c r="L21" s="45">
        <f t="shared" si="8"/>
        <v>1960.021697088</v>
      </c>
      <c r="M21" s="46" t="s">
        <v>196</v>
      </c>
    </row>
    <row r="22" ht="90" spans="1:13">
      <c r="A22" s="17">
        <v>5</v>
      </c>
      <c r="B22" s="34" t="s">
        <v>210</v>
      </c>
      <c r="C22" s="34" t="s">
        <v>214</v>
      </c>
      <c r="D22" s="20" t="s">
        <v>116</v>
      </c>
      <c r="E22" s="19">
        <v>1</v>
      </c>
      <c r="F22" s="33">
        <v>5.83</v>
      </c>
      <c r="G22" s="33">
        <v>23.32</v>
      </c>
      <c r="H22" s="19">
        <f t="shared" si="7"/>
        <v>3.0316</v>
      </c>
      <c r="I22" s="44">
        <f t="shared" si="2"/>
        <v>3.861792</v>
      </c>
      <c r="J22" s="44">
        <f t="shared" si="5"/>
        <v>3.24390528</v>
      </c>
      <c r="K22" s="44">
        <f t="shared" si="6"/>
        <v>39.28729728</v>
      </c>
      <c r="L22" s="45">
        <f t="shared" si="8"/>
        <v>39.28729728</v>
      </c>
      <c r="M22" s="46" t="s">
        <v>196</v>
      </c>
    </row>
    <row r="23" ht="33.75" spans="1:13">
      <c r="A23" s="17">
        <v>6</v>
      </c>
      <c r="B23" s="34" t="s">
        <v>69</v>
      </c>
      <c r="C23" s="34" t="s">
        <v>215</v>
      </c>
      <c r="D23" s="34" t="s">
        <v>71</v>
      </c>
      <c r="E23" s="19">
        <f>230*0.4*0.2</f>
        <v>18.4</v>
      </c>
      <c r="F23" s="29">
        <v>3</v>
      </c>
      <c r="G23" s="30"/>
      <c r="H23" s="31">
        <v>15</v>
      </c>
      <c r="I23" s="44">
        <f t="shared" si="2"/>
        <v>2.16</v>
      </c>
      <c r="J23" s="44">
        <f t="shared" si="5"/>
        <v>1.8144</v>
      </c>
      <c r="K23" s="44">
        <f t="shared" si="6"/>
        <v>21.9744</v>
      </c>
      <c r="L23" s="45">
        <f t="shared" si="8"/>
        <v>404.32896</v>
      </c>
      <c r="M23" s="46"/>
    </row>
    <row r="24" ht="33.75" spans="1:13">
      <c r="A24" s="17">
        <v>7</v>
      </c>
      <c r="B24" s="34" t="s">
        <v>216</v>
      </c>
      <c r="C24" s="34" t="s">
        <v>217</v>
      </c>
      <c r="D24" s="34" t="s">
        <v>71</v>
      </c>
      <c r="E24" s="19">
        <f>230*0.4*0.2</f>
        <v>18.4</v>
      </c>
      <c r="F24" s="25">
        <v>5</v>
      </c>
      <c r="G24" s="26"/>
      <c r="H24" s="19">
        <v>20</v>
      </c>
      <c r="I24" s="44">
        <f t="shared" si="2"/>
        <v>3</v>
      </c>
      <c r="J24" s="44">
        <f t="shared" si="5"/>
        <v>2.52</v>
      </c>
      <c r="K24" s="44">
        <f t="shared" si="6"/>
        <v>30.52</v>
      </c>
      <c r="L24" s="45">
        <f t="shared" si="8"/>
        <v>561.568</v>
      </c>
      <c r="M24" s="46"/>
    </row>
    <row r="25" ht="33" customHeight="1" spans="1:13">
      <c r="A25" s="35" t="s">
        <v>218</v>
      </c>
      <c r="B25" s="35"/>
      <c r="C25" s="35"/>
      <c r="D25" s="35"/>
      <c r="E25" s="35"/>
      <c r="F25" s="35"/>
      <c r="G25" s="35"/>
      <c r="H25" s="19"/>
      <c r="I25" s="40"/>
      <c r="J25" s="41"/>
      <c r="K25" s="42"/>
      <c r="L25" s="45">
        <f>SUM(L6:L24)</f>
        <v>50949.0632190949</v>
      </c>
      <c r="M25" s="43"/>
    </row>
    <row r="26" ht="27" customHeight="1" spans="1:13">
      <c r="A26" s="36" t="s">
        <v>219</v>
      </c>
      <c r="B26" s="36"/>
      <c r="C26" s="36"/>
      <c r="D26" s="36"/>
      <c r="E26" s="36"/>
      <c r="F26" s="36"/>
      <c r="G26" s="36"/>
      <c r="H26" s="36"/>
      <c r="I26" s="36"/>
      <c r="J26" s="36"/>
      <c r="K26" s="48"/>
      <c r="L26" s="36"/>
      <c r="M26" s="36"/>
    </row>
    <row r="33" spans="5:5">
      <c r="E33" s="37"/>
    </row>
    <row r="34" spans="5:5">
      <c r="E34" s="37"/>
    </row>
    <row r="35" spans="5:5">
      <c r="E35" s="37"/>
    </row>
  </sheetData>
  <autoFilter ref="A4:N26">
    <extLst/>
  </autoFilter>
  <mergeCells count="17">
    <mergeCell ref="A1:M1"/>
    <mergeCell ref="F2:J2"/>
    <mergeCell ref="B5:C5"/>
    <mergeCell ref="B17:C17"/>
    <mergeCell ref="A25:G25"/>
    <mergeCell ref="A26:M26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5" right="0.75" top="1" bottom="1" header="0.5" footer="0.5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进款汇总</vt:lpstr>
      <vt:lpstr>汇总表</vt:lpstr>
      <vt:lpstr>硬质铺装</vt:lpstr>
      <vt:lpstr>绿植乔木</vt:lpstr>
      <vt:lpstr>绿植灌木</vt:lpstr>
      <vt:lpstr>景观水电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不要总是（圈a）我</cp:lastModifiedBy>
  <dcterms:created xsi:type="dcterms:W3CDTF">2020-11-19T09:45:00Z</dcterms:created>
  <dcterms:modified xsi:type="dcterms:W3CDTF">2023-10-14T02:29:13Z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8ECC678D41D948A68D7F6BF3171481E1_13</vt:lpwstr>
  </property>
</Properties>
</file>