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 codeName="ThisWorkbook"/>
  <bookViews>
    <workbookView windowWidth="27945" windowHeight="11925" activeTab="1"/>
  </bookViews>
  <sheets>
    <sheet name="2资料存档目录" sheetId="1" r:id="rId1"/>
    <sheet name="3工程结算汇总表" sheetId="3" r:id="rId2"/>
    <sheet name="结算明细汇总" sheetId="11" r:id="rId3"/>
    <sheet name="4-5月份结算明细汇" sheetId="9" r:id="rId4"/>
    <sheet name="截至8月份结算" sheetId="12" r:id="rId5"/>
    <sheet name="计算书" sheetId="10" r:id="rId6"/>
  </sheets>
  <externalReferences>
    <externalReference r:id="rId7"/>
  </externalReferences>
  <definedNames>
    <definedName name="_xlnm.Print_Area" localSheetId="0">'2资料存档目录'!$A$1:$F$22</definedName>
    <definedName name="_xlnm.Print_Area" localSheetId="1">'3工程结算汇总表'!$A$1:$H$34</definedName>
    <definedName name="_xlnm.Print_Area" localSheetId="3">'4-5月份结算明细汇'!$A$1:$H$29</definedName>
  </definedNames>
  <calcPr calcId="144525" fullPrecision="0"/>
</workbook>
</file>

<file path=xl/sharedStrings.xml><?xml version="1.0" encoding="utf-8"?>
<sst xmlns="http://schemas.openxmlformats.org/spreadsheetml/2006/main" count="330" uniqueCount="201">
  <si>
    <t>栾川山水文苑年度零星工程合同
2022年度结算资料存档目录</t>
  </si>
  <si>
    <t>序号</t>
  </si>
  <si>
    <t>名称</t>
  </si>
  <si>
    <t>份/页</t>
  </si>
  <si>
    <t>页码</t>
  </si>
  <si>
    <t>原件/复印件</t>
  </si>
  <si>
    <t>备注</t>
  </si>
  <si>
    <t>栾川山水文苑年度零星工程合同2022年度结算审批表</t>
  </si>
  <si>
    <t>1份1页</t>
  </si>
  <si>
    <t>第1页</t>
  </si>
  <si>
    <t>原件</t>
  </si>
  <si>
    <t>资料存档目录</t>
  </si>
  <si>
    <t>第2页</t>
  </si>
  <si>
    <t>结算协议书</t>
  </si>
  <si>
    <t>1份2页</t>
  </si>
  <si>
    <t>第3页</t>
  </si>
  <si>
    <t>结算汇总表</t>
  </si>
  <si>
    <t>第4页</t>
  </si>
  <si>
    <t>结算明细表</t>
  </si>
  <si>
    <t>第5页</t>
  </si>
  <si>
    <t>2023年截至8月结算价明细汇总表</t>
  </si>
  <si>
    <t>第6页</t>
  </si>
  <si>
    <t>结算申请单</t>
  </si>
  <si>
    <t>第7页</t>
  </si>
  <si>
    <t>结算通知书</t>
  </si>
  <si>
    <t>第8页</t>
  </si>
  <si>
    <t>授权委托书</t>
  </si>
  <si>
    <t>第9页</t>
  </si>
  <si>
    <t>工程资料核对确认单</t>
  </si>
  <si>
    <t>第10页</t>
  </si>
  <si>
    <t>结算工作交接单</t>
  </si>
  <si>
    <t>第11-12页</t>
  </si>
  <si>
    <t>派发单及确认单011</t>
  </si>
  <si>
    <t>1份5页</t>
  </si>
  <si>
    <t>第13-17页</t>
  </si>
  <si>
    <t>派发单及确认单012</t>
  </si>
  <si>
    <t>1份3页</t>
  </si>
  <si>
    <t>第19-21页</t>
  </si>
  <si>
    <t>派发单及确认单013</t>
  </si>
  <si>
    <t>1份4页</t>
  </si>
  <si>
    <t>第22-25页</t>
  </si>
  <si>
    <t>派发单及确认单020</t>
  </si>
  <si>
    <t>1份7页</t>
  </si>
  <si>
    <t>第39-45页</t>
  </si>
  <si>
    <t>工程往来账目明细</t>
  </si>
  <si>
    <t>第46页</t>
  </si>
  <si>
    <t>零星合同4-5月份月度结算资料</t>
  </si>
  <si>
    <t>册</t>
  </si>
  <si>
    <t>合同</t>
  </si>
  <si>
    <t>造价师：</t>
  </si>
  <si>
    <t>日期：</t>
  </si>
  <si>
    <t>栾川山水文苑年度零星工程合同2022年度结算汇总表</t>
  </si>
  <si>
    <t xml:space="preserve">合同编号：LCS1-JA-046                              合同金额：968965.00元 </t>
  </si>
  <si>
    <t>合同名称：栾川山水文苑年度零星工程合同</t>
  </si>
  <si>
    <t>甲    方：栾川县浩德颐康文旅有限公司</t>
  </si>
  <si>
    <t>乙    方：河南邦丰装饰工程有限公司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</si>
  <si>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</si>
  <si>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</si>
  <si>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</si>
  <si>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</si>
  <si>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</si>
  <si>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</si>
  <si>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</si>
  <si>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</si>
  <si>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</si>
  <si>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签证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</si>
  <si>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</si>
  <si>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</si>
  <si>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</si>
  <si>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</si>
  <si>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</si>
  <si>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</si>
  <si>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</si>
  <si>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</si>
  <si>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</si>
  <si>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</si>
  <si>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</si>
  <si>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</si>
  <si>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</si>
  <si>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</si>
  <si>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</si>
  <si>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</si>
  <si>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</si>
  <si>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</si>
  <si>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</si>
  <si>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</si>
  <si>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</si>
  <si>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</si>
  <si>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</si>
  <si>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</si>
  <si>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栾川山水文苑年度零星工程合同2022年度结算价明细汇总表</t>
  </si>
  <si>
    <t>单位</t>
  </si>
  <si>
    <t>工程造价（元）</t>
  </si>
  <si>
    <t>203年4-5月份结算</t>
  </si>
  <si>
    <t>元</t>
  </si>
  <si>
    <t>详见4-5月度结算审批</t>
  </si>
  <si>
    <t>2023年截至8月份结算</t>
  </si>
  <si>
    <t>详见8月份结算明细</t>
  </si>
  <si>
    <t>栾川山水文苑年度零星工程合同2023年4-5月度结算价明细汇总表</t>
  </si>
  <si>
    <t>工作内容</t>
  </si>
  <si>
    <t>工程量</t>
  </si>
  <si>
    <t>综合单价（元）</t>
  </si>
  <si>
    <t>派发单编号001</t>
  </si>
  <si>
    <t>破除混凝土</t>
  </si>
  <si>
    <t>m2</t>
  </si>
  <si>
    <t>倒运土方</t>
  </si>
  <si>
    <t>m3</t>
  </si>
  <si>
    <t>参照总包合同</t>
  </si>
  <si>
    <t>混凝土垫层</t>
  </si>
  <si>
    <t>c15垫层，参照路面价格扣除两个标号</t>
  </si>
  <si>
    <t>透水砖铺贴</t>
  </si>
  <si>
    <t>参照铺砖价格，扣除砖费用</t>
  </si>
  <si>
    <t>车挡墩子直径400花岗岩</t>
  </si>
  <si>
    <t>个</t>
  </si>
  <si>
    <t>详见约谈记录</t>
  </si>
  <si>
    <t>不锈钢链子（长1.2m）</t>
  </si>
  <si>
    <t>根</t>
  </si>
  <si>
    <t>派发单编号002</t>
  </si>
  <si>
    <t>玻璃更换</t>
  </si>
  <si>
    <t>块</t>
  </si>
  <si>
    <t>详见约谈记录，从合同中扣除LCS2-JA-012</t>
  </si>
  <si>
    <t>派发单编号003</t>
  </si>
  <si>
    <t>厨房蒸箱加电</t>
  </si>
  <si>
    <t>套</t>
  </si>
  <si>
    <t>派发单编号004</t>
  </si>
  <si>
    <t>售楼部西侧围挡拆除</t>
  </si>
  <si>
    <t>m</t>
  </si>
  <si>
    <t>字体拆除  技工</t>
  </si>
  <si>
    <t>工</t>
  </si>
  <si>
    <t>字体拆除  普工</t>
  </si>
  <si>
    <t>派发单编号005</t>
  </si>
  <si>
    <t>双壁波纹管dn200</t>
  </si>
  <si>
    <t>砖砌井</t>
  </si>
  <si>
    <t>派发单编号006</t>
  </si>
  <si>
    <t>洛宁项目厨房安装费用代付</t>
  </si>
  <si>
    <t>项</t>
  </si>
  <si>
    <t>派发单编号007</t>
  </si>
  <si>
    <t>电梯临时电缆采购</t>
  </si>
  <si>
    <t>派发单编号008</t>
  </si>
  <si>
    <t>角钢焊接制作与安装</t>
  </si>
  <si>
    <t>钢架</t>
  </si>
  <si>
    <t>参照造价信息4486元/t，考虑人工费及其他考虑30%</t>
  </si>
  <si>
    <t>木模板</t>
  </si>
  <si>
    <t>模板费</t>
  </si>
  <si>
    <t>派发单编号009</t>
  </si>
  <si>
    <t>市政道路接口</t>
  </si>
  <si>
    <t>清水样板间入户门（星月神）</t>
  </si>
  <si>
    <t>樘</t>
  </si>
  <si>
    <t>详见约谈记录，跟宜阳入户门一样，按一样入户门价格计入</t>
  </si>
  <si>
    <t>派发单编号010</t>
  </si>
  <si>
    <t>楼梯侧扣粉刷</t>
  </si>
  <si>
    <t>详见计算底稿</t>
  </si>
  <si>
    <t>合计</t>
  </si>
  <si>
    <t>本次月结金额</t>
  </si>
  <si>
    <t>栾川山水文苑年度零星工程合同2023年截至8月度结算价明细汇总表</t>
  </si>
  <si>
    <t>派发单编号011</t>
  </si>
  <si>
    <t xml:space="preserve">东大门坡道增加雾森系统 </t>
  </si>
  <si>
    <t>详见清单</t>
  </si>
  <si>
    <t>派发单编号012</t>
  </si>
  <si>
    <t>5#楼门厅增加土建部分</t>
  </si>
  <si>
    <t>c30混凝土基础及柱子</t>
  </si>
  <si>
    <t>参照合同价格</t>
  </si>
  <si>
    <t>钢筋</t>
  </si>
  <si>
    <t>t</t>
  </si>
  <si>
    <t>砖墙</t>
  </si>
  <si>
    <t>构造柱</t>
  </si>
  <si>
    <t>粉刷墙面</t>
  </si>
  <si>
    <t>构造柱钢筋 直径10，箍筋6@200/250</t>
  </si>
  <si>
    <t>派发单编号013</t>
  </si>
  <si>
    <t>小计</t>
  </si>
  <si>
    <t>本月合计</t>
  </si>
  <si>
    <t>钢架子计算式</t>
  </si>
  <si>
    <t>长度</t>
  </si>
  <si>
    <t>数量</t>
  </si>
  <si>
    <t>理论值</t>
  </si>
  <si>
    <t>踏步角钢40*4</t>
  </si>
  <si>
    <t>三角架子</t>
  </si>
  <si>
    <t>踏步侧面粉刷</t>
  </si>
  <si>
    <t>部位</t>
  </si>
  <si>
    <t>单个尺寸</t>
  </si>
  <si>
    <t>总量</t>
  </si>
  <si>
    <t>-1F</t>
  </si>
  <si>
    <t>1F</t>
  </si>
  <si>
    <t>2~3F</t>
  </si>
  <si>
    <t>3~8F</t>
  </si>
  <si>
    <t>数量总计</t>
  </si>
  <si>
    <t>3#楼</t>
  </si>
  <si>
    <t>楼梯粉刷</t>
  </si>
  <si>
    <t>楼梯</t>
  </si>
  <si>
    <t>5#楼</t>
  </si>
  <si>
    <t>8#楼</t>
  </si>
  <si>
    <t>9#楼</t>
  </si>
  <si>
    <t>11#楼</t>
  </si>
  <si>
    <t>单个单元</t>
  </si>
  <si>
    <t>2~8F</t>
  </si>
  <si>
    <t>顶层</t>
  </si>
  <si>
    <t>1#楼</t>
  </si>
  <si>
    <t>2#楼</t>
  </si>
  <si>
    <t>6#楼</t>
  </si>
  <si>
    <t>7#楼</t>
  </si>
  <si>
    <t>10#楼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</si>
</sst>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0_ "/>
    <numFmt numFmtId="178" formatCode="0.00_ "/>
    <numFmt numFmtId="179" formatCode="0.0_ "/>
    <numFmt numFmtId="180" formatCode="#,##0.00&quot;元&quot;"/>
    <numFmt numFmtId="181" formatCode="#,##0_ "/>
  </numFmts>
  <fonts count="55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6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Times New Roman"/>
      <charset val="134"/>
    </font>
    <font>
      <b/>
      <sz val="12"/>
      <name val="楷体_GB2312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0">
    <xf numFmtId="176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4" borderId="1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6" borderId="16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7" borderId="17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176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176" fontId="38" fillId="35" borderId="0" applyNumberFormat="0" applyBorder="0" applyAlignment="0" applyProtection="0">
      <alignment vertical="center"/>
    </xf>
    <xf numFmtId="176" fontId="39" fillId="36" borderId="20" applyNumberFormat="0" applyAlignment="0" applyProtection="0">
      <alignment vertical="center"/>
    </xf>
    <xf numFmtId="176" fontId="38" fillId="37" borderId="0" applyNumberFormat="0" applyBorder="0" applyAlignment="0" applyProtection="0">
      <alignment vertical="center"/>
    </xf>
    <xf numFmtId="176" fontId="38" fillId="38" borderId="0" applyNumberFormat="0" applyBorder="0" applyAlignment="0" applyProtection="0">
      <alignment vertical="center"/>
    </xf>
    <xf numFmtId="176" fontId="38" fillId="39" borderId="0" applyNumberFormat="0" applyBorder="0" applyAlignment="0" applyProtection="0">
      <alignment vertical="center"/>
    </xf>
    <xf numFmtId="176" fontId="40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176" fontId="41" fillId="40" borderId="0" applyNumberFormat="0" applyBorder="0" applyAlignment="0" applyProtection="0">
      <alignment vertical="center"/>
    </xf>
    <xf numFmtId="176" fontId="38" fillId="41" borderId="0" applyNumberFormat="0" applyBorder="0" applyAlignment="0" applyProtection="0">
      <alignment vertical="center"/>
    </xf>
    <xf numFmtId="176" fontId="38" fillId="38" borderId="0" applyNumberFormat="0" applyBorder="0" applyAlignment="0" applyProtection="0">
      <alignment vertical="center"/>
    </xf>
    <xf numFmtId="176" fontId="38" fillId="40" borderId="0" applyNumberFormat="0" applyBorder="0" applyAlignment="0" applyProtection="0">
      <alignment vertical="center"/>
    </xf>
    <xf numFmtId="176" fontId="42" fillId="36" borderId="21" applyNumberFormat="0" applyAlignment="0" applyProtection="0">
      <alignment vertical="center"/>
    </xf>
    <xf numFmtId="176" fontId="0" fillId="0" borderId="0">
      <alignment vertical="center"/>
    </xf>
    <xf numFmtId="176" fontId="38" fillId="41" borderId="0" applyNumberFormat="0" applyBorder="0" applyAlignment="0" applyProtection="0">
      <alignment vertical="center"/>
    </xf>
    <xf numFmtId="176" fontId="43" fillId="42" borderId="0" applyNumberFormat="0" applyBorder="0" applyAlignment="0" applyProtection="0">
      <alignment vertical="center"/>
    </xf>
    <xf numFmtId="176" fontId="38" fillId="37" borderId="0" applyNumberFormat="0" applyBorder="0" applyAlignment="0" applyProtection="0">
      <alignment vertical="center"/>
    </xf>
    <xf numFmtId="176" fontId="38" fillId="35" borderId="0" applyNumberFormat="0" applyBorder="0" applyAlignment="0" applyProtection="0">
      <alignment vertical="center"/>
    </xf>
    <xf numFmtId="176" fontId="42" fillId="36" borderId="21" applyNumberFormat="0" applyAlignment="0" applyProtection="0">
      <alignment vertical="center"/>
    </xf>
    <xf numFmtId="176" fontId="38" fillId="39" borderId="0" applyNumberFormat="0" applyBorder="0" applyAlignment="0" applyProtection="0">
      <alignment vertical="center"/>
    </xf>
    <xf numFmtId="176" fontId="0" fillId="0" borderId="0">
      <alignment vertical="center"/>
    </xf>
    <xf numFmtId="176" fontId="38" fillId="41" borderId="0" applyNumberFormat="0" applyBorder="0" applyAlignment="0" applyProtection="0">
      <alignment vertical="center"/>
    </xf>
    <xf numFmtId="176" fontId="38" fillId="43" borderId="0" applyNumberFormat="0" applyBorder="0" applyAlignment="0" applyProtection="0">
      <alignment vertical="center"/>
    </xf>
    <xf numFmtId="176" fontId="38" fillId="43" borderId="0" applyNumberFormat="0" applyBorder="0" applyAlignment="0" applyProtection="0">
      <alignment vertical="center"/>
    </xf>
    <xf numFmtId="176" fontId="38" fillId="44" borderId="0" applyNumberFormat="0" applyBorder="0" applyAlignment="0" applyProtection="0">
      <alignment vertical="center"/>
    </xf>
    <xf numFmtId="176" fontId="38" fillId="44" borderId="0" applyNumberFormat="0" applyBorder="0" applyAlignment="0" applyProtection="0">
      <alignment vertical="center"/>
    </xf>
    <xf numFmtId="176" fontId="38" fillId="40" borderId="0" applyNumberFormat="0" applyBorder="0" applyAlignment="0" applyProtection="0">
      <alignment vertical="center"/>
    </xf>
    <xf numFmtId="176" fontId="39" fillId="36" borderId="20" applyNumberFormat="0" applyAlignment="0" applyProtection="0">
      <alignment vertical="center"/>
    </xf>
    <xf numFmtId="176" fontId="38" fillId="45" borderId="0" applyNumberFormat="0" applyBorder="0" applyAlignment="0" applyProtection="0">
      <alignment vertical="center"/>
    </xf>
    <xf numFmtId="176" fontId="38" fillId="45" borderId="0" applyNumberFormat="0" applyBorder="0" applyAlignment="0" applyProtection="0">
      <alignment vertical="center"/>
    </xf>
    <xf numFmtId="176" fontId="44" fillId="46" borderId="22" applyNumberFormat="0" applyAlignment="0" applyProtection="0">
      <alignment vertical="center"/>
    </xf>
    <xf numFmtId="176" fontId="38" fillId="41" borderId="0" applyNumberFormat="0" applyBorder="0" applyAlignment="0" applyProtection="0">
      <alignment vertical="center"/>
    </xf>
    <xf numFmtId="176" fontId="38" fillId="38" borderId="0" applyNumberFormat="0" applyBorder="0" applyAlignment="0" applyProtection="0">
      <alignment vertical="center"/>
    </xf>
    <xf numFmtId="176" fontId="38" fillId="38" borderId="0" applyNumberFormat="0" applyBorder="0" applyAlignment="0" applyProtection="0">
      <alignment vertical="center"/>
    </xf>
    <xf numFmtId="176" fontId="43" fillId="42" borderId="0" applyNumberFormat="0" applyBorder="0" applyAlignment="0" applyProtection="0">
      <alignment vertical="center"/>
    </xf>
    <xf numFmtId="176" fontId="38" fillId="47" borderId="0" applyNumberFormat="0" applyBorder="0" applyAlignment="0" applyProtection="0">
      <alignment vertical="center"/>
    </xf>
    <xf numFmtId="176" fontId="38" fillId="47" borderId="0" applyNumberFormat="0" applyBorder="0" applyAlignment="0" applyProtection="0">
      <alignment vertical="center"/>
    </xf>
    <xf numFmtId="176" fontId="41" fillId="48" borderId="0" applyNumberFormat="0" applyBorder="0" applyAlignment="0" applyProtection="0">
      <alignment vertical="center"/>
    </xf>
    <xf numFmtId="176" fontId="41" fillId="48" borderId="0" applyNumberFormat="0" applyBorder="0" applyAlignment="0" applyProtection="0">
      <alignment vertical="center"/>
    </xf>
    <xf numFmtId="176" fontId="0" fillId="0" borderId="0">
      <alignment vertical="center"/>
    </xf>
    <xf numFmtId="176" fontId="41" fillId="40" borderId="0" applyNumberFormat="0" applyBorder="0" applyAlignment="0" applyProtection="0">
      <alignment vertical="center"/>
    </xf>
    <xf numFmtId="176" fontId="41" fillId="45" borderId="0" applyNumberFormat="0" applyBorder="0" applyAlignment="0" applyProtection="0">
      <alignment vertical="center"/>
    </xf>
    <xf numFmtId="176" fontId="41" fillId="45" borderId="0" applyNumberFormat="0" applyBorder="0" applyAlignment="0" applyProtection="0">
      <alignment vertical="center"/>
    </xf>
    <xf numFmtId="176" fontId="41" fillId="49" borderId="0" applyNumberFormat="0" applyBorder="0" applyAlignment="0" applyProtection="0">
      <alignment vertical="center"/>
    </xf>
    <xf numFmtId="176" fontId="41" fillId="49" borderId="0" applyNumberFormat="0" applyBorder="0" applyAlignment="0" applyProtection="0">
      <alignment vertical="center"/>
    </xf>
    <xf numFmtId="176" fontId="41" fillId="50" borderId="0" applyNumberFormat="0" applyBorder="0" applyAlignment="0" applyProtection="0">
      <alignment vertical="center"/>
    </xf>
    <xf numFmtId="176" fontId="41" fillId="50" borderId="0" applyNumberFormat="0" applyBorder="0" applyAlignment="0" applyProtection="0">
      <alignment vertical="center"/>
    </xf>
    <xf numFmtId="176" fontId="41" fillId="51" borderId="0" applyNumberFormat="0" applyBorder="0" applyAlignment="0" applyProtection="0">
      <alignment vertical="center"/>
    </xf>
    <xf numFmtId="176" fontId="41" fillId="51" borderId="0" applyNumberFormat="0" applyBorder="0" applyAlignment="0" applyProtection="0">
      <alignment vertical="center"/>
    </xf>
    <xf numFmtId="176" fontId="45" fillId="0" borderId="23" applyNumberFormat="0" applyFill="0" applyAlignment="0" applyProtection="0">
      <alignment vertical="center"/>
    </xf>
    <xf numFmtId="176" fontId="45" fillId="0" borderId="23" applyNumberFormat="0" applyFill="0" applyAlignment="0" applyProtection="0">
      <alignment vertical="center"/>
    </xf>
    <xf numFmtId="176" fontId="46" fillId="0" borderId="24" applyNumberFormat="0" applyFill="0" applyAlignment="0" applyProtection="0">
      <alignment vertical="center"/>
    </xf>
    <xf numFmtId="176" fontId="46" fillId="0" borderId="24" applyNumberFormat="0" applyFill="0" applyAlignment="0" applyProtection="0">
      <alignment vertical="center"/>
    </xf>
    <xf numFmtId="176" fontId="47" fillId="0" borderId="25" applyNumberFormat="0" applyFill="0" applyAlignment="0" applyProtection="0">
      <alignment vertical="center"/>
    </xf>
    <xf numFmtId="176" fontId="47" fillId="0" borderId="25" applyNumberFormat="0" applyFill="0" applyAlignment="0" applyProtection="0">
      <alignment vertical="center"/>
    </xf>
    <xf numFmtId="176" fontId="47" fillId="0" borderId="0" applyNumberFormat="0" applyFill="0" applyBorder="0" applyAlignment="0" applyProtection="0">
      <alignment vertical="center"/>
    </xf>
    <xf numFmtId="176" fontId="47" fillId="0" borderId="0" applyNumberFormat="0" applyFill="0" applyBorder="0" applyAlignment="0" applyProtection="0">
      <alignment vertical="center"/>
    </xf>
    <xf numFmtId="176" fontId="48" fillId="0" borderId="0" applyNumberFormat="0" applyFill="0" applyBorder="0" applyAlignment="0" applyProtection="0">
      <alignment vertical="center"/>
    </xf>
    <xf numFmtId="176" fontId="48" fillId="0" borderId="0" applyNumberFormat="0" applyFill="0" applyBorder="0" applyAlignment="0" applyProtection="0">
      <alignment vertical="center"/>
    </xf>
    <xf numFmtId="176" fontId="49" fillId="39" borderId="0" applyNumberFormat="0" applyBorder="0" applyAlignment="0" applyProtection="0">
      <alignment vertical="center"/>
    </xf>
    <xf numFmtId="176" fontId="49" fillId="39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40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176" fontId="50" fillId="37" borderId="0" applyNumberFormat="0" applyBorder="0" applyAlignment="0" applyProtection="0">
      <alignment vertical="center"/>
    </xf>
    <xf numFmtId="176" fontId="50" fillId="37" borderId="0" applyNumberFormat="0" applyBorder="0" applyAlignment="0" applyProtection="0">
      <alignment vertical="center"/>
    </xf>
    <xf numFmtId="176" fontId="51" fillId="0" borderId="26" applyNumberFormat="0" applyFill="0" applyAlignment="0" applyProtection="0">
      <alignment vertical="center"/>
    </xf>
    <xf numFmtId="176" fontId="51" fillId="0" borderId="26" applyNumberFormat="0" applyFill="0" applyAlignment="0" applyProtection="0">
      <alignment vertical="center"/>
    </xf>
    <xf numFmtId="176" fontId="44" fillId="46" borderId="22" applyNumberFormat="0" applyAlignment="0" applyProtection="0">
      <alignment vertical="center"/>
    </xf>
    <xf numFmtId="176" fontId="52" fillId="0" borderId="0" applyNumberFormat="0" applyFill="0" applyBorder="0" applyAlignment="0" applyProtection="0">
      <alignment vertical="center"/>
    </xf>
    <xf numFmtId="176" fontId="52" fillId="0" borderId="0" applyNumberFormat="0" applyFill="0" applyBorder="0" applyAlignment="0" applyProtection="0">
      <alignment vertical="center"/>
    </xf>
    <xf numFmtId="176" fontId="53" fillId="0" borderId="27" applyNumberFormat="0" applyFill="0" applyAlignment="0" applyProtection="0">
      <alignment vertical="center"/>
    </xf>
    <xf numFmtId="176" fontId="53" fillId="0" borderId="27" applyNumberFormat="0" applyFill="0" applyAlignment="0" applyProtection="0">
      <alignment vertical="center"/>
    </xf>
    <xf numFmtId="176" fontId="41" fillId="52" borderId="0" applyNumberFormat="0" applyBorder="0" applyAlignment="0" applyProtection="0">
      <alignment vertical="center"/>
    </xf>
    <xf numFmtId="176" fontId="41" fillId="52" borderId="0" applyNumberFormat="0" applyBorder="0" applyAlignment="0" applyProtection="0">
      <alignment vertical="center"/>
    </xf>
    <xf numFmtId="176" fontId="41" fillId="53" borderId="0" applyNumberFormat="0" applyBorder="0" applyAlignment="0" applyProtection="0">
      <alignment vertical="center"/>
    </xf>
    <xf numFmtId="176" fontId="41" fillId="53" borderId="0" applyNumberFormat="0" applyBorder="0" applyAlignment="0" applyProtection="0">
      <alignment vertical="center"/>
    </xf>
    <xf numFmtId="176" fontId="41" fillId="54" borderId="0" applyNumberFormat="0" applyBorder="0" applyAlignment="0" applyProtection="0">
      <alignment vertical="center"/>
    </xf>
    <xf numFmtId="176" fontId="41" fillId="54" borderId="0" applyNumberFormat="0" applyBorder="0" applyAlignment="0" applyProtection="0">
      <alignment vertical="center"/>
    </xf>
    <xf numFmtId="176" fontId="41" fillId="49" borderId="0" applyNumberFormat="0" applyBorder="0" applyAlignment="0" applyProtection="0">
      <alignment vertical="center"/>
    </xf>
    <xf numFmtId="176" fontId="41" fillId="49" borderId="0" applyNumberFormat="0" applyBorder="0" applyAlignment="0" applyProtection="0">
      <alignment vertical="center"/>
    </xf>
    <xf numFmtId="176" fontId="41" fillId="50" borderId="0" applyNumberFormat="0" applyBorder="0" applyAlignment="0" applyProtection="0">
      <alignment vertical="center"/>
    </xf>
    <xf numFmtId="176" fontId="41" fillId="50" borderId="0" applyNumberFormat="0" applyBorder="0" applyAlignment="0" applyProtection="0">
      <alignment vertical="center"/>
    </xf>
    <xf numFmtId="176" fontId="41" fillId="55" borderId="0" applyNumberFormat="0" applyBorder="0" applyAlignment="0" applyProtection="0">
      <alignment vertical="center"/>
    </xf>
    <xf numFmtId="176" fontId="41" fillId="55" borderId="0" applyNumberFormat="0" applyBorder="0" applyAlignment="0" applyProtection="0">
      <alignment vertical="center"/>
    </xf>
    <xf numFmtId="176" fontId="54" fillId="44" borderId="20" applyNumberFormat="0" applyAlignment="0" applyProtection="0">
      <alignment vertical="center"/>
    </xf>
    <xf numFmtId="176" fontId="54" fillId="44" borderId="20" applyNumberFormat="0" applyAlignment="0" applyProtection="0">
      <alignment vertical="center"/>
    </xf>
    <xf numFmtId="176" fontId="0" fillId="56" borderId="28" applyNumberFormat="0" applyFont="0" applyAlignment="0" applyProtection="0">
      <alignment vertical="center"/>
    </xf>
    <xf numFmtId="176" fontId="0" fillId="56" borderId="28" applyNumberFormat="0" applyFont="0" applyAlignment="0" applyProtection="0">
      <alignment vertical="center"/>
    </xf>
  </cellStyleXfs>
  <cellXfs count="116">
    <xf numFmtId="176" fontId="0" fillId="0" borderId="0" xfId="0">
      <alignment vertical="center"/>
    </xf>
    <xf numFmtId="176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178" fontId="0" fillId="0" borderId="0" xfId="0" applyNumberFormat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vertical="center" wrapText="1"/>
    </xf>
    <xf numFmtId="0" fontId="0" fillId="2" borderId="0" xfId="0" applyNumberFormat="1" applyFont="1" applyFill="1" applyAlignment="1">
      <alignment vertical="center" wrapText="1"/>
    </xf>
    <xf numFmtId="0" fontId="0" fillId="2" borderId="0" xfId="0" applyNumberFormat="1" applyFont="1" applyFill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7" xfId="0" applyNumberFormat="1" applyFont="1" applyFill="1" applyBorder="1" applyAlignment="1">
      <alignment vertical="center" wrapText="1"/>
    </xf>
    <xf numFmtId="0" fontId="0" fillId="2" borderId="8" xfId="0" applyNumberFormat="1" applyFont="1" applyFill="1" applyBorder="1" applyAlignment="1">
      <alignment vertical="center" wrapText="1"/>
    </xf>
    <xf numFmtId="0" fontId="0" fillId="2" borderId="8" xfId="0" applyNumberFormat="1" applyFont="1" applyFill="1" applyBorder="1" applyAlignment="1">
      <alignment horizontal="center" vertical="center" wrapText="1"/>
    </xf>
    <xf numFmtId="176" fontId="0" fillId="3" borderId="1" xfId="0" applyFill="1" applyBorder="1">
      <alignment vertical="center"/>
    </xf>
    <xf numFmtId="176" fontId="0" fillId="3" borderId="1" xfId="0" applyFill="1" applyBorder="1" applyAlignment="1">
      <alignment horizontal="center" vertical="center"/>
    </xf>
    <xf numFmtId="0" fontId="2" fillId="2" borderId="0" xfId="0" applyNumberFormat="1" applyFont="1" applyFill="1" applyAlignment="1">
      <alignment vertical="center" wrapText="1"/>
    </xf>
    <xf numFmtId="0" fontId="0" fillId="3" borderId="1" xfId="0" applyNumberFormat="1" applyFont="1" applyFill="1" applyBorder="1" applyAlignment="1">
      <alignment vertical="center" wrapText="1"/>
    </xf>
    <xf numFmtId="0" fontId="0" fillId="3" borderId="7" xfId="0" applyNumberFormat="1" applyFont="1" applyFill="1" applyBorder="1" applyAlignment="1">
      <alignment vertical="center" wrapText="1"/>
    </xf>
    <xf numFmtId="58" fontId="1" fillId="0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vertical="center" wrapText="1"/>
    </xf>
    <xf numFmtId="176" fontId="0" fillId="0" borderId="1" xfId="0" applyBorder="1">
      <alignment vertical="center"/>
    </xf>
    <xf numFmtId="0" fontId="0" fillId="2" borderId="9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0" fillId="0" borderId="0" xfId="0" applyAlignment="1">
      <alignment vertical="center" wrapText="1"/>
    </xf>
    <xf numFmtId="176" fontId="4" fillId="0" borderId="0" xfId="109" applyFont="1" applyFill="1" applyAlignment="1">
      <alignment horizontal="center" vertical="center" wrapText="1"/>
    </xf>
    <xf numFmtId="176" fontId="3" fillId="0" borderId="1" xfId="109" applyFont="1" applyFill="1" applyBorder="1" applyAlignment="1">
      <alignment horizontal="center" vertical="center" wrapText="1"/>
    </xf>
    <xf numFmtId="3" fontId="0" fillId="0" borderId="1" xfId="109" applyNumberFormat="1" applyFont="1" applyFill="1" applyBorder="1" applyAlignment="1">
      <alignment horizontal="center" vertical="center" wrapText="1"/>
    </xf>
    <xf numFmtId="176" fontId="0" fillId="0" borderId="1" xfId="109" applyFont="1" applyFill="1" applyBorder="1" applyAlignment="1">
      <alignment horizontal="center" vertical="center" wrapText="1"/>
    </xf>
    <xf numFmtId="176" fontId="0" fillId="0" borderId="1" xfId="109" applyFont="1" applyFill="1" applyBorder="1" applyAlignment="1">
      <alignment horizontal="left" vertical="center" wrapText="1"/>
    </xf>
    <xf numFmtId="176" fontId="0" fillId="0" borderId="1" xfId="109" applyFont="1" applyFill="1" applyBorder="1" applyAlignment="1">
      <alignment horizontal="center" vertical="center"/>
    </xf>
    <xf numFmtId="4" fontId="0" fillId="0" borderId="1" xfId="109" applyNumberFormat="1" applyFont="1" applyFill="1" applyBorder="1" applyAlignment="1">
      <alignment horizontal="center" vertical="center" wrapText="1"/>
    </xf>
    <xf numFmtId="178" fontId="0" fillId="0" borderId="1" xfId="109" applyNumberFormat="1" applyFont="1" applyFill="1" applyBorder="1" applyAlignment="1">
      <alignment horizontal="center" vertical="center" wrapText="1"/>
    </xf>
    <xf numFmtId="3" fontId="0" fillId="0" borderId="10" xfId="109" applyNumberFormat="1" applyFont="1" applyFill="1" applyBorder="1" applyAlignment="1">
      <alignment horizontal="center" vertical="center" wrapText="1"/>
    </xf>
    <xf numFmtId="176" fontId="0" fillId="0" borderId="10" xfId="109" applyFont="1" applyFill="1" applyBorder="1" applyAlignment="1">
      <alignment horizontal="center" vertical="center" wrapText="1"/>
    </xf>
    <xf numFmtId="176" fontId="0" fillId="0" borderId="1" xfId="0" applyBorder="1" applyAlignment="1">
      <alignment vertical="center" wrapText="1"/>
    </xf>
    <xf numFmtId="176" fontId="0" fillId="0" borderId="1" xfId="0" applyBorder="1" applyAlignment="1">
      <alignment horizontal="center" vertical="center"/>
    </xf>
    <xf numFmtId="3" fontId="0" fillId="0" borderId="11" xfId="109" applyNumberFormat="1" applyFont="1" applyFill="1" applyBorder="1" applyAlignment="1">
      <alignment horizontal="center" vertical="center" wrapText="1"/>
    </xf>
    <xf numFmtId="176" fontId="0" fillId="0" borderId="11" xfId="109" applyFont="1" applyFill="1" applyBorder="1" applyAlignment="1">
      <alignment horizontal="center" vertical="center" wrapText="1"/>
    </xf>
    <xf numFmtId="3" fontId="0" fillId="0" borderId="6" xfId="109" applyNumberFormat="1" applyFont="1" applyFill="1" applyBorder="1" applyAlignment="1">
      <alignment horizontal="center" vertical="center" wrapText="1"/>
    </xf>
    <xf numFmtId="176" fontId="0" fillId="0" borderId="6" xfId="109" applyFont="1" applyFill="1" applyBorder="1" applyAlignment="1">
      <alignment horizontal="center" vertical="center" wrapText="1"/>
    </xf>
    <xf numFmtId="176" fontId="0" fillId="0" borderId="1" xfId="109" applyFont="1" applyFill="1" applyBorder="1" applyAlignment="1">
      <alignment vertical="center" wrapText="1"/>
    </xf>
    <xf numFmtId="176" fontId="5" fillId="0" borderId="0" xfId="0" applyFont="1" applyFill="1" applyBorder="1" applyAlignment="1">
      <alignment vertical="center"/>
    </xf>
    <xf numFmtId="176" fontId="5" fillId="0" borderId="0" xfId="0" applyFont="1" applyFill="1" applyBorder="1" applyAlignment="1">
      <alignment horizontal="center" vertical="center"/>
    </xf>
    <xf numFmtId="176" fontId="5" fillId="0" borderId="0" xfId="0" applyFont="1" applyFill="1" applyAlignment="1">
      <alignment horizontal="center" vertical="center"/>
    </xf>
    <xf numFmtId="176" fontId="0" fillId="0" borderId="0" xfId="0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vertical="center"/>
    </xf>
    <xf numFmtId="176" fontId="0" fillId="0" borderId="1" xfId="109" applyFont="1" applyFill="1" applyBorder="1" applyAlignment="1">
      <alignment vertical="center"/>
    </xf>
    <xf numFmtId="176" fontId="0" fillId="0" borderId="10" xfId="109" applyFont="1" applyFill="1" applyBorder="1" applyAlignment="1">
      <alignment horizontal="center" vertical="center"/>
    </xf>
    <xf numFmtId="178" fontId="0" fillId="0" borderId="1" xfId="109" applyNumberFormat="1" applyFont="1" applyFill="1" applyBorder="1" applyAlignment="1">
      <alignment vertical="center" wrapText="1"/>
    </xf>
    <xf numFmtId="176" fontId="6" fillId="0" borderId="1" xfId="109" applyFont="1" applyFill="1" applyBorder="1" applyAlignment="1">
      <alignment vertical="center"/>
    </xf>
    <xf numFmtId="176" fontId="6" fillId="0" borderId="1" xfId="109" applyFont="1" applyFill="1" applyBorder="1" applyAlignment="1">
      <alignment horizontal="center" vertical="center"/>
    </xf>
    <xf numFmtId="176" fontId="0" fillId="0" borderId="1" xfId="0" applyFont="1" applyFill="1" applyBorder="1" applyAlignment="1">
      <alignment horizontal="center" vertical="center" wrapText="1"/>
    </xf>
    <xf numFmtId="176" fontId="7" fillId="0" borderId="1" xfId="0" applyFont="1" applyFill="1" applyBorder="1" applyAlignment="1">
      <alignment horizontal="center" vertical="center" wrapText="1"/>
    </xf>
    <xf numFmtId="176" fontId="8" fillId="0" borderId="0" xfId="0" applyFont="1" applyFill="1" applyBorder="1" applyAlignment="1">
      <alignment horizontal="center" vertical="center"/>
    </xf>
    <xf numFmtId="176" fontId="8" fillId="0" borderId="0" xfId="0" applyFont="1" applyFill="1" applyBorder="1" applyAlignment="1">
      <alignment horizontal="left" vertical="center"/>
    </xf>
    <xf numFmtId="176" fontId="0" fillId="0" borderId="0" xfId="0" applyFont="1" applyFill="1" applyBorder="1" applyAlignment="1">
      <alignment horizontal="center" vertical="center"/>
    </xf>
    <xf numFmtId="176" fontId="0" fillId="0" borderId="0" xfId="109" applyFont="1" applyFill="1" applyAlignment="1">
      <alignment horizontal="center" vertical="center"/>
    </xf>
    <xf numFmtId="176" fontId="0" fillId="0" borderId="0" xfId="109" applyFont="1" applyFill="1">
      <alignment vertical="center"/>
    </xf>
    <xf numFmtId="178" fontId="5" fillId="0" borderId="0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Alignment="1">
      <alignment horizontal="center" vertical="center"/>
    </xf>
    <xf numFmtId="178" fontId="5" fillId="0" borderId="0" xfId="0" applyNumberFormat="1" applyFont="1" applyFill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>
      <alignment vertical="center"/>
    </xf>
    <xf numFmtId="176" fontId="9" fillId="0" borderId="0" xfId="0" applyFont="1" applyAlignment="1">
      <alignment horizontal="center" vertical="center"/>
    </xf>
    <xf numFmtId="176" fontId="10" fillId="0" borderId="0" xfId="0" applyFont="1" applyAlignment="1">
      <alignment horizontal="left" vertical="center" wrapText="1"/>
    </xf>
    <xf numFmtId="176" fontId="10" fillId="0" borderId="0" xfId="0" applyFont="1" applyBorder="1" applyAlignment="1">
      <alignment horizontal="left" vertical="center" wrapText="1"/>
    </xf>
    <xf numFmtId="176" fontId="11" fillId="0" borderId="1" xfId="0" applyFont="1" applyBorder="1" applyAlignment="1">
      <alignment horizontal="center" vertical="center" wrapText="1"/>
    </xf>
    <xf numFmtId="176" fontId="11" fillId="0" borderId="1" xfId="0" applyFont="1" applyBorder="1" applyAlignment="1">
      <alignment horizontal="center" vertical="top" wrapText="1"/>
    </xf>
    <xf numFmtId="176" fontId="12" fillId="0" borderId="1" xfId="0" applyFont="1" applyBorder="1" applyAlignment="1">
      <alignment horizontal="center" vertical="center" wrapText="1"/>
    </xf>
    <xf numFmtId="176" fontId="12" fillId="0" borderId="1" xfId="0" applyFont="1" applyBorder="1" applyAlignment="1">
      <alignment horizontal="justify" vertical="top" wrapText="1"/>
    </xf>
    <xf numFmtId="178" fontId="13" fillId="0" borderId="1" xfId="0" applyNumberFormat="1" applyFont="1" applyBorder="1" applyAlignment="1">
      <alignment horizontal="justify" vertical="top" wrapText="1"/>
    </xf>
    <xf numFmtId="179" fontId="13" fillId="0" borderId="1" xfId="0" applyNumberFormat="1" applyFont="1" applyBorder="1" applyAlignment="1">
      <alignment horizontal="center" vertical="top" wrapText="1"/>
    </xf>
    <xf numFmtId="176" fontId="13" fillId="0" borderId="1" xfId="0" applyFont="1" applyBorder="1" applyAlignment="1">
      <alignment horizontal="justify" vertical="top" wrapText="1"/>
    </xf>
    <xf numFmtId="180" fontId="13" fillId="0" borderId="1" xfId="0" applyNumberFormat="1" applyFont="1" applyBorder="1" applyAlignment="1">
      <alignment horizontal="justify" vertical="top" wrapText="1"/>
    </xf>
    <xf numFmtId="176" fontId="10" fillId="0" borderId="1" xfId="0" applyNumberFormat="1" applyFont="1" applyBorder="1" applyAlignment="1">
      <alignment horizontal="left" vertical="top" wrapText="1"/>
    </xf>
    <xf numFmtId="176" fontId="14" fillId="0" borderId="0" xfId="0" applyFont="1" applyAlignment="1">
      <alignment vertical="center" wrapText="1"/>
    </xf>
    <xf numFmtId="176" fontId="8" fillId="0" borderId="0" xfId="0" applyFont="1" applyAlignment="1">
      <alignment horizontal="left" vertical="center"/>
    </xf>
    <xf numFmtId="176" fontId="12" fillId="0" borderId="0" xfId="0" applyFont="1" applyAlignment="1">
      <alignment horizontal="justify" vertical="center"/>
    </xf>
    <xf numFmtId="176" fontId="12" fillId="0" borderId="0" xfId="0" applyFont="1" applyAlignment="1">
      <alignment horizontal="left" vertical="center" wrapText="1"/>
    </xf>
    <xf numFmtId="176" fontId="15" fillId="0" borderId="0" xfId="0" applyFont="1">
      <alignment vertical="center"/>
    </xf>
    <xf numFmtId="176" fontId="16" fillId="0" borderId="0" xfId="0" applyFont="1" applyFill="1" applyBorder="1" applyAlignment="1">
      <alignment vertical="center"/>
    </xf>
    <xf numFmtId="176" fontId="16" fillId="0" borderId="0" xfId="0" applyFont="1" applyFill="1" applyAlignment="1">
      <alignment vertical="center"/>
    </xf>
    <xf numFmtId="176" fontId="17" fillId="0" borderId="0" xfId="0" applyFont="1" applyFill="1" applyAlignment="1">
      <alignment vertical="center"/>
    </xf>
    <xf numFmtId="176" fontId="0" fillId="0" borderId="0" xfId="0" applyAlignment="1">
      <alignment horizontal="center" vertical="center" wrapText="1"/>
    </xf>
    <xf numFmtId="176" fontId="0" fillId="0" borderId="0" xfId="0" applyAlignment="1">
      <alignment horizontal="left" vertical="center" wrapText="1"/>
    </xf>
    <xf numFmtId="176" fontId="6" fillId="0" borderId="0" xfId="0" applyFont="1" applyAlignment="1">
      <alignment horizontal="center" vertical="center" wrapText="1"/>
    </xf>
    <xf numFmtId="176" fontId="6" fillId="0" borderId="0" xfId="0" applyFont="1" applyAlignment="1">
      <alignment vertical="center" wrapText="1"/>
    </xf>
    <xf numFmtId="176" fontId="6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 wrapText="1"/>
    </xf>
    <xf numFmtId="176" fontId="1" fillId="0" borderId="1" xfId="22" applyFont="1" applyFill="1" applyBorder="1" applyAlignment="1">
      <alignment vertical="center" wrapText="1"/>
    </xf>
    <xf numFmtId="176" fontId="1" fillId="0" borderId="1" xfId="22" applyFont="1" applyFill="1" applyBorder="1" applyAlignment="1">
      <alignment horizontal="center" vertical="center" wrapText="1"/>
    </xf>
    <xf numFmtId="176" fontId="15" fillId="0" borderId="0" xfId="0" applyFont="1" applyAlignment="1">
      <alignment vertical="center" wrapText="1"/>
    </xf>
    <xf numFmtId="176" fontId="18" fillId="0" borderId="0" xfId="0" applyFont="1" applyAlignment="1">
      <alignment vertical="center" wrapText="1"/>
    </xf>
    <xf numFmtId="176" fontId="18" fillId="0" borderId="0" xfId="0" applyFont="1" applyFill="1" applyBorder="1" applyAlignment="1">
      <alignment vertical="center" wrapText="1"/>
    </xf>
    <xf numFmtId="176" fontId="17" fillId="0" borderId="0" xfId="0" applyFont="1" applyFill="1" applyBorder="1" applyAlignment="1">
      <alignment vertical="center" wrapText="1"/>
    </xf>
    <xf numFmtId="176" fontId="18" fillId="0" borderId="0" xfId="0" applyFont="1" applyFill="1" applyAlignment="1">
      <alignment vertical="center" wrapText="1"/>
    </xf>
    <xf numFmtId="176" fontId="17" fillId="0" borderId="0" xfId="0" applyFont="1" applyFill="1" applyAlignment="1">
      <alignment vertical="center" wrapText="1"/>
    </xf>
    <xf numFmtId="181" fontId="1" fillId="0" borderId="1" xfId="22" applyNumberFormat="1" applyFont="1" applyFill="1" applyBorder="1" applyAlignment="1">
      <alignment horizontal="center" vertical="center" wrapText="1"/>
    </xf>
    <xf numFmtId="176" fontId="0" fillId="0" borderId="1" xfId="0" applyBorder="1" applyAlignment="1">
      <alignment horizontal="left" vertical="top" wrapText="1"/>
    </xf>
    <xf numFmtId="176" fontId="16" fillId="0" borderId="0" xfId="0" applyFont="1" applyFill="1" applyBorder="1" applyAlignment="1">
      <alignment vertical="center" wrapText="1"/>
    </xf>
    <xf numFmtId="176" fontId="16" fillId="0" borderId="0" xfId="0" applyFont="1" applyFill="1" applyAlignment="1">
      <alignment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</cellXfs>
  <cellStyles count="14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常规 5 2" xfId="55"/>
    <cellStyle name="60% - 强调文字颜色 2 2 2" xfId="56"/>
    <cellStyle name="40% - 强调文字颜色 4 2" xfId="57"/>
    <cellStyle name="40% - 强调文字颜色 1 2" xfId="58"/>
    <cellStyle name="40% - 强调文字颜色 2 2" xfId="59"/>
    <cellStyle name="输出 2" xfId="60"/>
    <cellStyle name="常规 3 2" xfId="61"/>
    <cellStyle name="20% - 强调文字颜色 4 2 2" xfId="62"/>
    <cellStyle name="适中 2" xfId="63"/>
    <cellStyle name="20% - 强调文字颜色 3 2" xfId="64"/>
    <cellStyle name="20% - 强调文字颜色 1 2 2" xfId="65"/>
    <cellStyle name="输出 2 2" xfId="66"/>
    <cellStyle name="20% - 强调文字颜色 2 2" xfId="67"/>
    <cellStyle name="常规 3" xfId="68"/>
    <cellStyle name="20% - 强调文字颜色 4 2" xfId="69"/>
    <cellStyle name="20% - 强调文字颜色 5 2" xfId="70"/>
    <cellStyle name="20% - 强调文字颜色 5 2 2" xfId="71"/>
    <cellStyle name="20% - 强调文字颜色 6 2" xfId="72"/>
    <cellStyle name="20% - 强调文字颜色 6 2 2" xfId="73"/>
    <cellStyle name="40% - 强调文字颜色 2 2 2" xfId="74"/>
    <cellStyle name="计算 2 2" xfId="75"/>
    <cellStyle name="40% - 强调文字颜色 3 2" xfId="76"/>
    <cellStyle name="40% - 强调文字颜色 3 2 2" xfId="77"/>
    <cellStyle name="检查单元格 2" xfId="78"/>
    <cellStyle name="40% - 强调文字颜色 4 2 2" xfId="79"/>
    <cellStyle name="40% - 强调文字颜色 5 2" xfId="80"/>
    <cellStyle name="40% - 强调文字颜色 5 2 2" xfId="81"/>
    <cellStyle name="适中 2 2" xfId="82"/>
    <cellStyle name="40% - 强调文字颜色 6 2" xfId="83"/>
    <cellStyle name="40% - 强调文字颜色 6 2 2" xfId="84"/>
    <cellStyle name="60% - 强调文字颜色 1 2" xfId="85"/>
    <cellStyle name="60% - 强调文字颜色 1 2 2" xfId="86"/>
    <cellStyle name="常规 5" xfId="87"/>
    <cellStyle name="60% - 强调文字颜色 2 2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10 2 2 2 2 2" xfId="109"/>
    <cellStyle name="常规 2" xfId="110"/>
    <cellStyle name="常规 2 2" xfId="111"/>
    <cellStyle name="常规 4" xfId="112"/>
    <cellStyle name="解释性文本 2" xfId="113"/>
    <cellStyle name="常规 54 2 2" xfId="114"/>
    <cellStyle name="好 2" xfId="115"/>
    <cellStyle name="好 2 2" xfId="116"/>
    <cellStyle name="汇总 2" xfId="117"/>
    <cellStyle name="汇总 2 2" xfId="118"/>
    <cellStyle name="检查单元格 2 2" xfId="119"/>
    <cellStyle name="警告文本 2" xfId="120"/>
    <cellStyle name="警告文本 2 2" xfId="121"/>
    <cellStyle name="链接单元格 2" xfId="122"/>
    <cellStyle name="链接单元格 2 2" xfId="123"/>
    <cellStyle name="强调文字颜色 1 2" xfId="124"/>
    <cellStyle name="强调文字颜色 1 2 2" xfId="125"/>
    <cellStyle name="强调文字颜色 2 2" xfId="126"/>
    <cellStyle name="强调文字颜色 2 2 2" xfId="127"/>
    <cellStyle name="强调文字颜色 3 2" xfId="128"/>
    <cellStyle name="强调文字颜色 3 2 2" xfId="129"/>
    <cellStyle name="强调文字颜色 4 2" xfId="130"/>
    <cellStyle name="强调文字颜色 4 2 2" xfId="131"/>
    <cellStyle name="强调文字颜色 5 2" xfId="132"/>
    <cellStyle name="强调文字颜色 5 2 2" xfId="133"/>
    <cellStyle name="强调文字颜色 6 2" xfId="134"/>
    <cellStyle name="强调文字颜色 6 2 2" xfId="135"/>
    <cellStyle name="输入 2" xfId="136"/>
    <cellStyle name="输入 2 2" xfId="137"/>
    <cellStyle name="注释 2" xfId="138"/>
    <cellStyle name="注释 2 2" xfId="13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bb\Downloads\&#26686;&#24029;&#23665;&#27700;&#25991;&#33489;&#24180;&#24230;&#38646;&#26143;&#24037;&#31243;&#21512;&#21516;2023&#24180;4-5&#26376;&#32467;&#3163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资料存档目录"/>
      <sheetName val="3工程结算汇总表"/>
      <sheetName val="4结算明细汇总表"/>
      <sheetName val="Sheet1"/>
    </sheetNames>
    <sheetDataSet>
      <sheetData sheetId="0"/>
      <sheetData sheetId="1"/>
      <sheetData sheetId="2"/>
      <sheetData sheetId="3">
        <row r="5">
          <cell r="I5">
            <v>295.16</v>
          </cell>
        </row>
        <row r="22">
          <cell r="M22">
            <v>447.782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J20" sqref="J20"/>
    </sheetView>
  </sheetViews>
  <sheetFormatPr defaultColWidth="9" defaultRowHeight="14.25"/>
  <cols>
    <col min="1" max="1" width="7.25" style="98" customWidth="1"/>
    <col min="2" max="2" width="45.25" style="37" customWidth="1"/>
    <col min="3" max="3" width="8.875" style="98" customWidth="1"/>
    <col min="4" max="4" width="9.625" style="98" customWidth="1"/>
    <col min="5" max="5" width="11" style="37" customWidth="1"/>
    <col min="6" max="6" width="6.5" style="99" customWidth="1"/>
    <col min="7" max="7" width="8.5" style="37" customWidth="1"/>
    <col min="8" max="12" width="9" style="37"/>
  </cols>
  <sheetData>
    <row r="1" ht="57.95" customHeight="1" spans="1:9">
      <c r="A1" s="100" t="s">
        <v>0</v>
      </c>
      <c r="B1" s="100"/>
      <c r="C1" s="100"/>
      <c r="D1" s="100"/>
      <c r="E1" s="100"/>
      <c r="F1" s="100"/>
      <c r="G1" s="101"/>
      <c r="H1" s="101"/>
      <c r="I1" s="101"/>
    </row>
    <row r="2" ht="30.75" customHeight="1" spans="1:6">
      <c r="A2" s="102" t="s">
        <v>1</v>
      </c>
      <c r="B2" s="102" t="s">
        <v>2</v>
      </c>
      <c r="C2" s="102" t="s">
        <v>3</v>
      </c>
      <c r="D2" s="102" t="s">
        <v>4</v>
      </c>
      <c r="E2" s="102" t="s">
        <v>5</v>
      </c>
      <c r="F2" s="102" t="s">
        <v>6</v>
      </c>
    </row>
    <row r="3" s="94" customFormat="1" ht="36" customHeight="1" spans="1:12">
      <c r="A3" s="103">
        <v>1</v>
      </c>
      <c r="B3" s="104" t="s">
        <v>7</v>
      </c>
      <c r="C3" s="105" t="s">
        <v>8</v>
      </c>
      <c r="D3" s="105" t="s">
        <v>9</v>
      </c>
      <c r="E3" s="104" t="s">
        <v>10</v>
      </c>
      <c r="F3" s="104"/>
      <c r="G3" s="106"/>
      <c r="H3" s="106"/>
      <c r="I3" s="106"/>
      <c r="J3" s="106"/>
      <c r="K3" s="106"/>
      <c r="L3" s="106"/>
    </row>
    <row r="4" s="94" customFormat="1" ht="27" customHeight="1" spans="1:12">
      <c r="A4" s="103">
        <v>2</v>
      </c>
      <c r="B4" s="104" t="s">
        <v>11</v>
      </c>
      <c r="C4" s="105" t="s">
        <v>8</v>
      </c>
      <c r="D4" s="105" t="s">
        <v>12</v>
      </c>
      <c r="E4" s="104" t="s">
        <v>10</v>
      </c>
      <c r="F4" s="104"/>
      <c r="G4" s="106"/>
      <c r="H4" s="106"/>
      <c r="I4" s="106"/>
      <c r="J4" s="106"/>
      <c r="K4" s="106"/>
      <c r="L4" s="106"/>
    </row>
    <row r="5" s="94" customFormat="1" ht="27" customHeight="1" spans="1:12">
      <c r="A5" s="103">
        <v>3</v>
      </c>
      <c r="B5" s="104" t="s">
        <v>13</v>
      </c>
      <c r="C5" s="105" t="s">
        <v>14</v>
      </c>
      <c r="D5" s="105" t="s">
        <v>15</v>
      </c>
      <c r="E5" s="104" t="s">
        <v>10</v>
      </c>
      <c r="F5" s="104"/>
      <c r="G5" s="106"/>
      <c r="H5" s="106"/>
      <c r="I5" s="106"/>
      <c r="J5" s="106"/>
      <c r="K5" s="106"/>
      <c r="L5" s="106"/>
    </row>
    <row r="6" s="94" customFormat="1" ht="27" customHeight="1" spans="1:12">
      <c r="A6" s="103">
        <v>4</v>
      </c>
      <c r="B6" s="104" t="s">
        <v>16</v>
      </c>
      <c r="C6" s="105" t="s">
        <v>8</v>
      </c>
      <c r="D6" s="105" t="s">
        <v>17</v>
      </c>
      <c r="E6" s="104" t="s">
        <v>10</v>
      </c>
      <c r="F6" s="104"/>
      <c r="G6" s="106"/>
      <c r="H6" s="106"/>
      <c r="I6" s="106"/>
      <c r="J6" s="106"/>
      <c r="K6" s="106"/>
      <c r="L6" s="106"/>
    </row>
    <row r="7" s="94" customFormat="1" ht="27" customHeight="1" spans="1:12">
      <c r="A7" s="103">
        <v>5</v>
      </c>
      <c r="B7" s="104" t="s">
        <v>18</v>
      </c>
      <c r="C7" s="105" t="s">
        <v>8</v>
      </c>
      <c r="D7" s="105" t="s">
        <v>19</v>
      </c>
      <c r="E7" s="104" t="s">
        <v>10</v>
      </c>
      <c r="F7" s="104"/>
      <c r="G7" s="106"/>
      <c r="H7" s="106"/>
      <c r="I7" s="106"/>
      <c r="J7" s="106"/>
      <c r="K7" s="106"/>
      <c r="L7" s="106"/>
    </row>
    <row r="8" s="94" customFormat="1" ht="27" customHeight="1" spans="1:12">
      <c r="A8" s="103">
        <v>6</v>
      </c>
      <c r="B8" s="104" t="s">
        <v>20</v>
      </c>
      <c r="C8" s="105" t="s">
        <v>8</v>
      </c>
      <c r="D8" s="105" t="s">
        <v>21</v>
      </c>
      <c r="E8" s="104" t="s">
        <v>10</v>
      </c>
      <c r="F8" s="104"/>
      <c r="G8" s="106"/>
      <c r="H8" s="106"/>
      <c r="I8" s="106"/>
      <c r="J8" s="106"/>
      <c r="K8" s="106"/>
      <c r="L8" s="106"/>
    </row>
    <row r="9" s="94" customFormat="1" ht="32.1" customHeight="1" spans="1:12">
      <c r="A9" s="103">
        <v>7</v>
      </c>
      <c r="B9" s="104" t="s">
        <v>22</v>
      </c>
      <c r="C9" s="105" t="s">
        <v>8</v>
      </c>
      <c r="D9" s="105" t="s">
        <v>23</v>
      </c>
      <c r="E9" s="104" t="s">
        <v>10</v>
      </c>
      <c r="F9" s="104"/>
      <c r="G9" s="107"/>
      <c r="H9" s="106"/>
      <c r="I9" s="106"/>
      <c r="J9" s="106"/>
      <c r="K9" s="106"/>
      <c r="L9" s="106"/>
    </row>
    <row r="10" s="94" customFormat="1" ht="32.1" customHeight="1" spans="1:12">
      <c r="A10" s="103">
        <v>8</v>
      </c>
      <c r="B10" s="104" t="s">
        <v>24</v>
      </c>
      <c r="C10" s="105" t="s">
        <v>8</v>
      </c>
      <c r="D10" s="105" t="s">
        <v>25</v>
      </c>
      <c r="E10" s="104" t="s">
        <v>10</v>
      </c>
      <c r="F10" s="104"/>
      <c r="G10" s="107"/>
      <c r="H10" s="106"/>
      <c r="I10" s="106"/>
      <c r="J10" s="106"/>
      <c r="K10" s="106"/>
      <c r="L10" s="106"/>
    </row>
    <row r="11" s="95" customFormat="1" ht="32.1" customHeight="1" spans="1:12">
      <c r="A11" s="103">
        <v>9</v>
      </c>
      <c r="B11" s="104" t="s">
        <v>26</v>
      </c>
      <c r="C11" s="105" t="s">
        <v>8</v>
      </c>
      <c r="D11" s="105" t="s">
        <v>27</v>
      </c>
      <c r="E11" s="104" t="s">
        <v>10</v>
      </c>
      <c r="F11" s="104"/>
      <c r="G11" s="108"/>
      <c r="H11" s="109"/>
      <c r="I11" s="114"/>
      <c r="J11" s="114"/>
      <c r="K11" s="114"/>
      <c r="L11" s="114"/>
    </row>
    <row r="12" s="96" customFormat="1" ht="32.1" customHeight="1" spans="1:12">
      <c r="A12" s="103">
        <v>10</v>
      </c>
      <c r="B12" s="104" t="s">
        <v>28</v>
      </c>
      <c r="C12" s="105" t="s">
        <v>8</v>
      </c>
      <c r="D12" s="105" t="s">
        <v>29</v>
      </c>
      <c r="E12" s="104" t="s">
        <v>10</v>
      </c>
      <c r="F12" s="104"/>
      <c r="G12" s="110"/>
      <c r="H12" s="111"/>
      <c r="I12" s="115"/>
      <c r="J12" s="115"/>
      <c r="K12" s="115"/>
      <c r="L12" s="115"/>
    </row>
    <row r="13" s="96" customFormat="1" ht="32.1" customHeight="1" spans="1:12">
      <c r="A13" s="103">
        <v>9</v>
      </c>
      <c r="B13" s="104" t="s">
        <v>30</v>
      </c>
      <c r="C13" s="105" t="s">
        <v>14</v>
      </c>
      <c r="D13" s="105" t="s">
        <v>31</v>
      </c>
      <c r="E13" s="104" t="s">
        <v>10</v>
      </c>
      <c r="F13" s="104"/>
      <c r="G13" s="110"/>
      <c r="H13" s="111"/>
      <c r="I13" s="115"/>
      <c r="J13" s="115"/>
      <c r="K13" s="115"/>
      <c r="L13" s="115"/>
    </row>
    <row r="14" s="96" customFormat="1" ht="32.1" customHeight="1" spans="1:12">
      <c r="A14" s="103">
        <v>10</v>
      </c>
      <c r="B14" s="104" t="s">
        <v>32</v>
      </c>
      <c r="C14" s="105" t="s">
        <v>33</v>
      </c>
      <c r="D14" s="105" t="s">
        <v>34</v>
      </c>
      <c r="E14" s="104" t="s">
        <v>10</v>
      </c>
      <c r="F14" s="104"/>
      <c r="G14" s="110"/>
      <c r="H14" s="111"/>
      <c r="I14" s="115"/>
      <c r="J14" s="115"/>
      <c r="K14" s="115"/>
      <c r="L14" s="115"/>
    </row>
    <row r="15" s="96" customFormat="1" ht="32.1" customHeight="1" spans="1:12">
      <c r="A15" s="103">
        <v>11</v>
      </c>
      <c r="B15" s="104" t="s">
        <v>35</v>
      </c>
      <c r="C15" s="105" t="s">
        <v>36</v>
      </c>
      <c r="D15" s="105" t="s">
        <v>37</v>
      </c>
      <c r="E15" s="104" t="s">
        <v>10</v>
      </c>
      <c r="F15" s="104"/>
      <c r="G15" s="110"/>
      <c r="H15" s="111"/>
      <c r="I15" s="115"/>
      <c r="J15" s="115"/>
      <c r="K15" s="115"/>
      <c r="L15" s="115"/>
    </row>
    <row r="16" s="97" customFormat="1" ht="33" customHeight="1" spans="1:12">
      <c r="A16" s="103">
        <v>12</v>
      </c>
      <c r="B16" s="104" t="s">
        <v>38</v>
      </c>
      <c r="C16" s="105" t="s">
        <v>39</v>
      </c>
      <c r="D16" s="105" t="s">
        <v>40</v>
      </c>
      <c r="E16" s="104" t="s">
        <v>10</v>
      </c>
      <c r="F16" s="104"/>
      <c r="G16" s="110"/>
      <c r="H16" s="111"/>
      <c r="I16" s="111"/>
      <c r="J16" s="111"/>
      <c r="K16" s="111"/>
      <c r="L16" s="111"/>
    </row>
    <row r="17" s="97" customFormat="1" ht="33" customHeight="1" spans="1:12">
      <c r="A17" s="103">
        <v>13</v>
      </c>
      <c r="B17" s="104" t="s">
        <v>41</v>
      </c>
      <c r="C17" s="105" t="s">
        <v>42</v>
      </c>
      <c r="D17" s="105" t="s">
        <v>43</v>
      </c>
      <c r="E17" s="104" t="s">
        <v>10</v>
      </c>
      <c r="F17" s="104"/>
      <c r="G17" s="110"/>
      <c r="H17" s="111"/>
      <c r="I17" s="111"/>
      <c r="J17" s="111"/>
      <c r="K17" s="111"/>
      <c r="L17" s="111"/>
    </row>
    <row r="18" s="97" customFormat="1" ht="33" customHeight="1" spans="1:12">
      <c r="A18" s="103">
        <v>14</v>
      </c>
      <c r="B18" s="104" t="s">
        <v>44</v>
      </c>
      <c r="C18" s="105" t="s">
        <v>8</v>
      </c>
      <c r="D18" s="105" t="s">
        <v>45</v>
      </c>
      <c r="E18" s="104" t="s">
        <v>10</v>
      </c>
      <c r="F18" s="104"/>
      <c r="G18" s="110"/>
      <c r="H18" s="111"/>
      <c r="I18" s="111"/>
      <c r="J18" s="111"/>
      <c r="K18" s="111"/>
      <c r="L18" s="111"/>
    </row>
    <row r="19" s="97" customFormat="1" ht="33" customHeight="1" spans="1:12">
      <c r="A19" s="103">
        <v>15</v>
      </c>
      <c r="B19" s="104" t="s">
        <v>46</v>
      </c>
      <c r="C19" s="105" t="s">
        <v>47</v>
      </c>
      <c r="D19" s="112">
        <v>1</v>
      </c>
      <c r="E19" s="104" t="s">
        <v>10</v>
      </c>
      <c r="F19" s="104"/>
      <c r="G19" s="110"/>
      <c r="H19" s="111"/>
      <c r="I19" s="111"/>
      <c r="J19" s="111"/>
      <c r="K19" s="111"/>
      <c r="L19" s="111"/>
    </row>
    <row r="20" s="94" customFormat="1" ht="32.1" customHeight="1" spans="1:12">
      <c r="A20" s="103">
        <v>16</v>
      </c>
      <c r="B20" s="104" t="s">
        <v>48</v>
      </c>
      <c r="C20" s="105" t="s">
        <v>47</v>
      </c>
      <c r="D20" s="112">
        <v>1</v>
      </c>
      <c r="E20" s="104" t="s">
        <v>10</v>
      </c>
      <c r="F20" s="104"/>
      <c r="G20" s="107"/>
      <c r="H20" s="106"/>
      <c r="I20" s="106"/>
      <c r="J20" s="106"/>
      <c r="K20" s="106"/>
      <c r="L20" s="106"/>
    </row>
    <row r="21" ht="33.95" customHeight="1" spans="1:6">
      <c r="A21" s="113" t="s">
        <v>49</v>
      </c>
      <c r="B21" s="113"/>
      <c r="C21" s="113" t="s">
        <v>50</v>
      </c>
      <c r="D21" s="113"/>
      <c r="E21" s="113"/>
      <c r="F21" s="113"/>
    </row>
    <row r="22" ht="26.1" customHeight="1" spans="1:6">
      <c r="A22" s="113"/>
      <c r="B22" s="113"/>
      <c r="C22" s="113"/>
      <c r="D22" s="113"/>
      <c r="E22" s="113"/>
      <c r="F22" s="113"/>
    </row>
    <row r="37" ht="43.5" customHeight="1"/>
  </sheetData>
  <mergeCells count="3">
    <mergeCell ref="A1:F1"/>
    <mergeCell ref="A21:B22"/>
    <mergeCell ref="C21:F22"/>
  </mergeCells>
  <pageMargins left="0.354330708661417" right="0.15748031496063" top="0.393700787401575" bottom="0.393700787401575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topLeftCell="A4" workbookViewId="0">
      <selection activeCell="H20" sqref="H20"/>
    </sheetView>
  </sheetViews>
  <sheetFormatPr defaultColWidth="9" defaultRowHeight="14.25" outlineLevelCol="7"/>
  <cols>
    <col min="3" max="3" width="3.25" customWidth="1"/>
    <col min="4" max="4" width="9.25" customWidth="1"/>
    <col min="5" max="5" width="12.5" customWidth="1"/>
    <col min="6" max="6" width="12.125" customWidth="1"/>
    <col min="7" max="7" width="15" customWidth="1"/>
    <col min="8" max="8" width="13.5" customWidth="1"/>
  </cols>
  <sheetData>
    <row r="1" ht="37.5" customHeight="1" spans="1:8">
      <c r="A1" s="78" t="s">
        <v>51</v>
      </c>
      <c r="B1" s="78"/>
      <c r="C1" s="78"/>
      <c r="D1" s="78"/>
      <c r="E1" s="78"/>
      <c r="F1" s="78"/>
      <c r="G1" s="78"/>
      <c r="H1" s="78"/>
    </row>
    <row r="2" ht="31.9" customHeight="1" spans="1:8">
      <c r="A2" s="79" t="s">
        <v>52</v>
      </c>
      <c r="B2" s="79"/>
      <c r="C2" s="79"/>
      <c r="D2" s="79"/>
      <c r="E2" s="79"/>
      <c r="F2" s="79"/>
      <c r="G2" s="79"/>
      <c r="H2" s="79"/>
    </row>
    <row r="3" ht="23.25" customHeight="1" spans="1:8">
      <c r="A3" s="79" t="s">
        <v>53</v>
      </c>
      <c r="B3" s="79"/>
      <c r="C3" s="79"/>
      <c r="D3" s="79"/>
      <c r="E3" s="79"/>
      <c r="F3" s="79"/>
      <c r="G3" s="79"/>
      <c r="H3" s="79"/>
    </row>
    <row r="4" ht="25.5" customHeight="1" spans="1:8">
      <c r="A4" s="79" t="s">
        <v>54</v>
      </c>
      <c r="B4" s="79"/>
      <c r="C4" s="79"/>
      <c r="D4" s="79"/>
      <c r="E4" s="79"/>
      <c r="F4" s="79"/>
      <c r="G4" s="79"/>
      <c r="H4" s="79"/>
    </row>
    <row r="5" ht="30" customHeight="1" spans="1:8">
      <c r="A5" s="80" t="s">
        <v>55</v>
      </c>
      <c r="B5" s="80"/>
      <c r="C5" s="80"/>
      <c r="D5" s="80"/>
      <c r="E5" s="80"/>
      <c r="F5" s="80"/>
      <c r="G5" s="80"/>
      <c r="H5" s="80"/>
    </row>
    <row r="6" ht="20.25" customHeight="1" spans="1:8">
      <c r="A6" s="81" t="s">
        <v>1</v>
      </c>
      <c r="B6" s="82" t="s">
        <v>56</v>
      </c>
      <c r="C6" s="82"/>
      <c r="D6" s="82"/>
      <c r="E6" s="82" t="s">
        <v>57</v>
      </c>
      <c r="F6" s="82" t="s">
        <v>58</v>
      </c>
      <c r="G6" s="82" t="s">
        <v>59</v>
      </c>
      <c r="H6" s="82" t="s">
        <v>60</v>
      </c>
    </row>
    <row r="7" ht="20.25" customHeight="1" spans="1:8">
      <c r="A7" s="83" t="s">
        <v>61</v>
      </c>
      <c r="B7" s="84" t="s">
        <v>62</v>
      </c>
      <c r="C7" s="84"/>
      <c r="D7" s="84"/>
      <c r="E7" s="85">
        <f>E8+E9+E10+E11</f>
        <v>0</v>
      </c>
      <c r="F7" s="85">
        <v>0</v>
      </c>
      <c r="G7" s="85">
        <f>G8+G9+G10+G11</f>
        <v>0</v>
      </c>
      <c r="H7" s="85">
        <f>H8+H102+H10</f>
        <v>162700</v>
      </c>
    </row>
    <row r="8" ht="20.25" customHeight="1" spans="1:8">
      <c r="A8" s="86">
        <v>1.1</v>
      </c>
      <c r="B8" s="87" t="s">
        <v>63</v>
      </c>
      <c r="C8" s="87"/>
      <c r="D8" s="87"/>
      <c r="E8" s="85">
        <v>0</v>
      </c>
      <c r="F8" s="85">
        <v>0</v>
      </c>
      <c r="G8" s="85">
        <v>0</v>
      </c>
      <c r="H8" s="85">
        <f>结算明细汇总!D5</f>
        <v>162700</v>
      </c>
    </row>
    <row r="9" ht="20.25" customHeight="1" spans="1:8">
      <c r="A9" s="86">
        <v>1.2</v>
      </c>
      <c r="B9" s="87" t="s">
        <v>64</v>
      </c>
      <c r="C9" s="87"/>
      <c r="D9" s="87"/>
      <c r="E9" s="85">
        <v>0</v>
      </c>
      <c r="F9" s="85">
        <v>0</v>
      </c>
      <c r="G9" s="85">
        <v>0</v>
      </c>
      <c r="H9" s="85">
        <v>0</v>
      </c>
    </row>
    <row r="10" ht="20.25" customHeight="1" spans="1:8">
      <c r="A10" s="86">
        <v>1.3</v>
      </c>
      <c r="B10" s="87" t="s">
        <v>65</v>
      </c>
      <c r="C10" s="87"/>
      <c r="D10" s="87"/>
      <c r="E10" s="85">
        <v>0</v>
      </c>
      <c r="F10" s="85">
        <v>0</v>
      </c>
      <c r="G10" s="85">
        <v>0</v>
      </c>
      <c r="H10" s="87"/>
    </row>
    <row r="11" ht="20.25" customHeight="1" spans="1:8">
      <c r="A11" s="86">
        <v>1.4</v>
      </c>
      <c r="B11" s="87" t="s">
        <v>66</v>
      </c>
      <c r="C11" s="87"/>
      <c r="D11" s="87"/>
      <c r="E11" s="85">
        <v>0</v>
      </c>
      <c r="F11" s="85">
        <v>0</v>
      </c>
      <c r="G11" s="85">
        <v>0</v>
      </c>
      <c r="H11" s="85"/>
    </row>
    <row r="12" ht="20.25" customHeight="1" spans="1:8">
      <c r="A12" s="86">
        <v>1.5</v>
      </c>
      <c r="B12" s="87" t="s">
        <v>67</v>
      </c>
      <c r="C12" s="87"/>
      <c r="D12" s="87"/>
      <c r="E12" s="87"/>
      <c r="F12" s="87"/>
      <c r="G12" s="87"/>
      <c r="H12" s="85"/>
    </row>
    <row r="13" ht="20.25" customHeight="1" spans="1:8">
      <c r="A13" s="83" t="s">
        <v>68</v>
      </c>
      <c r="B13" s="84" t="s">
        <v>69</v>
      </c>
      <c r="C13" s="84"/>
      <c r="D13" s="84"/>
      <c r="E13" s="85">
        <v>0</v>
      </c>
      <c r="F13" s="85"/>
      <c r="G13" s="85">
        <v>0</v>
      </c>
      <c r="H13" s="85">
        <v>0</v>
      </c>
    </row>
    <row r="14" ht="20.25" customHeight="1" spans="1:8">
      <c r="A14" s="86">
        <v>2.1</v>
      </c>
      <c r="B14" s="87" t="s">
        <v>70</v>
      </c>
      <c r="C14" s="87"/>
      <c r="D14" s="87"/>
      <c r="E14" s="85">
        <v>0</v>
      </c>
      <c r="F14" s="85"/>
      <c r="G14" s="85">
        <v>0</v>
      </c>
      <c r="H14" s="85">
        <v>0</v>
      </c>
    </row>
    <row r="15" ht="20.25" customHeight="1" spans="1:8">
      <c r="A15" s="86">
        <v>2.2</v>
      </c>
      <c r="B15" s="87" t="s">
        <v>70</v>
      </c>
      <c r="C15" s="87"/>
      <c r="D15" s="87"/>
      <c r="E15" s="85">
        <v>0</v>
      </c>
      <c r="F15" s="85"/>
      <c r="G15" s="85">
        <v>0</v>
      </c>
      <c r="H15" s="85">
        <v>0</v>
      </c>
    </row>
    <row r="16" ht="20.25" customHeight="1" spans="1:8">
      <c r="A16" s="83" t="s">
        <v>71</v>
      </c>
      <c r="B16" s="84" t="s">
        <v>72</v>
      </c>
      <c r="C16" s="84"/>
      <c r="D16" s="87" t="s">
        <v>73</v>
      </c>
      <c r="E16" s="88">
        <f>H7</f>
        <v>162700</v>
      </c>
      <c r="F16" s="88"/>
      <c r="G16" s="88"/>
      <c r="H16" s="88"/>
    </row>
    <row r="17" ht="20.25" customHeight="1" spans="1:8">
      <c r="A17" s="83"/>
      <c r="B17" s="84"/>
      <c r="C17" s="84"/>
      <c r="D17" s="87" t="s">
        <v>74</v>
      </c>
      <c r="E17" s="89">
        <f>E16</f>
        <v>162700</v>
      </c>
      <c r="F17" s="89"/>
      <c r="G17" s="89"/>
      <c r="H17" s="89"/>
    </row>
    <row r="18" ht="20.25" customHeight="1" spans="1:8">
      <c r="A18" s="83" t="s">
        <v>75</v>
      </c>
      <c r="B18" s="84" t="s">
        <v>76</v>
      </c>
      <c r="C18" s="84"/>
      <c r="D18" s="84"/>
      <c r="E18" s="85">
        <v>0</v>
      </c>
      <c r="F18" s="85"/>
      <c r="G18" s="85"/>
      <c r="H18" s="85"/>
    </row>
    <row r="19" ht="20.25" customHeight="1" spans="1:8">
      <c r="A19" s="86">
        <v>4.1</v>
      </c>
      <c r="B19" s="87" t="s">
        <v>77</v>
      </c>
      <c r="C19" s="87"/>
      <c r="D19" s="87"/>
      <c r="E19" s="85">
        <v>0</v>
      </c>
      <c r="F19" s="85"/>
      <c r="G19" s="85"/>
      <c r="H19" s="85"/>
    </row>
    <row r="20" ht="20.25" customHeight="1" spans="1:8">
      <c r="A20" s="86">
        <v>4.2</v>
      </c>
      <c r="B20" s="87" t="s">
        <v>78</v>
      </c>
      <c r="C20" s="87"/>
      <c r="D20" s="87"/>
      <c r="E20" s="85">
        <v>0</v>
      </c>
      <c r="F20" s="85"/>
      <c r="G20" s="85"/>
      <c r="H20" s="85"/>
    </row>
    <row r="21" ht="20.25" customHeight="1" spans="1:8">
      <c r="A21" s="83" t="s">
        <v>79</v>
      </c>
      <c r="B21" s="84" t="s">
        <v>80</v>
      </c>
      <c r="C21" s="84"/>
      <c r="D21" s="84"/>
      <c r="E21" s="85">
        <v>0</v>
      </c>
      <c r="F21" s="85"/>
      <c r="G21" s="85"/>
      <c r="H21" s="85"/>
    </row>
    <row r="22" ht="20.25" customHeight="1" spans="1:8">
      <c r="A22" s="86">
        <v>5.1</v>
      </c>
      <c r="B22" s="87" t="s">
        <v>81</v>
      </c>
      <c r="C22" s="87"/>
      <c r="D22" s="87"/>
      <c r="E22" s="87" t="s">
        <v>82</v>
      </c>
      <c r="F22" s="87"/>
      <c r="G22" s="87"/>
      <c r="H22" s="87"/>
    </row>
    <row r="23" ht="20.25" customHeight="1" spans="1:8">
      <c r="A23" s="86">
        <v>5.2</v>
      </c>
      <c r="B23" s="87" t="s">
        <v>83</v>
      </c>
      <c r="C23" s="87"/>
      <c r="D23" s="87"/>
      <c r="E23" s="87" t="s">
        <v>82</v>
      </c>
      <c r="F23" s="87"/>
      <c r="G23" s="87"/>
      <c r="H23" s="87"/>
    </row>
    <row r="24" ht="20.25" customHeight="1" spans="1:8">
      <c r="A24" s="83" t="s">
        <v>84</v>
      </c>
      <c r="B24" s="84" t="s">
        <v>85</v>
      </c>
      <c r="C24" s="87" t="s">
        <v>73</v>
      </c>
      <c r="D24" s="87"/>
      <c r="E24" s="88">
        <f>E16</f>
        <v>162700</v>
      </c>
      <c r="F24" s="88"/>
      <c r="G24" s="88"/>
      <c r="H24" s="88"/>
    </row>
    <row r="25" ht="20.25" customHeight="1" spans="1:8">
      <c r="A25" s="83"/>
      <c r="B25" s="84"/>
      <c r="C25" s="87" t="s">
        <v>74</v>
      </c>
      <c r="D25" s="87"/>
      <c r="E25" s="89">
        <f>E17</f>
        <v>162700</v>
      </c>
      <c r="F25" s="89"/>
      <c r="G25" s="89"/>
      <c r="H25" s="89"/>
    </row>
    <row r="26" ht="20.25" customHeight="1" spans="1:8">
      <c r="A26" s="83" t="s">
        <v>86</v>
      </c>
      <c r="B26" s="84" t="s">
        <v>87</v>
      </c>
      <c r="C26" s="87" t="s">
        <v>73</v>
      </c>
      <c r="D26" s="87"/>
      <c r="E26" s="88">
        <f>E24</f>
        <v>162700</v>
      </c>
      <c r="F26" s="88"/>
      <c r="G26" s="88"/>
      <c r="H26" s="88"/>
    </row>
    <row r="27" ht="20.25" customHeight="1" spans="1:8">
      <c r="A27" s="83"/>
      <c r="B27" s="84"/>
      <c r="C27" s="87" t="s">
        <v>74</v>
      </c>
      <c r="D27" s="87"/>
      <c r="E27" s="89">
        <f>E17</f>
        <v>162700</v>
      </c>
      <c r="F27" s="89"/>
      <c r="G27" s="89"/>
      <c r="H27" s="89"/>
    </row>
    <row r="28" spans="1:8">
      <c r="A28" s="90"/>
      <c r="B28" s="90"/>
      <c r="C28" s="90"/>
      <c r="D28" s="90"/>
      <c r="E28" s="90"/>
      <c r="F28" s="90"/>
      <c r="G28" s="90"/>
      <c r="H28" s="90"/>
    </row>
    <row r="29" spans="1:8">
      <c r="A29" s="91" t="s">
        <v>88</v>
      </c>
      <c r="B29" s="91"/>
      <c r="C29" s="91"/>
      <c r="D29" s="91"/>
      <c r="E29" s="91"/>
      <c r="F29" s="91"/>
      <c r="G29" s="91"/>
      <c r="H29" s="91"/>
    </row>
    <row r="30" spans="1:1">
      <c r="A30" s="92"/>
    </row>
    <row r="31" spans="1:1">
      <c r="A31" s="92"/>
    </row>
    <row r="32" spans="1:8">
      <c r="A32" s="91" t="s">
        <v>89</v>
      </c>
      <c r="B32" s="91"/>
      <c r="C32" s="91"/>
      <c r="D32" s="91"/>
      <c r="E32" s="91"/>
      <c r="F32" s="91"/>
      <c r="G32" s="91"/>
      <c r="H32" s="91"/>
    </row>
    <row r="33" spans="1:1">
      <c r="A33" s="92"/>
    </row>
    <row r="34" ht="27" customHeight="1" spans="1:8">
      <c r="A34" s="93"/>
      <c r="B34" s="93"/>
      <c r="C34" s="93"/>
      <c r="D34" s="93"/>
      <c r="E34" s="93"/>
      <c r="F34" s="93"/>
      <c r="G34" s="93"/>
      <c r="H34" s="93"/>
    </row>
  </sheetData>
  <mergeCells count="42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E16:H16"/>
    <mergeCell ref="E17:H17"/>
    <mergeCell ref="B18:D18"/>
    <mergeCell ref="B19:D19"/>
    <mergeCell ref="B20:D20"/>
    <mergeCell ref="B21:D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G2" sqref="G2"/>
    </sheetView>
  </sheetViews>
  <sheetFormatPr defaultColWidth="9" defaultRowHeight="14.25" outlineLevelRow="4" outlineLevelCol="4"/>
  <cols>
    <col min="2" max="2" width="23.5" customWidth="1"/>
    <col min="4" max="4" width="20.375" customWidth="1"/>
    <col min="5" max="5" width="18.25" customWidth="1"/>
  </cols>
  <sheetData>
    <row r="1" ht="54" customHeight="1" spans="1:5">
      <c r="A1" s="38" t="s">
        <v>90</v>
      </c>
      <c r="B1" s="38"/>
      <c r="C1" s="38"/>
      <c r="D1" s="38"/>
      <c r="E1" s="38"/>
    </row>
    <row r="2" ht="42" customHeight="1" spans="1:5">
      <c r="A2" s="43" t="s">
        <v>1</v>
      </c>
      <c r="B2" s="43" t="s">
        <v>56</v>
      </c>
      <c r="C2" s="43" t="s">
        <v>91</v>
      </c>
      <c r="D2" s="41" t="s">
        <v>92</v>
      </c>
      <c r="E2" s="43" t="s">
        <v>6</v>
      </c>
    </row>
    <row r="3" ht="37" customHeight="1" spans="1:5">
      <c r="A3" s="76">
        <v>1</v>
      </c>
      <c r="B3" s="31" t="s">
        <v>93</v>
      </c>
      <c r="C3" s="49" t="s">
        <v>94</v>
      </c>
      <c r="D3" s="77">
        <f>'4-5月份结算明细汇'!G24</f>
        <v>87400</v>
      </c>
      <c r="E3" s="48" t="s">
        <v>95</v>
      </c>
    </row>
    <row r="4" ht="37" customHeight="1" spans="1:5">
      <c r="A4" s="76">
        <v>2</v>
      </c>
      <c r="B4" s="31" t="s">
        <v>96</v>
      </c>
      <c r="C4" s="49" t="s">
        <v>94</v>
      </c>
      <c r="D4" s="77">
        <f>截至8月份结算!G13</f>
        <v>75300</v>
      </c>
      <c r="E4" s="31" t="s">
        <v>97</v>
      </c>
    </row>
    <row r="5" ht="37" customHeight="1" spans="1:5">
      <c r="A5" s="76">
        <v>3</v>
      </c>
      <c r="B5" s="31"/>
      <c r="C5" s="49"/>
      <c r="D5" s="77">
        <f>SUM(D3:D4)</f>
        <v>162700</v>
      </c>
      <c r="E5" s="31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"/>
  <sheetViews>
    <sheetView workbookViewId="0">
      <selection activeCell="A26" sqref="A26:H26"/>
    </sheetView>
  </sheetViews>
  <sheetFormatPr defaultColWidth="9" defaultRowHeight="14.25"/>
  <cols>
    <col min="1" max="1" width="5" style="56" customWidth="1"/>
    <col min="2" max="2" width="15.5" style="56" customWidth="1"/>
    <col min="3" max="3" width="21.625" style="56" customWidth="1"/>
    <col min="4" max="4" width="8.125" style="56" customWidth="1"/>
    <col min="5" max="5" width="12.5" style="55" customWidth="1"/>
    <col min="6" max="6" width="15.375" style="56" customWidth="1"/>
    <col min="7" max="7" width="16.875" style="55" customWidth="1"/>
    <col min="8" max="8" width="28.75" style="56" customWidth="1"/>
    <col min="9" max="9" width="9.375" style="55"/>
    <col min="10" max="10" width="9" style="55"/>
    <col min="11" max="11" width="27.125" style="55"/>
    <col min="12" max="12" width="12.5" style="59" customWidth="1"/>
    <col min="13" max="13" width="12.625" style="55"/>
    <col min="14" max="14" width="12.625" style="59"/>
    <col min="15" max="16384" width="9" style="55"/>
  </cols>
  <sheetData>
    <row r="1" s="55" customFormat="1" ht="32.25" customHeight="1" spans="1:14">
      <c r="A1" s="38" t="s">
        <v>98</v>
      </c>
      <c r="B1" s="38"/>
      <c r="C1" s="38"/>
      <c r="D1" s="38"/>
      <c r="E1" s="38"/>
      <c r="F1" s="38"/>
      <c r="G1" s="38"/>
      <c r="H1" s="38"/>
      <c r="L1" s="59"/>
      <c r="N1" s="59"/>
    </row>
    <row r="2" s="56" customFormat="1" ht="42" customHeight="1" spans="1:14">
      <c r="A2" s="43" t="s">
        <v>1</v>
      </c>
      <c r="B2" s="43" t="s">
        <v>56</v>
      </c>
      <c r="C2" s="43" t="s">
        <v>99</v>
      </c>
      <c r="D2" s="43" t="s">
        <v>91</v>
      </c>
      <c r="E2" s="43" t="s">
        <v>100</v>
      </c>
      <c r="F2" s="60" t="s">
        <v>101</v>
      </c>
      <c r="G2" s="41" t="s">
        <v>92</v>
      </c>
      <c r="H2" s="43" t="s">
        <v>6</v>
      </c>
      <c r="L2" s="72"/>
      <c r="N2" s="72"/>
    </row>
    <row r="3" s="57" customFormat="1" ht="42" customHeight="1" spans="1:14">
      <c r="A3" s="40">
        <v>1</v>
      </c>
      <c r="B3" s="61" t="s">
        <v>102</v>
      </c>
      <c r="C3" s="42" t="s">
        <v>103</v>
      </c>
      <c r="D3" s="43" t="s">
        <v>104</v>
      </c>
      <c r="E3" s="44">
        <v>99.6</v>
      </c>
      <c r="F3" s="44">
        <v>150</v>
      </c>
      <c r="G3" s="45">
        <f t="shared" ref="G3:G22" si="0">F3*E3</f>
        <v>14940</v>
      </c>
      <c r="H3" s="41" t="s">
        <v>63</v>
      </c>
      <c r="I3" s="56"/>
      <c r="J3" s="56"/>
      <c r="K3" s="56"/>
      <c r="L3" s="72"/>
      <c r="M3" s="56"/>
      <c r="N3" s="72"/>
    </row>
    <row r="4" s="57" customFormat="1" ht="42" customHeight="1" spans="1:14">
      <c r="A4" s="40"/>
      <c r="B4" s="61"/>
      <c r="C4" s="42" t="s">
        <v>105</v>
      </c>
      <c r="D4" s="43" t="s">
        <v>106</v>
      </c>
      <c r="E4" s="44">
        <v>113.48</v>
      </c>
      <c r="F4" s="44">
        <v>11</v>
      </c>
      <c r="G4" s="45">
        <f t="shared" si="0"/>
        <v>1248.28</v>
      </c>
      <c r="H4" s="41" t="s">
        <v>107</v>
      </c>
      <c r="L4" s="72"/>
      <c r="N4" s="73"/>
    </row>
    <row r="5" s="57" customFormat="1" ht="42" customHeight="1" spans="1:14">
      <c r="A5" s="40"/>
      <c r="B5" s="61"/>
      <c r="C5" s="42" t="s">
        <v>108</v>
      </c>
      <c r="D5" s="43" t="s">
        <v>104</v>
      </c>
      <c r="E5" s="44">
        <v>32.2</v>
      </c>
      <c r="F5" s="44">
        <v>150</v>
      </c>
      <c r="G5" s="45">
        <f t="shared" si="0"/>
        <v>4830</v>
      </c>
      <c r="H5" s="41" t="s">
        <v>109</v>
      </c>
      <c r="L5" s="72"/>
      <c r="N5" s="73"/>
    </row>
    <row r="6" s="57" customFormat="1" ht="42" customHeight="1" spans="1:14">
      <c r="A6" s="40"/>
      <c r="B6" s="61"/>
      <c r="C6" s="42" t="s">
        <v>110</v>
      </c>
      <c r="D6" s="43" t="s">
        <v>104</v>
      </c>
      <c r="E6" s="44">
        <v>32.2</v>
      </c>
      <c r="F6" s="44">
        <v>80</v>
      </c>
      <c r="G6" s="45">
        <f t="shared" si="0"/>
        <v>2576</v>
      </c>
      <c r="H6" s="41" t="s">
        <v>111</v>
      </c>
      <c r="L6" s="72"/>
      <c r="N6" s="73"/>
    </row>
    <row r="7" s="57" customFormat="1" ht="42" customHeight="1" spans="1:14">
      <c r="A7" s="40"/>
      <c r="B7" s="61"/>
      <c r="C7" s="42" t="s">
        <v>112</v>
      </c>
      <c r="D7" s="43" t="s">
        <v>113</v>
      </c>
      <c r="E7" s="44">
        <v>25</v>
      </c>
      <c r="F7" s="44">
        <v>300</v>
      </c>
      <c r="G7" s="45">
        <f t="shared" si="0"/>
        <v>7500</v>
      </c>
      <c r="H7" s="41" t="s">
        <v>114</v>
      </c>
      <c r="L7" s="72"/>
      <c r="N7" s="73"/>
    </row>
    <row r="8" s="57" customFormat="1" ht="42" customHeight="1" spans="1:14">
      <c r="A8" s="40"/>
      <c r="B8" s="61"/>
      <c r="C8" s="42" t="s">
        <v>115</v>
      </c>
      <c r="D8" s="43" t="s">
        <v>116</v>
      </c>
      <c r="E8" s="44">
        <v>22</v>
      </c>
      <c r="F8" s="44">
        <v>20</v>
      </c>
      <c r="G8" s="45">
        <f t="shared" si="0"/>
        <v>440</v>
      </c>
      <c r="H8" s="41" t="s">
        <v>114</v>
      </c>
      <c r="L8" s="72"/>
      <c r="N8" s="73"/>
    </row>
    <row r="9" customFormat="1" ht="41.1" customHeight="1" spans="1:14">
      <c r="A9" s="40">
        <v>2</v>
      </c>
      <c r="B9" s="61" t="s">
        <v>117</v>
      </c>
      <c r="C9" s="54" t="s">
        <v>118</v>
      </c>
      <c r="D9" s="41" t="s">
        <v>119</v>
      </c>
      <c r="E9" s="62">
        <v>1</v>
      </c>
      <c r="F9" s="44">
        <v>3000</v>
      </c>
      <c r="G9" s="45">
        <f t="shared" si="0"/>
        <v>3000</v>
      </c>
      <c r="H9" s="41" t="s">
        <v>120</v>
      </c>
      <c r="L9" s="59"/>
      <c r="N9" s="74"/>
    </row>
    <row r="10" customFormat="1" ht="47" customHeight="1" spans="1:14">
      <c r="A10" s="40">
        <v>3</v>
      </c>
      <c r="B10" s="61" t="s">
        <v>121</v>
      </c>
      <c r="C10" s="54" t="s">
        <v>122</v>
      </c>
      <c r="D10" s="41" t="s">
        <v>123</v>
      </c>
      <c r="E10" s="62">
        <v>1</v>
      </c>
      <c r="F10" s="44">
        <v>500</v>
      </c>
      <c r="G10" s="45">
        <f t="shared" si="0"/>
        <v>500</v>
      </c>
      <c r="H10" s="41" t="s">
        <v>120</v>
      </c>
      <c r="L10" s="59"/>
      <c r="N10" s="74"/>
    </row>
    <row r="11" customFormat="1" ht="41.1" customHeight="1" spans="1:14">
      <c r="A11" s="40">
        <v>4</v>
      </c>
      <c r="B11" s="61" t="s">
        <v>124</v>
      </c>
      <c r="C11" s="54" t="s">
        <v>125</v>
      </c>
      <c r="D11" s="31" t="s">
        <v>126</v>
      </c>
      <c r="E11" s="62">
        <v>26</v>
      </c>
      <c r="F11" s="44">
        <v>25</v>
      </c>
      <c r="G11" s="45">
        <f t="shared" si="0"/>
        <v>650</v>
      </c>
      <c r="H11" s="43"/>
      <c r="L11" s="59"/>
      <c r="N11" s="74"/>
    </row>
    <row r="12" customFormat="1" ht="41.1" customHeight="1" spans="1:14">
      <c r="A12" s="46"/>
      <c r="B12" s="61"/>
      <c r="C12" s="54" t="s">
        <v>127</v>
      </c>
      <c r="D12" s="41" t="s">
        <v>128</v>
      </c>
      <c r="E12" s="44">
        <v>1</v>
      </c>
      <c r="F12" s="44">
        <v>180</v>
      </c>
      <c r="G12" s="44">
        <f t="shared" si="0"/>
        <v>180</v>
      </c>
      <c r="H12" s="43"/>
      <c r="L12" s="59"/>
      <c r="N12" s="74"/>
    </row>
    <row r="13" customFormat="1" ht="41.1" customHeight="1" spans="1:14">
      <c r="A13" s="46"/>
      <c r="B13" s="61"/>
      <c r="C13" s="54" t="s">
        <v>129</v>
      </c>
      <c r="D13" s="41" t="s">
        <v>128</v>
      </c>
      <c r="E13" s="44">
        <v>1</v>
      </c>
      <c r="F13" s="44">
        <v>100</v>
      </c>
      <c r="G13" s="44">
        <f t="shared" si="0"/>
        <v>100</v>
      </c>
      <c r="H13" s="43"/>
      <c r="L13" s="59"/>
      <c r="N13" s="74"/>
    </row>
    <row r="14" customFormat="1" ht="41.1" customHeight="1" spans="1:14">
      <c r="A14" s="40">
        <v>5</v>
      </c>
      <c r="B14" s="43" t="s">
        <v>130</v>
      </c>
      <c r="C14" s="54" t="s">
        <v>131</v>
      </c>
      <c r="D14" s="41" t="s">
        <v>126</v>
      </c>
      <c r="E14" s="44">
        <v>6</v>
      </c>
      <c r="F14" s="44">
        <v>20</v>
      </c>
      <c r="G14" s="44">
        <f t="shared" si="0"/>
        <v>120</v>
      </c>
      <c r="H14" s="43"/>
      <c r="L14" s="59"/>
      <c r="N14" s="74"/>
    </row>
    <row r="15" customFormat="1" ht="41.1" customHeight="1" spans="1:14">
      <c r="A15" s="40"/>
      <c r="B15" s="60"/>
      <c r="C15" s="54" t="s">
        <v>132</v>
      </c>
      <c r="D15" s="41" t="s">
        <v>104</v>
      </c>
      <c r="E15" s="44">
        <f>(0.5+0.5+0.5)*0.18</f>
        <v>0.27</v>
      </c>
      <c r="F15" s="44">
        <v>120</v>
      </c>
      <c r="G15" s="44">
        <f t="shared" si="0"/>
        <v>32.4</v>
      </c>
      <c r="H15" s="41"/>
      <c r="L15" s="59"/>
      <c r="N15" s="74"/>
    </row>
    <row r="16" customFormat="1" ht="41.1" customHeight="1" spans="1:14">
      <c r="A16" s="40">
        <v>6</v>
      </c>
      <c r="B16" s="43" t="s">
        <v>133</v>
      </c>
      <c r="C16" s="54" t="s">
        <v>134</v>
      </c>
      <c r="D16" s="41" t="s">
        <v>135</v>
      </c>
      <c r="E16" s="44">
        <v>1</v>
      </c>
      <c r="F16" s="44">
        <v>7548</v>
      </c>
      <c r="G16" s="44">
        <f t="shared" si="0"/>
        <v>7548</v>
      </c>
      <c r="H16" s="41" t="s">
        <v>114</v>
      </c>
      <c r="L16" s="59"/>
      <c r="N16" s="74"/>
    </row>
    <row r="17" customFormat="1" ht="41.1" customHeight="1" spans="1:14">
      <c r="A17" s="40">
        <v>7</v>
      </c>
      <c r="B17" s="43" t="s">
        <v>136</v>
      </c>
      <c r="C17" s="54" t="s">
        <v>137</v>
      </c>
      <c r="D17" s="41" t="s">
        <v>135</v>
      </c>
      <c r="E17" s="44">
        <v>1</v>
      </c>
      <c r="F17" s="44">
        <v>4140</v>
      </c>
      <c r="G17" s="44">
        <f t="shared" si="0"/>
        <v>4140</v>
      </c>
      <c r="H17" s="41" t="s">
        <v>114</v>
      </c>
      <c r="L17" s="59"/>
      <c r="N17" s="74"/>
    </row>
    <row r="18" customFormat="1" ht="41.1" customHeight="1" spans="1:14">
      <c r="A18" s="40">
        <v>8</v>
      </c>
      <c r="B18" s="43" t="s">
        <v>138</v>
      </c>
      <c r="C18" s="54" t="s">
        <v>139</v>
      </c>
      <c r="D18" s="41" t="s">
        <v>140</v>
      </c>
      <c r="E18" s="44">
        <f>[1]Sheet1!I5/1000</f>
        <v>0.3</v>
      </c>
      <c r="F18" s="44">
        <f>4486*1.3</f>
        <v>5831.8</v>
      </c>
      <c r="G18" s="44">
        <f t="shared" si="0"/>
        <v>1749.54</v>
      </c>
      <c r="H18" s="41" t="s">
        <v>141</v>
      </c>
      <c r="L18" s="59"/>
      <c r="N18" s="74"/>
    </row>
    <row r="19" customFormat="1" ht="41.1" customHeight="1" spans="1:14">
      <c r="A19" s="40"/>
      <c r="B19" s="60"/>
      <c r="C19" s="54" t="s">
        <v>142</v>
      </c>
      <c r="D19" s="41" t="s">
        <v>104</v>
      </c>
      <c r="E19" s="44">
        <f>2*0.28*7</f>
        <v>3.92</v>
      </c>
      <c r="F19" s="44">
        <v>23.77</v>
      </c>
      <c r="G19" s="44">
        <f t="shared" si="0"/>
        <v>93.18</v>
      </c>
      <c r="H19" s="41" t="s">
        <v>143</v>
      </c>
      <c r="L19" s="59"/>
      <c r="N19" s="74"/>
    </row>
    <row r="20" customFormat="1" ht="41.1" customHeight="1" spans="1:14">
      <c r="A20" s="40">
        <v>8</v>
      </c>
      <c r="B20" s="43" t="s">
        <v>144</v>
      </c>
      <c r="C20" s="54" t="s">
        <v>145</v>
      </c>
      <c r="D20" s="41" t="s">
        <v>135</v>
      </c>
      <c r="E20" s="62">
        <v>1</v>
      </c>
      <c r="F20" s="44">
        <f>5000*1.09</f>
        <v>5450</v>
      </c>
      <c r="G20" s="45">
        <f t="shared" si="0"/>
        <v>5450</v>
      </c>
      <c r="H20" s="43" t="s">
        <v>114</v>
      </c>
      <c r="L20" s="59"/>
      <c r="N20" s="74"/>
    </row>
    <row r="21" customFormat="1" ht="41.1" customHeight="1" spans="1:14">
      <c r="A21" s="40"/>
      <c r="B21" s="60"/>
      <c r="C21" s="54" t="s">
        <v>146</v>
      </c>
      <c r="D21" s="41" t="s">
        <v>147</v>
      </c>
      <c r="E21" s="62">
        <v>2</v>
      </c>
      <c r="F21" s="44">
        <f>1135+695</f>
        <v>1830</v>
      </c>
      <c r="G21" s="45">
        <f t="shared" si="0"/>
        <v>3660</v>
      </c>
      <c r="H21" s="41" t="s">
        <v>148</v>
      </c>
      <c r="L21" s="59"/>
      <c r="N21" s="74"/>
    </row>
    <row r="22" customFormat="1" ht="32.1" customHeight="1" spans="1:14">
      <c r="A22" s="40">
        <v>9</v>
      </c>
      <c r="B22" s="43" t="s">
        <v>149</v>
      </c>
      <c r="C22" s="54" t="s">
        <v>150</v>
      </c>
      <c r="D22" s="41" t="s">
        <v>126</v>
      </c>
      <c r="E22" s="44">
        <f>[1]Sheet1!M22</f>
        <v>447.78</v>
      </c>
      <c r="F22" s="44">
        <v>64</v>
      </c>
      <c r="G22" s="45">
        <f t="shared" si="0"/>
        <v>28657.92</v>
      </c>
      <c r="H22" s="43" t="s">
        <v>151</v>
      </c>
      <c r="L22" s="59"/>
      <c r="N22" s="74"/>
    </row>
    <row r="23" customFormat="1" ht="30" customHeight="1" spans="1:14">
      <c r="A23" s="40">
        <v>10</v>
      </c>
      <c r="B23" s="63" t="s">
        <v>152</v>
      </c>
      <c r="C23" s="63"/>
      <c r="D23" s="64"/>
      <c r="E23" s="44"/>
      <c r="F23" s="44"/>
      <c r="G23" s="44">
        <f>SUM(G3:G22)</f>
        <v>87415.32</v>
      </c>
      <c r="H23" s="43"/>
      <c r="L23" s="59"/>
      <c r="N23" s="3"/>
    </row>
    <row r="24" s="58" customFormat="1" ht="27" customHeight="1" spans="1:14">
      <c r="A24" s="40">
        <v>11</v>
      </c>
      <c r="B24" s="65" t="s">
        <v>153</v>
      </c>
      <c r="C24" s="66"/>
      <c r="D24" s="66"/>
      <c r="E24" s="44"/>
      <c r="F24" s="44"/>
      <c r="G24" s="44">
        <v>87400</v>
      </c>
      <c r="H24" s="66"/>
      <c r="L24" s="75"/>
      <c r="N24" s="75"/>
    </row>
    <row r="25" s="58" customFormat="1" ht="21" customHeight="1" spans="1:14">
      <c r="A25" s="67" t="s">
        <v>88</v>
      </c>
      <c r="B25" s="67"/>
      <c r="C25" s="67"/>
      <c r="D25" s="67"/>
      <c r="E25" s="68"/>
      <c r="F25" s="67"/>
      <c r="G25" s="68"/>
      <c r="H25" s="67"/>
      <c r="L25" s="75"/>
      <c r="N25" s="75"/>
    </row>
    <row r="26" s="58" customFormat="1" ht="23.1" customHeight="1" spans="1:14">
      <c r="A26" s="67" t="s">
        <v>89</v>
      </c>
      <c r="B26" s="67"/>
      <c r="C26" s="67"/>
      <c r="D26" s="67"/>
      <c r="E26" s="68"/>
      <c r="F26" s="67"/>
      <c r="G26" s="68"/>
      <c r="H26" s="67"/>
      <c r="L26" s="75"/>
      <c r="N26" s="75"/>
    </row>
    <row r="27" s="58" customFormat="1" spans="1:14">
      <c r="A27" s="67"/>
      <c r="B27" s="69"/>
      <c r="C27" s="69"/>
      <c r="D27" s="69"/>
      <c r="F27" s="69"/>
      <c r="H27" s="69"/>
      <c r="L27" s="75"/>
      <c r="N27" s="75"/>
    </row>
    <row r="28" s="58" customFormat="1" spans="1:14">
      <c r="A28" s="70"/>
      <c r="B28" s="70"/>
      <c r="C28" s="70"/>
      <c r="D28" s="70"/>
      <c r="E28" s="71"/>
      <c r="F28" s="70"/>
      <c r="G28" s="71"/>
      <c r="H28" s="70"/>
      <c r="I28" s="55"/>
      <c r="J28" s="55"/>
      <c r="K28" s="55"/>
      <c r="L28" s="59"/>
      <c r="M28" s="55"/>
      <c r="N28" s="59"/>
    </row>
  </sheetData>
  <mergeCells count="3">
    <mergeCell ref="A1:H1"/>
    <mergeCell ref="A25:H25"/>
    <mergeCell ref="A26:H26"/>
  </mergeCells>
  <pageMargins left="0.393055555555556" right="0.236111111111111" top="0.629861111111111" bottom="0.629861111111111" header="0.236111111111111" footer="0.3"/>
  <pageSetup paperSize="9" scale="73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L3" sqref="L3"/>
    </sheetView>
  </sheetViews>
  <sheetFormatPr defaultColWidth="9" defaultRowHeight="14.25" outlineLevelCol="7"/>
  <cols>
    <col min="1" max="1" width="4.75" customWidth="1"/>
    <col min="2" max="2" width="10.5" style="37" customWidth="1"/>
    <col min="3" max="3" width="18.125" customWidth="1"/>
    <col min="4" max="4" width="6.25" customWidth="1"/>
    <col min="5" max="5" width="8.125" customWidth="1"/>
    <col min="6" max="6" width="10.125" customWidth="1"/>
    <col min="7" max="7" width="10.375" customWidth="1"/>
    <col min="8" max="8" width="12" customWidth="1"/>
  </cols>
  <sheetData>
    <row r="1" ht="42" customHeight="1" spans="1:8">
      <c r="A1" s="38" t="s">
        <v>154</v>
      </c>
      <c r="B1" s="38"/>
      <c r="C1" s="38"/>
      <c r="D1" s="38"/>
      <c r="E1" s="38"/>
      <c r="F1" s="38"/>
      <c r="G1" s="38"/>
      <c r="H1" s="38"/>
    </row>
    <row r="2" s="36" customFormat="1" ht="40" customHeight="1" spans="1:8">
      <c r="A2" s="39" t="s">
        <v>1</v>
      </c>
      <c r="B2" s="39" t="s">
        <v>56</v>
      </c>
      <c r="C2" s="39" t="s">
        <v>99</v>
      </c>
      <c r="D2" s="39" t="s">
        <v>91</v>
      </c>
      <c r="E2" s="39" t="s">
        <v>100</v>
      </c>
      <c r="F2" s="39" t="s">
        <v>101</v>
      </c>
      <c r="G2" s="39" t="s">
        <v>92</v>
      </c>
      <c r="H2" s="39" t="s">
        <v>6</v>
      </c>
    </row>
    <row r="3" ht="67" customHeight="1" spans="1:8">
      <c r="A3" s="40">
        <v>1</v>
      </c>
      <c r="B3" s="41" t="s">
        <v>155</v>
      </c>
      <c r="C3" s="42" t="s">
        <v>156</v>
      </c>
      <c r="D3" s="43" t="s">
        <v>135</v>
      </c>
      <c r="E3" s="44">
        <v>1</v>
      </c>
      <c r="F3" s="44">
        <v>35000</v>
      </c>
      <c r="G3" s="45">
        <f>F3*E3</f>
        <v>35000</v>
      </c>
      <c r="H3" s="41" t="s">
        <v>157</v>
      </c>
    </row>
    <row r="4" ht="39" customHeight="1" spans="1:8">
      <c r="A4" s="46">
        <v>2</v>
      </c>
      <c r="B4" s="47" t="s">
        <v>158</v>
      </c>
      <c r="C4" s="48" t="s">
        <v>159</v>
      </c>
      <c r="D4" s="49" t="s">
        <v>135</v>
      </c>
      <c r="E4" s="44"/>
      <c r="F4" s="44"/>
      <c r="G4" s="31"/>
      <c r="H4" s="31"/>
    </row>
    <row r="5" ht="39" customHeight="1" spans="1:8">
      <c r="A5" s="50"/>
      <c r="B5" s="51"/>
      <c r="C5" s="48" t="s">
        <v>160</v>
      </c>
      <c r="D5" s="49" t="s">
        <v>106</v>
      </c>
      <c r="E5" s="44">
        <f>0.972*2</f>
        <v>1.94</v>
      </c>
      <c r="F5" s="44">
        <f>175/0.2</f>
        <v>875</v>
      </c>
      <c r="G5" s="44">
        <f t="shared" ref="G5:G11" si="0">F5*E5</f>
        <v>1697.5</v>
      </c>
      <c r="H5" s="48" t="s">
        <v>161</v>
      </c>
    </row>
    <row r="6" ht="39" customHeight="1" spans="1:8">
      <c r="A6" s="50"/>
      <c r="B6" s="51"/>
      <c r="C6" s="48" t="s">
        <v>162</v>
      </c>
      <c r="D6" s="49" t="s">
        <v>163</v>
      </c>
      <c r="E6" s="44">
        <f>0.112*2</f>
        <v>0.22</v>
      </c>
      <c r="F6" s="44">
        <v>5000</v>
      </c>
      <c r="G6" s="44">
        <f t="shared" si="0"/>
        <v>1100</v>
      </c>
      <c r="H6" s="48" t="s">
        <v>161</v>
      </c>
    </row>
    <row r="7" ht="39" customHeight="1" spans="1:8">
      <c r="A7" s="50"/>
      <c r="B7" s="51"/>
      <c r="C7" s="48" t="s">
        <v>164</v>
      </c>
      <c r="D7" s="49" t="s">
        <v>106</v>
      </c>
      <c r="E7" s="44">
        <f>0.2*2.6*(4.5+1.2)*2</f>
        <v>5.93</v>
      </c>
      <c r="F7" s="44">
        <f>220/0.24</f>
        <v>916.67</v>
      </c>
      <c r="G7" s="44">
        <f t="shared" si="0"/>
        <v>5435.85</v>
      </c>
      <c r="H7" s="48" t="s">
        <v>161</v>
      </c>
    </row>
    <row r="8" ht="39" customHeight="1" spans="1:8">
      <c r="A8" s="50"/>
      <c r="B8" s="51"/>
      <c r="C8" s="48" t="s">
        <v>165</v>
      </c>
      <c r="D8" s="49" t="s">
        <v>106</v>
      </c>
      <c r="E8" s="44">
        <f>0.2*0.2*(1.2+4.5)*2</f>
        <v>0.46</v>
      </c>
      <c r="F8" s="44">
        <f>175/0.2</f>
        <v>875</v>
      </c>
      <c r="G8" s="44">
        <f t="shared" si="0"/>
        <v>402.5</v>
      </c>
      <c r="H8" s="48" t="s">
        <v>161</v>
      </c>
    </row>
    <row r="9" ht="39" customHeight="1" spans="1:8">
      <c r="A9" s="50"/>
      <c r="B9" s="51"/>
      <c r="C9" s="48" t="s">
        <v>166</v>
      </c>
      <c r="D9" s="49" t="s">
        <v>104</v>
      </c>
      <c r="E9" s="44">
        <f>1.99*4.5*2*2</f>
        <v>35.82</v>
      </c>
      <c r="F9" s="44">
        <v>22</v>
      </c>
      <c r="G9" s="44">
        <f t="shared" si="0"/>
        <v>788.04</v>
      </c>
      <c r="H9" s="48"/>
    </row>
    <row r="10" ht="39" customHeight="1" spans="1:8">
      <c r="A10" s="52"/>
      <c r="B10" s="53"/>
      <c r="C10" s="48" t="s">
        <v>167</v>
      </c>
      <c r="D10" s="49" t="s">
        <v>163</v>
      </c>
      <c r="E10" s="44">
        <f>(5.7*4*0.617+0.4*25*0.222)*2/1000</f>
        <v>0.03</v>
      </c>
      <c r="F10" s="44">
        <v>5000</v>
      </c>
      <c r="G10" s="44">
        <f t="shared" si="0"/>
        <v>150</v>
      </c>
      <c r="H10" s="48" t="s">
        <v>161</v>
      </c>
    </row>
    <row r="11" ht="39" customHeight="1" spans="1:8">
      <c r="A11" s="40">
        <v>3</v>
      </c>
      <c r="B11" s="41" t="s">
        <v>168</v>
      </c>
      <c r="C11" s="54" t="s">
        <v>150</v>
      </c>
      <c r="D11" s="41" t="s">
        <v>126</v>
      </c>
      <c r="E11" s="44">
        <f>计算书!M41</f>
        <v>480.53</v>
      </c>
      <c r="F11" s="44">
        <v>64</v>
      </c>
      <c r="G11" s="45">
        <f t="shared" si="0"/>
        <v>30753.92</v>
      </c>
      <c r="H11" s="43" t="s">
        <v>151</v>
      </c>
    </row>
    <row r="12" ht="38" customHeight="1" spans="1:8">
      <c r="A12" s="40">
        <v>4</v>
      </c>
      <c r="B12" s="48" t="s">
        <v>169</v>
      </c>
      <c r="C12" s="31"/>
      <c r="D12" s="31"/>
      <c r="E12" s="31"/>
      <c r="F12" s="44"/>
      <c r="G12" s="45">
        <f>SUM(G3:G11)</f>
        <v>75327.81</v>
      </c>
      <c r="H12" s="31"/>
    </row>
    <row r="13" ht="33" customHeight="1" spans="1:8">
      <c r="A13" s="40">
        <v>5</v>
      </c>
      <c r="B13" s="48" t="s">
        <v>170</v>
      </c>
      <c r="C13" s="31"/>
      <c r="D13" s="31"/>
      <c r="E13" s="31"/>
      <c r="F13" s="31"/>
      <c r="G13" s="45">
        <v>75300</v>
      </c>
      <c r="H13" s="31"/>
    </row>
  </sheetData>
  <mergeCells count="3">
    <mergeCell ref="A1:H1"/>
    <mergeCell ref="A4:A10"/>
    <mergeCell ref="B4:B10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2" workbookViewId="0">
      <selection activeCell="I54" sqref="I54"/>
    </sheetView>
  </sheetViews>
  <sheetFormatPr defaultColWidth="9" defaultRowHeight="14.25"/>
  <cols>
    <col min="1" max="1" width="9.375"/>
    <col min="2" max="2" width="25" customWidth="1"/>
    <col min="3" max="3" width="23.625" customWidth="1"/>
  </cols>
  <sheetData>
    <row r="1" ht="48" customHeight="1" spans="1:5">
      <c r="A1" s="1" t="s">
        <v>171</v>
      </c>
      <c r="B1" s="1"/>
      <c r="C1" s="1"/>
      <c r="D1" s="1"/>
      <c r="E1" s="1"/>
    </row>
    <row r="2" spans="1:8">
      <c r="A2" t="s">
        <v>1</v>
      </c>
      <c r="B2" t="s">
        <v>56</v>
      </c>
      <c r="C2" t="s">
        <v>172</v>
      </c>
      <c r="D2" t="s">
        <v>173</v>
      </c>
      <c r="E2" t="s">
        <v>152</v>
      </c>
      <c r="F2" t="s">
        <v>174</v>
      </c>
      <c r="H2" t="s">
        <v>123</v>
      </c>
    </row>
    <row r="3" spans="1:9">
      <c r="A3" s="2">
        <v>1</v>
      </c>
      <c r="B3" t="s">
        <v>175</v>
      </c>
      <c r="C3" s="3">
        <f>2*3+0.28*2</f>
        <v>6.56</v>
      </c>
      <c r="D3" s="3">
        <v>7</v>
      </c>
      <c r="E3" s="3">
        <f>D3*C3</f>
        <v>45.92</v>
      </c>
      <c r="F3" s="3">
        <v>2.42</v>
      </c>
      <c r="G3" s="3">
        <f>F3*E3</f>
        <v>111.13</v>
      </c>
      <c r="H3" s="3">
        <v>2</v>
      </c>
      <c r="I3" s="3">
        <f>H3*G3</f>
        <v>222.26</v>
      </c>
    </row>
    <row r="4" spans="1:9">
      <c r="A4" s="3"/>
      <c r="B4" t="s">
        <v>176</v>
      </c>
      <c r="C4" s="3">
        <f>1.26+1.96+2.33+1.98</f>
        <v>7.53</v>
      </c>
      <c r="D4" s="3">
        <v>2</v>
      </c>
      <c r="E4" s="3">
        <f>D4*C4</f>
        <v>15.06</v>
      </c>
      <c r="F4" s="3">
        <v>2.42</v>
      </c>
      <c r="G4" s="3">
        <f>F4*E4</f>
        <v>36.45</v>
      </c>
      <c r="H4" s="3">
        <v>2</v>
      </c>
      <c r="I4" s="3">
        <f>H4*G4</f>
        <v>72.9</v>
      </c>
    </row>
    <row r="5" spans="1:9">
      <c r="A5" s="3"/>
      <c r="C5" s="3"/>
      <c r="D5" s="3"/>
      <c r="E5" s="3"/>
      <c r="F5" s="3"/>
      <c r="G5" s="3"/>
      <c r="H5" s="3"/>
      <c r="I5" s="3">
        <f>SUM(I3:I4)</f>
        <v>295.16</v>
      </c>
    </row>
    <row r="6" spans="1:9">
      <c r="A6" s="3"/>
      <c r="C6" s="3"/>
      <c r="D6" s="3"/>
      <c r="E6" s="3"/>
      <c r="F6" s="3"/>
      <c r="G6" s="3"/>
      <c r="H6" s="3"/>
      <c r="I6" s="3"/>
    </row>
    <row r="7" spans="1:9">
      <c r="A7" s="3"/>
      <c r="C7" s="3"/>
      <c r="D7" s="3"/>
      <c r="E7" s="3"/>
      <c r="F7" s="3"/>
      <c r="G7" s="3"/>
      <c r="H7" s="3"/>
      <c r="I7" s="3"/>
    </row>
    <row r="8" spans="1:9">
      <c r="A8" s="4" t="s">
        <v>177</v>
      </c>
      <c r="B8" s="4"/>
      <c r="C8" s="4"/>
      <c r="D8" s="4"/>
      <c r="E8" s="4"/>
      <c r="F8" s="4"/>
      <c r="G8" s="4"/>
      <c r="H8" s="4"/>
      <c r="I8" s="4"/>
    </row>
    <row r="9" spans="1:13">
      <c r="A9" s="5" t="s">
        <v>1</v>
      </c>
      <c r="B9" s="6" t="s">
        <v>178</v>
      </c>
      <c r="C9" s="7"/>
      <c r="D9" s="5" t="s">
        <v>56</v>
      </c>
      <c r="E9" s="5" t="s">
        <v>91</v>
      </c>
      <c r="F9" s="5" t="s">
        <v>179</v>
      </c>
      <c r="G9" s="5" t="s">
        <v>173</v>
      </c>
      <c r="H9" s="5"/>
      <c r="I9" s="5"/>
      <c r="J9" s="5"/>
      <c r="K9" s="5"/>
      <c r="L9" s="5"/>
      <c r="M9" s="5" t="s">
        <v>180</v>
      </c>
    </row>
    <row r="10" spans="1:13">
      <c r="A10" s="5"/>
      <c r="B10" s="8"/>
      <c r="C10" s="9"/>
      <c r="D10" s="5"/>
      <c r="E10" s="5"/>
      <c r="F10" s="5"/>
      <c r="G10" s="116" t="s">
        <v>181</v>
      </c>
      <c r="H10" s="5" t="s">
        <v>182</v>
      </c>
      <c r="I10" s="5" t="s">
        <v>183</v>
      </c>
      <c r="J10" s="29" t="s">
        <v>184</v>
      </c>
      <c r="K10" s="13"/>
      <c r="L10" s="5" t="s">
        <v>185</v>
      </c>
      <c r="M10" s="5"/>
    </row>
    <row r="11" spans="1:13">
      <c r="A11" s="10" t="s">
        <v>186</v>
      </c>
      <c r="B11" s="10"/>
      <c r="C11" s="10"/>
      <c r="D11" s="10"/>
      <c r="E11" s="11"/>
      <c r="F11" s="10"/>
      <c r="G11" s="10"/>
      <c r="H11" s="10"/>
      <c r="I11" s="10"/>
      <c r="J11" s="10"/>
      <c r="K11" s="10"/>
      <c r="L11" s="10"/>
      <c r="M11" s="13"/>
    </row>
    <row r="12" spans="1:13">
      <c r="A12" s="12">
        <v>1</v>
      </c>
      <c r="B12" s="13" t="s">
        <v>187</v>
      </c>
      <c r="C12" s="5" t="s">
        <v>188</v>
      </c>
      <c r="D12" s="5"/>
      <c r="E12" s="5" t="s">
        <v>126</v>
      </c>
      <c r="F12" s="5">
        <f t="shared" ref="F12:F16" si="0">G12+H12+J12+I12</f>
        <v>41.464</v>
      </c>
      <c r="G12" s="5">
        <f>1.27+2.158+4.33</f>
        <v>7.758</v>
      </c>
      <c r="H12" s="5">
        <f>2.86+0.576</f>
        <v>3.436</v>
      </c>
      <c r="I12" s="5">
        <f>3.11+1.04+1.53</f>
        <v>5.68</v>
      </c>
      <c r="J12" s="5">
        <f>2.459*10</f>
        <v>24.59</v>
      </c>
      <c r="K12" s="5"/>
      <c r="L12" s="5">
        <v>3</v>
      </c>
      <c r="M12" s="30">
        <f t="shared" ref="M12:M16" si="1">F12*L12</f>
        <v>124.392</v>
      </c>
    </row>
    <row r="13" spans="1:13">
      <c r="A13" s="14" t="s">
        <v>189</v>
      </c>
      <c r="B13" s="10"/>
      <c r="C13" s="10"/>
      <c r="D13" s="10"/>
      <c r="E13" s="11"/>
      <c r="F13" s="10"/>
      <c r="G13" s="10"/>
      <c r="H13" s="10"/>
      <c r="I13" s="10"/>
      <c r="J13" s="10"/>
      <c r="K13" s="10"/>
      <c r="L13" s="11"/>
      <c r="M13" s="31"/>
    </row>
    <row r="14" spans="1:13">
      <c r="A14" s="5">
        <v>1</v>
      </c>
      <c r="B14" s="13" t="s">
        <v>187</v>
      </c>
      <c r="C14" s="5"/>
      <c r="D14" s="13"/>
      <c r="E14" s="5" t="s">
        <v>126</v>
      </c>
      <c r="F14" s="5">
        <f t="shared" si="0"/>
        <v>36.072</v>
      </c>
      <c r="G14" s="13">
        <v>3.16</v>
      </c>
      <c r="H14" s="13">
        <v>2.465</v>
      </c>
      <c r="I14" s="13">
        <f>2.506+2.541</f>
        <v>5.047</v>
      </c>
      <c r="J14" s="13">
        <f>2.54*10</f>
        <v>25.4</v>
      </c>
      <c r="K14" s="13"/>
      <c r="L14" s="5">
        <v>2</v>
      </c>
      <c r="M14" s="30">
        <f t="shared" si="1"/>
        <v>72.144</v>
      </c>
    </row>
    <row r="15" spans="1:13">
      <c r="A15" s="15" t="s">
        <v>190</v>
      </c>
      <c r="B15" s="15"/>
      <c r="C15" s="15"/>
      <c r="D15" s="15"/>
      <c r="E15" s="16"/>
      <c r="F15" s="15"/>
      <c r="G15" s="15"/>
      <c r="H15" s="15"/>
      <c r="I15" s="15"/>
      <c r="J15" s="15"/>
      <c r="K15" s="15"/>
      <c r="L15" s="16"/>
      <c r="M15" s="13"/>
    </row>
    <row r="16" spans="1:13">
      <c r="A16" s="17">
        <v>1</v>
      </c>
      <c r="B16" s="13" t="s">
        <v>187</v>
      </c>
      <c r="C16" s="17"/>
      <c r="D16" s="18"/>
      <c r="E16" s="17" t="s">
        <v>126</v>
      </c>
      <c r="F16" s="5">
        <f t="shared" si="0"/>
        <v>42.021</v>
      </c>
      <c r="G16" s="18">
        <f>2.513+2.15+2.19+2.154+1.035</f>
        <v>10.042</v>
      </c>
      <c r="H16" s="18">
        <v>2.459</v>
      </c>
      <c r="I16" s="18"/>
      <c r="J16" s="18">
        <f>2.46*12</f>
        <v>29.52</v>
      </c>
      <c r="K16" s="18"/>
      <c r="L16" s="17">
        <v>2</v>
      </c>
      <c r="M16" s="27">
        <f t="shared" si="1"/>
        <v>84.042</v>
      </c>
    </row>
    <row r="17" spans="1:13">
      <c r="A17" s="19" t="s">
        <v>191</v>
      </c>
      <c r="B17" s="19"/>
      <c r="C17" s="19"/>
      <c r="D17" s="19"/>
      <c r="E17" s="20"/>
      <c r="F17" s="19"/>
      <c r="G17" s="19"/>
      <c r="H17" s="19"/>
      <c r="I17" s="19"/>
      <c r="J17" s="19"/>
      <c r="K17" s="19"/>
      <c r="L17" s="20"/>
      <c r="M17" s="18"/>
    </row>
    <row r="18" spans="1:13">
      <c r="A18" s="5">
        <v>1</v>
      </c>
      <c r="B18" s="13" t="s">
        <v>187</v>
      </c>
      <c r="C18" s="5"/>
      <c r="D18" s="13"/>
      <c r="E18" s="5" t="s">
        <v>126</v>
      </c>
      <c r="F18" s="5">
        <f>G18+H18+J18+I18</f>
        <v>38.407</v>
      </c>
      <c r="G18" s="13">
        <f>1.03+2.552+1.913</f>
        <v>5.495</v>
      </c>
      <c r="H18" s="13">
        <v>2.465</v>
      </c>
      <c r="I18" s="13">
        <f>2.506+2.541</f>
        <v>5.047</v>
      </c>
      <c r="J18" s="13">
        <f>2.54*10</f>
        <v>25.4</v>
      </c>
      <c r="K18" s="13"/>
      <c r="L18" s="5">
        <v>2</v>
      </c>
      <c r="M18" s="27">
        <f>F18*L18</f>
        <v>76.814</v>
      </c>
    </row>
    <row r="19" spans="1:13">
      <c r="A19" s="21" t="s">
        <v>192</v>
      </c>
      <c r="B19" s="22"/>
      <c r="C19" s="22"/>
      <c r="D19" s="22"/>
      <c r="E19" s="23"/>
      <c r="F19" s="22"/>
      <c r="G19" s="22"/>
      <c r="H19" s="22"/>
      <c r="I19" s="22"/>
      <c r="J19" s="22"/>
      <c r="K19" s="22"/>
      <c r="L19" s="32"/>
      <c r="M19" s="18"/>
    </row>
    <row r="20" spans="1:13">
      <c r="A20" s="5">
        <v>1</v>
      </c>
      <c r="B20" s="13" t="s">
        <v>187</v>
      </c>
      <c r="C20" s="5"/>
      <c r="D20" s="13"/>
      <c r="E20" s="5" t="s">
        <v>126</v>
      </c>
      <c r="F20" s="5">
        <f>G20+H20+J20+I20</f>
        <v>45.195</v>
      </c>
      <c r="G20" s="13">
        <f>1.297+2.604+2.498+2.56+3.324</f>
        <v>12.283</v>
      </c>
      <c r="H20" s="13">
        <v>2.465</v>
      </c>
      <c r="I20" s="33">
        <f>2.506+2.541</f>
        <v>5.047</v>
      </c>
      <c r="J20" s="13">
        <f>2.54*10</f>
        <v>25.4</v>
      </c>
      <c r="K20" s="13"/>
      <c r="L20" s="5">
        <v>2</v>
      </c>
      <c r="M20" s="30">
        <f>L20*F20</f>
        <v>90.39</v>
      </c>
    </row>
    <row r="21" spans="1:13">
      <c r="A21" s="24"/>
      <c r="B21" s="24" t="s">
        <v>152</v>
      </c>
      <c r="C21" s="24"/>
      <c r="D21" s="24"/>
      <c r="E21" s="25"/>
      <c r="F21" s="24"/>
      <c r="G21" s="24"/>
      <c r="H21" s="24"/>
      <c r="I21" s="24"/>
      <c r="J21" s="24"/>
      <c r="K21" s="24"/>
      <c r="L21" s="24"/>
      <c r="M21" s="30">
        <f>SUM(M12:M20)</f>
        <v>447.782</v>
      </c>
    </row>
    <row r="22" spans="3:9">
      <c r="C22" s="3"/>
      <c r="D22" s="3"/>
      <c r="E22" s="3"/>
      <c r="F22" s="3"/>
      <c r="G22" s="3"/>
      <c r="H22" s="3"/>
      <c r="I22" s="3"/>
    </row>
    <row r="23" spans="3:9">
      <c r="C23" s="3"/>
      <c r="D23" s="3"/>
      <c r="E23" s="3"/>
      <c r="F23" s="3"/>
      <c r="G23" s="3"/>
      <c r="H23" s="3"/>
      <c r="I23" s="3"/>
    </row>
    <row r="24" spans="1:9">
      <c r="A24" s="4" t="s">
        <v>177</v>
      </c>
      <c r="B24" s="4"/>
      <c r="C24" s="4"/>
      <c r="D24" s="4"/>
      <c r="E24" s="4"/>
      <c r="F24" s="4"/>
      <c r="G24" s="4"/>
      <c r="H24" s="4"/>
      <c r="I24" s="4"/>
    </row>
    <row r="25" spans="1:13">
      <c r="A25" s="5" t="s">
        <v>1</v>
      </c>
      <c r="B25" s="6" t="s">
        <v>178</v>
      </c>
      <c r="C25" s="7"/>
      <c r="D25" s="5" t="s">
        <v>56</v>
      </c>
      <c r="E25" s="5" t="s">
        <v>91</v>
      </c>
      <c r="F25" s="5" t="s">
        <v>193</v>
      </c>
      <c r="G25" s="5" t="s">
        <v>173</v>
      </c>
      <c r="H25" s="5"/>
      <c r="I25" s="5"/>
      <c r="J25" s="5"/>
      <c r="K25" s="5"/>
      <c r="L25" s="5"/>
      <c r="M25" s="5" t="s">
        <v>180</v>
      </c>
    </row>
    <row r="26" spans="1:13">
      <c r="A26" s="5"/>
      <c r="B26" s="8"/>
      <c r="C26" s="9"/>
      <c r="D26" s="5"/>
      <c r="E26" s="5"/>
      <c r="F26" s="5"/>
      <c r="G26" s="116" t="s">
        <v>181</v>
      </c>
      <c r="H26" s="5" t="s">
        <v>182</v>
      </c>
      <c r="I26" s="5" t="s">
        <v>194</v>
      </c>
      <c r="J26" s="29" t="s">
        <v>195</v>
      </c>
      <c r="K26" s="13"/>
      <c r="L26" s="5" t="s">
        <v>185</v>
      </c>
      <c r="M26" s="5"/>
    </row>
    <row r="27" spans="1:13">
      <c r="A27" s="26" t="s">
        <v>196</v>
      </c>
      <c r="B27" s="10"/>
      <c r="C27" s="10"/>
      <c r="D27" s="26"/>
      <c r="E27" s="11"/>
      <c r="F27" s="10"/>
      <c r="G27" s="10"/>
      <c r="H27" s="10"/>
      <c r="I27" s="10"/>
      <c r="J27" s="10"/>
      <c r="K27" s="10"/>
      <c r="L27" s="10"/>
      <c r="M27" s="13"/>
    </row>
    <row r="28" spans="1:13">
      <c r="A28" s="12"/>
      <c r="B28" s="13" t="s">
        <v>187</v>
      </c>
      <c r="C28" s="5" t="s">
        <v>188</v>
      </c>
      <c r="D28" s="5"/>
      <c r="E28" s="5" t="s">
        <v>126</v>
      </c>
      <c r="F28" s="5">
        <f>G28+H28+J28+I28</f>
        <v>38.448</v>
      </c>
      <c r="G28" s="5">
        <f>1.93+2.552+1.026</f>
        <v>5.508</v>
      </c>
      <c r="H28" s="5">
        <v>2.46</v>
      </c>
      <c r="I28" s="34">
        <f>2.54*2*6</f>
        <v>30.48</v>
      </c>
      <c r="J28" s="35"/>
      <c r="K28" s="5"/>
      <c r="L28" s="5">
        <v>2</v>
      </c>
      <c r="M28" s="30">
        <f t="shared" ref="M28:M32" si="2">F28*L28</f>
        <v>76.896</v>
      </c>
    </row>
    <row r="29" spans="1:13">
      <c r="A29" s="14" t="s">
        <v>197</v>
      </c>
      <c r="B29" s="10"/>
      <c r="C29" s="10"/>
      <c r="D29" s="10"/>
      <c r="E29" s="11"/>
      <c r="F29" s="10"/>
      <c r="G29" s="10"/>
      <c r="H29" s="10"/>
      <c r="I29" s="10"/>
      <c r="J29" s="10"/>
      <c r="K29" s="10"/>
      <c r="L29" s="11"/>
      <c r="M29" s="31"/>
    </row>
    <row r="30" spans="1:13">
      <c r="A30" s="5"/>
      <c r="B30" s="13" t="s">
        <v>187</v>
      </c>
      <c r="C30" s="5"/>
      <c r="D30" s="13"/>
      <c r="E30" s="5" t="s">
        <v>126</v>
      </c>
      <c r="F30" s="5">
        <f>G30+H30+J30+I30</f>
        <v>38.561</v>
      </c>
      <c r="G30" s="13">
        <f>4.4+2.66+1.7</f>
        <v>8.76</v>
      </c>
      <c r="H30" s="13">
        <v>0.576</v>
      </c>
      <c r="I30" s="13">
        <f>3.112+1.523</f>
        <v>4.635</v>
      </c>
      <c r="J30" s="13">
        <f>2.459*2*5</f>
        <v>24.59</v>
      </c>
      <c r="K30" s="13"/>
      <c r="L30" s="5">
        <v>3</v>
      </c>
      <c r="M30" s="30">
        <f t="shared" si="2"/>
        <v>115.683</v>
      </c>
    </row>
    <row r="31" spans="1:13">
      <c r="A31" s="15" t="s">
        <v>198</v>
      </c>
      <c r="B31" s="15"/>
      <c r="C31" s="15"/>
      <c r="D31" s="15"/>
      <c r="E31" s="16"/>
      <c r="F31" s="15"/>
      <c r="G31" s="15"/>
      <c r="H31" s="15"/>
      <c r="I31" s="15"/>
      <c r="J31" s="15"/>
      <c r="K31" s="15"/>
      <c r="L31" s="16"/>
      <c r="M31" s="13"/>
    </row>
    <row r="32" spans="1:13">
      <c r="A32" s="17"/>
      <c r="B32" s="13" t="s">
        <v>187</v>
      </c>
      <c r="C32" s="17"/>
      <c r="D32" s="18"/>
      <c r="E32" s="17" t="s">
        <v>126</v>
      </c>
      <c r="F32" s="5">
        <f t="shared" ref="F32:F36" si="3">G32+H32+I32+J32</f>
        <v>49.822</v>
      </c>
      <c r="G32" s="18">
        <f>3.34+2.538+2.493+2.5+1.24</f>
        <v>12.111</v>
      </c>
      <c r="H32" s="18">
        <v>2.53</v>
      </c>
      <c r="I32" s="18">
        <f>2.518*2*6</f>
        <v>30.216</v>
      </c>
      <c r="J32" s="18">
        <f>2.518+2.447</f>
        <v>4.965</v>
      </c>
      <c r="K32" s="18"/>
      <c r="L32" s="17">
        <v>2</v>
      </c>
      <c r="M32" s="27">
        <f t="shared" si="2"/>
        <v>99.644</v>
      </c>
    </row>
    <row r="33" spans="1:13">
      <c r="A33" s="15" t="s">
        <v>199</v>
      </c>
      <c r="B33" s="15"/>
      <c r="C33" s="15"/>
      <c r="D33" s="15"/>
      <c r="E33" s="16"/>
      <c r="F33" s="15"/>
      <c r="G33" s="15"/>
      <c r="H33" s="15"/>
      <c r="I33" s="15"/>
      <c r="J33" s="15"/>
      <c r="K33" s="15"/>
      <c r="L33" s="16"/>
      <c r="M33" s="13"/>
    </row>
    <row r="34" spans="1:13">
      <c r="A34" s="17"/>
      <c r="B34" s="13" t="s">
        <v>187</v>
      </c>
      <c r="C34" s="17"/>
      <c r="D34" s="18"/>
      <c r="E34" s="17" t="s">
        <v>126</v>
      </c>
      <c r="F34" s="5">
        <f t="shared" si="3"/>
        <v>41.885</v>
      </c>
      <c r="G34" s="18">
        <f>2.126+2.467+2.19+2.154+0.981</f>
        <v>9.918</v>
      </c>
      <c r="H34" s="18">
        <v>2.459</v>
      </c>
      <c r="I34" s="18">
        <f>2.459*2*6</f>
        <v>29.508</v>
      </c>
      <c r="J34" s="18"/>
      <c r="K34" s="18"/>
      <c r="L34" s="17">
        <v>2</v>
      </c>
      <c r="M34" s="27">
        <f t="shared" ref="M34:M38" si="4">F34*L34</f>
        <v>83.77</v>
      </c>
    </row>
    <row r="35" spans="1:13">
      <c r="A35" s="15" t="s">
        <v>200</v>
      </c>
      <c r="B35" s="15"/>
      <c r="C35" s="15"/>
      <c r="D35" s="15"/>
      <c r="E35" s="16"/>
      <c r="F35" s="15"/>
      <c r="G35" s="15"/>
      <c r="H35" s="15"/>
      <c r="I35" s="15"/>
      <c r="J35" s="15"/>
      <c r="K35" s="15"/>
      <c r="L35" s="16"/>
      <c r="M35" s="13"/>
    </row>
    <row r="36" spans="1:13">
      <c r="A36" s="17"/>
      <c r="B36" s="13" t="s">
        <v>187</v>
      </c>
      <c r="C36" s="17"/>
      <c r="D36" s="18"/>
      <c r="E36" s="17" t="s">
        <v>126</v>
      </c>
      <c r="F36" s="5">
        <f t="shared" si="3"/>
        <v>42.106</v>
      </c>
      <c r="G36" s="18">
        <f>1.035+2.154+2.19+2.151+2.513</f>
        <v>10.043</v>
      </c>
      <c r="H36" s="18">
        <f>2.459</f>
        <v>2.459</v>
      </c>
      <c r="I36" s="18">
        <f>2.467*2*6</f>
        <v>29.604</v>
      </c>
      <c r="J36" s="18"/>
      <c r="K36" s="18"/>
      <c r="L36" s="17">
        <v>2</v>
      </c>
      <c r="M36" s="27">
        <f t="shared" si="4"/>
        <v>84.212</v>
      </c>
    </row>
    <row r="37" spans="1:13">
      <c r="A37" s="27" t="s">
        <v>191</v>
      </c>
      <c r="B37" s="19"/>
      <c r="C37" s="19"/>
      <c r="D37" s="19"/>
      <c r="E37" s="20"/>
      <c r="F37" s="19"/>
      <c r="G37" s="19"/>
      <c r="H37" s="19"/>
      <c r="I37" s="19"/>
      <c r="J37" s="19"/>
      <c r="K37" s="19"/>
      <c r="L37" s="20"/>
      <c r="M37" s="18"/>
    </row>
    <row r="38" spans="1:13">
      <c r="A38" s="5"/>
      <c r="B38" s="13" t="s">
        <v>187</v>
      </c>
      <c r="C38" s="5"/>
      <c r="D38" s="13"/>
      <c r="E38" s="5" t="s">
        <v>126</v>
      </c>
      <c r="F38" s="5">
        <f>G38+H38+J38+I38</f>
        <v>5.08</v>
      </c>
      <c r="G38" s="13"/>
      <c r="H38" s="13"/>
      <c r="I38" s="13"/>
      <c r="J38" s="13">
        <f>2.54*2</f>
        <v>5.08</v>
      </c>
      <c r="K38" s="13"/>
      <c r="L38" s="5">
        <v>2</v>
      </c>
      <c r="M38" s="27">
        <f t="shared" si="4"/>
        <v>10.16</v>
      </c>
    </row>
    <row r="39" spans="1:13">
      <c r="A39" s="28" t="s">
        <v>192</v>
      </c>
      <c r="B39" s="22"/>
      <c r="C39" s="22"/>
      <c r="D39" s="22"/>
      <c r="E39" s="23"/>
      <c r="F39" s="22"/>
      <c r="G39" s="22"/>
      <c r="H39" s="22"/>
      <c r="I39" s="22"/>
      <c r="J39" s="22"/>
      <c r="K39" s="22"/>
      <c r="L39" s="32"/>
      <c r="M39" s="18"/>
    </row>
    <row r="40" spans="1:13">
      <c r="A40" s="5"/>
      <c r="B40" s="13" t="s">
        <v>187</v>
      </c>
      <c r="C40" s="5"/>
      <c r="D40" s="13"/>
      <c r="E40" s="5" t="s">
        <v>126</v>
      </c>
      <c r="F40" s="5">
        <f>G40+H40+J40+I40</f>
        <v>5.08</v>
      </c>
      <c r="G40" s="13"/>
      <c r="H40" s="13"/>
      <c r="I40" s="33"/>
      <c r="J40" s="13">
        <f>2.54*2</f>
        <v>5.08</v>
      </c>
      <c r="K40" s="13"/>
      <c r="L40" s="5">
        <v>2</v>
      </c>
      <c r="M40" s="30">
        <f>L40*F40</f>
        <v>10.16</v>
      </c>
    </row>
    <row r="41" spans="1:13">
      <c r="A41" s="24"/>
      <c r="B41" s="24" t="s">
        <v>152</v>
      </c>
      <c r="C41" s="24"/>
      <c r="D41" s="24"/>
      <c r="E41" s="25"/>
      <c r="F41" s="24"/>
      <c r="G41" s="24"/>
      <c r="H41" s="24"/>
      <c r="I41" s="24"/>
      <c r="J41" s="24"/>
      <c r="K41" s="24"/>
      <c r="L41" s="24"/>
      <c r="M41" s="30">
        <f>SUM(M28:M40)</f>
        <v>480.525</v>
      </c>
    </row>
    <row r="42" spans="3:9">
      <c r="C42" s="3"/>
      <c r="D42" s="3"/>
      <c r="E42" s="3"/>
      <c r="F42" s="3"/>
      <c r="G42" s="3"/>
      <c r="H42" s="3"/>
      <c r="I42" s="3"/>
    </row>
    <row r="43" spans="3:9">
      <c r="C43" s="3"/>
      <c r="D43" s="3"/>
      <c r="E43" s="3"/>
      <c r="F43" s="3"/>
      <c r="G43" s="3"/>
      <c r="H43" s="3"/>
      <c r="I43" s="3"/>
    </row>
    <row r="44" spans="3:9">
      <c r="C44" s="3"/>
      <c r="D44" s="3"/>
      <c r="E44" s="3"/>
      <c r="F44" s="3"/>
      <c r="G44" s="3"/>
      <c r="H44" s="3"/>
      <c r="I44" s="3"/>
    </row>
    <row r="45" spans="3:9">
      <c r="C45" s="3"/>
      <c r="D45" s="3"/>
      <c r="E45" s="3"/>
      <c r="F45" s="3"/>
      <c r="G45" s="3"/>
      <c r="H45" s="3"/>
      <c r="I45" s="3"/>
    </row>
  </sheetData>
  <mergeCells count="18">
    <mergeCell ref="A1:E1"/>
    <mergeCell ref="A8:I8"/>
    <mergeCell ref="G9:L9"/>
    <mergeCell ref="A24:I24"/>
    <mergeCell ref="G25:L25"/>
    <mergeCell ref="I28:J28"/>
    <mergeCell ref="A9:A10"/>
    <mergeCell ref="A25:A26"/>
    <mergeCell ref="D9:D10"/>
    <mergeCell ref="D25:D26"/>
    <mergeCell ref="E9:E10"/>
    <mergeCell ref="E25:E26"/>
    <mergeCell ref="F9:F10"/>
    <mergeCell ref="F25:F26"/>
    <mergeCell ref="M9:M10"/>
    <mergeCell ref="M25:M26"/>
    <mergeCell ref="B9:C10"/>
    <mergeCell ref="B25:C2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2资料存档目录</vt:lpstr>
      <vt:lpstr>3工程结算汇总表</vt:lpstr>
      <vt:lpstr>结算明细汇总</vt:lpstr>
      <vt:lpstr>4-5月份结算明细汇</vt:lpstr>
      <vt:lpstr>截至8月份结算</vt:lpstr>
      <vt:lpstr>计算书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张磊</cp:lastModifiedBy>
  <dcterms:created xsi:type="dcterms:W3CDTF">2013-11-22T07:50:00Z</dcterms:created>
  <cp:lastPrinted>2019-10-18T09:13:00Z</cp:lastPrinted>
  <dcterms:modified xsi:type="dcterms:W3CDTF">2023-10-26T06:01:43Z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4EA3C307227743AA807097C2548033F0</vt:lpwstr>
  </property>
</Properties>
</file>