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375" activeTab="1"/>
  </bookViews>
  <sheets>
    <sheet name="2资料存档目录" sheetId="1" r:id="rId1"/>
    <sheet name="3工程结算汇总表" sheetId="3" r:id="rId2"/>
    <sheet name="4结算明细汇总表" sheetId="9" r:id="rId3"/>
    <sheet name="合同增加项目" sheetId="11" r:id="rId4"/>
    <sheet name="5、土建部分合同内扣减部分" sheetId="10" r:id="rId5"/>
    <sheet name="东大门安装部分合同内扣款" sheetId="13" r:id="rId6"/>
    <sheet name="5#楼大堂安装合同内扣款" sheetId="14" r:id="rId7"/>
    <sheet name="电费" sheetId="15" r:id="rId8"/>
  </sheets>
  <definedNames>
    <definedName name="_xlnm.Print_Area" localSheetId="0">'2资料存档目录'!$A$1:$F$23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<sst xmlns="http://schemas.openxmlformats.org/spreadsheetml/2006/main" count="544" uniqueCount="323">
  <si>
    <t>栾川山水文苑s1地块东大门及5#楼大堂装修工程合同结算资料存档目录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</si>
  <si>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</si>
  <si>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</si>
  <si>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</si>
  <si>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</si>
  <si>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</si>
  <si>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</si>
  <si>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栾川山水文苑s1地块东大门及5#楼大堂装修工程合同结算审批表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</si>
  <si>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</si>
  <si>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</si>
  <si>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</si>
  <si>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</si>
  <si>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</si>
  <si>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</si>
  <si>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</si>
  <si>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</si>
  <si>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第4页</t>
  </si>
  <si>
    <t>合同增加项目</t>
  </si>
  <si>
    <t>1份15页</t>
  </si>
  <si>
    <t>第5-19页</t>
  </si>
  <si>
    <t>土建部分未施工项目</t>
  </si>
  <si>
    <t>1份2页</t>
  </si>
  <si>
    <t>第20-21页</t>
  </si>
  <si>
    <t>东大门安装部分扣款</t>
  </si>
  <si>
    <t>1份3页</t>
  </si>
  <si>
    <t>第22-24页</t>
  </si>
  <si>
    <t>5#楼大堂合同捏扣款</t>
  </si>
  <si>
    <t>第25页</t>
  </si>
  <si>
    <t>电费扣款</t>
  </si>
  <si>
    <t>第26页</t>
  </si>
  <si>
    <t>结算申请单</t>
  </si>
  <si>
    <t>第27页</t>
  </si>
  <si>
    <t>结算通知书</t>
  </si>
  <si>
    <t>第28页</t>
  </si>
  <si>
    <t>授权委托书</t>
  </si>
  <si>
    <t>第29页</t>
  </si>
  <si>
    <t>工程资料核对确认单</t>
  </si>
  <si>
    <t>第30页</t>
  </si>
  <si>
    <t>工程往来账目明细</t>
  </si>
  <si>
    <t>第31页</t>
  </si>
  <si>
    <t>验收单</t>
  </si>
  <si>
    <t>第32-33页</t>
  </si>
  <si>
    <t>工程结算工作交接单</t>
  </si>
  <si>
    <t>第34-35页</t>
  </si>
  <si>
    <t>栾川山水文苑s1地块东大门及5#楼大堂装修工程合同审批</t>
  </si>
  <si>
    <t>1份11页</t>
  </si>
  <si>
    <t>一本</t>
  </si>
  <si>
    <t>竣工图</t>
  </si>
  <si>
    <t>本</t>
  </si>
  <si>
    <t>施工单位报送资料</t>
  </si>
  <si>
    <t>若干</t>
  </si>
  <si>
    <t>造价师：</t>
  </si>
  <si>
    <t>日期：</t>
  </si>
  <si>
    <t>栾川山水文苑s1地块东大门及5#楼大堂装修工程合同结算汇总表</t>
  </si>
  <si>
    <t xml:space="preserve">合同编号：LCS1-JP-049                                  合同金额：106000元 </t>
  </si>
  <si>
    <t>合同名称：栾川山水文苑s1地块东大门及5#楼大堂装修工程合同</t>
  </si>
  <si>
    <t>甲    方：栾川县浩德颐康文旅有限公司</t>
  </si>
  <si>
    <t>乙    方：河南邦丰装饰工程有限公司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</si>
  <si>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</si>
  <si>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</si>
  <si>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</si>
  <si>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</si>
  <si>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</si>
  <si>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</si>
  <si>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</si>
  <si>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</si>
  <si>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</si>
  <si>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</si>
  <si>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</si>
  <si>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</si>
  <si>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</si>
  <si>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</si>
  <si>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</si>
  <si>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</si>
  <si>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</si>
  <si>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</si>
  <si>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</si>
  <si>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</si>
  <si>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</si>
  <si>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</si>
  <si>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</si>
  <si>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</si>
  <si>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</si>
  <si>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</si>
  <si>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</si>
  <si>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</si>
  <si>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</si>
  <si>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</si>
  <si>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</si>
  <si>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</si>
  <si>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</si>
  <si>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</si>
  <si>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栾川山水文苑s1地块东大门及5#楼大堂装修工程合同结算明细</t>
  </si>
  <si>
    <t>单位</t>
  </si>
  <si>
    <t>工程量</t>
  </si>
  <si>
    <t>综合单价(元)</t>
  </si>
  <si>
    <t>合价(元)</t>
  </si>
  <si>
    <t>合同总价包干</t>
  </si>
  <si>
    <t>项</t>
  </si>
  <si>
    <t>合同增加项</t>
  </si>
  <si>
    <t>土建部分合同内未施工项</t>
  </si>
  <si>
    <t>东大门安装合同内扣款</t>
  </si>
  <si>
    <t>5#楼大堂安装合同内扣除</t>
  </si>
  <si>
    <t>水电费分摊</t>
  </si>
  <si>
    <t>合计</t>
  </si>
  <si>
    <t>八</t>
  </si>
  <si>
    <t>最终合同结算</t>
  </si>
  <si>
    <t>甲方</t>
  </si>
  <si>
    <t>乙方</t>
  </si>
  <si>
    <t>日期</t>
  </si>
  <si>
    <t>东大门增加项目</t>
  </si>
  <si>
    <t>综合单位</t>
  </si>
  <si>
    <t>设计变更部分</t>
  </si>
  <si>
    <t>东大门左侧围墙加高</t>
  </si>
  <si>
    <t>m3</t>
  </si>
  <si>
    <t>参照合同砖基础价格</t>
  </si>
  <si>
    <t>亚克力更换云石片</t>
  </si>
  <si>
    <t>m2</t>
  </si>
  <si>
    <t>协商价格</t>
  </si>
  <si>
    <t>踢脚线100增加</t>
  </si>
  <si>
    <t>参照公区价格</t>
  </si>
  <si>
    <t>沥青厚度调整50调整为80mm</t>
  </si>
  <si>
    <t>市场询价 量小、根据以往第三方价格调整</t>
  </si>
  <si>
    <t>砾石散铺（铺装调整）</t>
  </si>
  <si>
    <t>市场询价</t>
  </si>
  <si>
    <t>增加150宽石材铺装（沥青调整）</t>
  </si>
  <si>
    <r>
      <rPr>
        <sz val="10"/>
        <rFont val="Arial"/>
        <charset val="1"/>
      </rPr>
      <t>pc</t>
    </r>
    <r>
      <rPr>
        <sz val="10"/>
        <rFont val="宋体"/>
        <charset val="1"/>
      </rPr>
      <t>铺装增加</t>
    </r>
  </si>
  <si>
    <t>合同价格</t>
  </si>
  <si>
    <t>素土夯实</t>
  </si>
  <si>
    <t>碎石垫层</t>
  </si>
  <si>
    <t>砼垫层</t>
  </si>
  <si>
    <t>小计</t>
  </si>
  <si>
    <t>派发单001</t>
  </si>
  <si>
    <t>不锈钢不锈钢造型</t>
  </si>
  <si>
    <t>个</t>
  </si>
  <si>
    <t>排水够增加7m</t>
  </si>
  <si>
    <t>混凝土垫层</t>
  </si>
  <si>
    <t>砖砌体</t>
  </si>
  <si>
    <t>粉刷</t>
  </si>
  <si>
    <t>参照第三方零星合同</t>
  </si>
  <si>
    <t>芝麻灰花岗岩排水篦子</t>
  </si>
  <si>
    <t>详见约谈纪录，含打孔及扣除pc砖价格</t>
  </si>
  <si>
    <t>车库入口挡墙粉刷及喷真石漆</t>
  </si>
  <si>
    <t>参照合同价，扣掉拉槽价格</t>
  </si>
  <si>
    <t>东门门消防门加高2m</t>
  </si>
  <si>
    <t>玻璃变成灰色玻璃</t>
  </si>
  <si>
    <t>两层玻璃均颜色</t>
  </si>
  <si>
    <t>混凝墙</t>
  </si>
  <si>
    <r>
      <rPr>
        <sz val="10"/>
        <rFont val="Arial"/>
        <charset val="1"/>
      </rPr>
      <t>5#</t>
    </r>
    <r>
      <rPr>
        <sz val="10"/>
        <rFont val="宋体"/>
        <charset val="1"/>
      </rPr>
      <t>楼东西单元真石漆</t>
    </r>
  </si>
  <si>
    <t>钢架施工完成后拆除</t>
  </si>
  <si>
    <t>单元</t>
  </si>
  <si>
    <t>派发单002</t>
  </si>
  <si>
    <t>电动闭门器 含电线</t>
  </si>
  <si>
    <t>DN50焊接钢管</t>
  </si>
  <si>
    <t>m</t>
  </si>
  <si>
    <t>定制吸顶灯 直径300声光控</t>
  </si>
  <si>
    <t>定制吸顶灯 直径400声光控</t>
  </si>
  <si>
    <t>ZRBV-2.5</t>
  </si>
  <si>
    <t>PVC110</t>
  </si>
  <si>
    <t>牌匾重新更换发光</t>
  </si>
  <si>
    <t>参照鼎甲门匾价格执行</t>
  </si>
  <si>
    <t>元</t>
  </si>
  <si>
    <t>栾川山水文苑项目东大门硬质景观未施工项目</t>
  </si>
  <si>
    <t>项目特征描述</t>
  </si>
  <si>
    <t>计量
单位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</si>
  <si>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</si>
  <si>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</si>
  <si>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</si>
  <si>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</si>
  <si>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</si>
  <si>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</si>
  <si>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</si>
  <si>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</si>
  <si>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C-2.01~2.14东侧次入口大门</t>
  </si>
  <si>
    <t>不锈钢装饰板</t>
  </si>
  <si>
    <t>1.2厚304#不锈钢拉丝面电镀深咖色
2.具体做法详见图纸设计
3.其他说明：其它满足规范和设计图纸要求</t>
  </si>
  <si>
    <t>根据设计变更第6条</t>
  </si>
  <si>
    <t>屋面回纹装饰</t>
  </si>
  <si>
    <t>1.2厚304#不锈钢拉丝面电镀深咖色，背部趁透光亚克力板，内藏灯带。
2.具体做法详见图纸设计
3.其他说明：其它满足规范和设计图纸要求</t>
  </si>
  <si>
    <t>屋面檐口装饰件</t>
  </si>
  <si>
    <t>1.2厚304#不锈钢拉丝面电镀深咖色，檐口装饰件，按型折
2.具体做法详见图纸设计
3.其他说明：其它满足规范和设计图纸要求</t>
  </si>
  <si>
    <t>LOGO字体</t>
  </si>
  <si>
    <t>1.部位：大门正立面：“山水文苑+中浩德”
2.2厚不锈钢拉丝面电镀深咖色，突出墙面30mm，具体做法详见图纸设计，由专业厂家制作安装。
3.其他说明：其它满足规范和设计图纸要求</t>
  </si>
  <si>
    <t>大门墙面装饰</t>
  </si>
  <si>
    <t>墙面不锈钢拉丝面装饰</t>
  </si>
  <si>
    <t>墙面金属线条</t>
  </si>
  <si>
    <t>1.20宽2厚304#不锈钢装饰条，拉丝面电镀深咖色镶嵌于墙上
2.具体做法详见图纸设计
3.其他说明：其它满足规范和设计图纸要求</t>
  </si>
  <si>
    <t>C-4.01~C-4.03东门景墙二装饰及结构</t>
  </si>
  <si>
    <t>景墙墙面干挂石材</t>
  </si>
  <si>
    <t>1.景墙正面：25厚芝麻白花岗岩荔枝面干挂，表面拉5*5槽@100
2.具体做法详见图纸设计
3.其他说明：其它满足规范和设计图纸要求</t>
  </si>
  <si>
    <t>B-6.01~6.04次入口围墙</t>
  </si>
  <si>
    <t>围墙墙面装饰</t>
  </si>
  <si>
    <t>1.景墙侧面：喷涂外墙米白色仿石漆，拉5*5槽@100，刮外墙腻子2-3遍，干后砂平。
2.10厚1:2水泥砂浆找平铁模压光，15厚1:3水泥砂浆砂浆打底扫光或划出纹道。
3.具体做法详见图纸设计
4.其它满足规范和设计图纸要求</t>
  </si>
  <si>
    <t>踢脚线</t>
  </si>
  <si>
    <t>1.15厚100*600灰色仿石砖踢脚线+25厚1:2.5水泥砂浆粘结层
2.具体做法详见图纸设计
3.其他说明：其它满足规范和设计图纸要求</t>
  </si>
  <si>
    <t>5#楼精装大堂装修工程-装饰</t>
  </si>
  <si>
    <t>地面</t>
  </si>
  <si>
    <t>瓷砖过门石</t>
  </si>
  <si>
    <t>过门石取消，改为地铺通铺，</t>
  </si>
  <si>
    <t>墙面金属收口</t>
  </si>
  <si>
    <t>未施工</t>
  </si>
  <si>
    <t>平吊天花部分涂料</t>
  </si>
  <si>
    <t>1.无机涂料两遍
涂料重复</t>
  </si>
  <si>
    <t>5#楼入户平台铺装</t>
  </si>
  <si>
    <t>1.素土夯实，密实度≥0.93
2、土方清理开挖至垫层底标高
3.其它满足规范和设计图纸要求</t>
  </si>
  <si>
    <t>天然级配砂石垫层</t>
  </si>
  <si>
    <t xml:space="preserve">
150厚天然级配砂石垫层</t>
  </si>
  <si>
    <t>C20混凝土垫层</t>
  </si>
  <si>
    <t xml:space="preserve">
100厚C20混凝土垫层</t>
  </si>
  <si>
    <t>仿芝麻黑荔枝面石英砖</t>
  </si>
  <si>
    <t>1.15厚200*200仿芝麻黑荔枝面石英砖
2.30厚1：3干硬性水泥砂浆粘结层
3.其它满足规范和设计图纸要求</t>
  </si>
  <si>
    <t>仿福鼎黑荔枝面石英砖</t>
  </si>
  <si>
    <t>1.15厚100*100仿福鼎黑水洗面石英砖
2.30厚1：3干硬性水泥砂浆粘结层
3.其它满足规范和设计图纸要求</t>
  </si>
  <si>
    <t>仿芝麻灰荔枝面石英砖</t>
  </si>
  <si>
    <t>1.15厚300*300仿芝麻灰荔枝面石英砖
2.30厚1：3干硬性水泥砂浆粘结层
3.其它满足规范和设计图纸要求</t>
  </si>
  <si>
    <t>1.15厚150*150仿芝麻黑荔枝面石英砖
2.30厚1：3干硬性水泥砂浆粘结层
3.其它满足规范和设计图纸要求</t>
  </si>
  <si>
    <t>1.15厚600*200仿芝麻灰荔枝面石英砖
2.30厚1：3干硬性水泥砂浆粘结层
3.其它满足规范和设计图纸要求</t>
  </si>
  <si>
    <t>门头部分</t>
  </si>
  <si>
    <t>墙面石材</t>
  </si>
  <si>
    <t>1、25mm厚花岗岩（芝麻黑，冷色系石材）
2、M8x30不锈钢螺栓组
3、泡沫棒&amp;硅酮耐候密封胶
4、不锈钢石材挂件
5、其它满足规范和设计图纸要求</t>
  </si>
  <si>
    <t>防水钢板</t>
  </si>
  <si>
    <t>1、1.5mm镀锌钢板防水层
2、其它满足规范和设计图纸要求</t>
  </si>
  <si>
    <t>栾川山水文苑S1地块东大门安装清单与计价表</t>
  </si>
  <si>
    <t>工程项目名称</t>
  </si>
  <si>
    <t>工程内容</t>
  </si>
  <si>
    <t>工程量
g</t>
  </si>
  <si>
    <t>管理费及利润
d=(a+b+c)*费率</t>
  </si>
  <si>
    <t>电气</t>
  </si>
  <si>
    <t>双管日光灯</t>
  </si>
  <si>
    <t xml:space="preserve">1、名称:双管日光灯
2、规格:2X28W Cos%%C&gt;0.9
3、吸顶安装
4、未详尽处满足图纸设计、相关规范要求                    </t>
  </si>
  <si>
    <t>佛山。雷士、三雄极光</t>
  </si>
  <si>
    <t xml:space="preserve">1、名称:双管日光灯
               </t>
  </si>
  <si>
    <t>变更增加，品牌不一样</t>
  </si>
  <si>
    <t>暗装单极开关</t>
  </si>
  <si>
    <t xml:space="preserve">1、名称:暗装单极开关
2、规格:(~220V 10A)
3、暗装 距地1.3m
4、未详尽处满足图纸设计、相关规范要求                    </t>
  </si>
  <si>
    <t>变更增加，品牌档次提高至施耐德</t>
  </si>
  <si>
    <t>暗装单相五孔插座(安全型)</t>
  </si>
  <si>
    <t xml:space="preserve">1、名称:暗装单相五孔插座(安全型)
2、规格:(~220V 10A)
3、暗装 距地0.30m 
4、未详尽处满足图纸设计、相关规范要求                    </t>
  </si>
  <si>
    <t>成品壁灯</t>
  </si>
  <si>
    <t xml:space="preserve">1、名称:成品壁灯
2、规格:详见立面图
3、未详尽处满足图纸设计、相关规范要求                    </t>
  </si>
  <si>
    <t>套</t>
  </si>
  <si>
    <t>配线</t>
  </si>
  <si>
    <t>1、名称：配线
2、规格：BV-2.5
3、敷设方式:穿管敷设
4、未详尽处满足图纸设计、相关规范要求</t>
  </si>
  <si>
    <t>变更增加</t>
  </si>
  <si>
    <t>1、名称：配线
2、规格：BV-4
3、敷设方式:穿管敷设
4、未详尽处满足图纸设计、相关规范要求</t>
  </si>
  <si>
    <t>筒灯  12W</t>
  </si>
  <si>
    <t>变更增加，欧普</t>
  </si>
  <si>
    <t>给排水</t>
  </si>
  <si>
    <t>雨水管</t>
  </si>
  <si>
    <t>1、名称：雨水管
2、规格：UPVC De110
3、含管材管件
4、未详尽处满足图纸设计、相关规范要求</t>
  </si>
  <si>
    <t>联塑。伟星、金牛</t>
  </si>
  <si>
    <t>1、名称：雨水管
2、规格：UPVC De50
3、含管材管件
4、未详尽处满足图纸设计、相关规范要求</t>
  </si>
  <si>
    <t>变更为2跟50管</t>
  </si>
  <si>
    <t>视频监控系统</t>
  </si>
  <si>
    <t>千兆交换机(汇聚)</t>
  </si>
  <si>
    <t xml:space="preserve">1、名称:千兆交换机(汇聚)
2、规格:24个千兆电口,2个千兆上行光口,带2千兆复用电口,管理型交换容量:256Gbps以上,包转发率:96Mpps以上
3、未详尽处满足图纸设计、相关规范要求                   </t>
  </si>
  <si>
    <t>经项目同意，优化品牌，双方协商认价</t>
  </si>
  <si>
    <t>视频监控管理软件</t>
  </si>
  <si>
    <t>1、名称:视频监控管理软件
2、满足与物业平台对接的一切费用</t>
  </si>
  <si>
    <t>海康</t>
  </si>
  <si>
    <t>楼宇对讲系统</t>
  </si>
  <si>
    <t>单门磁力锁</t>
  </si>
  <si>
    <t>1、名称:单门磁力锁
2、规格：280kg
3、未详尽处满足图纸设计、相关规范要求</t>
  </si>
  <si>
    <t>中控</t>
  </si>
  <si>
    <t>对讲区口机</t>
  </si>
  <si>
    <t>1、名称:对讲区口机
2、规格：支持刷卡、密码、二维码、人脸识别开锁
3、未详尽处满足图纸设计、相关规范要求</t>
  </si>
  <si>
    <t>发卡器</t>
  </si>
  <si>
    <t>1、名称:发卡器
2、规格：IC卡发卡
3、未详尽处满足图纸设计、相关规范要求</t>
  </si>
  <si>
    <t>楼宇对讲管理软件</t>
  </si>
  <si>
    <t>1、名称:楼宇对讲管理软件
2、满足与物业平台对接的一切费用</t>
  </si>
  <si>
    <t>人脸识别主机</t>
  </si>
  <si>
    <t>停车场管理系统</t>
  </si>
  <si>
    <t>无线遥控器</t>
  </si>
  <si>
    <t>1、名称:无线遥控器
2、规格：起杆、落杆,含接收器
3、未详尽处满足图纸设计、相关规范要求</t>
  </si>
  <si>
    <t>海康，变更增加</t>
  </si>
  <si>
    <t>道闸改广告杆增加费用</t>
  </si>
  <si>
    <t>双方协商</t>
  </si>
  <si>
    <t>停车场管理软件</t>
  </si>
  <si>
    <t>1、名称:停车场管理软件
2、满足与物业平台对接的一切费用</t>
  </si>
  <si>
    <t>景观照明</t>
  </si>
  <si>
    <t>射树灯</t>
  </si>
  <si>
    <t xml:space="preserve">1、名称:射树灯
2、规格:220V/20W LED/3000k IP67
3、未详尽处满足图纸设计、相关规范要求                    </t>
  </si>
  <si>
    <t>雾森系统</t>
  </si>
  <si>
    <t>雾喷机组</t>
  </si>
  <si>
    <t>1、名称：雾喷机组
2、规格、型号：CHM-3/16L-2.2KW
3、未详尽处满足图纸设计、相关规范要求</t>
  </si>
  <si>
    <t>台</t>
  </si>
  <si>
    <t>变更为4.1KW</t>
  </si>
  <si>
    <t>九</t>
  </si>
  <si>
    <t>景观雨污水</t>
  </si>
  <si>
    <t>高密度聚乙烯HDPE双壁波纹管</t>
  </si>
  <si>
    <t>1.安装部位:室外
2.介质:污水
3.材质、规格高密度聚乙烯HDPE双壁波纹管（环刚度SN4）De400
4.连接形式:双向承插弹性密封橡胶圈连接
5.管道基础：做法详图CECS164:2004
6.未详尽处满足图纸设计、相关规范要求</t>
  </si>
  <si>
    <t>1.安装部位:室外
2.介质:景观排水
3.材质、规格：高密度聚乙烯HDPE双壁波纹管（环刚度SN4）De200
4.连接形式:双向承插弹性密封橡胶圈连接
5.管道基础：做法详图CECS164:2004
6.未详尽处满足图纸设计、相关规范要求</t>
  </si>
  <si>
    <t>1.安装部位:室外
2.介质:雨水
3.材质、规格高密度聚乙烯HDPE双壁波纹管（环刚度SN4）DN500
4.连接形式:双向承插弹性密封橡胶圈连接
5.管道基础：做法详图CECS164:2004
6.未详尽处满足图纸设计、相关规范要求</t>
  </si>
  <si>
    <t>1.安装部位:室外
2.介质:雨水
3.材质、规格高密度聚乙烯HDPE双壁波纹管（环刚度SN4）DN300
4.连接形式:双向承插弹性密封橡胶圈连接
5.管道基础：做法详图CECS164:2004
6.未详尽处满足图纸设计、相关规范要求</t>
  </si>
  <si>
    <t>塑料井</t>
  </si>
  <si>
    <t>1.名称：塑料检查井（含井圈及井盖）
2.规格：Φ700
3.未详尽处满足图纸设计、相关规范要求</t>
  </si>
  <si>
    <t>座</t>
  </si>
  <si>
    <t>雨篦子</t>
  </si>
  <si>
    <t>1.名称：雨篦子
2.规格：做法详土建B-1.02(5/6)
3.未详尽处满足图纸设计、相关规范要求</t>
  </si>
  <si>
    <t>挖土方</t>
  </si>
  <si>
    <t>1、名称:土方的开挖
2、未详尽处满足图纸设计、相关规范要求</t>
  </si>
  <si>
    <t>回填土</t>
  </si>
  <si>
    <t>1、名称:土方的回填
2、未详尽处满足图纸设计、相关规范要求</t>
  </si>
  <si>
    <t>十</t>
  </si>
  <si>
    <t>临时工程暂定量</t>
  </si>
  <si>
    <t>给水管</t>
  </si>
  <si>
    <t>1、名称：PE给水管,S4系列
2、规格：De32
3、连接方式：热熔连接
4、压力等级:1.25Mpa
5、压力试验及吹、洗设计要求: 满足规范及设计要求
6、未详尽处满足图纸设计、相关规范要求</t>
  </si>
  <si>
    <t>水表De32</t>
  </si>
  <si>
    <t>阀门De32</t>
  </si>
  <si>
    <t>5#楼一层大堂精装工程-安装</t>
  </si>
  <si>
    <t>安装</t>
  </si>
  <si>
    <t/>
  </si>
  <si>
    <t>声光控灯</t>
  </si>
  <si>
    <t xml:space="preserve">1、名称:声光控灯  
2、规格:220V  12W
3、未详尽处满足图纸设计、相关规范要求                    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</si>
  <si>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</si>
  <si>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</si>
  <si>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</si>
  <si>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</si>
  <si>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出门按钮</t>
  </si>
  <si>
    <t xml:space="preserve">1、名称:出门按钮
2、暗装,H+1.45m
3、未详尽处满足图纸设计、相关规范要求                    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</si>
  <si>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</si>
  <si>
    <t>栾川山水文苑项目s1地块电费统计表</t>
  </si>
  <si>
    <t>邦丰（东大门）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</si>
</sst>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0_ "/>
    <numFmt numFmtId="179" formatCode="0.000_ "/>
    <numFmt numFmtId="180" formatCode="#,##0.00&quot;元&quot;"/>
  </numFmts>
  <fonts count="7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sz val="10"/>
      <name val="Microsoft YaHei"/>
      <charset val="1"/>
    </font>
    <font>
      <sz val="10"/>
      <name val="Microsoft YaHei"/>
      <charset val="134"/>
    </font>
    <font>
      <b/>
      <sz val="16"/>
      <name val="宋体"/>
      <charset val="134"/>
    </font>
    <font>
      <sz val="10"/>
      <color theme="0"/>
      <name val="宋体"/>
      <charset val="134"/>
      <scheme val="minor"/>
    </font>
    <font>
      <sz val="10"/>
      <name val="Arial"/>
      <charset val="1"/>
    </font>
    <font>
      <sz val="8"/>
      <name val="宋体"/>
      <charset val="134"/>
    </font>
    <font>
      <b/>
      <sz val="10"/>
      <name val="Microsoft YaHei"/>
      <charset val="134"/>
    </font>
    <font>
      <b/>
      <sz val="10"/>
      <name val="宋体"/>
      <charset val="134"/>
    </font>
    <font>
      <sz val="10"/>
      <name val="Microsoft YaHei"/>
      <charset val="0"/>
    </font>
    <font>
      <sz val="14"/>
      <name val="宋体"/>
      <charset val="1"/>
    </font>
    <font>
      <sz val="12"/>
      <name val="宋体"/>
      <charset val="1"/>
    </font>
    <font>
      <b/>
      <sz val="12"/>
      <name val="宋体"/>
      <charset val="1"/>
    </font>
    <font>
      <sz val="10"/>
      <name val="宋体"/>
      <charset val="1"/>
    </font>
    <font>
      <b/>
      <sz val="12"/>
      <name val="宋体"/>
      <charset val="134"/>
    </font>
    <font>
      <b/>
      <sz val="10"/>
      <name val="宋体"/>
      <charset val="1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176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4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50" fillId="5" borderId="14" applyNumberFormat="0" applyAlignment="0" applyProtection="0">
      <alignment vertical="center"/>
    </xf>
    <xf numFmtId="0" fontId="51" fillId="6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176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176" fontId="59" fillId="34" borderId="0" applyNumberFormat="0" applyBorder="0" applyAlignment="0" applyProtection="0">
      <alignment vertical="center"/>
    </xf>
    <xf numFmtId="176" fontId="60" fillId="35" borderId="19" applyNumberFormat="0" applyAlignment="0" applyProtection="0">
      <alignment vertical="center"/>
    </xf>
    <xf numFmtId="176" fontId="59" fillId="36" borderId="0" applyNumberFormat="0" applyBorder="0" applyAlignment="0" applyProtection="0">
      <alignment vertical="center"/>
    </xf>
    <xf numFmtId="176" fontId="59" fillId="37" borderId="0" applyNumberFormat="0" applyBorder="0" applyAlignment="0" applyProtection="0">
      <alignment vertical="center"/>
    </xf>
    <xf numFmtId="176" fontId="59" fillId="38" borderId="0" applyNumberFormat="0" applyBorder="0" applyAlignment="0" applyProtection="0">
      <alignment vertical="center"/>
    </xf>
    <xf numFmtId="176" fontId="6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2" fillId="39" borderId="0" applyNumberFormat="0" applyBorder="0" applyAlignment="0" applyProtection="0">
      <alignment vertical="center"/>
    </xf>
    <xf numFmtId="176" fontId="59" fillId="40" borderId="0" applyNumberFormat="0" applyBorder="0" applyAlignment="0" applyProtection="0">
      <alignment vertical="center"/>
    </xf>
    <xf numFmtId="176" fontId="59" fillId="37" borderId="0" applyNumberFormat="0" applyBorder="0" applyAlignment="0" applyProtection="0">
      <alignment vertical="center"/>
    </xf>
    <xf numFmtId="176" fontId="59" fillId="39" borderId="0" applyNumberFormat="0" applyBorder="0" applyAlignment="0" applyProtection="0">
      <alignment vertical="center"/>
    </xf>
    <xf numFmtId="176" fontId="63" fillId="35" borderId="20" applyNumberFormat="0" applyAlignment="0" applyProtection="0">
      <alignment vertical="center"/>
    </xf>
    <xf numFmtId="176" fontId="0" fillId="0" borderId="0">
      <alignment vertical="center"/>
    </xf>
    <xf numFmtId="176" fontId="59" fillId="40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59" fillId="36" borderId="0" applyNumberFormat="0" applyBorder="0" applyAlignment="0" applyProtection="0">
      <alignment vertical="center"/>
    </xf>
    <xf numFmtId="176" fontId="59" fillId="34" borderId="0" applyNumberFormat="0" applyBorder="0" applyAlignment="0" applyProtection="0">
      <alignment vertical="center"/>
    </xf>
    <xf numFmtId="176" fontId="59" fillId="38" borderId="0" applyNumberFormat="0" applyBorder="0" applyAlignment="0" applyProtection="0">
      <alignment vertical="center"/>
    </xf>
    <xf numFmtId="176" fontId="63" fillId="35" borderId="20" applyNumberFormat="0" applyAlignment="0" applyProtection="0">
      <alignment vertical="center"/>
    </xf>
    <xf numFmtId="176" fontId="59" fillId="40" borderId="0" applyNumberFormat="0" applyBorder="0" applyAlignment="0" applyProtection="0">
      <alignment vertical="center"/>
    </xf>
    <xf numFmtId="176" fontId="0" fillId="0" borderId="0">
      <alignment vertical="center"/>
    </xf>
    <xf numFmtId="176" fontId="59" fillId="42" borderId="0" applyNumberFormat="0" applyBorder="0" applyAlignment="0" applyProtection="0">
      <alignment vertical="center"/>
    </xf>
    <xf numFmtId="176" fontId="59" fillId="42" borderId="0" applyNumberFormat="0" applyBorder="0" applyAlignment="0" applyProtection="0">
      <alignment vertical="center"/>
    </xf>
    <xf numFmtId="176" fontId="59" fillId="43" borderId="0" applyNumberFormat="0" applyBorder="0" applyAlignment="0" applyProtection="0">
      <alignment vertical="center"/>
    </xf>
    <xf numFmtId="176" fontId="59" fillId="43" borderId="0" applyNumberFormat="0" applyBorder="0" applyAlignment="0" applyProtection="0">
      <alignment vertical="center"/>
    </xf>
    <xf numFmtId="176" fontId="59" fillId="39" borderId="0" applyNumberFormat="0" applyBorder="0" applyAlignment="0" applyProtection="0">
      <alignment vertical="center"/>
    </xf>
    <xf numFmtId="176" fontId="59" fillId="44" borderId="0" applyNumberFormat="0" applyBorder="0" applyAlignment="0" applyProtection="0">
      <alignment vertical="center"/>
    </xf>
    <xf numFmtId="176" fontId="60" fillId="35" borderId="19" applyNumberFormat="0" applyAlignment="0" applyProtection="0">
      <alignment vertical="center"/>
    </xf>
    <xf numFmtId="176" fontId="59" fillId="44" borderId="0" applyNumberFormat="0" applyBorder="0" applyAlignment="0" applyProtection="0">
      <alignment vertical="center"/>
    </xf>
    <xf numFmtId="176" fontId="59" fillId="40" borderId="0" applyNumberFormat="0" applyBorder="0" applyAlignment="0" applyProtection="0">
      <alignment vertical="center"/>
    </xf>
    <xf numFmtId="176" fontId="65" fillId="45" borderId="21" applyNumberFormat="0" applyAlignment="0" applyProtection="0">
      <alignment vertical="center"/>
    </xf>
    <xf numFmtId="176" fontId="59" fillId="37" borderId="0" applyNumberFormat="0" applyBorder="0" applyAlignment="0" applyProtection="0">
      <alignment vertical="center"/>
    </xf>
    <xf numFmtId="176" fontId="59" fillId="37" borderId="0" applyNumberFormat="0" applyBorder="0" applyAlignment="0" applyProtection="0">
      <alignment vertical="center"/>
    </xf>
    <xf numFmtId="176" fontId="59" fillId="46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59" fillId="46" borderId="0" applyNumberFormat="0" applyBorder="0" applyAlignment="0" applyProtection="0">
      <alignment vertical="center"/>
    </xf>
    <xf numFmtId="176" fontId="62" fillId="47" borderId="0" applyNumberFormat="0" applyBorder="0" applyAlignment="0" applyProtection="0">
      <alignment vertical="center"/>
    </xf>
    <xf numFmtId="176" fontId="62" fillId="47" borderId="0" applyNumberFormat="0" applyBorder="0" applyAlignment="0" applyProtection="0">
      <alignment vertical="center"/>
    </xf>
    <xf numFmtId="176" fontId="62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8" borderId="0" applyNumberFormat="0" applyBorder="0" applyAlignment="0" applyProtection="0">
      <alignment vertical="center"/>
    </xf>
    <xf numFmtId="176" fontId="62" fillId="48" borderId="0" applyNumberFormat="0" applyBorder="0" applyAlignment="0" applyProtection="0">
      <alignment vertical="center"/>
    </xf>
    <xf numFmtId="176" fontId="62" fillId="49" borderId="0" applyNumberFormat="0" applyBorder="0" applyAlignment="0" applyProtection="0">
      <alignment vertical="center"/>
    </xf>
    <xf numFmtId="176" fontId="62" fillId="49" borderId="0" applyNumberFormat="0" applyBorder="0" applyAlignment="0" applyProtection="0">
      <alignment vertical="center"/>
    </xf>
    <xf numFmtId="176" fontId="62" fillId="50" borderId="0" applyNumberFormat="0" applyBorder="0" applyAlignment="0" applyProtection="0">
      <alignment vertical="center"/>
    </xf>
    <xf numFmtId="176" fontId="62" fillId="50" borderId="0" applyNumberFormat="0" applyBorder="0" applyAlignment="0" applyProtection="0">
      <alignment vertical="center"/>
    </xf>
    <xf numFmtId="176" fontId="66" fillId="0" borderId="22" applyNumberFormat="0" applyFill="0" applyAlignment="0" applyProtection="0">
      <alignment vertical="center"/>
    </xf>
    <xf numFmtId="176" fontId="66" fillId="0" borderId="22" applyNumberFormat="0" applyFill="0" applyAlignment="0" applyProtection="0">
      <alignment vertical="center"/>
    </xf>
    <xf numFmtId="176" fontId="67" fillId="0" borderId="23" applyNumberFormat="0" applyFill="0" applyAlignment="0" applyProtection="0">
      <alignment vertical="center"/>
    </xf>
    <xf numFmtId="176" fontId="67" fillId="0" borderId="23" applyNumberFormat="0" applyFill="0" applyAlignment="0" applyProtection="0">
      <alignment vertical="center"/>
    </xf>
    <xf numFmtId="176" fontId="68" fillId="0" borderId="24" applyNumberFormat="0" applyFill="0" applyAlignment="0" applyProtection="0">
      <alignment vertical="center"/>
    </xf>
    <xf numFmtId="176" fontId="68" fillId="0" borderId="24" applyNumberFormat="0" applyFill="0" applyAlignment="0" applyProtection="0">
      <alignment vertical="center"/>
    </xf>
    <xf numFmtId="176" fontId="68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70" fillId="38" borderId="0" applyNumberFormat="0" applyBorder="0" applyAlignment="0" applyProtection="0">
      <alignment vertical="center"/>
    </xf>
    <xf numFmtId="176" fontId="70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1" fillId="0" borderId="0" applyNumberFormat="0" applyFill="0" applyBorder="0" applyAlignment="0" applyProtection="0">
      <alignment vertical="center"/>
    </xf>
    <xf numFmtId="176" fontId="71" fillId="36" borderId="0" applyNumberFormat="0" applyBorder="0" applyAlignment="0" applyProtection="0">
      <alignment vertical="center"/>
    </xf>
    <xf numFmtId="176" fontId="71" fillId="36" borderId="0" applyNumberFormat="0" applyBorder="0" applyAlignment="0" applyProtection="0">
      <alignment vertical="center"/>
    </xf>
    <xf numFmtId="176" fontId="72" fillId="0" borderId="25" applyNumberFormat="0" applyFill="0" applyAlignment="0" applyProtection="0">
      <alignment vertical="center"/>
    </xf>
    <xf numFmtId="176" fontId="72" fillId="0" borderId="25" applyNumberFormat="0" applyFill="0" applyAlignment="0" applyProtection="0">
      <alignment vertical="center"/>
    </xf>
    <xf numFmtId="176" fontId="65" fillId="45" borderId="21" applyNumberFormat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4" fillId="0" borderId="26" applyNumberFormat="0" applyFill="0" applyAlignment="0" applyProtection="0">
      <alignment vertical="center"/>
    </xf>
    <xf numFmtId="176" fontId="74" fillId="0" borderId="26" applyNumberFormat="0" applyFill="0" applyAlignment="0" applyProtection="0">
      <alignment vertical="center"/>
    </xf>
    <xf numFmtId="176" fontId="62" fillId="51" borderId="0" applyNumberFormat="0" applyBorder="0" applyAlignment="0" applyProtection="0">
      <alignment vertical="center"/>
    </xf>
    <xf numFmtId="176" fontId="62" fillId="51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3" borderId="0" applyNumberFormat="0" applyBorder="0" applyAlignment="0" applyProtection="0">
      <alignment vertical="center"/>
    </xf>
    <xf numFmtId="176" fontId="62" fillId="53" borderId="0" applyNumberFormat="0" applyBorder="0" applyAlignment="0" applyProtection="0">
      <alignment vertical="center"/>
    </xf>
    <xf numFmtId="176" fontId="62" fillId="48" borderId="0" applyNumberFormat="0" applyBorder="0" applyAlignment="0" applyProtection="0">
      <alignment vertical="center"/>
    </xf>
    <xf numFmtId="176" fontId="62" fillId="48" borderId="0" applyNumberFormat="0" applyBorder="0" applyAlignment="0" applyProtection="0">
      <alignment vertical="center"/>
    </xf>
    <xf numFmtId="176" fontId="62" fillId="49" borderId="0" applyNumberFormat="0" applyBorder="0" applyAlignment="0" applyProtection="0">
      <alignment vertical="center"/>
    </xf>
    <xf numFmtId="176" fontId="62" fillId="49" borderId="0" applyNumberFormat="0" applyBorder="0" applyAlignment="0" applyProtection="0">
      <alignment vertical="center"/>
    </xf>
    <xf numFmtId="176" fontId="62" fillId="54" borderId="0" applyNumberFormat="0" applyBorder="0" applyAlignment="0" applyProtection="0">
      <alignment vertical="center"/>
    </xf>
    <xf numFmtId="176" fontId="62" fillId="54" borderId="0" applyNumberFormat="0" applyBorder="0" applyAlignment="0" applyProtection="0">
      <alignment vertical="center"/>
    </xf>
    <xf numFmtId="176" fontId="75" fillId="43" borderId="19" applyNumberFormat="0" applyAlignment="0" applyProtection="0">
      <alignment vertical="center"/>
    </xf>
    <xf numFmtId="176" fontId="75" fillId="43" borderId="19" applyNumberFormat="0" applyAlignment="0" applyProtection="0">
      <alignment vertical="center"/>
    </xf>
    <xf numFmtId="176" fontId="0" fillId="55" borderId="27" applyNumberFormat="0" applyFont="0" applyAlignment="0" applyProtection="0">
      <alignment vertical="center"/>
    </xf>
    <xf numFmtId="176" fontId="0" fillId="55" borderId="27" applyNumberFormat="0" applyFont="0" applyAlignment="0" applyProtection="0">
      <alignment vertical="center"/>
    </xf>
    <xf numFmtId="0" fontId="0" fillId="0" borderId="0">
      <alignment vertical="center"/>
    </xf>
  </cellStyleXfs>
  <cellXfs count="175">
    <xf numFmtId="176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177" fontId="3" fillId="0" borderId="9" xfId="0" applyNumberFormat="1" applyFont="1" applyFill="1" applyBorder="1" applyAlignment="1" applyProtection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left" vertical="center" wrapText="1"/>
    </xf>
    <xf numFmtId="177" fontId="4" fillId="0" borderId="10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4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13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8" fillId="0" borderId="0" xfId="0" applyFont="1" applyFill="1">
      <alignment vertical="center"/>
    </xf>
    <xf numFmtId="176" fontId="8" fillId="0" borderId="0" xfId="0" applyFont="1">
      <alignment vertical="center"/>
    </xf>
    <xf numFmtId="177" fontId="8" fillId="0" borderId="0" xfId="0" applyNumberFormat="1" applyFont="1">
      <alignment vertical="center"/>
    </xf>
    <xf numFmtId="176" fontId="0" fillId="0" borderId="0" xfId="0" applyFont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76" fontId="8" fillId="0" borderId="1" xfId="0" applyFont="1" applyBorder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77" fontId="1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8" fillId="0" borderId="1" xfId="0" applyFont="1" applyFill="1" applyBorder="1">
      <alignment vertical="center"/>
    </xf>
    <xf numFmtId="177" fontId="0" fillId="0" borderId="0" xfId="0" applyNumberFormat="1" applyFont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>
      <alignment vertical="center"/>
    </xf>
    <xf numFmtId="176" fontId="8" fillId="0" borderId="3" xfId="0" applyFont="1" applyBorder="1" applyAlignment="1">
      <alignment horizontal="center" vertical="center" wrapText="1"/>
    </xf>
    <xf numFmtId="176" fontId="8" fillId="0" borderId="7" xfId="0" applyFont="1" applyBorder="1" applyAlignment="1">
      <alignment horizontal="center" vertical="center" wrapText="1"/>
    </xf>
    <xf numFmtId="176" fontId="8" fillId="0" borderId="7" xfId="0" applyFont="1" applyFill="1" applyBorder="1" applyAlignment="1">
      <alignment horizontal="center" vertical="center" wrapText="1"/>
    </xf>
    <xf numFmtId="176" fontId="8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Alignment="1">
      <alignment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wrapText="1"/>
    </xf>
    <xf numFmtId="0" fontId="21" fillId="0" borderId="1" xfId="0" applyNumberFormat="1" applyFont="1" applyFill="1" applyBorder="1" applyAlignment="1">
      <alignment horizontal="left" vertical="center" wrapText="1"/>
    </xf>
    <xf numFmtId="176" fontId="22" fillId="0" borderId="1" xfId="0" applyFont="1" applyBorder="1" applyAlignment="1">
      <alignment horizontal="center" vertical="center" wrapText="1"/>
    </xf>
    <xf numFmtId="176" fontId="22" fillId="0" borderId="1" xfId="0" applyFont="1" applyBorder="1" applyAlignment="1">
      <alignment horizontal="left" vertical="center" wrapText="1"/>
    </xf>
    <xf numFmtId="176" fontId="0" fillId="0" borderId="1" xfId="0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176" fontId="22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77" fontId="22" fillId="0" borderId="0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0" fillId="0" borderId="0" xfId="0" applyFont="1" applyAlignment="1">
      <alignment horizontal="center" vertical="center"/>
    </xf>
    <xf numFmtId="176" fontId="31" fillId="0" borderId="0" xfId="0" applyFont="1" applyAlignment="1">
      <alignment horizontal="left" vertical="center" wrapText="1"/>
    </xf>
    <xf numFmtId="176" fontId="31" fillId="0" borderId="0" xfId="0" applyFont="1" applyBorder="1" applyAlignment="1">
      <alignment horizontal="left" vertical="center" wrapText="1"/>
    </xf>
    <xf numFmtId="176" fontId="32" fillId="0" borderId="1" xfId="0" applyFont="1" applyBorder="1" applyAlignment="1">
      <alignment horizontal="center" vertical="center" wrapText="1"/>
    </xf>
    <xf numFmtId="176" fontId="33" fillId="0" borderId="1" xfId="0" applyFont="1" applyBorder="1" applyAlignment="1">
      <alignment horizontal="center" vertical="center" wrapText="1"/>
    </xf>
    <xf numFmtId="176" fontId="33" fillId="0" borderId="1" xfId="0" applyFont="1" applyBorder="1" applyAlignment="1">
      <alignment horizontal="justify" vertical="top" wrapText="1"/>
    </xf>
    <xf numFmtId="177" fontId="34" fillId="0" borderId="1" xfId="0" applyNumberFormat="1" applyFont="1" applyBorder="1" applyAlignment="1">
      <alignment horizontal="justify" vertical="top" wrapText="1"/>
    </xf>
    <xf numFmtId="177" fontId="34" fillId="0" borderId="1" xfId="0" applyNumberFormat="1" applyFont="1" applyBorder="1" applyAlignment="1">
      <alignment horizontal="center" vertical="top" wrapText="1"/>
    </xf>
    <xf numFmtId="176" fontId="34" fillId="0" borderId="1" xfId="0" applyFont="1" applyBorder="1" applyAlignment="1">
      <alignment horizontal="justify" vertical="top" wrapText="1"/>
    </xf>
    <xf numFmtId="180" fontId="34" fillId="0" borderId="1" xfId="0" applyNumberFormat="1" applyFont="1" applyBorder="1" applyAlignment="1">
      <alignment horizontal="justify" vertical="top" wrapText="1"/>
    </xf>
    <xf numFmtId="176" fontId="31" fillId="0" borderId="1" xfId="0" applyNumberFormat="1" applyFont="1" applyBorder="1" applyAlignment="1">
      <alignment horizontal="left" vertical="top" wrapText="1"/>
    </xf>
    <xf numFmtId="176" fontId="35" fillId="0" borderId="0" xfId="0" applyFont="1" applyAlignment="1">
      <alignment vertical="center" wrapText="1"/>
    </xf>
    <xf numFmtId="176" fontId="36" fillId="0" borderId="0" xfId="0" applyFont="1" applyAlignment="1">
      <alignment horizontal="left" vertical="center"/>
    </xf>
    <xf numFmtId="176" fontId="33" fillId="0" borderId="0" xfId="0" applyFont="1" applyAlignment="1">
      <alignment horizontal="justify" vertical="center"/>
    </xf>
    <xf numFmtId="176" fontId="33" fillId="0" borderId="0" xfId="0" applyFont="1" applyAlignment="1">
      <alignment horizontal="left" vertical="center" wrapText="1"/>
    </xf>
    <xf numFmtId="176" fontId="37" fillId="0" borderId="0" xfId="0" applyFont="1" applyFill="1" applyBorder="1" applyAlignment="1">
      <alignment vertical="center"/>
    </xf>
    <xf numFmtId="176" fontId="37" fillId="0" borderId="0" xfId="0" applyFont="1" applyFill="1" applyAlignment="1">
      <alignment vertical="center"/>
    </xf>
    <xf numFmtId="176" fontId="38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horizontal="left" vertical="center" wrapText="1"/>
    </xf>
    <xf numFmtId="176" fontId="22" fillId="0" borderId="0" xfId="0" applyFont="1" applyAlignment="1">
      <alignment horizontal="center" vertical="center" wrapText="1"/>
    </xf>
    <xf numFmtId="176" fontId="22" fillId="0" borderId="0" xfId="0" applyFont="1" applyAlignment="1">
      <alignment vertical="center" wrapText="1"/>
    </xf>
    <xf numFmtId="178" fontId="34" fillId="0" borderId="1" xfId="0" applyNumberFormat="1" applyFont="1" applyBorder="1" applyAlignment="1">
      <alignment horizontal="center" vertical="center" wrapText="1"/>
    </xf>
    <xf numFmtId="176" fontId="1" fillId="0" borderId="1" xfId="22" applyFont="1" applyFill="1" applyBorder="1" applyAlignment="1">
      <alignment vertical="center" wrapText="1"/>
    </xf>
    <xf numFmtId="176" fontId="1" fillId="0" borderId="1" xfId="22" applyFont="1" applyFill="1" applyBorder="1" applyAlignment="1">
      <alignment horizontal="center" vertical="center" wrapText="1"/>
    </xf>
    <xf numFmtId="176" fontId="8" fillId="0" borderId="0" xfId="0" applyFont="1" applyAlignment="1">
      <alignment vertical="center" wrapText="1"/>
    </xf>
    <xf numFmtId="176" fontId="39" fillId="0" borderId="0" xfId="0" applyFont="1" applyAlignment="1">
      <alignment vertical="center" wrapText="1"/>
    </xf>
    <xf numFmtId="176" fontId="39" fillId="0" borderId="0" xfId="0" applyFont="1" applyFill="1" applyBorder="1" applyAlignment="1">
      <alignment vertical="center" wrapText="1"/>
    </xf>
    <xf numFmtId="176" fontId="39" fillId="0" borderId="0" xfId="0" applyFont="1" applyFill="1" applyAlignment="1">
      <alignment vertical="center" wrapText="1"/>
    </xf>
    <xf numFmtId="178" fontId="1" fillId="0" borderId="1" xfId="22" applyNumberFormat="1" applyFont="1" applyFill="1" applyBorder="1" applyAlignment="1">
      <alignment horizontal="center" vertical="center" wrapText="1"/>
    </xf>
    <xf numFmtId="176" fontId="0" fillId="0" borderId="1" xfId="0" applyBorder="1" applyAlignment="1">
      <alignment horizontal="left" vertical="top" wrapText="1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  <cellStyle name="常规 7" xfId="14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J28" sqref="J28:J29"/>
    </sheetView>
  </sheetViews>
  <sheetFormatPr defaultColWidth="9" defaultRowHeight="14.25" outlineLevelCol="6"/>
  <cols>
    <col min="1" max="1" width="7.25" style="162" customWidth="1"/>
    <col min="2" max="2" width="40" style="107" customWidth="1"/>
    <col min="3" max="3" width="8.875" style="162" customWidth="1"/>
    <col min="4" max="4" width="9.625" style="162" customWidth="1"/>
    <col min="5" max="5" width="11" style="107" customWidth="1"/>
    <col min="6" max="6" width="6.5" style="163" customWidth="1"/>
    <col min="7" max="7" width="8.5" style="107" customWidth="1"/>
  </cols>
  <sheetData>
    <row r="1" ht="57.95" customHeight="1" spans="1:7">
      <c r="A1" s="164" t="s">
        <v>0</v>
      </c>
      <c r="B1" s="164"/>
      <c r="C1" s="164"/>
      <c r="D1" s="164"/>
      <c r="E1" s="164"/>
      <c r="F1" s="164"/>
      <c r="G1" s="165"/>
    </row>
    <row r="2" ht="30.75" customHeight="1" spans="1:6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5</v>
      </c>
      <c r="F2" s="119" t="s">
        <v>6</v>
      </c>
    </row>
    <row r="3" s="67" customFormat="1" ht="36" customHeight="1" spans="1:7">
      <c r="A3" s="166">
        <v>1</v>
      </c>
      <c r="B3" s="167" t="s">
        <v>7</v>
      </c>
      <c r="C3" s="168" t="s">
        <v>8</v>
      </c>
      <c r="D3" s="168" t="s">
        <v>9</v>
      </c>
      <c r="E3" s="167" t="s">
        <v>10</v>
      </c>
      <c r="F3" s="167"/>
      <c r="G3" s="169"/>
    </row>
    <row r="4" s="67" customFormat="1" ht="27" customHeight="1" spans="1:7">
      <c r="A4" s="166">
        <v>2</v>
      </c>
      <c r="B4" s="167" t="s">
        <v>11</v>
      </c>
      <c r="C4" s="168" t="s">
        <v>8</v>
      </c>
      <c r="D4" s="168" t="s">
        <v>12</v>
      </c>
      <c r="E4" s="167" t="s">
        <v>10</v>
      </c>
      <c r="F4" s="167"/>
      <c r="G4" s="169"/>
    </row>
    <row r="5" s="67" customFormat="1" ht="27" customHeight="1" spans="1:7">
      <c r="A5" s="166">
        <v>3</v>
      </c>
      <c r="B5" s="167" t="s">
        <v>13</v>
      </c>
      <c r="C5" s="168" t="s">
        <v>8</v>
      </c>
      <c r="D5" s="168" t="s">
        <v>14</v>
      </c>
      <c r="E5" s="167" t="s">
        <v>10</v>
      </c>
      <c r="F5" s="167"/>
      <c r="G5" s="169"/>
    </row>
    <row r="6" s="67" customFormat="1" ht="27" customHeight="1" spans="1:7">
      <c r="A6" s="166">
        <v>4</v>
      </c>
      <c r="B6" s="167" t="s">
        <v>15</v>
      </c>
      <c r="C6" s="168" t="s">
        <v>8</v>
      </c>
      <c r="D6" s="168" t="s">
        <v>16</v>
      </c>
      <c r="E6" s="167" t="s">
        <v>10</v>
      </c>
      <c r="F6" s="167"/>
      <c r="G6" s="169"/>
    </row>
    <row r="7" s="67" customFormat="1" ht="27" customHeight="1" spans="1:7">
      <c r="A7" s="166">
        <v>5</v>
      </c>
      <c r="B7" s="167" t="s">
        <v>17</v>
      </c>
      <c r="C7" s="168" t="s">
        <v>18</v>
      </c>
      <c r="D7" s="168" t="s">
        <v>19</v>
      </c>
      <c r="E7" s="167" t="s">
        <v>10</v>
      </c>
      <c r="F7" s="167"/>
      <c r="G7" s="169"/>
    </row>
    <row r="8" s="67" customFormat="1" ht="27" customHeight="1" spans="1:7">
      <c r="A8" s="166">
        <v>6</v>
      </c>
      <c r="B8" s="167" t="s">
        <v>20</v>
      </c>
      <c r="C8" s="168" t="s">
        <v>21</v>
      </c>
      <c r="D8" s="168" t="s">
        <v>22</v>
      </c>
      <c r="E8" s="167" t="s">
        <v>10</v>
      </c>
      <c r="F8" s="167"/>
      <c r="G8" s="169"/>
    </row>
    <row r="9" s="67" customFormat="1" ht="27" customHeight="1" spans="1:7">
      <c r="A9" s="166">
        <v>7</v>
      </c>
      <c r="B9" s="167" t="s">
        <v>23</v>
      </c>
      <c r="C9" s="168" t="s">
        <v>24</v>
      </c>
      <c r="D9" s="168" t="s">
        <v>25</v>
      </c>
      <c r="E9" s="167" t="s">
        <v>10</v>
      </c>
      <c r="F9" s="167"/>
      <c r="G9" s="169"/>
    </row>
    <row r="10" s="67" customFormat="1" ht="27" customHeight="1" spans="1:7">
      <c r="A10" s="166">
        <v>8</v>
      </c>
      <c r="B10" s="167" t="s">
        <v>26</v>
      </c>
      <c r="C10" s="168" t="s">
        <v>8</v>
      </c>
      <c r="D10" s="168" t="s">
        <v>27</v>
      </c>
      <c r="E10" s="167" t="s">
        <v>10</v>
      </c>
      <c r="F10" s="167"/>
      <c r="G10" s="169"/>
    </row>
    <row r="11" s="67" customFormat="1" ht="27" customHeight="1" spans="1:7">
      <c r="A11" s="166">
        <v>9</v>
      </c>
      <c r="B11" s="167" t="s">
        <v>28</v>
      </c>
      <c r="C11" s="168" t="s">
        <v>8</v>
      </c>
      <c r="D11" s="168" t="s">
        <v>29</v>
      </c>
      <c r="E11" s="167" t="s">
        <v>10</v>
      </c>
      <c r="F11" s="167"/>
      <c r="G11" s="169"/>
    </row>
    <row r="12" s="67" customFormat="1" ht="32.1" customHeight="1" spans="1:7">
      <c r="A12" s="166">
        <v>10</v>
      </c>
      <c r="B12" s="167" t="s">
        <v>30</v>
      </c>
      <c r="C12" s="168" t="s">
        <v>8</v>
      </c>
      <c r="D12" s="168" t="s">
        <v>31</v>
      </c>
      <c r="E12" s="167" t="s">
        <v>10</v>
      </c>
      <c r="F12" s="167"/>
      <c r="G12" s="170"/>
    </row>
    <row r="13" s="67" customFormat="1" ht="32.1" customHeight="1" spans="1:7">
      <c r="A13" s="166">
        <v>11</v>
      </c>
      <c r="B13" s="167" t="s">
        <v>32</v>
      </c>
      <c r="C13" s="168" t="s">
        <v>8</v>
      </c>
      <c r="D13" s="168" t="s">
        <v>33</v>
      </c>
      <c r="E13" s="167" t="s">
        <v>10</v>
      </c>
      <c r="F13" s="167"/>
      <c r="G13" s="170"/>
    </row>
    <row r="14" s="159" customFormat="1" ht="32.1" customHeight="1" spans="1:7">
      <c r="A14" s="166">
        <v>12</v>
      </c>
      <c r="B14" s="167" t="s">
        <v>34</v>
      </c>
      <c r="C14" s="168" t="s">
        <v>8</v>
      </c>
      <c r="D14" s="168" t="s">
        <v>35</v>
      </c>
      <c r="E14" s="167" t="s">
        <v>10</v>
      </c>
      <c r="F14" s="167"/>
      <c r="G14" s="171"/>
    </row>
    <row r="15" s="160" customFormat="1" ht="32.1" customHeight="1" spans="1:7">
      <c r="A15" s="166">
        <v>13</v>
      </c>
      <c r="B15" s="167" t="s">
        <v>36</v>
      </c>
      <c r="C15" s="168" t="s">
        <v>21</v>
      </c>
      <c r="D15" s="168" t="s">
        <v>37</v>
      </c>
      <c r="E15" s="167" t="s">
        <v>10</v>
      </c>
      <c r="F15" s="167"/>
      <c r="G15" s="172"/>
    </row>
    <row r="16" s="160" customFormat="1" ht="32.1" customHeight="1" spans="1:7">
      <c r="A16" s="166">
        <v>14</v>
      </c>
      <c r="B16" s="167" t="s">
        <v>38</v>
      </c>
      <c r="C16" s="168" t="s">
        <v>8</v>
      </c>
      <c r="D16" s="168" t="s">
        <v>39</v>
      </c>
      <c r="E16" s="167" t="s">
        <v>10</v>
      </c>
      <c r="F16" s="167"/>
      <c r="G16" s="172"/>
    </row>
    <row r="17" s="160" customFormat="1" ht="32.1" customHeight="1" spans="1:7">
      <c r="A17" s="166">
        <v>15</v>
      </c>
      <c r="B17" s="167" t="s">
        <v>40</v>
      </c>
      <c r="C17" s="168" t="s">
        <v>21</v>
      </c>
      <c r="D17" s="168" t="s">
        <v>41</v>
      </c>
      <c r="E17" s="167" t="s">
        <v>10</v>
      </c>
      <c r="F17" s="167"/>
      <c r="G17" s="172"/>
    </row>
    <row r="18" s="160" customFormat="1" ht="32.1" customHeight="1" spans="1:7">
      <c r="A18" s="166">
        <v>16</v>
      </c>
      <c r="B18" s="167" t="s">
        <v>42</v>
      </c>
      <c r="C18" s="168" t="s">
        <v>21</v>
      </c>
      <c r="D18" s="168" t="s">
        <v>43</v>
      </c>
      <c r="E18" s="167" t="s">
        <v>10</v>
      </c>
      <c r="F18" s="167"/>
      <c r="G18" s="172"/>
    </row>
    <row r="19" s="161" customFormat="1" ht="33" customHeight="1" spans="1:7">
      <c r="A19" s="166">
        <v>18</v>
      </c>
      <c r="B19" s="167" t="s">
        <v>44</v>
      </c>
      <c r="C19" s="168" t="s">
        <v>45</v>
      </c>
      <c r="D19" s="168" t="s">
        <v>46</v>
      </c>
      <c r="E19" s="167" t="s">
        <v>10</v>
      </c>
      <c r="F19" s="167"/>
      <c r="G19" s="172"/>
    </row>
    <row r="20" s="161" customFormat="1" ht="33" customHeight="1" spans="1:7">
      <c r="A20" s="166">
        <v>19</v>
      </c>
      <c r="B20" s="167" t="s">
        <v>47</v>
      </c>
      <c r="C20" s="168" t="s">
        <v>48</v>
      </c>
      <c r="D20" s="173">
        <v>5</v>
      </c>
      <c r="E20" s="167"/>
      <c r="F20" s="167"/>
      <c r="G20" s="172"/>
    </row>
    <row r="21" s="161" customFormat="1" ht="33" customHeight="1" spans="1:7">
      <c r="A21" s="166">
        <v>21</v>
      </c>
      <c r="B21" s="167" t="s">
        <v>49</v>
      </c>
      <c r="C21" s="168" t="s">
        <v>50</v>
      </c>
      <c r="D21" s="168"/>
      <c r="E21" s="167"/>
      <c r="F21" s="167"/>
      <c r="G21" s="172"/>
    </row>
    <row r="22" ht="33.95" customHeight="1" spans="1:6">
      <c r="A22" s="174" t="s">
        <v>51</v>
      </c>
      <c r="B22" s="174"/>
      <c r="C22" s="174" t="s">
        <v>52</v>
      </c>
      <c r="D22" s="174"/>
      <c r="E22" s="174"/>
      <c r="F22" s="174"/>
    </row>
    <row r="23" ht="26.1" customHeight="1" spans="1:6">
      <c r="A23" s="174"/>
      <c r="B23" s="174"/>
      <c r="C23" s="174"/>
      <c r="D23" s="174"/>
      <c r="E23" s="174"/>
      <c r="F23" s="174"/>
    </row>
    <row r="38" ht="43.5" customHeight="1"/>
  </sheetData>
  <mergeCells count="3">
    <mergeCell ref="A1:F1"/>
    <mergeCell ref="A22:B23"/>
    <mergeCell ref="C22:F2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7" sqref="H7"/>
    </sheetView>
  </sheetViews>
  <sheetFormatPr defaultColWidth="9" defaultRowHeight="14.25" outlineLevelCol="7"/>
  <cols>
    <col min="1" max="1" width="10.125" customWidth="1"/>
    <col min="2" max="2" width="10.5" customWidth="1"/>
    <col min="3" max="3" width="4.5" customWidth="1"/>
    <col min="4" max="4" width="9.25" customWidth="1"/>
    <col min="5" max="5" width="10.625" customWidth="1"/>
    <col min="6" max="6" width="12" customWidth="1"/>
    <col min="7" max="7" width="12.75" customWidth="1"/>
    <col min="8" max="8" width="12.25" customWidth="1"/>
  </cols>
  <sheetData>
    <row r="1" ht="37.5" customHeight="1" spans="1:8">
      <c r="A1" s="144" t="s">
        <v>53</v>
      </c>
      <c r="B1" s="144"/>
      <c r="C1" s="144"/>
      <c r="D1" s="144"/>
      <c r="E1" s="144"/>
      <c r="F1" s="144"/>
      <c r="G1" s="144"/>
      <c r="H1" s="144"/>
    </row>
    <row r="2" ht="31.9" customHeight="1" spans="1:8">
      <c r="A2" s="145" t="s">
        <v>54</v>
      </c>
      <c r="B2" s="145"/>
      <c r="C2" s="145"/>
      <c r="D2" s="145"/>
      <c r="E2" s="145"/>
      <c r="F2" s="145"/>
      <c r="G2" s="145"/>
      <c r="H2" s="145"/>
    </row>
    <row r="3" ht="23.25" customHeight="1" spans="1:8">
      <c r="A3" s="145" t="s">
        <v>55</v>
      </c>
      <c r="B3" s="145"/>
      <c r="C3" s="145"/>
      <c r="D3" s="145"/>
      <c r="E3" s="145"/>
      <c r="F3" s="145"/>
      <c r="G3" s="145"/>
      <c r="H3" s="145"/>
    </row>
    <row r="4" ht="25.5" customHeight="1" spans="1:8">
      <c r="A4" s="145" t="s">
        <v>56</v>
      </c>
      <c r="B4" s="145"/>
      <c r="C4" s="145"/>
      <c r="D4" s="145"/>
      <c r="E4" s="145"/>
      <c r="F4" s="145"/>
      <c r="G4" s="145"/>
      <c r="H4" s="145"/>
    </row>
    <row r="5" ht="30" customHeight="1" spans="1:8">
      <c r="A5" s="146" t="s">
        <v>57</v>
      </c>
      <c r="B5" s="146"/>
      <c r="C5" s="146"/>
      <c r="D5" s="146"/>
      <c r="E5" s="146"/>
      <c r="F5" s="146"/>
      <c r="G5" s="146"/>
      <c r="H5" s="146"/>
    </row>
    <row r="6" s="143" customFormat="1" ht="24" customHeight="1" spans="1:8">
      <c r="A6" s="147" t="s">
        <v>1</v>
      </c>
      <c r="B6" s="147" t="s">
        <v>58</v>
      </c>
      <c r="C6" s="147"/>
      <c r="D6" s="147"/>
      <c r="E6" s="147" t="s">
        <v>59</v>
      </c>
      <c r="F6" s="147" t="s">
        <v>60</v>
      </c>
      <c r="G6" s="147" t="s">
        <v>61</v>
      </c>
      <c r="H6" s="147" t="s">
        <v>62</v>
      </c>
    </row>
    <row r="7" ht="20.25" customHeight="1" spans="1:8">
      <c r="A7" s="148" t="s">
        <v>63</v>
      </c>
      <c r="B7" s="149" t="s">
        <v>64</v>
      </c>
      <c r="C7" s="149"/>
      <c r="D7" s="149"/>
      <c r="E7" s="150">
        <f>E8+E9+E10+E11</f>
        <v>0</v>
      </c>
      <c r="F7" s="150">
        <v>0</v>
      </c>
      <c r="G7" s="150">
        <f>G8+G9+G10+G11</f>
        <v>0</v>
      </c>
      <c r="H7" s="150">
        <f>H8+H102+H10+H9+H11</f>
        <v>1020000</v>
      </c>
    </row>
    <row r="8" ht="20.25" customHeight="1" spans="1:8">
      <c r="A8" s="151">
        <v>1.1</v>
      </c>
      <c r="B8" s="152" t="s">
        <v>65</v>
      </c>
      <c r="C8" s="152"/>
      <c r="D8" s="152"/>
      <c r="E8" s="150">
        <v>0</v>
      </c>
      <c r="F8" s="150">
        <v>0</v>
      </c>
      <c r="G8" s="150">
        <v>0</v>
      </c>
      <c r="H8" s="150">
        <f>'4结算明细汇总表'!F3</f>
        <v>1060000</v>
      </c>
    </row>
    <row r="9" ht="20.25" customHeight="1" spans="1:8">
      <c r="A9" s="151">
        <v>1.2</v>
      </c>
      <c r="B9" s="152" t="s">
        <v>66</v>
      </c>
      <c r="C9" s="152"/>
      <c r="D9" s="152"/>
      <c r="E9" s="150">
        <v>0</v>
      </c>
      <c r="F9" s="150">
        <v>0</v>
      </c>
      <c r="G9" s="150">
        <v>0</v>
      </c>
      <c r="H9" s="150">
        <f>'4结算明细汇总表'!F4+'4结算明细汇总表'!F5+'4结算明细汇总表'!F6+'4结算明细汇总表'!F7+'4结算明细汇总表'!F8</f>
        <v>-39921.39</v>
      </c>
    </row>
    <row r="10" ht="20.25" customHeight="1" spans="1:8">
      <c r="A10" s="151">
        <v>1.3</v>
      </c>
      <c r="B10" s="152" t="s">
        <v>67</v>
      </c>
      <c r="C10" s="152"/>
      <c r="D10" s="152"/>
      <c r="E10" s="150">
        <v>0</v>
      </c>
      <c r="F10" s="150">
        <v>0</v>
      </c>
      <c r="G10" s="150">
        <v>0</v>
      </c>
      <c r="H10" s="152"/>
    </row>
    <row r="11" ht="20.25" customHeight="1" spans="1:8">
      <c r="A11" s="151">
        <v>1.4</v>
      </c>
      <c r="B11" s="152" t="s">
        <v>68</v>
      </c>
      <c r="C11" s="152"/>
      <c r="D11" s="152"/>
      <c r="E11" s="150">
        <v>0</v>
      </c>
      <c r="F11" s="150">
        <v>0</v>
      </c>
      <c r="G11" s="150">
        <v>0</v>
      </c>
      <c r="H11" s="150">
        <f>'4结算明细汇总表'!F10-'4结算明细汇总表'!F9</f>
        <v>-78.61</v>
      </c>
    </row>
    <row r="12" ht="20.25" customHeight="1" spans="1:8">
      <c r="A12" s="151">
        <v>1.5</v>
      </c>
      <c r="B12" s="152" t="s">
        <v>69</v>
      </c>
      <c r="C12" s="152"/>
      <c r="D12" s="152"/>
      <c r="E12" s="152"/>
      <c r="F12" s="152"/>
      <c r="G12" s="152"/>
      <c r="H12" s="150"/>
    </row>
    <row r="13" ht="20.25" customHeight="1" spans="1:8">
      <c r="A13" s="148" t="s">
        <v>70</v>
      </c>
      <c r="B13" s="149" t="s">
        <v>71</v>
      </c>
      <c r="C13" s="149"/>
      <c r="D13" s="149"/>
      <c r="E13" s="150">
        <v>0</v>
      </c>
      <c r="F13" s="150"/>
      <c r="G13" s="150">
        <v>0</v>
      </c>
      <c r="H13" s="150">
        <v>0</v>
      </c>
    </row>
    <row r="14" ht="20.25" customHeight="1" spans="1:8">
      <c r="A14" s="151">
        <v>2.1</v>
      </c>
      <c r="B14" s="152" t="s">
        <v>72</v>
      </c>
      <c r="C14" s="152"/>
      <c r="D14" s="152"/>
      <c r="E14" s="150">
        <v>0</v>
      </c>
      <c r="F14" s="150"/>
      <c r="G14" s="150">
        <v>0</v>
      </c>
      <c r="H14" s="150">
        <v>0</v>
      </c>
    </row>
    <row r="15" ht="20.25" customHeight="1" spans="1:8">
      <c r="A15" s="151">
        <v>2.2</v>
      </c>
      <c r="B15" s="152" t="s">
        <v>72</v>
      </c>
      <c r="C15" s="152"/>
      <c r="D15" s="152"/>
      <c r="E15" s="150">
        <v>0</v>
      </c>
      <c r="F15" s="150"/>
      <c r="G15" s="150">
        <v>0</v>
      </c>
      <c r="H15" s="150">
        <v>0</v>
      </c>
    </row>
    <row r="16" ht="20.25" customHeight="1" spans="1:8">
      <c r="A16" s="148" t="s">
        <v>73</v>
      </c>
      <c r="B16" s="149" t="s">
        <v>74</v>
      </c>
      <c r="C16" s="149"/>
      <c r="D16" s="152" t="s">
        <v>75</v>
      </c>
      <c r="E16" s="153">
        <f>H7</f>
        <v>1020000</v>
      </c>
      <c r="F16" s="153"/>
      <c r="G16" s="153"/>
      <c r="H16" s="153"/>
    </row>
    <row r="17" ht="20.25" customHeight="1" spans="1:8">
      <c r="A17" s="148"/>
      <c r="B17" s="149"/>
      <c r="C17" s="149"/>
      <c r="D17" s="152" t="s">
        <v>76</v>
      </c>
      <c r="E17" s="154">
        <f>E16</f>
        <v>1020000</v>
      </c>
      <c r="F17" s="154"/>
      <c r="G17" s="154"/>
      <c r="H17" s="154"/>
    </row>
    <row r="18" ht="20.25" customHeight="1" spans="1:8">
      <c r="A18" s="148" t="s">
        <v>77</v>
      </c>
      <c r="B18" s="149" t="s">
        <v>78</v>
      </c>
      <c r="C18" s="149"/>
      <c r="D18" s="149"/>
      <c r="E18" s="150">
        <v>0</v>
      </c>
      <c r="F18" s="150"/>
      <c r="G18" s="150"/>
      <c r="H18" s="150"/>
    </row>
    <row r="19" ht="20.25" customHeight="1" spans="1:8">
      <c r="A19" s="151">
        <v>4.1</v>
      </c>
      <c r="B19" s="152" t="s">
        <v>79</v>
      </c>
      <c r="C19" s="152"/>
      <c r="D19" s="152"/>
      <c r="E19" s="150">
        <v>0</v>
      </c>
      <c r="F19" s="150"/>
      <c r="G19" s="150"/>
      <c r="H19" s="150"/>
    </row>
    <row r="20" ht="20.25" customHeight="1" spans="1:8">
      <c r="A20" s="151">
        <v>4.2</v>
      </c>
      <c r="B20" s="152" t="s">
        <v>80</v>
      </c>
      <c r="C20" s="152"/>
      <c r="D20" s="152"/>
      <c r="E20" s="150">
        <v>0</v>
      </c>
      <c r="F20" s="150"/>
      <c r="G20" s="150"/>
      <c r="H20" s="150"/>
    </row>
    <row r="21" ht="20.25" customHeight="1" spans="1:8">
      <c r="A21" s="148" t="s">
        <v>81</v>
      </c>
      <c r="B21" s="149" t="s">
        <v>82</v>
      </c>
      <c r="C21" s="149"/>
      <c r="D21" s="149"/>
      <c r="E21" s="150">
        <v>0</v>
      </c>
      <c r="F21" s="150"/>
      <c r="G21" s="150"/>
      <c r="H21" s="150"/>
    </row>
    <row r="22" ht="20.25" customHeight="1" spans="1:8">
      <c r="A22" s="151">
        <v>5.1</v>
      </c>
      <c r="B22" s="152" t="s">
        <v>83</v>
      </c>
      <c r="C22" s="152"/>
      <c r="D22" s="152"/>
      <c r="E22" s="152" t="s">
        <v>84</v>
      </c>
      <c r="F22" s="152"/>
      <c r="G22" s="152"/>
      <c r="H22" s="152"/>
    </row>
    <row r="23" ht="20.25" customHeight="1" spans="1:8">
      <c r="A23" s="151">
        <v>5.2</v>
      </c>
      <c r="B23" s="152" t="s">
        <v>85</v>
      </c>
      <c r="C23" s="152"/>
      <c r="D23" s="152"/>
      <c r="E23" s="152" t="s">
        <v>84</v>
      </c>
      <c r="F23" s="152"/>
      <c r="G23" s="152"/>
      <c r="H23" s="152"/>
    </row>
    <row r="24" ht="20.25" customHeight="1" spans="1:8">
      <c r="A24" s="148" t="s">
        <v>86</v>
      </c>
      <c r="B24" s="149" t="s">
        <v>87</v>
      </c>
      <c r="C24" s="152" t="s">
        <v>75</v>
      </c>
      <c r="D24" s="152"/>
      <c r="E24" s="153">
        <f>E16</f>
        <v>1020000</v>
      </c>
      <c r="F24" s="153"/>
      <c r="G24" s="153"/>
      <c r="H24" s="153"/>
    </row>
    <row r="25" ht="20.25" customHeight="1" spans="1:8">
      <c r="A25" s="148"/>
      <c r="B25" s="149"/>
      <c r="C25" s="152" t="s">
        <v>76</v>
      </c>
      <c r="D25" s="152"/>
      <c r="E25" s="154">
        <f>E17</f>
        <v>1020000</v>
      </c>
      <c r="F25" s="154"/>
      <c r="G25" s="154"/>
      <c r="H25" s="154"/>
    </row>
    <row r="26" ht="20.25" customHeight="1" spans="1:8">
      <c r="A26" s="148" t="s">
        <v>88</v>
      </c>
      <c r="B26" s="149" t="s">
        <v>89</v>
      </c>
      <c r="C26" s="152" t="s">
        <v>75</v>
      </c>
      <c r="D26" s="152"/>
      <c r="E26" s="153">
        <f>E24</f>
        <v>1020000</v>
      </c>
      <c r="F26" s="153"/>
      <c r="G26" s="153"/>
      <c r="H26" s="153"/>
    </row>
    <row r="27" ht="20.25" customHeight="1" spans="1:8">
      <c r="A27" s="148"/>
      <c r="B27" s="149"/>
      <c r="C27" s="152" t="s">
        <v>76</v>
      </c>
      <c r="D27" s="152"/>
      <c r="E27" s="154">
        <f>E17</f>
        <v>1020000</v>
      </c>
      <c r="F27" s="154"/>
      <c r="G27" s="154"/>
      <c r="H27" s="154"/>
    </row>
    <row r="28" spans="1:8">
      <c r="A28" s="155"/>
      <c r="B28" s="155"/>
      <c r="C28" s="155"/>
      <c r="D28" s="155"/>
      <c r="E28" s="155"/>
      <c r="F28" s="155"/>
      <c r="G28" s="155"/>
      <c r="H28" s="155"/>
    </row>
    <row r="29" spans="1:8">
      <c r="A29" s="156" t="s">
        <v>90</v>
      </c>
      <c r="B29" s="156"/>
      <c r="C29" s="156"/>
      <c r="D29" s="156"/>
      <c r="E29" s="156"/>
      <c r="F29" s="156"/>
      <c r="G29" s="156"/>
      <c r="H29" s="156"/>
    </row>
    <row r="30" spans="1:1">
      <c r="A30" s="157"/>
    </row>
    <row r="31" spans="1:1">
      <c r="A31" s="157"/>
    </row>
    <row r="32" spans="1:8">
      <c r="A32" s="156" t="s">
        <v>91</v>
      </c>
      <c r="B32" s="156"/>
      <c r="C32" s="156"/>
      <c r="D32" s="156"/>
      <c r="E32" s="156"/>
      <c r="F32" s="156"/>
      <c r="G32" s="156"/>
      <c r="H32" s="156"/>
    </row>
    <row r="33" spans="1:1">
      <c r="A33" s="157"/>
    </row>
    <row r="34" ht="27" customHeight="1" spans="1:8">
      <c r="A34" s="158"/>
      <c r="B34" s="158"/>
      <c r="C34" s="158"/>
      <c r="D34" s="158"/>
      <c r="E34" s="158"/>
      <c r="F34" s="158"/>
      <c r="G34" s="158"/>
      <c r="H34" s="158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zoomScale="90" zoomScaleNormal="90" workbookViewId="0">
      <selection activeCell="H11" sqref="H11"/>
    </sheetView>
  </sheetViews>
  <sheetFormatPr defaultColWidth="8.625" defaultRowHeight="18.75" outlineLevelCol="6"/>
  <cols>
    <col min="1" max="1" width="7.08333333333333" style="128" customWidth="1"/>
    <col min="2" max="2" width="23.7416666666667" style="131" customWidth="1"/>
    <col min="3" max="3" width="10" style="128" customWidth="1"/>
    <col min="4" max="4" width="12.0833333333333" style="128" customWidth="1"/>
    <col min="5" max="5" width="19.9916666666667" style="128" customWidth="1"/>
    <col min="6" max="6" width="16.1083333333333" style="128" customWidth="1"/>
    <col min="7" max="7" width="14" style="128" customWidth="1"/>
    <col min="8" max="8" width="17.375" style="128" customWidth="1"/>
    <col min="9" max="9" width="9.625" style="128" customWidth="1"/>
    <col min="10" max="10" width="19" style="128" customWidth="1"/>
    <col min="11" max="11" width="8.625" style="128"/>
    <col min="12" max="12" width="12.75" style="128" customWidth="1"/>
    <col min="13" max="16384" width="8.625" style="128"/>
  </cols>
  <sheetData>
    <row r="1" s="128" customFormat="1" ht="51" customHeight="1" spans="1:7">
      <c r="A1" s="132" t="s">
        <v>92</v>
      </c>
      <c r="B1" s="133"/>
      <c r="C1" s="132"/>
      <c r="D1" s="132"/>
      <c r="E1" s="132"/>
      <c r="F1" s="132"/>
      <c r="G1" s="132"/>
    </row>
    <row r="2" s="129" customFormat="1" ht="56" customHeight="1" spans="1:7">
      <c r="A2" s="134" t="s">
        <v>1</v>
      </c>
      <c r="B2" s="134" t="s">
        <v>2</v>
      </c>
      <c r="C2" s="134" t="s">
        <v>93</v>
      </c>
      <c r="D2" s="134" t="s">
        <v>94</v>
      </c>
      <c r="E2" s="135" t="s">
        <v>95</v>
      </c>
      <c r="F2" s="135" t="s">
        <v>96</v>
      </c>
      <c r="G2" s="134" t="s">
        <v>6</v>
      </c>
    </row>
    <row r="3" s="130" customFormat="1" ht="39" customHeight="1" spans="1:7">
      <c r="A3" s="136" t="s">
        <v>63</v>
      </c>
      <c r="B3" s="136" t="s">
        <v>97</v>
      </c>
      <c r="C3" s="136" t="s">
        <v>98</v>
      </c>
      <c r="D3" s="136">
        <v>1</v>
      </c>
      <c r="E3" s="137"/>
      <c r="F3" s="137">
        <v>1060000</v>
      </c>
      <c r="G3" s="136"/>
    </row>
    <row r="4" s="130" customFormat="1" ht="36" customHeight="1" spans="1:7">
      <c r="A4" s="136" t="s">
        <v>70</v>
      </c>
      <c r="B4" s="136" t="s">
        <v>99</v>
      </c>
      <c r="C4" s="136" t="s">
        <v>98</v>
      </c>
      <c r="D4" s="136">
        <v>1</v>
      </c>
      <c r="E4" s="137">
        <f>合同增加项目!F39</f>
        <v>52080.53</v>
      </c>
      <c r="F4" s="137">
        <f>E4*D4</f>
        <v>52080.53</v>
      </c>
      <c r="G4" s="136"/>
    </row>
    <row r="5" s="130" customFormat="1" ht="40" customHeight="1" spans="1:7">
      <c r="A5" s="136" t="s">
        <v>73</v>
      </c>
      <c r="B5" s="136" t="s">
        <v>100</v>
      </c>
      <c r="C5" s="136" t="s">
        <v>98</v>
      </c>
      <c r="D5" s="136">
        <v>1</v>
      </c>
      <c r="E5" s="137">
        <f>-'5、土建部分合同内扣减部分'!L34</f>
        <v>-48654</v>
      </c>
      <c r="F5" s="137">
        <f>E5*D5</f>
        <v>-48654</v>
      </c>
      <c r="G5" s="136"/>
    </row>
    <row r="6" s="130" customFormat="1" ht="40" customHeight="1" spans="1:7">
      <c r="A6" s="136" t="s">
        <v>77</v>
      </c>
      <c r="B6" s="136" t="s">
        <v>101</v>
      </c>
      <c r="C6" s="136" t="s">
        <v>98</v>
      </c>
      <c r="D6" s="136">
        <v>1</v>
      </c>
      <c r="E6" s="137">
        <f>东大门安装部分合同内扣款!L47</f>
        <v>-41628.92</v>
      </c>
      <c r="F6" s="137">
        <f>E6*D6</f>
        <v>-41628.92</v>
      </c>
      <c r="G6" s="136"/>
    </row>
    <row r="7" s="130" customFormat="1" ht="40" customHeight="1" spans="1:7">
      <c r="A7" s="136" t="s">
        <v>81</v>
      </c>
      <c r="B7" s="136" t="s">
        <v>102</v>
      </c>
      <c r="C7" s="136" t="s">
        <v>98</v>
      </c>
      <c r="D7" s="136">
        <v>1</v>
      </c>
      <c r="E7" s="137">
        <f>'5#楼大堂安装合同内扣款'!L10</f>
        <v>-327</v>
      </c>
      <c r="F7" s="137">
        <f>E7*D7</f>
        <v>-327</v>
      </c>
      <c r="G7" s="136"/>
    </row>
    <row r="8" s="130" customFormat="1" ht="39" customHeight="1" spans="1:7">
      <c r="A8" s="136" t="s">
        <v>86</v>
      </c>
      <c r="B8" s="136" t="s">
        <v>103</v>
      </c>
      <c r="C8" s="136" t="s">
        <v>98</v>
      </c>
      <c r="D8" s="136">
        <v>1</v>
      </c>
      <c r="E8" s="137">
        <f>-电费!C10</f>
        <v>-1392</v>
      </c>
      <c r="F8" s="137">
        <f>E8*D8</f>
        <v>-1392</v>
      </c>
      <c r="G8" s="136"/>
    </row>
    <row r="9" s="130" customFormat="1" ht="39" customHeight="1" spans="1:7">
      <c r="A9" s="136" t="s">
        <v>88</v>
      </c>
      <c r="B9" s="136" t="s">
        <v>104</v>
      </c>
      <c r="C9" s="136"/>
      <c r="D9" s="136"/>
      <c r="E9" s="137"/>
      <c r="F9" s="137">
        <f>SUM(F3:F8)</f>
        <v>1020078.61</v>
      </c>
      <c r="G9" s="136"/>
    </row>
    <row r="10" s="130" customFormat="1" ht="39" customHeight="1" spans="1:7">
      <c r="A10" s="136" t="s">
        <v>105</v>
      </c>
      <c r="B10" s="136" t="s">
        <v>106</v>
      </c>
      <c r="C10" s="136"/>
      <c r="D10" s="136"/>
      <c r="E10" s="137"/>
      <c r="F10" s="137">
        <v>1020000</v>
      </c>
      <c r="G10" s="136"/>
    </row>
    <row r="11" s="130" customFormat="1" spans="1:7">
      <c r="A11" s="138"/>
      <c r="B11" s="138"/>
      <c r="C11" s="138"/>
      <c r="D11" s="138"/>
      <c r="E11" s="139"/>
      <c r="F11" s="139"/>
      <c r="G11" s="138"/>
    </row>
    <row r="12" ht="14.25" spans="1:7">
      <c r="A12" s="140"/>
      <c r="B12" s="141" t="s">
        <v>107</v>
      </c>
      <c r="C12" s="142"/>
      <c r="D12" s="142"/>
      <c r="E12" s="142" t="s">
        <v>108</v>
      </c>
      <c r="F12" s="140"/>
      <c r="G12" s="140"/>
    </row>
    <row r="13" ht="14.25" spans="1:7">
      <c r="A13" s="140"/>
      <c r="B13" s="141"/>
      <c r="C13" s="142"/>
      <c r="D13" s="142"/>
      <c r="E13" s="142"/>
      <c r="F13" s="140"/>
      <c r="G13" s="140"/>
    </row>
    <row r="14" spans="2:5">
      <c r="B14" s="141" t="s">
        <v>109</v>
      </c>
      <c r="C14" s="142"/>
      <c r="D14" s="142"/>
      <c r="E14" s="142" t="s">
        <v>109</v>
      </c>
    </row>
    <row r="15" spans="2:5">
      <c r="B15" s="141"/>
      <c r="C15" s="142"/>
      <c r="D15" s="142"/>
      <c r="E15" s="142"/>
    </row>
  </sheetData>
  <mergeCells count="1">
    <mergeCell ref="A1:G1"/>
  </mergeCells>
  <pageMargins left="0.751388888888889" right="0.751388888888889" top="0.393055555555556" bottom="0.393055555555556" header="0.5" footer="0.5"/>
  <pageSetup paperSize="9" scale="7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J19" sqref="J19"/>
    </sheetView>
  </sheetViews>
  <sheetFormatPr defaultColWidth="9" defaultRowHeight="14.25" outlineLevelCol="6"/>
  <cols>
    <col min="1" max="1" width="7.375" style="107" customWidth="1"/>
    <col min="2" max="2" width="21.625" style="107" customWidth="1"/>
    <col min="3" max="3" width="5.375" style="107" customWidth="1"/>
    <col min="4" max="4" width="7.375" style="107" customWidth="1"/>
    <col min="5" max="5" width="9.375" style="107" customWidth="1"/>
    <col min="6" max="6" width="10.125" style="107" customWidth="1"/>
    <col min="7" max="7" width="18.875" style="107" customWidth="1"/>
    <col min="8" max="16384" width="9" style="107"/>
  </cols>
  <sheetData>
    <row r="1" ht="30" customHeight="1" spans="1:7">
      <c r="A1" s="108" t="s">
        <v>110</v>
      </c>
      <c r="B1" s="108"/>
      <c r="C1" s="108"/>
      <c r="D1" s="108"/>
      <c r="E1" s="108"/>
      <c r="F1" s="108"/>
      <c r="G1" s="108"/>
    </row>
    <row r="2" spans="1:7">
      <c r="A2" s="109" t="s">
        <v>1</v>
      </c>
      <c r="B2" s="109" t="s">
        <v>58</v>
      </c>
      <c r="C2" s="109" t="s">
        <v>93</v>
      </c>
      <c r="D2" s="109" t="s">
        <v>94</v>
      </c>
      <c r="E2" s="109" t="s">
        <v>111</v>
      </c>
      <c r="F2" s="109" t="s">
        <v>104</v>
      </c>
      <c r="G2" s="109" t="s">
        <v>6</v>
      </c>
    </row>
    <row r="3" spans="1:7">
      <c r="A3" s="110" t="s">
        <v>63</v>
      </c>
      <c r="B3" s="111" t="s">
        <v>112</v>
      </c>
      <c r="C3" s="109"/>
      <c r="D3" s="109"/>
      <c r="E3" s="109"/>
      <c r="F3" s="109"/>
      <c r="G3" s="109"/>
    </row>
    <row r="4" ht="16.5" spans="1:7">
      <c r="A4" s="112">
        <v>1</v>
      </c>
      <c r="B4" s="113" t="s">
        <v>113</v>
      </c>
      <c r="C4" s="77" t="s">
        <v>114</v>
      </c>
      <c r="D4" s="114">
        <f>(13.199+2.89)*0.7*0.24</f>
        <v>2.7</v>
      </c>
      <c r="E4" s="114">
        <v>758.64</v>
      </c>
      <c r="F4" s="114">
        <f>E4*D4</f>
        <v>2048.33</v>
      </c>
      <c r="G4" s="115" t="s">
        <v>115</v>
      </c>
    </row>
    <row r="5" ht="16.5" spans="1:7">
      <c r="A5" s="112">
        <v>2</v>
      </c>
      <c r="B5" s="113" t="s">
        <v>116</v>
      </c>
      <c r="C5" s="77" t="s">
        <v>117</v>
      </c>
      <c r="D5" s="79">
        <v>5.21</v>
      </c>
      <c r="E5" s="112">
        <v>10</v>
      </c>
      <c r="F5" s="114">
        <f>E5*D5</f>
        <v>52.1</v>
      </c>
      <c r="G5" s="115" t="s">
        <v>118</v>
      </c>
    </row>
    <row r="6" spans="1:7">
      <c r="A6" s="112">
        <v>3</v>
      </c>
      <c r="B6" s="113" t="s">
        <v>119</v>
      </c>
      <c r="C6" s="116" t="s">
        <v>117</v>
      </c>
      <c r="D6" s="112">
        <f>11.4*2*0.1</f>
        <v>2.28</v>
      </c>
      <c r="E6" s="112">
        <v>226</v>
      </c>
      <c r="F6" s="114">
        <f>E6*D6</f>
        <v>515.28</v>
      </c>
      <c r="G6" s="115" t="s">
        <v>120</v>
      </c>
    </row>
    <row r="7" ht="24" spans="1:7">
      <c r="A7" s="112">
        <v>4</v>
      </c>
      <c r="B7" s="113" t="s">
        <v>121</v>
      </c>
      <c r="C7" s="77" t="s">
        <v>117</v>
      </c>
      <c r="D7" s="79">
        <f>118.29+0.21+1.17</f>
        <v>119.67</v>
      </c>
      <c r="E7" s="112">
        <f>23*3</f>
        <v>69</v>
      </c>
      <c r="F7" s="112">
        <f t="shared" ref="F7:F13" si="0">E7*D7</f>
        <v>8257.23</v>
      </c>
      <c r="G7" s="115" t="s">
        <v>122</v>
      </c>
    </row>
    <row r="8" ht="16.5" spans="1:7">
      <c r="A8" s="112">
        <v>5</v>
      </c>
      <c r="B8" s="113" t="s">
        <v>123</v>
      </c>
      <c r="C8" s="77" t="s">
        <v>117</v>
      </c>
      <c r="D8" s="79">
        <f>2.6*0.3</f>
        <v>0.78</v>
      </c>
      <c r="E8" s="112">
        <f>50-183.5</f>
        <v>-133.5</v>
      </c>
      <c r="F8" s="112">
        <f t="shared" si="0"/>
        <v>-104.13</v>
      </c>
      <c r="G8" s="115" t="s">
        <v>124</v>
      </c>
    </row>
    <row r="9" ht="24" spans="1:7">
      <c r="A9" s="112">
        <v>6</v>
      </c>
      <c r="B9" s="115" t="s">
        <v>125</v>
      </c>
      <c r="C9" s="77" t="s">
        <v>117</v>
      </c>
      <c r="D9" s="79">
        <f>0.15*(29.78-13.94+18.16-11)</f>
        <v>3.45</v>
      </c>
      <c r="E9" s="112">
        <f>240-156.96</f>
        <v>83.04</v>
      </c>
      <c r="F9" s="112">
        <f t="shared" si="0"/>
        <v>286.488</v>
      </c>
      <c r="G9" s="115" t="s">
        <v>124</v>
      </c>
    </row>
    <row r="10" spans="1:7">
      <c r="A10" s="112">
        <v>7</v>
      </c>
      <c r="B10" s="117" t="s">
        <v>126</v>
      </c>
      <c r="C10" s="112" t="s">
        <v>117</v>
      </c>
      <c r="D10" s="112">
        <v>1.5</v>
      </c>
      <c r="E10" s="112">
        <v>183.12</v>
      </c>
      <c r="F10" s="112">
        <f t="shared" si="0"/>
        <v>274.68</v>
      </c>
      <c r="G10" s="115" t="s">
        <v>127</v>
      </c>
    </row>
    <row r="11" ht="16.5" spans="1:7">
      <c r="A11" s="112">
        <v>8</v>
      </c>
      <c r="B11" s="78" t="s">
        <v>128</v>
      </c>
      <c r="C11" s="77" t="s">
        <v>117</v>
      </c>
      <c r="D11" s="79">
        <f>D10</f>
        <v>1.5</v>
      </c>
      <c r="E11" s="112">
        <v>5.232</v>
      </c>
      <c r="F11" s="112">
        <f t="shared" si="0"/>
        <v>7.848</v>
      </c>
      <c r="G11" s="115" t="s">
        <v>127</v>
      </c>
    </row>
    <row r="12" ht="16.5" spans="1:7">
      <c r="A12" s="112">
        <v>9</v>
      </c>
      <c r="B12" s="78" t="s">
        <v>129</v>
      </c>
      <c r="C12" s="77" t="s">
        <v>114</v>
      </c>
      <c r="D12" s="79">
        <f>D11*0.2</f>
        <v>0.3</v>
      </c>
      <c r="E12" s="112">
        <v>117.72</v>
      </c>
      <c r="F12" s="112">
        <f t="shared" si="0"/>
        <v>35.316</v>
      </c>
      <c r="G12" s="115" t="s">
        <v>127</v>
      </c>
    </row>
    <row r="13" ht="16.5" spans="1:7">
      <c r="A13" s="112">
        <v>10</v>
      </c>
      <c r="B13" s="78" t="s">
        <v>130</v>
      </c>
      <c r="C13" s="77" t="s">
        <v>114</v>
      </c>
      <c r="D13" s="79">
        <f>D11*0.2</f>
        <v>0.3</v>
      </c>
      <c r="E13" s="112">
        <v>765.18</v>
      </c>
      <c r="F13" s="112">
        <f t="shared" si="0"/>
        <v>229.554</v>
      </c>
      <c r="G13" s="115" t="s">
        <v>127</v>
      </c>
    </row>
    <row r="14" spans="1:7">
      <c r="A14" s="112">
        <v>11</v>
      </c>
      <c r="B14" s="118" t="s">
        <v>131</v>
      </c>
      <c r="C14" s="117"/>
      <c r="D14" s="117"/>
      <c r="E14" s="112"/>
      <c r="F14" s="114">
        <f>SUM(F4:F13)</f>
        <v>11602.7</v>
      </c>
      <c r="G14" s="117"/>
    </row>
    <row r="15" ht="17" customHeight="1" spans="1:7">
      <c r="A15" s="119" t="s">
        <v>70</v>
      </c>
      <c r="B15" s="120" t="s">
        <v>132</v>
      </c>
      <c r="C15" s="121"/>
      <c r="D15" s="121"/>
      <c r="E15" s="121"/>
      <c r="F15" s="121"/>
      <c r="G15" s="121"/>
    </row>
    <row r="16" ht="17" customHeight="1" spans="1:7">
      <c r="A16" s="112">
        <v>1</v>
      </c>
      <c r="B16" s="118" t="s">
        <v>133</v>
      </c>
      <c r="C16" s="116" t="s">
        <v>134</v>
      </c>
      <c r="D16" s="112">
        <v>2</v>
      </c>
      <c r="E16" s="112">
        <v>2000</v>
      </c>
      <c r="F16" s="112">
        <f>E16*D16</f>
        <v>4000</v>
      </c>
      <c r="G16" s="118" t="s">
        <v>118</v>
      </c>
    </row>
    <row r="17" ht="17" customHeight="1" spans="1:7">
      <c r="A17" s="112">
        <v>2</v>
      </c>
      <c r="B17" s="118" t="s">
        <v>135</v>
      </c>
      <c r="C17" s="112"/>
      <c r="D17" s="112"/>
      <c r="E17" s="112"/>
      <c r="F17" s="112"/>
      <c r="G17" s="112"/>
    </row>
    <row r="18" ht="17" customHeight="1" spans="1:7">
      <c r="A18" s="112"/>
      <c r="B18" s="118" t="s">
        <v>129</v>
      </c>
      <c r="C18" s="112" t="s">
        <v>114</v>
      </c>
      <c r="D18" s="112">
        <f>7*0.81*0.15</f>
        <v>0.8505</v>
      </c>
      <c r="E18" s="112">
        <v>117.72</v>
      </c>
      <c r="F18" s="114">
        <f t="shared" ref="F18:F28" si="1">E18*D18</f>
        <v>100.12</v>
      </c>
      <c r="G18" s="112"/>
    </row>
    <row r="19" ht="17" customHeight="1" spans="1:7">
      <c r="A19" s="112"/>
      <c r="B19" s="118" t="s">
        <v>136</v>
      </c>
      <c r="C19" s="112" t="s">
        <v>114</v>
      </c>
      <c r="D19" s="112">
        <f>7*0.81*0.1</f>
        <v>0.567</v>
      </c>
      <c r="E19" s="112">
        <v>765.18</v>
      </c>
      <c r="F19" s="114">
        <f t="shared" si="1"/>
        <v>433.86</v>
      </c>
      <c r="G19" s="112"/>
    </row>
    <row r="20" ht="17" customHeight="1" spans="1:7">
      <c r="A20" s="112"/>
      <c r="B20" s="118" t="s">
        <v>137</v>
      </c>
      <c r="C20" s="112" t="s">
        <v>114</v>
      </c>
      <c r="D20" s="112">
        <f>7*0.48*0.8</f>
        <v>2.688</v>
      </c>
      <c r="E20" s="112">
        <v>758.64</v>
      </c>
      <c r="F20" s="114">
        <f t="shared" si="1"/>
        <v>2039.22</v>
      </c>
      <c r="G20" s="112"/>
    </row>
    <row r="21" ht="17" customHeight="1" spans="1:7">
      <c r="A21" s="112"/>
      <c r="B21" s="118" t="s">
        <v>138</v>
      </c>
      <c r="C21" s="112" t="s">
        <v>117</v>
      </c>
      <c r="D21" s="112">
        <f>7*0.8*2</f>
        <v>11.2</v>
      </c>
      <c r="E21" s="112">
        <v>22</v>
      </c>
      <c r="F21" s="112">
        <f t="shared" si="1"/>
        <v>246.4</v>
      </c>
      <c r="G21" s="116" t="s">
        <v>139</v>
      </c>
    </row>
    <row r="22" ht="17" customHeight="1" spans="1:7">
      <c r="A22" s="112"/>
      <c r="B22" s="118" t="s">
        <v>140</v>
      </c>
      <c r="C22" s="112" t="s">
        <v>117</v>
      </c>
      <c r="D22" s="112">
        <f>4.8*0.3</f>
        <v>1.44</v>
      </c>
      <c r="E22" s="112">
        <f>230+48-80</f>
        <v>198</v>
      </c>
      <c r="F22" s="112">
        <f t="shared" si="1"/>
        <v>285.12</v>
      </c>
      <c r="G22" s="116" t="s">
        <v>141</v>
      </c>
    </row>
    <row r="23" ht="17" customHeight="1" spans="1:7">
      <c r="A23" s="112">
        <v>3</v>
      </c>
      <c r="B23" s="118" t="s">
        <v>142</v>
      </c>
      <c r="C23" s="112" t="s">
        <v>117</v>
      </c>
      <c r="D23" s="112">
        <v>25</v>
      </c>
      <c r="E23" s="112">
        <v>130</v>
      </c>
      <c r="F23" s="112">
        <f t="shared" si="1"/>
        <v>3250</v>
      </c>
      <c r="G23" s="116" t="s">
        <v>143</v>
      </c>
    </row>
    <row r="24" ht="17" customHeight="1" spans="1:7">
      <c r="A24" s="112">
        <v>4</v>
      </c>
      <c r="B24" s="118" t="s">
        <v>144</v>
      </c>
      <c r="C24" s="112" t="s">
        <v>117</v>
      </c>
      <c r="D24" s="112">
        <f>4*2</f>
        <v>8</v>
      </c>
      <c r="E24" s="112">
        <v>784.8</v>
      </c>
      <c r="F24" s="112">
        <f t="shared" si="1"/>
        <v>6278.4</v>
      </c>
      <c r="G24" s="112"/>
    </row>
    <row r="25" ht="17" customHeight="1" spans="1:7">
      <c r="A25" s="112">
        <v>5</v>
      </c>
      <c r="B25" s="118" t="s">
        <v>145</v>
      </c>
      <c r="C25" s="112" t="s">
        <v>117</v>
      </c>
      <c r="D25" s="112">
        <v>40</v>
      </c>
      <c r="E25" s="112">
        <v>40</v>
      </c>
      <c r="F25" s="112">
        <f t="shared" si="1"/>
        <v>1600</v>
      </c>
      <c r="G25" s="116" t="s">
        <v>146</v>
      </c>
    </row>
    <row r="26" ht="17" customHeight="1" spans="1:7">
      <c r="A26" s="112">
        <v>6</v>
      </c>
      <c r="B26" s="118" t="s">
        <v>147</v>
      </c>
      <c r="C26" s="112" t="s">
        <v>114</v>
      </c>
      <c r="D26" s="112">
        <f>2.2*1.7*0.2+2*2*0.2</f>
        <v>1.548</v>
      </c>
      <c r="E26" s="112">
        <v>765.18</v>
      </c>
      <c r="F26" s="112">
        <f t="shared" si="1"/>
        <v>1184.49864</v>
      </c>
      <c r="G26" s="112"/>
    </row>
    <row r="27" ht="17" customHeight="1" spans="1:7">
      <c r="A27" s="112">
        <v>7</v>
      </c>
      <c r="B27" s="122" t="s">
        <v>148</v>
      </c>
      <c r="C27" s="112" t="s">
        <v>117</v>
      </c>
      <c r="D27" s="112">
        <f>((2.75+3.74+2)*4-2*2.9+(2.1+1)*0.25)*2</f>
        <v>57.87</v>
      </c>
      <c r="E27" s="112">
        <f>130-22</f>
        <v>108</v>
      </c>
      <c r="F27" s="112">
        <f t="shared" si="1"/>
        <v>6249.96</v>
      </c>
      <c r="G27" s="112"/>
    </row>
    <row r="28" ht="17" customHeight="1" spans="1:7">
      <c r="A28" s="112">
        <v>8</v>
      </c>
      <c r="B28" s="118" t="s">
        <v>149</v>
      </c>
      <c r="C28" s="116" t="s">
        <v>150</v>
      </c>
      <c r="D28" s="112">
        <v>2</v>
      </c>
      <c r="E28" s="112">
        <v>2000</v>
      </c>
      <c r="F28" s="112">
        <f t="shared" si="1"/>
        <v>4000</v>
      </c>
      <c r="G28" s="112" t="s">
        <v>118</v>
      </c>
    </row>
    <row r="29" spans="1:7">
      <c r="A29" s="112">
        <v>9</v>
      </c>
      <c r="B29" s="116" t="s">
        <v>131</v>
      </c>
      <c r="C29" s="116"/>
      <c r="D29" s="112"/>
      <c r="E29" s="112"/>
      <c r="F29" s="114">
        <f>SUM(F16:F28)</f>
        <v>29667.58</v>
      </c>
      <c r="G29" s="112"/>
    </row>
    <row r="30" spans="1:7">
      <c r="A30" s="119" t="s">
        <v>73</v>
      </c>
      <c r="B30" s="123" t="s">
        <v>151</v>
      </c>
      <c r="C30" s="112"/>
      <c r="D30" s="112"/>
      <c r="E30" s="112"/>
      <c r="F30" s="112"/>
      <c r="G30" s="112"/>
    </row>
    <row r="31" ht="16.5" spans="1:7">
      <c r="A31" s="124">
        <v>1</v>
      </c>
      <c r="B31" s="29" t="s">
        <v>152</v>
      </c>
      <c r="C31" s="26" t="s">
        <v>134</v>
      </c>
      <c r="D31" s="25">
        <v>2</v>
      </c>
      <c r="E31" s="38">
        <v>890</v>
      </c>
      <c r="F31" s="25">
        <f>E31*D31</f>
        <v>1780</v>
      </c>
      <c r="G31" s="121"/>
    </row>
    <row r="32" ht="16.5" spans="1:7">
      <c r="A32" s="124">
        <v>2</v>
      </c>
      <c r="B32" s="29" t="s">
        <v>153</v>
      </c>
      <c r="C32" s="26" t="s">
        <v>154</v>
      </c>
      <c r="D32" s="25">
        <v>36</v>
      </c>
      <c r="E32" s="38">
        <v>35</v>
      </c>
      <c r="F32" s="25">
        <f t="shared" ref="F32:F37" si="2">E32*D32</f>
        <v>1260</v>
      </c>
      <c r="G32" s="121"/>
    </row>
    <row r="33" ht="16.5" spans="1:7">
      <c r="A33" s="124">
        <v>3</v>
      </c>
      <c r="B33" s="29" t="s">
        <v>155</v>
      </c>
      <c r="C33" s="26" t="s">
        <v>134</v>
      </c>
      <c r="D33" s="25">
        <v>4</v>
      </c>
      <c r="E33" s="38">
        <v>100</v>
      </c>
      <c r="F33" s="25">
        <f t="shared" si="2"/>
        <v>400</v>
      </c>
      <c r="G33" s="121"/>
    </row>
    <row r="34" ht="16.5" spans="1:7">
      <c r="A34" s="124">
        <v>4</v>
      </c>
      <c r="B34" s="29" t="s">
        <v>156</v>
      </c>
      <c r="C34" s="26" t="s">
        <v>134</v>
      </c>
      <c r="D34" s="25">
        <v>2</v>
      </c>
      <c r="E34" s="38">
        <v>120</v>
      </c>
      <c r="F34" s="25">
        <f t="shared" si="2"/>
        <v>240</v>
      </c>
      <c r="G34" s="121"/>
    </row>
    <row r="35" ht="16.5" spans="1:7">
      <c r="A35" s="124">
        <v>5</v>
      </c>
      <c r="B35" s="29" t="s">
        <v>157</v>
      </c>
      <c r="C35" s="26" t="s">
        <v>154</v>
      </c>
      <c r="D35" s="25">
        <v>50</v>
      </c>
      <c r="E35" s="38">
        <v>6.54</v>
      </c>
      <c r="F35" s="25">
        <f t="shared" si="2"/>
        <v>327</v>
      </c>
      <c r="G35" s="121"/>
    </row>
    <row r="36" ht="16.5" spans="1:7">
      <c r="A36" s="124">
        <v>6</v>
      </c>
      <c r="B36" s="29" t="s">
        <v>158</v>
      </c>
      <c r="C36" s="26" t="s">
        <v>154</v>
      </c>
      <c r="D36" s="25">
        <v>25</v>
      </c>
      <c r="E36" s="38">
        <v>54.93</v>
      </c>
      <c r="F36" s="25">
        <f t="shared" si="2"/>
        <v>1373.25</v>
      </c>
      <c r="G36" s="121"/>
    </row>
    <row r="37" ht="28.5" spans="1:7">
      <c r="A37" s="124"/>
      <c r="B37" s="29" t="s">
        <v>159</v>
      </c>
      <c r="C37" s="26" t="s">
        <v>134</v>
      </c>
      <c r="D37" s="25">
        <v>2</v>
      </c>
      <c r="E37" s="38">
        <v>2715</v>
      </c>
      <c r="F37" s="25">
        <f t="shared" si="2"/>
        <v>5430</v>
      </c>
      <c r="G37" s="121" t="s">
        <v>160</v>
      </c>
    </row>
    <row r="38" spans="1:7">
      <c r="A38" s="124">
        <v>7</v>
      </c>
      <c r="B38" s="125" t="s">
        <v>131</v>
      </c>
      <c r="C38" s="4" t="s">
        <v>161</v>
      </c>
      <c r="D38" s="125"/>
      <c r="E38" s="125"/>
      <c r="F38" s="4">
        <f>SUM(F31:F37)</f>
        <v>10810.25</v>
      </c>
      <c r="G38" s="121"/>
    </row>
    <row r="39" spans="1:7">
      <c r="A39" s="126" t="s">
        <v>77</v>
      </c>
      <c r="B39" s="127" t="s">
        <v>104</v>
      </c>
      <c r="C39" s="112"/>
      <c r="D39" s="112"/>
      <c r="E39" s="112"/>
      <c r="F39" s="112">
        <f>F38+F29+F14</f>
        <v>52080.53</v>
      </c>
      <c r="G39" s="121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26" workbookViewId="0">
      <selection activeCell="P40" sqref="P40"/>
    </sheetView>
  </sheetViews>
  <sheetFormatPr defaultColWidth="9" defaultRowHeight="12"/>
  <cols>
    <col min="1" max="1" width="4.375" style="67" customWidth="1"/>
    <col min="2" max="2" width="11.875" style="67" customWidth="1"/>
    <col min="3" max="3" width="33.5" style="67" customWidth="1"/>
    <col min="4" max="4" width="4.375" style="67" customWidth="1"/>
    <col min="5" max="5" width="7.25" style="67" customWidth="1"/>
    <col min="6" max="6" width="6" style="67" customWidth="1"/>
    <col min="7" max="7" width="6.75" style="67" customWidth="1"/>
    <col min="8" max="8" width="6.625" style="67" customWidth="1"/>
    <col min="9" max="9" width="7.875" style="67" customWidth="1"/>
    <col min="10" max="10" width="8" style="67" customWidth="1"/>
    <col min="11" max="11" width="9" style="67"/>
    <col min="12" max="12" width="9" style="68" customWidth="1"/>
    <col min="13" max="13" width="7" style="67" customWidth="1"/>
    <col min="14" max="16384" width="9" style="67"/>
  </cols>
  <sheetData>
    <row r="1" ht="42" customHeight="1" spans="1:13">
      <c r="A1" s="69" t="s">
        <v>162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97"/>
      <c r="M1" s="69"/>
    </row>
    <row r="2" s="65" customFormat="1" ht="36" customHeight="1" spans="1:13">
      <c r="A2" s="70" t="s">
        <v>1</v>
      </c>
      <c r="B2" s="70" t="s">
        <v>58</v>
      </c>
      <c r="C2" s="70" t="s">
        <v>163</v>
      </c>
      <c r="D2" s="70" t="s">
        <v>164</v>
      </c>
      <c r="E2" s="70" t="s">
        <v>94</v>
      </c>
      <c r="F2" s="71" t="s">
        <v>165</v>
      </c>
      <c r="G2" s="71"/>
      <c r="H2" s="71"/>
      <c r="I2" s="71"/>
      <c r="J2" s="71"/>
      <c r="K2" s="73" t="s">
        <v>166</v>
      </c>
      <c r="L2" s="73" t="s">
        <v>167</v>
      </c>
      <c r="M2" s="98" t="s">
        <v>6</v>
      </c>
    </row>
    <row r="3" ht="61" customHeight="1" spans="1:13">
      <c r="A3" s="72"/>
      <c r="B3" s="72"/>
      <c r="C3" s="72"/>
      <c r="D3" s="72"/>
      <c r="E3" s="72"/>
      <c r="F3" s="73" t="s">
        <v>168</v>
      </c>
      <c r="G3" s="73" t="s">
        <v>169</v>
      </c>
      <c r="H3" s="73" t="s">
        <v>170</v>
      </c>
      <c r="I3" s="71" t="s">
        <v>171</v>
      </c>
      <c r="J3" s="71" t="s">
        <v>172</v>
      </c>
      <c r="K3" s="99"/>
      <c r="L3" s="99"/>
      <c r="M3" s="100"/>
    </row>
    <row r="4" ht="16.5" spans="1:13">
      <c r="A4" s="74">
        <v>2</v>
      </c>
      <c r="B4" s="74" t="s">
        <v>173</v>
      </c>
      <c r="C4" s="74"/>
      <c r="D4" s="75"/>
      <c r="E4" s="76"/>
      <c r="F4" s="76"/>
      <c r="G4" s="76"/>
      <c r="H4" s="76"/>
      <c r="I4" s="76"/>
      <c r="J4" s="76"/>
      <c r="K4" s="76"/>
      <c r="L4" s="101"/>
      <c r="M4" s="76"/>
    </row>
    <row r="5" ht="49.5" spans="1:13">
      <c r="A5" s="77"/>
      <c r="B5" s="78" t="s">
        <v>174</v>
      </c>
      <c r="C5" s="78" t="s">
        <v>175</v>
      </c>
      <c r="D5" s="77" t="s">
        <v>117</v>
      </c>
      <c r="E5" s="79">
        <f>51.03+6.16</f>
        <v>57.19</v>
      </c>
      <c r="F5" s="80"/>
      <c r="G5" s="81">
        <f>260*0.4</f>
        <v>104</v>
      </c>
      <c r="H5" s="55"/>
      <c r="I5" s="37">
        <f t="shared" ref="I5:I8" si="0">(F5+G5+H5)*0.2</f>
        <v>20.8</v>
      </c>
      <c r="J5" s="38">
        <f t="shared" ref="J5:J8" si="1">(F5+G5+H5+I5)*0.09</f>
        <v>11.232</v>
      </c>
      <c r="K5" s="38">
        <f t="shared" ref="K5:K8" si="2">SUM(F5:J5)</f>
        <v>136.032</v>
      </c>
      <c r="L5" s="55">
        <f t="shared" ref="L5:L8" si="3">E5*K5</f>
        <v>7779.67</v>
      </c>
      <c r="M5" s="102" t="s">
        <v>176</v>
      </c>
    </row>
    <row r="6" ht="66" spans="1:13">
      <c r="A6" s="77"/>
      <c r="B6" s="78" t="s">
        <v>177</v>
      </c>
      <c r="C6" s="78" t="s">
        <v>178</v>
      </c>
      <c r="D6" s="77" t="s">
        <v>117</v>
      </c>
      <c r="E6" s="79">
        <v>5.21</v>
      </c>
      <c r="F6" s="80"/>
      <c r="G6" s="80">
        <f>360*0.4</f>
        <v>144</v>
      </c>
      <c r="H6" s="55"/>
      <c r="I6" s="37">
        <f t="shared" si="0"/>
        <v>28.8</v>
      </c>
      <c r="J6" s="38">
        <f t="shared" si="1"/>
        <v>15.552</v>
      </c>
      <c r="K6" s="38">
        <f t="shared" si="2"/>
        <v>188.352</v>
      </c>
      <c r="L6" s="55">
        <f t="shared" si="3"/>
        <v>981.31</v>
      </c>
      <c r="M6" s="103"/>
    </row>
    <row r="7" ht="66" spans="1:13">
      <c r="A7" s="77"/>
      <c r="B7" s="78" t="s">
        <v>179</v>
      </c>
      <c r="C7" s="78" t="s">
        <v>180</v>
      </c>
      <c r="D7" s="77" t="s">
        <v>134</v>
      </c>
      <c r="E7" s="79">
        <v>5</v>
      </c>
      <c r="F7" s="80"/>
      <c r="G7" s="81">
        <f>230*0.4</f>
        <v>92</v>
      </c>
      <c r="H7" s="55"/>
      <c r="I7" s="37">
        <f t="shared" si="0"/>
        <v>18.4</v>
      </c>
      <c r="J7" s="38">
        <f t="shared" si="1"/>
        <v>9.936</v>
      </c>
      <c r="K7" s="38">
        <f t="shared" si="2"/>
        <v>120.336</v>
      </c>
      <c r="L7" s="55">
        <f t="shared" si="3"/>
        <v>601.68</v>
      </c>
      <c r="M7" s="103"/>
    </row>
    <row r="8" ht="82.5" spans="1:13">
      <c r="A8" s="77"/>
      <c r="B8" s="78" t="s">
        <v>181</v>
      </c>
      <c r="C8" s="78" t="s">
        <v>182</v>
      </c>
      <c r="D8" s="77" t="s">
        <v>98</v>
      </c>
      <c r="E8" s="79">
        <v>1</v>
      </c>
      <c r="F8" s="55"/>
      <c r="G8" s="38">
        <f>2000*0.4</f>
        <v>800</v>
      </c>
      <c r="H8" s="55"/>
      <c r="I8" s="37">
        <f t="shared" si="0"/>
        <v>160</v>
      </c>
      <c r="J8" s="38">
        <f t="shared" si="1"/>
        <v>86.4</v>
      </c>
      <c r="K8" s="38">
        <f t="shared" si="2"/>
        <v>1046.4</v>
      </c>
      <c r="L8" s="55">
        <f t="shared" si="3"/>
        <v>1046.4</v>
      </c>
      <c r="M8" s="103"/>
    </row>
    <row r="9" ht="16.5" spans="1:13">
      <c r="A9" s="77">
        <v>2.2</v>
      </c>
      <c r="B9" s="78" t="s">
        <v>183</v>
      </c>
      <c r="C9" s="78"/>
      <c r="D9" s="77"/>
      <c r="E9" s="79"/>
      <c r="F9" s="55"/>
      <c r="G9" s="38"/>
      <c r="H9" s="55"/>
      <c r="I9" s="37"/>
      <c r="J9" s="38"/>
      <c r="K9" s="38"/>
      <c r="L9" s="55"/>
      <c r="M9" s="103"/>
    </row>
    <row r="10" ht="49.5" spans="1:13">
      <c r="A10" s="77"/>
      <c r="B10" s="78" t="s">
        <v>184</v>
      </c>
      <c r="C10" s="78" t="s">
        <v>175</v>
      </c>
      <c r="D10" s="77" t="s">
        <v>117</v>
      </c>
      <c r="E10" s="79">
        <f>12.69*2</f>
        <v>25.38</v>
      </c>
      <c r="F10" s="80"/>
      <c r="G10" s="81">
        <f>260*0.4</f>
        <v>104</v>
      </c>
      <c r="H10" s="55"/>
      <c r="I10" s="37">
        <f>(F10+G10+H10)*0.2</f>
        <v>20.8</v>
      </c>
      <c r="J10" s="38">
        <f>(F10+G10+H10+I10)*0.09</f>
        <v>11.232</v>
      </c>
      <c r="K10" s="38">
        <f>SUM(F10:J10)</f>
        <v>136.032</v>
      </c>
      <c r="L10" s="55">
        <f>E10*K10</f>
        <v>3452.49</v>
      </c>
      <c r="M10" s="104"/>
    </row>
    <row r="11" ht="66" spans="1:13">
      <c r="A11" s="77"/>
      <c r="B11" s="78" t="s">
        <v>185</v>
      </c>
      <c r="C11" s="78" t="s">
        <v>186</v>
      </c>
      <c r="D11" s="77" t="s">
        <v>154</v>
      </c>
      <c r="E11" s="79">
        <v>11.76</v>
      </c>
      <c r="F11" s="80"/>
      <c r="G11" s="81">
        <f>25*0.4</f>
        <v>10</v>
      </c>
      <c r="H11" s="55"/>
      <c r="I11" s="37">
        <f>(F11+G11+H11)*0.2</f>
        <v>2</v>
      </c>
      <c r="J11" s="38">
        <f>(F11+G11+H11+I11)*0.09</f>
        <v>1.08</v>
      </c>
      <c r="K11" s="38">
        <f>SUM(F11:J11)</f>
        <v>13.08</v>
      </c>
      <c r="L11" s="55">
        <f>E11*K11</f>
        <v>153.82</v>
      </c>
      <c r="M11" s="105"/>
    </row>
    <row r="12" ht="16.5" spans="1:13">
      <c r="A12" s="74">
        <v>4</v>
      </c>
      <c r="B12" s="74" t="s">
        <v>187</v>
      </c>
      <c r="C12" s="74"/>
      <c r="D12" s="76"/>
      <c r="E12" s="76"/>
      <c r="F12" s="76"/>
      <c r="G12" s="76"/>
      <c r="H12" s="76"/>
      <c r="I12" s="76"/>
      <c r="J12" s="76"/>
      <c r="K12" s="76"/>
      <c r="L12" s="101"/>
      <c r="M12" s="76"/>
    </row>
    <row r="13" s="66" customFormat="1" ht="103" customHeight="1" spans="1:13">
      <c r="A13" s="77"/>
      <c r="B13" s="78" t="s">
        <v>188</v>
      </c>
      <c r="C13" s="78" t="s">
        <v>189</v>
      </c>
      <c r="D13" s="77" t="s">
        <v>117</v>
      </c>
      <c r="E13" s="79">
        <v>73.37</v>
      </c>
      <c r="F13" s="82"/>
      <c r="G13" s="82">
        <f>10</f>
        <v>10</v>
      </c>
      <c r="H13" s="82"/>
      <c r="I13" s="37">
        <f t="shared" ref="I13:I16" si="4">(F13+G13+H13)*0.2</f>
        <v>2</v>
      </c>
      <c r="J13" s="38">
        <f t="shared" ref="J13:J16" si="5">(F13+G13+H13+I13)*0.09</f>
        <v>1.08</v>
      </c>
      <c r="K13" s="38">
        <f t="shared" ref="K13:K16" si="6">SUM(F13:J13)</f>
        <v>13.08</v>
      </c>
      <c r="L13" s="55">
        <f t="shared" ref="L13:L16" si="7">E13*K13</f>
        <v>959.68</v>
      </c>
      <c r="M13" s="106"/>
    </row>
    <row r="14" ht="16.5" spans="1:13">
      <c r="A14" s="74">
        <v>5</v>
      </c>
      <c r="B14" s="83" t="s">
        <v>190</v>
      </c>
      <c r="C14" s="75"/>
      <c r="D14" s="76"/>
      <c r="E14" s="76"/>
      <c r="F14" s="76"/>
      <c r="G14" s="76"/>
      <c r="H14" s="76"/>
      <c r="I14" s="76"/>
      <c r="J14" s="76"/>
      <c r="K14" s="76"/>
      <c r="L14" s="101"/>
      <c r="M14" s="76"/>
    </row>
    <row r="15" s="66" customFormat="1" ht="99" spans="1:13">
      <c r="A15" s="77"/>
      <c r="B15" s="78" t="s">
        <v>191</v>
      </c>
      <c r="C15" s="78" t="s">
        <v>192</v>
      </c>
      <c r="D15" s="77" t="s">
        <v>117</v>
      </c>
      <c r="E15" s="84">
        <f>16.05+11.88-0.24*0.5*6</f>
        <v>27.21</v>
      </c>
      <c r="F15" s="82"/>
      <c r="G15" s="82">
        <v>5</v>
      </c>
      <c r="H15" s="82"/>
      <c r="I15" s="37">
        <f t="shared" si="4"/>
        <v>1</v>
      </c>
      <c r="J15" s="38">
        <f t="shared" si="5"/>
        <v>0.54</v>
      </c>
      <c r="K15" s="38">
        <f t="shared" si="6"/>
        <v>6.54</v>
      </c>
      <c r="L15" s="55">
        <f t="shared" si="7"/>
        <v>177.95</v>
      </c>
      <c r="M15" s="106"/>
    </row>
    <row r="16" s="66" customFormat="1" ht="53" customHeight="1" spans="1:13">
      <c r="A16" s="77"/>
      <c r="B16" s="78" t="s">
        <v>193</v>
      </c>
      <c r="C16" s="78" t="s">
        <v>194</v>
      </c>
      <c r="D16" s="77" t="s">
        <v>117</v>
      </c>
      <c r="E16" s="84">
        <v>4.92</v>
      </c>
      <c r="F16" s="82">
        <v>90</v>
      </c>
      <c r="G16" s="82">
        <v>130</v>
      </c>
      <c r="H16" s="82">
        <v>90</v>
      </c>
      <c r="I16" s="37">
        <f t="shared" si="4"/>
        <v>62</v>
      </c>
      <c r="J16" s="38">
        <f t="shared" si="5"/>
        <v>33.48</v>
      </c>
      <c r="K16" s="38">
        <f t="shared" si="6"/>
        <v>405.48</v>
      </c>
      <c r="L16" s="55">
        <f t="shared" si="7"/>
        <v>1994.96</v>
      </c>
      <c r="M16" s="106"/>
    </row>
    <row r="17" spans="1:13">
      <c r="A17" s="85" t="s">
        <v>195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3">
      <c r="A18" s="86" t="s">
        <v>63</v>
      </c>
      <c r="B18" s="86" t="s">
        <v>196</v>
      </c>
      <c r="C18" s="87"/>
      <c r="D18" s="87"/>
      <c r="E18" s="88"/>
      <c r="F18" s="88"/>
      <c r="G18" s="88"/>
      <c r="H18" s="88"/>
      <c r="I18" s="88"/>
      <c r="J18" s="88"/>
      <c r="K18" s="88"/>
      <c r="L18" s="88"/>
      <c r="M18" s="87"/>
    </row>
    <row r="19" s="66" customFormat="1" ht="32" customHeight="1" spans="1:13">
      <c r="A19" s="86">
        <v>2</v>
      </c>
      <c r="B19" s="86" t="s">
        <v>197</v>
      </c>
      <c r="C19" s="89" t="s">
        <v>198</v>
      </c>
      <c r="D19" s="86" t="s">
        <v>117</v>
      </c>
      <c r="E19" s="90">
        <f>0.45+0.239+0.246</f>
        <v>0.94</v>
      </c>
      <c r="F19" s="49"/>
      <c r="G19" s="49"/>
      <c r="H19" s="49"/>
      <c r="I19" s="37"/>
      <c r="J19" s="38"/>
      <c r="K19" s="38">
        <f>248.52-170.04</f>
        <v>78.48</v>
      </c>
      <c r="L19" s="49">
        <f t="shared" ref="L19:L21" si="8">E19*K19</f>
        <v>73.77</v>
      </c>
      <c r="M19" s="49"/>
    </row>
    <row r="20" s="66" customFormat="1" ht="35" customHeight="1" spans="1:13">
      <c r="A20" s="86">
        <v>4</v>
      </c>
      <c r="B20" s="86" t="s">
        <v>199</v>
      </c>
      <c r="C20" s="89" t="s">
        <v>200</v>
      </c>
      <c r="D20" s="86" t="s">
        <v>154</v>
      </c>
      <c r="E20" s="90">
        <f>2.35*2</f>
        <v>4.7</v>
      </c>
      <c r="F20" s="80">
        <v>13</v>
      </c>
      <c r="G20" s="81">
        <v>26</v>
      </c>
      <c r="H20" s="55">
        <v>6</v>
      </c>
      <c r="I20" s="37">
        <f>(F20+G20+H20)*0.2</f>
        <v>9</v>
      </c>
      <c r="J20" s="38">
        <f>(F20+G20+H20+I20)*0.09</f>
        <v>4.86</v>
      </c>
      <c r="K20" s="38">
        <f>SUM(F20:J20)</f>
        <v>58.86</v>
      </c>
      <c r="L20" s="49">
        <f t="shared" si="8"/>
        <v>276.64</v>
      </c>
      <c r="M20" s="49"/>
    </row>
    <row r="21" s="66" customFormat="1" ht="39" customHeight="1" spans="1:13">
      <c r="A21" s="86">
        <v>5</v>
      </c>
      <c r="B21" s="86" t="s">
        <v>201</v>
      </c>
      <c r="C21" s="89" t="s">
        <v>202</v>
      </c>
      <c r="D21" s="86" t="s">
        <v>117</v>
      </c>
      <c r="E21" s="90">
        <v>9.56</v>
      </c>
      <c r="F21" s="49">
        <v>12</v>
      </c>
      <c r="G21" s="49">
        <v>25</v>
      </c>
      <c r="H21" s="49">
        <v>5</v>
      </c>
      <c r="I21" s="37">
        <f>(F21+G21+H21)*0.2</f>
        <v>8.4</v>
      </c>
      <c r="J21" s="38">
        <f>(F21+G21+H21+I21)*0.09</f>
        <v>4.536</v>
      </c>
      <c r="K21" s="38">
        <f>SUM(F21:J21)</f>
        <v>54.936</v>
      </c>
      <c r="L21" s="49">
        <f t="shared" si="8"/>
        <v>525.19</v>
      </c>
      <c r="M21" s="49"/>
    </row>
    <row r="22" ht="16.5" spans="1:13">
      <c r="A22" s="87" t="s">
        <v>77</v>
      </c>
      <c r="B22" s="91" t="s">
        <v>203</v>
      </c>
      <c r="C22" s="92"/>
      <c r="D22" s="93"/>
      <c r="E22" s="94"/>
      <c r="F22" s="95"/>
      <c r="G22" s="95"/>
      <c r="H22" s="95"/>
      <c r="I22" s="37"/>
      <c r="J22" s="38"/>
      <c r="K22" s="38"/>
      <c r="L22" s="49"/>
      <c r="M22" s="76"/>
    </row>
    <row r="23" ht="48" customHeight="1" spans="1:13">
      <c r="A23" s="86">
        <v>1</v>
      </c>
      <c r="B23" s="86" t="s">
        <v>128</v>
      </c>
      <c r="C23" s="89" t="s">
        <v>204</v>
      </c>
      <c r="D23" s="86" t="s">
        <v>117</v>
      </c>
      <c r="E23" s="90">
        <f>26.5*0.56</f>
        <v>14.84</v>
      </c>
      <c r="F23" s="38">
        <v>2</v>
      </c>
      <c r="G23" s="55">
        <v>0</v>
      </c>
      <c r="H23" s="38">
        <v>2</v>
      </c>
      <c r="I23" s="37">
        <f t="shared" ref="I22:I30" si="9">(F23+G23+H23)*0.2</f>
        <v>0.8</v>
      </c>
      <c r="J23" s="38">
        <f t="shared" ref="J22:J30" si="10">(F23+G23+H23+I23)*0.09</f>
        <v>0.432</v>
      </c>
      <c r="K23" s="38">
        <f t="shared" ref="K22:K30" si="11">SUM(F23:J23)</f>
        <v>5.232</v>
      </c>
      <c r="L23" s="49">
        <f t="shared" ref="L22:L30" si="12">E23*K23</f>
        <v>77.64</v>
      </c>
      <c r="M23" s="76"/>
    </row>
    <row r="24" ht="29" customHeight="1" spans="1:13">
      <c r="A24" s="86">
        <v>2</v>
      </c>
      <c r="B24" s="86" t="s">
        <v>205</v>
      </c>
      <c r="C24" s="89" t="s">
        <v>206</v>
      </c>
      <c r="D24" s="86" t="s">
        <v>114</v>
      </c>
      <c r="E24" s="90">
        <f>26.5*0.15*0.56</f>
        <v>2.23</v>
      </c>
      <c r="F24" s="38">
        <v>18</v>
      </c>
      <c r="G24" s="55">
        <v>60</v>
      </c>
      <c r="H24" s="38">
        <v>12</v>
      </c>
      <c r="I24" s="37">
        <f t="shared" si="9"/>
        <v>18</v>
      </c>
      <c r="J24" s="38">
        <f t="shared" si="10"/>
        <v>9.72</v>
      </c>
      <c r="K24" s="38">
        <f t="shared" si="11"/>
        <v>117.72</v>
      </c>
      <c r="L24" s="49">
        <f t="shared" si="12"/>
        <v>262.52</v>
      </c>
      <c r="M24" s="76"/>
    </row>
    <row r="25" ht="22" customHeight="1" spans="1:13">
      <c r="A25" s="86">
        <v>3</v>
      </c>
      <c r="B25" s="86" t="s">
        <v>207</v>
      </c>
      <c r="C25" s="89" t="s">
        <v>208</v>
      </c>
      <c r="D25" s="86" t="s">
        <v>114</v>
      </c>
      <c r="E25" s="90">
        <f>26.5*0.1*0.56</f>
        <v>1.48</v>
      </c>
      <c r="F25" s="38">
        <v>170</v>
      </c>
      <c r="G25" s="55">
        <v>420</v>
      </c>
      <c r="H25" s="38">
        <v>15</v>
      </c>
      <c r="I25" s="37">
        <f t="shared" si="9"/>
        <v>121</v>
      </c>
      <c r="J25" s="38">
        <f t="shared" si="10"/>
        <v>65.34</v>
      </c>
      <c r="K25" s="38">
        <f t="shared" si="11"/>
        <v>791.34</v>
      </c>
      <c r="L25" s="49">
        <f t="shared" si="12"/>
        <v>1171.18</v>
      </c>
      <c r="M25" s="76"/>
    </row>
    <row r="26" ht="48" customHeight="1" spans="1:13">
      <c r="A26" s="86">
        <v>4</v>
      </c>
      <c r="B26" s="89" t="s">
        <v>209</v>
      </c>
      <c r="C26" s="89" t="s">
        <v>210</v>
      </c>
      <c r="D26" s="86" t="s">
        <v>117</v>
      </c>
      <c r="E26" s="90">
        <f>3.98*0.56</f>
        <v>2.23</v>
      </c>
      <c r="F26" s="55">
        <v>40</v>
      </c>
      <c r="G26" s="38">
        <v>80</v>
      </c>
      <c r="H26" s="55">
        <v>20</v>
      </c>
      <c r="I26" s="37">
        <f t="shared" si="9"/>
        <v>28</v>
      </c>
      <c r="J26" s="38">
        <f t="shared" si="10"/>
        <v>15.12</v>
      </c>
      <c r="K26" s="38">
        <f t="shared" si="11"/>
        <v>183.12</v>
      </c>
      <c r="L26" s="49">
        <f t="shared" si="12"/>
        <v>408.36</v>
      </c>
      <c r="M26" s="76"/>
    </row>
    <row r="27" ht="48" customHeight="1" spans="1:13">
      <c r="A27" s="86">
        <v>5</v>
      </c>
      <c r="B27" s="89" t="s">
        <v>211</v>
      </c>
      <c r="C27" s="89" t="s">
        <v>212</v>
      </c>
      <c r="D27" s="86" t="s">
        <v>117</v>
      </c>
      <c r="E27" s="90">
        <f>1.87*0.56</f>
        <v>1.05</v>
      </c>
      <c r="F27" s="55">
        <v>40</v>
      </c>
      <c r="G27" s="38">
        <v>80</v>
      </c>
      <c r="H27" s="55">
        <v>20</v>
      </c>
      <c r="I27" s="37">
        <f t="shared" si="9"/>
        <v>28</v>
      </c>
      <c r="J27" s="38">
        <f t="shared" si="10"/>
        <v>15.12</v>
      </c>
      <c r="K27" s="38">
        <f t="shared" si="11"/>
        <v>183.12</v>
      </c>
      <c r="L27" s="49">
        <f t="shared" si="12"/>
        <v>192.28</v>
      </c>
      <c r="M27" s="76"/>
    </row>
    <row r="28" ht="48" customHeight="1" spans="1:13">
      <c r="A28" s="86">
        <v>6</v>
      </c>
      <c r="B28" s="89" t="s">
        <v>213</v>
      </c>
      <c r="C28" s="89" t="s">
        <v>214</v>
      </c>
      <c r="D28" s="86" t="s">
        <v>117</v>
      </c>
      <c r="E28" s="90">
        <f>13.499+3.9598*0.56</f>
        <v>15.72</v>
      </c>
      <c r="F28" s="55">
        <v>40</v>
      </c>
      <c r="G28" s="38">
        <v>80</v>
      </c>
      <c r="H28" s="55">
        <v>20</v>
      </c>
      <c r="I28" s="37">
        <f t="shared" si="9"/>
        <v>28</v>
      </c>
      <c r="J28" s="38">
        <f t="shared" si="10"/>
        <v>15.12</v>
      </c>
      <c r="K28" s="38">
        <f t="shared" si="11"/>
        <v>183.12</v>
      </c>
      <c r="L28" s="49">
        <f t="shared" si="12"/>
        <v>2878.65</v>
      </c>
      <c r="M28" s="76"/>
    </row>
    <row r="29" ht="48" customHeight="1" spans="1:13">
      <c r="A29" s="86">
        <v>7</v>
      </c>
      <c r="B29" s="89" t="s">
        <v>209</v>
      </c>
      <c r="C29" s="89" t="s">
        <v>215</v>
      </c>
      <c r="D29" s="86" t="s">
        <v>117</v>
      </c>
      <c r="E29" s="90">
        <f>1.44*0.56</f>
        <v>0.81</v>
      </c>
      <c r="F29" s="55">
        <v>40</v>
      </c>
      <c r="G29" s="38">
        <v>80</v>
      </c>
      <c r="H29" s="55">
        <v>20</v>
      </c>
      <c r="I29" s="37">
        <f t="shared" si="9"/>
        <v>28</v>
      </c>
      <c r="J29" s="38">
        <f t="shared" si="10"/>
        <v>15.12</v>
      </c>
      <c r="K29" s="38">
        <f t="shared" si="11"/>
        <v>183.12</v>
      </c>
      <c r="L29" s="49">
        <f t="shared" si="12"/>
        <v>148.33</v>
      </c>
      <c r="M29" s="76"/>
    </row>
    <row r="30" ht="48" customHeight="1" spans="1:13">
      <c r="A30" s="86">
        <v>8</v>
      </c>
      <c r="B30" s="89" t="s">
        <v>213</v>
      </c>
      <c r="C30" s="89" t="s">
        <v>216</v>
      </c>
      <c r="D30" s="86" t="s">
        <v>117</v>
      </c>
      <c r="E30" s="90">
        <f>1.77*0.56</f>
        <v>0.99</v>
      </c>
      <c r="F30" s="55">
        <v>40</v>
      </c>
      <c r="G30" s="38">
        <v>80</v>
      </c>
      <c r="H30" s="55">
        <v>20</v>
      </c>
      <c r="I30" s="37">
        <f t="shared" si="9"/>
        <v>28</v>
      </c>
      <c r="J30" s="38">
        <f t="shared" si="10"/>
        <v>15.12</v>
      </c>
      <c r="K30" s="38">
        <f t="shared" si="11"/>
        <v>183.12</v>
      </c>
      <c r="L30" s="49">
        <f t="shared" si="12"/>
        <v>181.29</v>
      </c>
      <c r="M30" s="76"/>
    </row>
    <row r="31" spans="1:13">
      <c r="A31" s="87" t="s">
        <v>81</v>
      </c>
      <c r="B31" s="91" t="s">
        <v>217</v>
      </c>
      <c r="C31" s="92"/>
      <c r="D31" s="76"/>
      <c r="E31" s="76"/>
      <c r="F31" s="76"/>
      <c r="G31" s="76"/>
      <c r="H31" s="76"/>
      <c r="I31" s="76"/>
      <c r="J31" s="76"/>
      <c r="K31" s="76"/>
      <c r="L31" s="101"/>
      <c r="M31" s="76"/>
    </row>
    <row r="32" s="66" customFormat="1" ht="60" spans="1:13">
      <c r="A32" s="86">
        <v>1</v>
      </c>
      <c r="B32" s="89" t="s">
        <v>218</v>
      </c>
      <c r="C32" s="89" t="s">
        <v>219</v>
      </c>
      <c r="D32" s="86" t="s">
        <v>117</v>
      </c>
      <c r="E32" s="90">
        <f>2.35*4.118*2-2.9+7.8*0.2</f>
        <v>18.01</v>
      </c>
      <c r="F32" s="80">
        <v>120</v>
      </c>
      <c r="G32" s="80">
        <v>180</v>
      </c>
      <c r="H32" s="55">
        <v>50</v>
      </c>
      <c r="I32" s="37">
        <f>(F32+G32+H32)*0.2</f>
        <v>70</v>
      </c>
      <c r="J32" s="38">
        <f>(F32+G32+H32+I32)*0.09</f>
        <v>37.8</v>
      </c>
      <c r="K32" s="38">
        <f>SUM(F32:J32)</f>
        <v>457.8</v>
      </c>
      <c r="L32" s="49">
        <f>E32*K32</f>
        <v>8244.98</v>
      </c>
      <c r="M32" s="49"/>
    </row>
    <row r="33" s="66" customFormat="1" ht="24" spans="1:13">
      <c r="A33" s="86">
        <v>2</v>
      </c>
      <c r="B33" s="89" t="s">
        <v>220</v>
      </c>
      <c r="C33" s="89" t="s">
        <v>221</v>
      </c>
      <c r="D33" s="86" t="s">
        <v>117</v>
      </c>
      <c r="E33" s="90">
        <v>9.12</v>
      </c>
      <c r="F33" s="38">
        <v>30</v>
      </c>
      <c r="G33" s="38">
        <v>70</v>
      </c>
      <c r="H33" s="38">
        <v>10</v>
      </c>
      <c r="I33" s="37">
        <f>(F33+G33+H33)*0.2</f>
        <v>22</v>
      </c>
      <c r="J33" s="38">
        <f>(F33+G33+H33+I33)*0.09</f>
        <v>11.88</v>
      </c>
      <c r="K33" s="38">
        <f>SUM(F33:J33)</f>
        <v>143.88</v>
      </c>
      <c r="L33" s="49">
        <f>E33*K33</f>
        <v>1312.19</v>
      </c>
      <c r="M33" s="96"/>
    </row>
    <row r="34" s="66" customFormat="1" ht="29" customHeight="1" spans="1:13">
      <c r="A34" s="96" t="s">
        <v>86</v>
      </c>
      <c r="B34" s="96" t="s">
        <v>104</v>
      </c>
      <c r="C34" s="96"/>
      <c r="D34" s="96"/>
      <c r="E34" s="96"/>
      <c r="F34" s="96"/>
      <c r="G34" s="96"/>
      <c r="H34" s="96"/>
      <c r="I34" s="96"/>
      <c r="J34" s="96"/>
      <c r="K34" s="96"/>
      <c r="L34" s="49">
        <f>SUM(L5:L16)+SUM(L19:L33)*2</f>
        <v>48654</v>
      </c>
      <c r="M34" s="96"/>
    </row>
  </sheetData>
  <mergeCells count="17">
    <mergeCell ref="A1:M1"/>
    <mergeCell ref="F2:J2"/>
    <mergeCell ref="B4:C4"/>
    <mergeCell ref="B12:C12"/>
    <mergeCell ref="B14:C14"/>
    <mergeCell ref="A17:M17"/>
    <mergeCell ref="B22:C22"/>
    <mergeCell ref="B31:C31"/>
    <mergeCell ref="A2:A3"/>
    <mergeCell ref="B2:B3"/>
    <mergeCell ref="C2:C3"/>
    <mergeCell ref="D2:D3"/>
    <mergeCell ref="E2:E3"/>
    <mergeCell ref="K2:K3"/>
    <mergeCell ref="L2:L3"/>
    <mergeCell ref="M2:M3"/>
    <mergeCell ref="M5:M1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workbookViewId="0">
      <selection activeCell="G3" sqref="G3"/>
    </sheetView>
  </sheetViews>
  <sheetFormatPr defaultColWidth="9" defaultRowHeight="14.25"/>
  <cols>
    <col min="1" max="1" width="3.875" customWidth="1"/>
    <col min="2" max="2" width="5.625" customWidth="1"/>
    <col min="3" max="3" width="22.75" customWidth="1"/>
    <col min="4" max="4" width="3.875" customWidth="1"/>
    <col min="5" max="5" width="7.125" customWidth="1"/>
    <col min="6" max="6" width="7.5" customWidth="1"/>
    <col min="7" max="7" width="7.125" customWidth="1"/>
    <col min="8" max="8" width="6.75" customWidth="1"/>
    <col min="9" max="9" width="10.25" customWidth="1"/>
    <col min="10" max="10" width="8.5" customWidth="1"/>
    <col min="11" max="11" width="9.375" customWidth="1"/>
    <col min="12" max="12" width="10.25" customWidth="1"/>
    <col min="13" max="13" width="18.125" customWidth="1"/>
    <col min="14" max="14" width="42" customWidth="1"/>
  </cols>
  <sheetData>
    <row r="1" customFormat="1" ht="34" customHeight="1" spans="1:10">
      <c r="A1" s="40" t="s">
        <v>222</v>
      </c>
      <c r="B1" s="40"/>
      <c r="C1" s="40"/>
      <c r="D1" s="40"/>
      <c r="E1" s="40"/>
      <c r="F1" s="40"/>
      <c r="G1" s="40"/>
      <c r="H1" s="40"/>
      <c r="I1" s="40"/>
      <c r="J1" s="40"/>
    </row>
    <row r="2" customFormat="1" spans="1:13">
      <c r="A2" s="9" t="s">
        <v>1</v>
      </c>
      <c r="B2" s="10" t="s">
        <v>223</v>
      </c>
      <c r="C2" s="10" t="s">
        <v>224</v>
      </c>
      <c r="D2" s="10" t="s">
        <v>93</v>
      </c>
      <c r="E2" s="11" t="s">
        <v>225</v>
      </c>
      <c r="F2" s="13" t="s">
        <v>165</v>
      </c>
      <c r="G2" s="13"/>
      <c r="H2" s="13"/>
      <c r="I2" s="13"/>
      <c r="J2" s="32"/>
      <c r="K2" s="17" t="s">
        <v>166</v>
      </c>
      <c r="L2" s="17" t="s">
        <v>167</v>
      </c>
      <c r="M2" s="17" t="s">
        <v>6</v>
      </c>
    </row>
    <row r="3" customFormat="1" ht="34" customHeight="1" spans="1:13">
      <c r="A3" s="14"/>
      <c r="B3" s="15"/>
      <c r="C3" s="15"/>
      <c r="D3" s="15"/>
      <c r="E3" s="16"/>
      <c r="F3" s="41" t="s">
        <v>168</v>
      </c>
      <c r="G3" s="17" t="s">
        <v>169</v>
      </c>
      <c r="H3" s="17" t="s">
        <v>170</v>
      </c>
      <c r="I3" s="33" t="s">
        <v>226</v>
      </c>
      <c r="J3" s="33" t="s">
        <v>172</v>
      </c>
      <c r="K3" s="34"/>
      <c r="L3" s="34"/>
      <c r="M3" s="34"/>
    </row>
    <row r="4" customFormat="1" spans="1:13">
      <c r="A4" s="26" t="s">
        <v>63</v>
      </c>
      <c r="B4" s="29" t="s">
        <v>227</v>
      </c>
      <c r="C4" s="29"/>
      <c r="D4" s="26"/>
      <c r="E4" s="26"/>
      <c r="F4" s="42"/>
      <c r="G4" s="43"/>
      <c r="H4" s="42"/>
      <c r="I4" s="57"/>
      <c r="J4" s="58"/>
      <c r="K4" s="59"/>
      <c r="L4" s="60"/>
      <c r="M4" s="61"/>
    </row>
    <row r="5" customFormat="1" ht="60" spans="1:13">
      <c r="A5" s="26">
        <v>2</v>
      </c>
      <c r="B5" s="29" t="s">
        <v>228</v>
      </c>
      <c r="C5" s="27" t="s">
        <v>229</v>
      </c>
      <c r="D5" s="26" t="s">
        <v>134</v>
      </c>
      <c r="E5" s="26">
        <v>-2</v>
      </c>
      <c r="F5" s="42">
        <v>30</v>
      </c>
      <c r="G5" s="43">
        <v>65</v>
      </c>
      <c r="H5" s="42"/>
      <c r="I5" s="37">
        <v>19</v>
      </c>
      <c r="J5" s="38">
        <v>10.26</v>
      </c>
      <c r="K5" s="38">
        <v>124.26</v>
      </c>
      <c r="L5" s="47">
        <v>-248.52</v>
      </c>
      <c r="M5" s="62" t="s">
        <v>230</v>
      </c>
    </row>
    <row r="6" customFormat="1" ht="24" spans="1:13">
      <c r="A6" s="26"/>
      <c r="B6" s="29" t="s">
        <v>228</v>
      </c>
      <c r="C6" s="27" t="s">
        <v>231</v>
      </c>
      <c r="D6" s="26" t="s">
        <v>134</v>
      </c>
      <c r="E6" s="26">
        <v>4</v>
      </c>
      <c r="F6" s="42"/>
      <c r="G6" s="43"/>
      <c r="H6" s="42"/>
      <c r="I6" s="37"/>
      <c r="J6" s="38"/>
      <c r="K6" s="38">
        <v>70</v>
      </c>
      <c r="L6" s="47">
        <v>280</v>
      </c>
      <c r="M6" s="62" t="s">
        <v>232</v>
      </c>
    </row>
    <row r="7" customFormat="1" ht="60" spans="1:13">
      <c r="A7" s="26">
        <v>3</v>
      </c>
      <c r="B7" s="29" t="s">
        <v>233</v>
      </c>
      <c r="C7" s="27" t="s">
        <v>234</v>
      </c>
      <c r="D7" s="26" t="s">
        <v>134</v>
      </c>
      <c r="E7" s="26">
        <v>1</v>
      </c>
      <c r="F7" s="42">
        <v>10</v>
      </c>
      <c r="G7" s="43">
        <v>12</v>
      </c>
      <c r="H7" s="42"/>
      <c r="I7" s="37">
        <v>4.4</v>
      </c>
      <c r="J7" s="38">
        <v>2.376</v>
      </c>
      <c r="K7" s="38">
        <v>28.776</v>
      </c>
      <c r="L7" s="47">
        <v>28.9</v>
      </c>
      <c r="M7" s="62" t="s">
        <v>235</v>
      </c>
    </row>
    <row r="8" customFormat="1" ht="72" spans="1:13">
      <c r="A8" s="26">
        <v>5</v>
      </c>
      <c r="B8" s="29" t="s">
        <v>236</v>
      </c>
      <c r="C8" s="27" t="s">
        <v>237</v>
      </c>
      <c r="D8" s="26" t="s">
        <v>134</v>
      </c>
      <c r="E8" s="26">
        <v>2</v>
      </c>
      <c r="F8" s="42">
        <v>10</v>
      </c>
      <c r="G8" s="43">
        <v>17</v>
      </c>
      <c r="H8" s="42"/>
      <c r="I8" s="37">
        <v>5.4</v>
      </c>
      <c r="J8" s="38">
        <v>2.916</v>
      </c>
      <c r="K8" s="38">
        <v>35.316</v>
      </c>
      <c r="L8" s="47">
        <v>70.632</v>
      </c>
      <c r="M8" s="62" t="s">
        <v>235</v>
      </c>
    </row>
    <row r="9" customFormat="1" ht="48" spans="1:13">
      <c r="A9" s="26">
        <v>6</v>
      </c>
      <c r="B9" s="29" t="s">
        <v>238</v>
      </c>
      <c r="C9" s="27" t="s">
        <v>239</v>
      </c>
      <c r="D9" s="26" t="s">
        <v>240</v>
      </c>
      <c r="E9" s="26">
        <v>-1</v>
      </c>
      <c r="F9" s="42">
        <v>120</v>
      </c>
      <c r="G9" s="43">
        <v>260</v>
      </c>
      <c r="H9" s="42">
        <v>20</v>
      </c>
      <c r="I9" s="37">
        <v>80</v>
      </c>
      <c r="J9" s="38">
        <v>43.2</v>
      </c>
      <c r="K9" s="38">
        <v>523.2</v>
      </c>
      <c r="L9" s="47">
        <v>-523.2</v>
      </c>
      <c r="M9" s="62"/>
    </row>
    <row r="10" customFormat="1" ht="60" spans="1:13">
      <c r="A10" s="26">
        <v>7</v>
      </c>
      <c r="B10" s="27" t="s">
        <v>241</v>
      </c>
      <c r="C10" s="27" t="s">
        <v>242</v>
      </c>
      <c r="D10" s="44" t="s">
        <v>154</v>
      </c>
      <c r="E10" s="26">
        <v>181.92</v>
      </c>
      <c r="F10" s="42">
        <v>4</v>
      </c>
      <c r="G10" s="43">
        <v>2</v>
      </c>
      <c r="H10" s="42"/>
      <c r="I10" s="37">
        <v>1.2</v>
      </c>
      <c r="J10" s="38">
        <v>0.648</v>
      </c>
      <c r="K10" s="38">
        <v>7.848</v>
      </c>
      <c r="L10" s="47">
        <v>1427.70816</v>
      </c>
      <c r="M10" s="62" t="s">
        <v>243</v>
      </c>
    </row>
    <row r="11" customFormat="1" ht="60" spans="1:13">
      <c r="A11" s="26">
        <v>8</v>
      </c>
      <c r="B11" s="27" t="s">
        <v>241</v>
      </c>
      <c r="C11" s="27" t="s">
        <v>244</v>
      </c>
      <c r="D11" s="44" t="s">
        <v>154</v>
      </c>
      <c r="E11" s="26">
        <v>59.85</v>
      </c>
      <c r="F11" s="42">
        <v>4</v>
      </c>
      <c r="G11" s="43">
        <v>4</v>
      </c>
      <c r="H11" s="42"/>
      <c r="I11" s="37">
        <v>1.6</v>
      </c>
      <c r="J11" s="38">
        <v>0.864</v>
      </c>
      <c r="K11" s="38">
        <v>10.464</v>
      </c>
      <c r="L11" s="47">
        <v>626.2704</v>
      </c>
      <c r="M11" s="62" t="s">
        <v>243</v>
      </c>
    </row>
    <row r="12" customFormat="1" ht="16.5" spans="1:13">
      <c r="A12" s="26"/>
      <c r="B12" s="27"/>
      <c r="C12" s="27" t="s">
        <v>245</v>
      </c>
      <c r="D12" s="44" t="s">
        <v>134</v>
      </c>
      <c r="E12" s="26">
        <v>16</v>
      </c>
      <c r="F12" s="42"/>
      <c r="G12" s="43"/>
      <c r="H12" s="42"/>
      <c r="I12" s="37"/>
      <c r="J12" s="38"/>
      <c r="K12" s="38">
        <v>60</v>
      </c>
      <c r="L12" s="47">
        <v>960</v>
      </c>
      <c r="M12" s="62" t="s">
        <v>246</v>
      </c>
    </row>
    <row r="13" customFormat="1" ht="16.5" spans="1:13">
      <c r="A13" s="26" t="s">
        <v>70</v>
      </c>
      <c r="B13" s="29" t="s">
        <v>247</v>
      </c>
      <c r="C13" s="29"/>
      <c r="D13" s="26"/>
      <c r="E13" s="26"/>
      <c r="F13" s="42"/>
      <c r="G13" s="43"/>
      <c r="H13" s="42"/>
      <c r="I13" s="37">
        <v>0</v>
      </c>
      <c r="J13" s="38">
        <v>0</v>
      </c>
      <c r="K13" s="38">
        <v>0</v>
      </c>
      <c r="L13" s="47"/>
      <c r="M13" s="62"/>
    </row>
    <row r="14" customFormat="1" ht="60" spans="1:13">
      <c r="A14" s="26">
        <v>1</v>
      </c>
      <c r="B14" s="27" t="s">
        <v>248</v>
      </c>
      <c r="C14" s="27" t="s">
        <v>249</v>
      </c>
      <c r="D14" s="44" t="s">
        <v>154</v>
      </c>
      <c r="E14" s="26">
        <v>-22.12</v>
      </c>
      <c r="F14" s="42">
        <v>16</v>
      </c>
      <c r="G14" s="43">
        <v>22</v>
      </c>
      <c r="H14" s="42">
        <v>4</v>
      </c>
      <c r="I14" s="37">
        <v>8.4</v>
      </c>
      <c r="J14" s="38">
        <v>4.536</v>
      </c>
      <c r="K14" s="38">
        <v>54.936</v>
      </c>
      <c r="L14" s="47">
        <v>-1215.18432</v>
      </c>
      <c r="M14" s="62" t="s">
        <v>250</v>
      </c>
    </row>
    <row r="15" customFormat="1" ht="60" spans="1:13">
      <c r="A15" s="26"/>
      <c r="B15" s="27" t="s">
        <v>248</v>
      </c>
      <c r="C15" s="27" t="s">
        <v>251</v>
      </c>
      <c r="D15" s="44" t="s">
        <v>154</v>
      </c>
      <c r="E15" s="26">
        <v>40.8</v>
      </c>
      <c r="F15" s="42"/>
      <c r="G15" s="43"/>
      <c r="H15" s="42"/>
      <c r="I15" s="37"/>
      <c r="J15" s="38"/>
      <c r="K15" s="38">
        <v>30</v>
      </c>
      <c r="L15" s="47">
        <v>1224</v>
      </c>
      <c r="M15" s="62" t="s">
        <v>252</v>
      </c>
    </row>
    <row r="16" customFormat="1" ht="16.5" spans="1:13">
      <c r="A16" s="26" t="s">
        <v>73</v>
      </c>
      <c r="B16" s="29" t="s">
        <v>253</v>
      </c>
      <c r="C16" s="29"/>
      <c r="D16" s="26"/>
      <c r="E16" s="26"/>
      <c r="F16" s="42"/>
      <c r="G16" s="43"/>
      <c r="H16" s="42"/>
      <c r="I16" s="37">
        <v>0</v>
      </c>
      <c r="J16" s="38">
        <v>0</v>
      </c>
      <c r="K16" s="38">
        <v>0</v>
      </c>
      <c r="L16" s="47">
        <v>0</v>
      </c>
      <c r="M16" s="62"/>
    </row>
    <row r="17" customFormat="1" ht="84" spans="1:13">
      <c r="A17" s="26">
        <v>1</v>
      </c>
      <c r="B17" s="27" t="s">
        <v>254</v>
      </c>
      <c r="C17" s="27" t="s">
        <v>255</v>
      </c>
      <c r="D17" s="44" t="s">
        <v>134</v>
      </c>
      <c r="E17" s="45">
        <v>-1</v>
      </c>
      <c r="F17" s="46"/>
      <c r="G17" s="47">
        <v>2500</v>
      </c>
      <c r="H17" s="42"/>
      <c r="I17" s="37">
        <v>500</v>
      </c>
      <c r="J17" s="38">
        <v>270</v>
      </c>
      <c r="K17" s="38">
        <v>654</v>
      </c>
      <c r="L17" s="47">
        <v>-654</v>
      </c>
      <c r="M17" s="62" t="s">
        <v>256</v>
      </c>
    </row>
    <row r="18" customFormat="1" ht="36" spans="1:13">
      <c r="A18" s="26">
        <v>9</v>
      </c>
      <c r="B18" s="27" t="s">
        <v>257</v>
      </c>
      <c r="C18" s="48" t="s">
        <v>258</v>
      </c>
      <c r="D18" s="43" t="s">
        <v>240</v>
      </c>
      <c r="E18" s="49">
        <v>-1</v>
      </c>
      <c r="F18" s="50"/>
      <c r="G18" s="47">
        <v>8000</v>
      </c>
      <c r="H18" s="51"/>
      <c r="I18" s="37">
        <v>1600</v>
      </c>
      <c r="J18" s="38">
        <v>864</v>
      </c>
      <c r="K18" s="38">
        <v>10464</v>
      </c>
      <c r="L18" s="47">
        <v>-10464</v>
      </c>
      <c r="M18" s="62" t="s">
        <v>259</v>
      </c>
    </row>
    <row r="19" customFormat="1" ht="16.5" spans="1:13">
      <c r="A19" s="26" t="s">
        <v>77</v>
      </c>
      <c r="B19" s="29" t="s">
        <v>260</v>
      </c>
      <c r="C19" s="29"/>
      <c r="D19" s="26"/>
      <c r="E19" s="26"/>
      <c r="F19" s="42"/>
      <c r="G19" s="47"/>
      <c r="H19" s="42"/>
      <c r="I19" s="37">
        <v>0</v>
      </c>
      <c r="J19" s="38">
        <v>0</v>
      </c>
      <c r="K19" s="38">
        <v>0</v>
      </c>
      <c r="L19" s="47"/>
      <c r="M19" s="62"/>
    </row>
    <row r="20" customFormat="1" ht="48" spans="1:13">
      <c r="A20" s="26">
        <v>2</v>
      </c>
      <c r="B20" s="27" t="s">
        <v>261</v>
      </c>
      <c r="C20" s="27" t="s">
        <v>262</v>
      </c>
      <c r="D20" s="44" t="s">
        <v>134</v>
      </c>
      <c r="E20" s="45">
        <v>-1</v>
      </c>
      <c r="F20" s="46">
        <v>20</v>
      </c>
      <c r="G20" s="47">
        <v>260</v>
      </c>
      <c r="H20" s="42"/>
      <c r="I20" s="37">
        <v>56</v>
      </c>
      <c r="J20" s="38">
        <v>30.24</v>
      </c>
      <c r="K20" s="38">
        <v>366.24</v>
      </c>
      <c r="L20" s="47">
        <v>-366.24</v>
      </c>
      <c r="M20" s="62" t="s">
        <v>263</v>
      </c>
    </row>
    <row r="21" customFormat="1" ht="60" spans="1:13">
      <c r="A21" s="26">
        <v>3</v>
      </c>
      <c r="B21" s="27" t="s">
        <v>264</v>
      </c>
      <c r="C21" s="27" t="s">
        <v>265</v>
      </c>
      <c r="D21" s="44" t="s">
        <v>134</v>
      </c>
      <c r="E21" s="45">
        <v>-1</v>
      </c>
      <c r="F21" s="46"/>
      <c r="G21" s="47">
        <v>3800</v>
      </c>
      <c r="H21" s="42"/>
      <c r="I21" s="37">
        <v>760</v>
      </c>
      <c r="J21" s="38">
        <v>410.4</v>
      </c>
      <c r="K21" s="38">
        <v>4970.4</v>
      </c>
      <c r="L21" s="47">
        <v>-4970.4</v>
      </c>
      <c r="M21" s="62" t="s">
        <v>259</v>
      </c>
    </row>
    <row r="22" customFormat="1" ht="48" spans="1:13">
      <c r="A22" s="26">
        <v>5</v>
      </c>
      <c r="B22" s="27" t="s">
        <v>266</v>
      </c>
      <c r="C22" s="27" t="s">
        <v>267</v>
      </c>
      <c r="D22" s="44" t="s">
        <v>134</v>
      </c>
      <c r="E22" s="45">
        <v>-1</v>
      </c>
      <c r="F22" s="46"/>
      <c r="G22" s="47">
        <v>300</v>
      </c>
      <c r="H22" s="42"/>
      <c r="I22" s="37">
        <v>60</v>
      </c>
      <c r="J22" s="38">
        <v>32.4</v>
      </c>
      <c r="K22" s="38">
        <v>392.4</v>
      </c>
      <c r="L22" s="47">
        <v>-392.4</v>
      </c>
      <c r="M22" s="62" t="s">
        <v>263</v>
      </c>
    </row>
    <row r="23" customFormat="1" ht="36" spans="1:13">
      <c r="A23" s="26">
        <v>6</v>
      </c>
      <c r="B23" s="27" t="s">
        <v>268</v>
      </c>
      <c r="C23" s="27" t="s">
        <v>269</v>
      </c>
      <c r="D23" s="44" t="s">
        <v>240</v>
      </c>
      <c r="E23" s="45">
        <v>-1</v>
      </c>
      <c r="F23" s="46"/>
      <c r="G23" s="47">
        <v>5000</v>
      </c>
      <c r="H23" s="42"/>
      <c r="I23" s="37">
        <v>1000</v>
      </c>
      <c r="J23" s="38">
        <v>540</v>
      </c>
      <c r="K23" s="38">
        <v>6540</v>
      </c>
      <c r="L23" s="47">
        <v>-6540</v>
      </c>
      <c r="M23" s="62" t="s">
        <v>259</v>
      </c>
    </row>
    <row r="24" customFormat="1" ht="24" spans="1:13">
      <c r="A24" s="26"/>
      <c r="B24" s="27" t="s">
        <v>270</v>
      </c>
      <c r="C24" s="27" t="s">
        <v>270</v>
      </c>
      <c r="D24" s="44" t="s">
        <v>134</v>
      </c>
      <c r="E24" s="45">
        <v>1</v>
      </c>
      <c r="F24" s="46"/>
      <c r="G24" s="47"/>
      <c r="H24" s="42"/>
      <c r="I24" s="37"/>
      <c r="J24" s="38"/>
      <c r="K24" s="38">
        <v>2000</v>
      </c>
      <c r="L24" s="47">
        <v>2000</v>
      </c>
      <c r="M24" s="62" t="s">
        <v>259</v>
      </c>
    </row>
    <row r="25" customFormat="1" ht="16.5" spans="1:13">
      <c r="A25" s="26" t="s">
        <v>81</v>
      </c>
      <c r="B25" s="29" t="s">
        <v>271</v>
      </c>
      <c r="C25" s="29"/>
      <c r="D25" s="26"/>
      <c r="E25" s="26"/>
      <c r="F25" s="42"/>
      <c r="G25" s="47"/>
      <c r="H25" s="42"/>
      <c r="I25" s="37">
        <v>0</v>
      </c>
      <c r="J25" s="38">
        <v>0</v>
      </c>
      <c r="K25" s="38">
        <v>0</v>
      </c>
      <c r="L25" s="47">
        <v>0</v>
      </c>
      <c r="M25" s="62"/>
    </row>
    <row r="26" customFormat="1" ht="60" spans="1:13">
      <c r="A26" s="26">
        <v>4</v>
      </c>
      <c r="B26" s="27" t="s">
        <v>272</v>
      </c>
      <c r="C26" s="27" t="s">
        <v>273</v>
      </c>
      <c r="D26" s="44" t="s">
        <v>134</v>
      </c>
      <c r="E26" s="45">
        <v>2</v>
      </c>
      <c r="F26" s="46"/>
      <c r="G26" s="47">
        <v>220</v>
      </c>
      <c r="H26" s="42"/>
      <c r="I26" s="37">
        <v>44</v>
      </c>
      <c r="J26" s="38">
        <v>23.76</v>
      </c>
      <c r="K26" s="38">
        <v>287.76</v>
      </c>
      <c r="L26" s="47">
        <v>575.52</v>
      </c>
      <c r="M26" s="62" t="s">
        <v>274</v>
      </c>
    </row>
    <row r="27" customFormat="1" ht="29" customHeight="1" spans="1:13">
      <c r="A27" s="26"/>
      <c r="B27" s="27"/>
      <c r="C27" s="27" t="s">
        <v>275</v>
      </c>
      <c r="D27" s="44" t="s">
        <v>240</v>
      </c>
      <c r="E27" s="45">
        <v>2</v>
      </c>
      <c r="F27" s="46"/>
      <c r="G27" s="47"/>
      <c r="H27" s="42"/>
      <c r="I27" s="37"/>
      <c r="J27" s="38"/>
      <c r="K27" s="38">
        <v>1000</v>
      </c>
      <c r="L27" s="47">
        <v>2000</v>
      </c>
      <c r="M27" s="62" t="s">
        <v>276</v>
      </c>
    </row>
    <row r="28" customFormat="1" ht="36" spans="1:13">
      <c r="A28" s="26">
        <v>5</v>
      </c>
      <c r="B28" s="29" t="s">
        <v>277</v>
      </c>
      <c r="C28" s="27" t="s">
        <v>278</v>
      </c>
      <c r="D28" s="44" t="s">
        <v>240</v>
      </c>
      <c r="E28" s="45">
        <v>-1</v>
      </c>
      <c r="F28" s="46"/>
      <c r="G28" s="47">
        <v>5000</v>
      </c>
      <c r="H28" s="42"/>
      <c r="I28" s="37">
        <v>1000</v>
      </c>
      <c r="J28" s="38">
        <v>540</v>
      </c>
      <c r="K28" s="38">
        <v>6540</v>
      </c>
      <c r="L28" s="47">
        <v>-6540</v>
      </c>
      <c r="M28" s="62" t="s">
        <v>259</v>
      </c>
    </row>
    <row r="29" customFormat="1" ht="16.5" spans="1:13">
      <c r="A29" s="26" t="s">
        <v>86</v>
      </c>
      <c r="B29" s="29" t="s">
        <v>279</v>
      </c>
      <c r="C29" s="29"/>
      <c r="D29" s="26"/>
      <c r="E29" s="26"/>
      <c r="F29" s="46"/>
      <c r="G29" s="47"/>
      <c r="H29" s="42"/>
      <c r="I29" s="37">
        <v>0</v>
      </c>
      <c r="J29" s="38">
        <v>0</v>
      </c>
      <c r="K29" s="38">
        <v>0</v>
      </c>
      <c r="L29" s="47"/>
      <c r="M29" s="62"/>
    </row>
    <row r="30" customFormat="1" ht="60" spans="1:13">
      <c r="A30" s="26">
        <v>1</v>
      </c>
      <c r="B30" s="29" t="s">
        <v>280</v>
      </c>
      <c r="C30" s="27" t="s">
        <v>281</v>
      </c>
      <c r="D30" s="26" t="s">
        <v>240</v>
      </c>
      <c r="E30" s="26">
        <v>-1</v>
      </c>
      <c r="F30" s="46">
        <v>30</v>
      </c>
      <c r="G30" s="52">
        <v>130</v>
      </c>
      <c r="H30" s="42">
        <v>5</v>
      </c>
      <c r="I30" s="37">
        <v>33</v>
      </c>
      <c r="J30" s="38">
        <v>17.82</v>
      </c>
      <c r="K30" s="38">
        <v>215.82</v>
      </c>
      <c r="L30" s="47">
        <v>-215.82</v>
      </c>
      <c r="M30" s="62"/>
    </row>
    <row r="31" customFormat="1" ht="16.5" spans="1:13">
      <c r="A31" s="26" t="s">
        <v>88</v>
      </c>
      <c r="B31" s="29" t="s">
        <v>282</v>
      </c>
      <c r="C31" s="29"/>
      <c r="D31" s="26"/>
      <c r="E31" s="26"/>
      <c r="F31" s="46"/>
      <c r="G31" s="52"/>
      <c r="H31" s="42"/>
      <c r="I31" s="37">
        <v>0</v>
      </c>
      <c r="J31" s="38">
        <v>0</v>
      </c>
      <c r="K31" s="38">
        <v>0</v>
      </c>
      <c r="L31" s="47">
        <v>0</v>
      </c>
      <c r="M31" s="62"/>
    </row>
    <row r="32" customFormat="1" ht="60" spans="1:13">
      <c r="A32" s="26">
        <v>6</v>
      </c>
      <c r="B32" s="53" t="s">
        <v>283</v>
      </c>
      <c r="C32" s="48" t="s">
        <v>284</v>
      </c>
      <c r="D32" s="53" t="s">
        <v>285</v>
      </c>
      <c r="E32" s="26">
        <v>-1</v>
      </c>
      <c r="F32" s="46">
        <v>600</v>
      </c>
      <c r="G32" s="52">
        <v>12000</v>
      </c>
      <c r="H32" s="42">
        <v>200</v>
      </c>
      <c r="I32" s="37">
        <v>2560</v>
      </c>
      <c r="J32" s="38">
        <v>1382.4</v>
      </c>
      <c r="K32" s="38">
        <v>16742.4</v>
      </c>
      <c r="L32" s="47">
        <v>-16742.4</v>
      </c>
      <c r="M32" s="62"/>
    </row>
    <row r="33" customFormat="1" ht="60" spans="1:13">
      <c r="A33" s="26"/>
      <c r="B33" s="53" t="s">
        <v>283</v>
      </c>
      <c r="C33" s="48" t="s">
        <v>284</v>
      </c>
      <c r="D33" s="53" t="s">
        <v>285</v>
      </c>
      <c r="E33" s="26">
        <v>1</v>
      </c>
      <c r="F33" s="46"/>
      <c r="G33" s="52"/>
      <c r="H33" s="42"/>
      <c r="I33" s="37"/>
      <c r="J33" s="38"/>
      <c r="K33" s="38">
        <v>18000</v>
      </c>
      <c r="L33" s="47">
        <v>18000</v>
      </c>
      <c r="M33" s="62" t="s">
        <v>286</v>
      </c>
    </row>
    <row r="34" customFormat="1" ht="16.5" spans="1:13">
      <c r="A34" s="26" t="s">
        <v>287</v>
      </c>
      <c r="B34" s="29" t="s">
        <v>288</v>
      </c>
      <c r="C34" s="29"/>
      <c r="D34" s="26"/>
      <c r="E34" s="26"/>
      <c r="F34" s="46"/>
      <c r="G34" s="52"/>
      <c r="H34" s="42"/>
      <c r="I34" s="37">
        <v>0</v>
      </c>
      <c r="J34" s="38">
        <v>0</v>
      </c>
      <c r="K34" s="38">
        <v>0</v>
      </c>
      <c r="L34" s="47">
        <v>0</v>
      </c>
      <c r="M34" s="62"/>
    </row>
    <row r="35" customFormat="1" ht="132" spans="1:14">
      <c r="A35" s="26">
        <v>1</v>
      </c>
      <c r="B35" s="26" t="s">
        <v>289</v>
      </c>
      <c r="C35" s="54" t="s">
        <v>290</v>
      </c>
      <c r="D35" s="48" t="s">
        <v>154</v>
      </c>
      <c r="E35" s="26">
        <v>-51.03</v>
      </c>
      <c r="F35" s="46">
        <v>30</v>
      </c>
      <c r="G35" s="52">
        <v>46</v>
      </c>
      <c r="H35" s="42">
        <v>10</v>
      </c>
      <c r="I35" s="37">
        <v>17.2</v>
      </c>
      <c r="J35" s="38">
        <v>9.288</v>
      </c>
      <c r="K35" s="38">
        <v>112.488</v>
      </c>
      <c r="L35" s="47">
        <v>-5740.26264</v>
      </c>
      <c r="M35" s="62"/>
      <c r="N35" s="63"/>
    </row>
    <row r="36" customFormat="1" ht="132" spans="1:14">
      <c r="A36" s="26">
        <v>2</v>
      </c>
      <c r="B36" s="26" t="s">
        <v>289</v>
      </c>
      <c r="C36" s="54" t="s">
        <v>291</v>
      </c>
      <c r="D36" s="48" t="s">
        <v>154</v>
      </c>
      <c r="E36" s="26">
        <v>-4.28</v>
      </c>
      <c r="F36" s="46">
        <v>30</v>
      </c>
      <c r="G36" s="52">
        <v>14</v>
      </c>
      <c r="H36" s="42">
        <v>8</v>
      </c>
      <c r="I36" s="37">
        <v>10.4</v>
      </c>
      <c r="J36" s="38">
        <v>5.616</v>
      </c>
      <c r="K36" s="38">
        <v>68.016</v>
      </c>
      <c r="L36" s="47">
        <v>-291.10848</v>
      </c>
      <c r="M36" s="62"/>
      <c r="N36" s="63"/>
    </row>
    <row r="37" customFormat="1" ht="132" spans="1:14">
      <c r="A37" s="26">
        <v>4</v>
      </c>
      <c r="B37" s="26" t="s">
        <v>289</v>
      </c>
      <c r="C37" s="54" t="s">
        <v>292</v>
      </c>
      <c r="D37" s="48" t="s">
        <v>154</v>
      </c>
      <c r="E37" s="26">
        <v>-56.27</v>
      </c>
      <c r="F37" s="46">
        <v>50</v>
      </c>
      <c r="G37" s="52">
        <v>52</v>
      </c>
      <c r="H37" s="42">
        <v>10</v>
      </c>
      <c r="I37" s="37">
        <v>22.4</v>
      </c>
      <c r="J37" s="38">
        <v>12.096</v>
      </c>
      <c r="K37" s="38">
        <v>146.496</v>
      </c>
      <c r="L37" s="47">
        <v>-8243.32992</v>
      </c>
      <c r="M37" s="62"/>
      <c r="N37" s="63"/>
    </row>
    <row r="38" customFormat="1" ht="132" spans="1:14">
      <c r="A38" s="26">
        <v>5</v>
      </c>
      <c r="B38" s="26" t="s">
        <v>289</v>
      </c>
      <c r="C38" s="54" t="s">
        <v>293</v>
      </c>
      <c r="D38" s="48" t="s">
        <v>154</v>
      </c>
      <c r="E38" s="26">
        <v>-18.38</v>
      </c>
      <c r="F38" s="46">
        <v>30</v>
      </c>
      <c r="G38" s="52">
        <v>26</v>
      </c>
      <c r="H38" s="42">
        <v>10</v>
      </c>
      <c r="I38" s="37">
        <v>13.2</v>
      </c>
      <c r="J38" s="38">
        <v>7.128</v>
      </c>
      <c r="K38" s="38">
        <v>86.328</v>
      </c>
      <c r="L38" s="47">
        <v>-1586.70864</v>
      </c>
      <c r="M38" s="62"/>
      <c r="N38" s="63"/>
    </row>
    <row r="39" customFormat="1" ht="60" spans="1:13">
      <c r="A39" s="26">
        <v>6</v>
      </c>
      <c r="B39" s="26" t="s">
        <v>294</v>
      </c>
      <c r="C39" s="54" t="s">
        <v>295</v>
      </c>
      <c r="D39" s="48" t="s">
        <v>296</v>
      </c>
      <c r="E39" s="26">
        <v>-8</v>
      </c>
      <c r="F39" s="46"/>
      <c r="G39" s="52">
        <v>110</v>
      </c>
      <c r="H39" s="42"/>
      <c r="I39" s="37">
        <v>22</v>
      </c>
      <c r="J39" s="38">
        <v>11.88</v>
      </c>
      <c r="K39" s="38">
        <v>143.88</v>
      </c>
      <c r="L39" s="47">
        <v>-1151.04</v>
      </c>
      <c r="M39" s="62"/>
    </row>
    <row r="40" customFormat="1" ht="60" spans="1:13">
      <c r="A40" s="26">
        <v>7</v>
      </c>
      <c r="B40" s="26" t="s">
        <v>297</v>
      </c>
      <c r="C40" s="54" t="s">
        <v>298</v>
      </c>
      <c r="D40" s="48" t="s">
        <v>296</v>
      </c>
      <c r="E40" s="26">
        <v>-2</v>
      </c>
      <c r="F40" s="46"/>
      <c r="G40" s="52"/>
      <c r="H40" s="42"/>
      <c r="I40" s="37">
        <v>0</v>
      </c>
      <c r="J40" s="38">
        <v>0</v>
      </c>
      <c r="K40" s="38">
        <v>0</v>
      </c>
      <c r="L40" s="47">
        <v>0</v>
      </c>
      <c r="M40" s="62"/>
    </row>
    <row r="41" customFormat="1" ht="36" spans="1:13">
      <c r="A41" s="26">
        <v>8</v>
      </c>
      <c r="B41" s="48" t="s">
        <v>299</v>
      </c>
      <c r="C41" s="48" t="s">
        <v>300</v>
      </c>
      <c r="D41" s="48" t="s">
        <v>114</v>
      </c>
      <c r="E41" s="26">
        <v>-20.8</v>
      </c>
      <c r="F41" s="38">
        <v>5</v>
      </c>
      <c r="G41" s="55">
        <v>0</v>
      </c>
      <c r="H41" s="38">
        <v>25</v>
      </c>
      <c r="I41" s="37">
        <v>6</v>
      </c>
      <c r="J41" s="38">
        <v>3.24</v>
      </c>
      <c r="K41" s="38">
        <v>39.24</v>
      </c>
      <c r="L41" s="47">
        <v>-816.192</v>
      </c>
      <c r="M41" s="62"/>
    </row>
    <row r="42" customFormat="1" ht="36" spans="1:13">
      <c r="A42" s="26">
        <v>9</v>
      </c>
      <c r="B42" s="48" t="s">
        <v>301</v>
      </c>
      <c r="C42" s="48" t="s">
        <v>302</v>
      </c>
      <c r="D42" s="48" t="s">
        <v>114</v>
      </c>
      <c r="E42" s="26">
        <v>-20.8</v>
      </c>
      <c r="F42" s="38">
        <v>5</v>
      </c>
      <c r="G42" s="55">
        <v>0</v>
      </c>
      <c r="H42" s="38">
        <v>25</v>
      </c>
      <c r="I42" s="37">
        <v>6</v>
      </c>
      <c r="J42" s="38">
        <v>3.24</v>
      </c>
      <c r="K42" s="38">
        <v>39.24</v>
      </c>
      <c r="L42" s="47">
        <v>-816.192</v>
      </c>
      <c r="M42" s="62"/>
    </row>
    <row r="43" customFormat="1" ht="16.5" spans="1:13">
      <c r="A43" s="26" t="s">
        <v>303</v>
      </c>
      <c r="B43" s="29" t="s">
        <v>304</v>
      </c>
      <c r="C43" s="29"/>
      <c r="D43" s="26"/>
      <c r="E43" s="26"/>
      <c r="F43" s="46"/>
      <c r="G43" s="52"/>
      <c r="H43" s="42"/>
      <c r="I43" s="37">
        <v>0</v>
      </c>
      <c r="J43" s="38">
        <v>0</v>
      </c>
      <c r="K43" s="38">
        <v>0</v>
      </c>
      <c r="L43" s="47"/>
      <c r="M43" s="62"/>
    </row>
    <row r="44" customFormat="1" ht="96" spans="1:13">
      <c r="A44" s="26">
        <v>3</v>
      </c>
      <c r="B44" s="48" t="s">
        <v>305</v>
      </c>
      <c r="C44" s="48" t="s">
        <v>306</v>
      </c>
      <c r="D44" s="43" t="s">
        <v>154</v>
      </c>
      <c r="E44" s="26">
        <v>-45</v>
      </c>
      <c r="F44" s="46">
        <v>20</v>
      </c>
      <c r="G44" s="52">
        <v>3.6</v>
      </c>
      <c r="H44" s="42">
        <v>1</v>
      </c>
      <c r="I44" s="37">
        <v>4.92</v>
      </c>
      <c r="J44" s="38">
        <v>2.6568</v>
      </c>
      <c r="K44" s="38">
        <v>32.1768</v>
      </c>
      <c r="L44" s="47">
        <v>-1447.956</v>
      </c>
      <c r="M44" s="62" t="s">
        <v>250</v>
      </c>
    </row>
    <row r="45" customFormat="1" ht="16.5" spans="1:13">
      <c r="A45" s="26"/>
      <c r="B45" s="48"/>
      <c r="C45" s="48" t="s">
        <v>307</v>
      </c>
      <c r="D45" s="43" t="s">
        <v>134</v>
      </c>
      <c r="E45" s="26">
        <v>1</v>
      </c>
      <c r="F45" s="46"/>
      <c r="G45" s="52"/>
      <c r="H45" s="42"/>
      <c r="I45" s="37"/>
      <c r="J45" s="38"/>
      <c r="K45" s="38">
        <v>120</v>
      </c>
      <c r="L45" s="47">
        <v>120</v>
      </c>
      <c r="M45" s="62"/>
    </row>
    <row r="46" customFormat="1" ht="16.5" spans="1:13">
      <c r="A46" s="26"/>
      <c r="B46" s="48"/>
      <c r="C46" s="48" t="s">
        <v>308</v>
      </c>
      <c r="D46" s="43" t="s">
        <v>134</v>
      </c>
      <c r="E46" s="26">
        <v>1</v>
      </c>
      <c r="F46" s="46"/>
      <c r="G46" s="52"/>
      <c r="H46" s="42"/>
      <c r="I46" s="37"/>
      <c r="J46" s="38"/>
      <c r="K46" s="38">
        <v>23</v>
      </c>
      <c r="L46" s="47">
        <v>23</v>
      </c>
      <c r="M46" s="62"/>
    </row>
    <row r="47" customFormat="1" spans="1:13">
      <c r="A47" s="56" t="s">
        <v>61</v>
      </c>
      <c r="B47" s="56"/>
      <c r="C47" s="56"/>
      <c r="D47" s="56"/>
      <c r="E47" s="56"/>
      <c r="F47" s="56"/>
      <c r="G47" s="56"/>
      <c r="H47" s="42"/>
      <c r="I47" s="57"/>
      <c r="J47" s="58"/>
      <c r="K47" s="47"/>
      <c r="L47" s="64">
        <v>-41628.92</v>
      </c>
      <c r="M47" s="62"/>
    </row>
  </sheetData>
  <mergeCells count="20">
    <mergeCell ref="A1:J1"/>
    <mergeCell ref="F2:J2"/>
    <mergeCell ref="B4:C4"/>
    <mergeCell ref="B13:C13"/>
    <mergeCell ref="B16:C16"/>
    <mergeCell ref="B19:C19"/>
    <mergeCell ref="B25:C25"/>
    <mergeCell ref="B29:C29"/>
    <mergeCell ref="B31:C31"/>
    <mergeCell ref="B34:C34"/>
    <mergeCell ref="B43:C43"/>
    <mergeCell ref="A47:G47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O11" sqref="O11"/>
    </sheetView>
  </sheetViews>
  <sheetFormatPr defaultColWidth="9" defaultRowHeight="14.25"/>
  <cols>
    <col min="1" max="1" width="7.25" customWidth="1"/>
    <col min="2" max="2" width="7.125" customWidth="1"/>
    <col min="3" max="3" width="19.625" customWidth="1"/>
    <col min="4" max="4" width="4.625" customWidth="1"/>
    <col min="5" max="5" width="5.875" customWidth="1"/>
    <col min="6" max="6" width="6.75" customWidth="1"/>
    <col min="7" max="7" width="11" customWidth="1"/>
    <col min="8" max="8" width="8" customWidth="1"/>
    <col min="9" max="12" width="11" customWidth="1"/>
    <col min="13" max="13" width="4.875" customWidth="1"/>
    <col min="14" max="14" width="10.2" customWidth="1"/>
  </cols>
  <sheetData>
    <row r="1" s="1" customFormat="1" ht="27" customHeight="1" spans="1:13">
      <c r="A1" s="8" t="s">
        <v>309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34" customHeight="1" spans="1:13">
      <c r="A2" s="9" t="s">
        <v>1</v>
      </c>
      <c r="B2" s="10" t="s">
        <v>223</v>
      </c>
      <c r="C2" s="10" t="s">
        <v>224</v>
      </c>
      <c r="D2" s="10" t="s">
        <v>93</v>
      </c>
      <c r="E2" s="11" t="s">
        <v>225</v>
      </c>
      <c r="F2" s="12" t="s">
        <v>165</v>
      </c>
      <c r="G2" s="13"/>
      <c r="H2" s="13"/>
      <c r="I2" s="13"/>
      <c r="J2" s="32"/>
      <c r="K2" s="17" t="s">
        <v>166</v>
      </c>
      <c r="L2" s="17" t="s">
        <v>167</v>
      </c>
      <c r="M2" s="33" t="s">
        <v>6</v>
      </c>
    </row>
    <row r="3" s="7" customFormat="1" ht="34" customHeight="1" spans="1:13">
      <c r="A3" s="14"/>
      <c r="B3" s="15"/>
      <c r="C3" s="15"/>
      <c r="D3" s="15"/>
      <c r="E3" s="16"/>
      <c r="F3" s="17" t="s">
        <v>168</v>
      </c>
      <c r="G3" s="17" t="s">
        <v>169</v>
      </c>
      <c r="H3" s="17" t="s">
        <v>170</v>
      </c>
      <c r="I3" s="33" t="s">
        <v>226</v>
      </c>
      <c r="J3" s="33" t="s">
        <v>172</v>
      </c>
      <c r="K3" s="34"/>
      <c r="L3" s="34"/>
      <c r="M3" s="33"/>
    </row>
    <row r="4" s="7" customFormat="1" ht="22" customHeight="1" spans="1:13">
      <c r="A4" s="18"/>
      <c r="B4" s="19"/>
      <c r="C4" s="19"/>
      <c r="D4" s="19"/>
      <c r="E4" s="20"/>
      <c r="F4" s="21"/>
      <c r="G4" s="21"/>
      <c r="H4" s="21"/>
      <c r="I4" s="35"/>
      <c r="J4" s="35"/>
      <c r="K4" s="21"/>
      <c r="L4" s="21"/>
      <c r="M4" s="33"/>
    </row>
    <row r="5" s="1" customFormat="1" ht="18" customHeight="1" spans="1:13">
      <c r="A5" s="22" t="s">
        <v>63</v>
      </c>
      <c r="B5" s="23" t="s">
        <v>310</v>
      </c>
      <c r="C5" s="24"/>
      <c r="D5" s="25" t="s">
        <v>311</v>
      </c>
      <c r="E5" s="25"/>
      <c r="F5" s="25"/>
      <c r="G5" s="25"/>
      <c r="H5" s="25"/>
      <c r="I5" s="36"/>
      <c r="J5" s="36"/>
      <c r="K5" s="25"/>
      <c r="L5" s="25"/>
      <c r="M5" s="25"/>
    </row>
    <row r="6" s="1" customFormat="1" ht="48" spans="1:13">
      <c r="A6" s="22">
        <v>1</v>
      </c>
      <c r="B6" s="26" t="s">
        <v>312</v>
      </c>
      <c r="C6" s="27" t="s">
        <v>313</v>
      </c>
      <c r="D6" s="26" t="s">
        <v>134</v>
      </c>
      <c r="E6" s="25">
        <v>-2</v>
      </c>
      <c r="F6" s="25">
        <v>30</v>
      </c>
      <c r="G6" s="25">
        <v>60</v>
      </c>
      <c r="H6" s="25"/>
      <c r="I6" s="37">
        <v>18</v>
      </c>
      <c r="J6" s="38">
        <v>9.72</v>
      </c>
      <c r="K6" s="38">
        <v>117.72</v>
      </c>
      <c r="L6" s="25">
        <v>-235.44</v>
      </c>
      <c r="M6" s="25"/>
    </row>
    <row r="7" s="1" customFormat="1" ht="48" spans="1:13">
      <c r="A7" s="22">
        <v>2</v>
      </c>
      <c r="B7" s="26" t="s">
        <v>314</v>
      </c>
      <c r="C7" s="27" t="s">
        <v>315</v>
      </c>
      <c r="D7" s="26" t="s">
        <v>134</v>
      </c>
      <c r="E7" s="25">
        <v>1</v>
      </c>
      <c r="F7" s="25">
        <v>10</v>
      </c>
      <c r="G7" s="25">
        <v>15</v>
      </c>
      <c r="H7" s="25"/>
      <c r="I7" s="37">
        <v>5</v>
      </c>
      <c r="J7" s="38">
        <v>2.7</v>
      </c>
      <c r="K7" s="38">
        <v>32.7</v>
      </c>
      <c r="L7" s="25">
        <v>32.7</v>
      </c>
      <c r="M7" s="25"/>
    </row>
    <row r="8" s="1" customFormat="1" ht="48" spans="1:13">
      <c r="A8" s="22">
        <v>3</v>
      </c>
      <c r="B8" s="26" t="s">
        <v>316</v>
      </c>
      <c r="C8" s="27" t="s">
        <v>317</v>
      </c>
      <c r="D8" s="26" t="s">
        <v>134</v>
      </c>
      <c r="E8" s="28">
        <v>-2</v>
      </c>
      <c r="F8" s="25">
        <v>10</v>
      </c>
      <c r="G8" s="25">
        <v>15</v>
      </c>
      <c r="H8" s="25"/>
      <c r="I8" s="37">
        <v>5</v>
      </c>
      <c r="J8" s="38">
        <v>2.7</v>
      </c>
      <c r="K8" s="38">
        <v>32.7</v>
      </c>
      <c r="L8" s="25">
        <v>-65.4</v>
      </c>
      <c r="M8" s="25"/>
    </row>
    <row r="9" s="1" customFormat="1" ht="48" spans="1:13">
      <c r="A9" s="22">
        <v>7</v>
      </c>
      <c r="B9" s="29" t="s">
        <v>318</v>
      </c>
      <c r="C9" s="27" t="s">
        <v>319</v>
      </c>
      <c r="D9" s="26" t="s">
        <v>134</v>
      </c>
      <c r="E9" s="25">
        <v>-1</v>
      </c>
      <c r="F9" s="25">
        <v>10</v>
      </c>
      <c r="G9" s="25">
        <v>35</v>
      </c>
      <c r="H9" s="25"/>
      <c r="I9" s="37">
        <v>9</v>
      </c>
      <c r="J9" s="38">
        <v>4.86</v>
      </c>
      <c r="K9" s="38">
        <v>58.86</v>
      </c>
      <c r="L9" s="25">
        <v>-58.86</v>
      </c>
      <c r="M9" s="25"/>
    </row>
    <row r="10" s="1" customFormat="1" ht="22" customHeight="1" spans="1:13">
      <c r="A10" s="22">
        <v>14</v>
      </c>
      <c r="B10" s="6" t="s">
        <v>131</v>
      </c>
      <c r="C10" s="6"/>
      <c r="D10" s="3" t="s">
        <v>161</v>
      </c>
      <c r="E10" s="6"/>
      <c r="F10" s="30"/>
      <c r="G10" s="30"/>
      <c r="H10" s="6"/>
      <c r="I10" s="6"/>
      <c r="J10" s="6"/>
      <c r="K10" s="6"/>
      <c r="L10" s="3">
        <v>-327</v>
      </c>
      <c r="M10" s="6"/>
    </row>
    <row r="11" s="7" customFormat="1" ht="57" customHeight="1" spans="1:13">
      <c r="A11" s="31" t="s">
        <v>320</v>
      </c>
      <c r="B11" s="31"/>
      <c r="C11" s="31"/>
      <c r="D11" s="31"/>
      <c r="E11" s="31"/>
      <c r="F11" s="31"/>
      <c r="G11" s="31"/>
      <c r="H11" s="31"/>
      <c r="I11" s="31"/>
      <c r="J11" s="31"/>
      <c r="K11" s="39"/>
      <c r="L11" s="31"/>
      <c r="M11" s="31"/>
    </row>
  </sheetData>
  <mergeCells count="15">
    <mergeCell ref="A1:M1"/>
    <mergeCell ref="F2:J2"/>
    <mergeCell ref="B5:C5"/>
    <mergeCell ref="A11:M11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opLeftCell="A4" workbookViewId="0">
      <selection activeCell="C29" sqref="C29"/>
    </sheetView>
  </sheetViews>
  <sheetFormatPr defaultColWidth="9" defaultRowHeight="14.25" outlineLevelCol="3"/>
  <cols>
    <col min="1" max="1" width="13.625" style="2" customWidth="1"/>
    <col min="2" max="2" width="25.625" style="1" customWidth="1"/>
    <col min="3" max="3" width="23" style="1" customWidth="1"/>
    <col min="4" max="4" width="10.75" style="1" customWidth="1"/>
    <col min="5" max="16378" width="9" style="1"/>
  </cols>
  <sheetData>
    <row r="1" s="1" customFormat="1" ht="48" customHeight="1" spans="1:4">
      <c r="A1" s="2" t="s">
        <v>321</v>
      </c>
      <c r="B1" s="2"/>
      <c r="C1" s="2"/>
      <c r="D1" s="2"/>
    </row>
    <row r="2" s="2" customFormat="1" ht="32" customHeight="1" spans="1:4">
      <c r="A2" s="3" t="s">
        <v>1</v>
      </c>
      <c r="B2" s="3" t="s">
        <v>109</v>
      </c>
      <c r="C2" s="4" t="s">
        <v>322</v>
      </c>
      <c r="D2" s="3" t="s">
        <v>6</v>
      </c>
    </row>
    <row r="3" s="1" customFormat="1" ht="33" customHeight="1" spans="1:4">
      <c r="A3" s="3">
        <v>1</v>
      </c>
      <c r="B3" s="5">
        <v>2022.1</v>
      </c>
      <c r="C3" s="3">
        <v>168</v>
      </c>
      <c r="D3" s="6"/>
    </row>
    <row r="4" s="1" customFormat="1" ht="33" customHeight="1" spans="1:4">
      <c r="A4" s="3">
        <v>2</v>
      </c>
      <c r="B4" s="5">
        <v>2022.11</v>
      </c>
      <c r="C4" s="3">
        <v>160</v>
      </c>
      <c r="D4" s="6"/>
    </row>
    <row r="5" s="1" customFormat="1" ht="33" customHeight="1" spans="1:4">
      <c r="A5" s="3">
        <v>3</v>
      </c>
      <c r="B5" s="3">
        <v>2022.12</v>
      </c>
      <c r="C5" s="3">
        <v>192</v>
      </c>
      <c r="D5" s="6"/>
    </row>
    <row r="6" s="1" customFormat="1" ht="33" customHeight="1" spans="1:3">
      <c r="A6" s="3">
        <v>4</v>
      </c>
      <c r="B6" s="3">
        <v>2023.1</v>
      </c>
      <c r="C6" s="3">
        <v>232</v>
      </c>
    </row>
    <row r="7" s="1" customFormat="1" ht="33" customHeight="1" spans="1:4">
      <c r="A7" s="3">
        <v>5</v>
      </c>
      <c r="B7" s="3">
        <v>2023.2</v>
      </c>
      <c r="C7" s="3">
        <v>312</v>
      </c>
      <c r="D7" s="6"/>
    </row>
    <row r="8" s="1" customFormat="1" ht="33" customHeight="1" spans="1:4">
      <c r="A8" s="3">
        <v>6</v>
      </c>
      <c r="B8" s="3">
        <v>2023.3</v>
      </c>
      <c r="C8" s="3">
        <v>184</v>
      </c>
      <c r="D8" s="6"/>
    </row>
    <row r="9" s="1" customFormat="1" ht="33" customHeight="1" spans="1:4">
      <c r="A9" s="3">
        <v>7</v>
      </c>
      <c r="B9" s="3">
        <v>2023.4</v>
      </c>
      <c r="C9" s="3">
        <v>144</v>
      </c>
      <c r="D9" s="6"/>
    </row>
    <row r="10" s="1" customFormat="1" ht="33" customHeight="1" spans="1:4">
      <c r="A10" s="3">
        <v>8</v>
      </c>
      <c r="B10" s="3" t="s">
        <v>104</v>
      </c>
      <c r="C10" s="3">
        <f>SUM(C3:C9)</f>
        <v>1392</v>
      </c>
      <c r="D10" s="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2资料存档目录</vt:lpstr>
      <vt:lpstr>3工程结算汇总表</vt:lpstr>
      <vt:lpstr>4结算明细汇总表</vt:lpstr>
      <vt:lpstr>合同增加项目</vt:lpstr>
      <vt:lpstr>5、土建部分合同内扣减部分</vt:lpstr>
      <vt:lpstr>东大门安装部分合同内扣款</vt:lpstr>
      <vt:lpstr>5#楼大堂安装合同内扣款</vt:lpstr>
      <vt:lpstr>电费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不要总是（圈a）我</cp:lastModifiedBy>
  <dcterms:created xsi:type="dcterms:W3CDTF">2013-11-22T07:50:00Z</dcterms:created>
  <cp:lastPrinted>2019-10-18T09:13:00Z</cp:lastPrinted>
  <dcterms:modified xsi:type="dcterms:W3CDTF">2024-01-10T03:37:42Z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4EA3C307227743AA807097C2548033F0</vt:lpwstr>
  </property>
</Properties>
</file>