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590" windowHeight="12375" tabRatio="559"/>
  </bookViews>
  <sheets>
    <sheet name="1#楼、2#楼" sheetId="6" r:id="rId1"/>
    <sheet name="04、工程量计算书" sheetId="5" r:id="rId2"/>
  </sheets>
  <definedNames>
    <definedName name="_xlnm._FilterDatabase" localSheetId="1" hidden="1">'04、工程量计算书'!$A$3:$M$42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<sst xmlns="http://schemas.openxmlformats.org/spreadsheetml/2006/main" count="204" uniqueCount="101">
  <si>
    <t>工程进度款费用计算明细表</t>
  </si>
  <si>
    <t>序号</t>
  </si>
  <si>
    <t>分项名称</t>
  </si>
  <si>
    <t>暂定/固定合同价
(元)</t>
  </si>
  <si>
    <t>合同总工程量</t>
  </si>
  <si>
    <t>合同单价</t>
  </si>
  <si>
    <t>累计已审批进度款（元）</t>
  </si>
  <si>
    <t>本次申请应付款（元）</t>
  </si>
  <si>
    <t>累计应付款（含本次申请，元)</t>
  </si>
  <si>
    <t>累计实付款
(元)</t>
  </si>
  <si>
    <t>累计已批未付 (不含本次申请，元)</t>
  </si>
  <si>
    <t>本次付款形象进度简述</t>
  </si>
  <si>
    <t>累计已审批工程量</t>
  </si>
  <si>
    <t>累计已审批款</t>
  </si>
  <si>
    <t>本次应付工程量</t>
  </si>
  <si>
    <t>合同节点比例</t>
  </si>
  <si>
    <t>本次应付款</t>
  </si>
  <si>
    <t>应申请总金额</t>
  </si>
  <si>
    <t>累计申请比例</t>
  </si>
  <si>
    <t>按合同填写</t>
  </si>
  <si>
    <t>按中标清单填写</t>
  </si>
  <si>
    <t>填写累计已审批的量</t>
  </si>
  <si>
    <t>按已审批金额填写</t>
  </si>
  <si>
    <t>根据形象进度填写</t>
  </si>
  <si>
    <t>按合同节点填写比例</t>
  </si>
  <si>
    <t>按合同付款节点计算</t>
  </si>
  <si>
    <t>不能超合同对应清单项总价</t>
  </si>
  <si>
    <t>自动计算</t>
  </si>
  <si>
    <t>截至付款计算时，按财务实际支付金额填写</t>
  </si>
  <si>
    <t>已审批-实付</t>
  </si>
  <si>
    <t>隐藏该行</t>
  </si>
  <si>
    <t>15#楼楼梯栏杆</t>
  </si>
  <si>
    <t>消防百叶窗</t>
  </si>
  <si>
    <t>合计</t>
  </si>
  <si>
    <t>据实填总金额</t>
  </si>
  <si>
    <t>据实填写挂账</t>
  </si>
  <si>
    <t>本次付款申请金额取整为：</t>
  </si>
  <si>
    <t>取到整数位</t>
  </si>
  <si>
    <t>注：1、分项工程不同时按具体约定进行调整;2、付款线上发起时需上传本电子表格。3、一份合同建立一个付款计算明细表，每次计算付款时在工作表内新建新的工作薄，每次付款时能看到上次付款计算情况，不允许在一个工作薄内修改。4、本表格随开工楼号数量逐步自行添加；</t>
  </si>
  <si>
    <t>5、本付款表为参考样表，格式不同能体现以上要求即可。6、按定额计价总包工程本表填写总金额，对应定额预算单独打包上次做附件供复查。</t>
  </si>
  <si>
    <t xml:space="preserve">                                                                                           现场驻场成本负责人：                 </t>
  </si>
  <si>
    <t xml:space="preserve">                                                                                           日期：</t>
  </si>
  <si>
    <t>1#楼</t>
  </si>
  <si>
    <t>部位</t>
  </si>
  <si>
    <t>名称</t>
  </si>
  <si>
    <t>规格</t>
  </si>
  <si>
    <t>单位</t>
  </si>
  <si>
    <t>负1层</t>
  </si>
  <si>
    <t>1层</t>
  </si>
  <si>
    <t>2层</t>
  </si>
  <si>
    <t>3层</t>
  </si>
  <si>
    <t>4-7层</t>
  </si>
  <si>
    <t>8层</t>
  </si>
  <si>
    <t>含税13%
综合单价(元)</t>
  </si>
  <si>
    <t>楼梯栏杆</t>
  </si>
  <si>
    <t>塑木扶手栏杆</t>
  </si>
  <si>
    <t>m</t>
  </si>
  <si>
    <t>靠墙楼梯扶手</t>
  </si>
  <si>
    <t>直径50塑木</t>
  </si>
  <si>
    <t>2#楼</t>
  </si>
  <si>
    <t>项目名称</t>
  </si>
  <si>
    <t>单个尺寸</t>
  </si>
  <si>
    <t>数量</t>
  </si>
  <si>
    <t>总量</t>
  </si>
  <si>
    <t>-1F</t>
  </si>
  <si>
    <t>1F</t>
  </si>
  <si>
    <t>2~3F</t>
  </si>
  <si>
    <t>4~8F</t>
  </si>
  <si>
    <t>数量总计</t>
  </si>
  <si>
    <t>楼梯</t>
  </si>
  <si>
    <t>平台栏杆</t>
  </si>
  <si>
    <t>6#楼</t>
  </si>
  <si>
    <t>4-8层</t>
  </si>
  <si>
    <t>9层</t>
  </si>
  <si>
    <t>7#楼</t>
  </si>
  <si>
    <t>10#楼</t>
  </si>
  <si>
    <t>负一层</t>
  </si>
  <si>
    <t>15#楼</t>
  </si>
  <si>
    <t>百叶窗</t>
  </si>
  <si>
    <t>E-BY01</t>
  </si>
  <si>
    <t>0.74*2.3</t>
  </si>
  <si>
    <t>㎡</t>
  </si>
  <si>
    <t>E-BY02</t>
  </si>
  <si>
    <t>1*2.3</t>
  </si>
  <si>
    <t>E-BY03</t>
  </si>
  <si>
    <t>0.74*2</t>
  </si>
  <si>
    <t>E-BY04</t>
  </si>
  <si>
    <t>1*2</t>
  </si>
  <si>
    <t>E-BY05</t>
  </si>
  <si>
    <t>0.74*2.4</t>
  </si>
  <si>
    <t>E-BY06</t>
  </si>
  <si>
    <t>1*2.4</t>
  </si>
  <si>
    <t>飘窗栏杆</t>
  </si>
  <si>
    <t>E-TCLG01</t>
  </si>
  <si>
    <t>900mm</t>
  </si>
  <si>
    <t>阳台栏杆</t>
  </si>
  <si>
    <t>E-YTLG01</t>
  </si>
  <si>
    <t>1100高 L&gt;4m 80*80*1.5大立柱，大立柱焊接于底部钢板上底部钢板用4个膨胀螺丝与主体结构固定牢固</t>
  </si>
  <si>
    <t>空调板栏杆</t>
  </si>
  <si>
    <t>E-ACLG01</t>
  </si>
  <si>
    <t>600高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</si>
</sst>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.00;[Red]0.00"/>
    <numFmt numFmtId="178" formatCode="0.00_ "/>
    <numFmt numFmtId="179" formatCode="0.00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8"/>
      <color theme="0"/>
      <name val="微软雅黑"/>
      <charset val="134"/>
    </font>
    <font>
      <sz val="8"/>
      <name val="宋体"/>
      <charset val="134"/>
      <scheme val="minor"/>
    </font>
    <font>
      <b/>
      <sz val="8"/>
      <name val="微软雅黑"/>
      <charset val="134"/>
    </font>
    <font>
      <sz val="9"/>
      <color rgb="FF000000"/>
      <name val="宋体"/>
      <charset val="134"/>
      <scheme val="minor"/>
    </font>
    <font>
      <sz val="9"/>
      <color rgb="FF000000"/>
      <name val="宋体"/>
      <charset val="134"/>
    </font>
    <font>
      <sz val="9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8" borderId="16" applyNumberFormat="0" applyAlignment="0" applyProtection="0">
      <alignment vertical="center"/>
    </xf>
    <xf numFmtId="0" fontId="23" fillId="9" borderId="17" applyNumberFormat="0" applyAlignment="0" applyProtection="0">
      <alignment vertical="center"/>
    </xf>
    <xf numFmtId="0" fontId="24" fillId="9" borderId="16" applyNumberFormat="0" applyAlignment="0" applyProtection="0">
      <alignment vertical="center"/>
    </xf>
    <xf numFmtId="0" fontId="25" fillId="10" borderId="18" applyNumberFormat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</cellStyleXfs>
  <cellXfs count="9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vertical="center" wrapText="1"/>
    </xf>
    <xf numFmtId="176" fontId="1" fillId="0" borderId="5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177" fontId="3" fillId="0" borderId="5" xfId="0" applyNumberFormat="1" applyFont="1" applyFill="1" applyBorder="1" applyAlignment="1">
      <alignment horizontal="center" vertical="center" wrapText="1"/>
    </xf>
    <xf numFmtId="177" fontId="3" fillId="0" borderId="5" xfId="0" applyNumberFormat="1" applyFont="1" applyFill="1" applyBorder="1" applyAlignment="1">
      <alignment horizontal="center" vertical="center"/>
    </xf>
    <xf numFmtId="178" fontId="1" fillId="0" borderId="5" xfId="0" applyNumberFormat="1" applyFont="1" applyFill="1" applyBorder="1" applyAlignment="1">
      <alignment horizontal="center" vertical="center" wrapText="1"/>
    </xf>
    <xf numFmtId="178" fontId="1" fillId="0" borderId="5" xfId="0" applyNumberFormat="1" applyFont="1" applyFill="1" applyBorder="1" applyAlignment="1">
      <alignment vertical="center" wrapText="1"/>
    </xf>
    <xf numFmtId="58" fontId="1" fillId="0" borderId="5" xfId="0" applyNumberFormat="1" applyFont="1" applyFill="1" applyBorder="1" applyAlignment="1">
      <alignment horizontal="center" vertical="center" wrapText="1"/>
    </xf>
    <xf numFmtId="177" fontId="3" fillId="0" borderId="11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179" fontId="1" fillId="0" borderId="5" xfId="0" applyNumberFormat="1" applyFont="1" applyFill="1" applyBorder="1" applyAlignment="1">
      <alignment vertical="center" wrapText="1"/>
    </xf>
    <xf numFmtId="177" fontId="3" fillId="0" borderId="11" xfId="0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10" fontId="0" fillId="0" borderId="0" xfId="0" applyNumberFormat="1" applyFont="1" applyFill="1" applyAlignment="1">
      <alignment horizontal="center" vertical="center"/>
    </xf>
    <xf numFmtId="178" fontId="0" fillId="0" borderId="0" xfId="3" applyNumberFormat="1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10" fontId="5" fillId="0" borderId="0" xfId="0" applyNumberFormat="1" applyFont="1" applyFill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10" fontId="6" fillId="3" borderId="5" xfId="0" applyNumberFormat="1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2" fontId="7" fillId="4" borderId="5" xfId="0" applyNumberFormat="1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 wrapText="1"/>
    </xf>
    <xf numFmtId="2" fontId="7" fillId="4" borderId="5" xfId="0" applyNumberFormat="1" applyFont="1" applyFill="1" applyBorder="1" applyAlignment="1">
      <alignment horizontal="center" vertical="center" wrapText="1"/>
    </xf>
    <xf numFmtId="178" fontId="7" fillId="4" borderId="5" xfId="0" applyNumberFormat="1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2" fontId="7" fillId="5" borderId="5" xfId="0" applyNumberFormat="1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 wrapText="1"/>
    </xf>
    <xf numFmtId="2" fontId="7" fillId="5" borderId="5" xfId="0" applyNumberFormat="1" applyFont="1" applyFill="1" applyBorder="1" applyAlignment="1">
      <alignment horizontal="center" vertical="center" wrapText="1"/>
    </xf>
    <xf numFmtId="178" fontId="7" fillId="5" borderId="5" xfId="0" applyNumberFormat="1" applyFont="1" applyFill="1" applyBorder="1" applyAlignment="1">
      <alignment horizontal="center" vertical="center" wrapText="1"/>
    </xf>
    <xf numFmtId="0" fontId="9" fillId="6" borderId="5" xfId="0" applyFont="1" applyFill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 wrapText="1"/>
    </xf>
    <xf numFmtId="10" fontId="11" fillId="6" borderId="5" xfId="3" applyNumberFormat="1" applyFont="1" applyFill="1" applyBorder="1" applyAlignment="1">
      <alignment horizontal="center" vertical="center"/>
    </xf>
    <xf numFmtId="178" fontId="11" fillId="6" borderId="5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10" fontId="11" fillId="0" borderId="5" xfId="3" applyNumberFormat="1" applyFont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10" fontId="12" fillId="0" borderId="0" xfId="0" applyNumberFormat="1" applyFont="1" applyFill="1" applyAlignment="1">
      <alignment horizontal="left" vertical="center"/>
    </xf>
    <xf numFmtId="0" fontId="13" fillId="0" borderId="0" xfId="0" applyFont="1" applyFill="1" applyAlignment="1">
      <alignment vertical="center" wrapText="1"/>
    </xf>
    <xf numFmtId="0" fontId="13" fillId="0" borderId="0" xfId="0" applyFont="1" applyFill="1" applyAlignment="1">
      <alignment vertical="center"/>
    </xf>
    <xf numFmtId="10" fontId="13" fillId="0" borderId="0" xfId="0" applyNumberFormat="1" applyFont="1" applyFill="1" applyAlignment="1">
      <alignment vertical="center"/>
    </xf>
    <xf numFmtId="0" fontId="13" fillId="0" borderId="0" xfId="0" applyFont="1" applyFill="1" applyBorder="1" applyAlignment="1">
      <alignment horizontal="right" vertical="center" wrapText="1"/>
    </xf>
    <xf numFmtId="178" fontId="5" fillId="0" borderId="0" xfId="3" applyNumberFormat="1" applyFont="1" applyAlignment="1">
      <alignment horizontal="center" vertical="center"/>
    </xf>
    <xf numFmtId="178" fontId="6" fillId="3" borderId="5" xfId="3" applyNumberFormat="1" applyFont="1" applyFill="1" applyBorder="1" applyAlignment="1">
      <alignment horizontal="center" vertical="center" wrapText="1"/>
    </xf>
    <xf numFmtId="9" fontId="7" fillId="4" borderId="5" xfId="0" applyNumberFormat="1" applyFont="1" applyFill="1" applyBorder="1" applyAlignment="1">
      <alignment horizontal="center" vertical="center" wrapText="1"/>
    </xf>
    <xf numFmtId="178" fontId="7" fillId="4" borderId="5" xfId="3" applyNumberFormat="1" applyFont="1" applyFill="1" applyBorder="1" applyAlignment="1">
      <alignment horizontal="center" vertical="center" wrapText="1"/>
    </xf>
    <xf numFmtId="10" fontId="7" fillId="4" borderId="5" xfId="0" applyNumberFormat="1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 wrapText="1"/>
    </xf>
    <xf numFmtId="9" fontId="7" fillId="5" borderId="5" xfId="0" applyNumberFormat="1" applyFont="1" applyFill="1" applyBorder="1" applyAlignment="1">
      <alignment horizontal="center" vertical="center" wrapText="1"/>
    </xf>
    <xf numFmtId="178" fontId="7" fillId="5" borderId="5" xfId="3" applyNumberFormat="1" applyFont="1" applyFill="1" applyBorder="1" applyAlignment="1">
      <alignment horizontal="center" vertical="center" wrapText="1"/>
    </xf>
    <xf numFmtId="10" fontId="7" fillId="5" borderId="5" xfId="0" applyNumberFormat="1" applyFont="1" applyFill="1" applyBorder="1" applyAlignment="1">
      <alignment horizontal="center" vertical="center"/>
    </xf>
    <xf numFmtId="9" fontId="12" fillId="6" borderId="5" xfId="0" applyNumberFormat="1" applyFont="1" applyFill="1" applyBorder="1" applyAlignment="1">
      <alignment horizontal="center" vertical="center" wrapText="1"/>
    </xf>
    <xf numFmtId="10" fontId="11" fillId="6" borderId="5" xfId="0" applyNumberFormat="1" applyFont="1" applyFill="1" applyBorder="1" applyAlignment="1">
      <alignment horizontal="center" vertical="center"/>
    </xf>
    <xf numFmtId="178" fontId="11" fillId="6" borderId="5" xfId="0" applyNumberFormat="1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 vertical="center"/>
    </xf>
    <xf numFmtId="178" fontId="11" fillId="0" borderId="5" xfId="3" applyNumberFormat="1" applyFont="1" applyBorder="1" applyAlignment="1">
      <alignment horizontal="center" vertical="center"/>
    </xf>
    <xf numFmtId="10" fontId="11" fillId="0" borderId="5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178" fontId="12" fillId="0" borderId="0" xfId="3" applyNumberFormat="1" applyFont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178" fontId="13" fillId="0" borderId="0" xfId="3" applyNumberFormat="1" applyFont="1" applyFill="1" applyAlignment="1">
      <alignment horizontal="center" vertical="center"/>
    </xf>
    <xf numFmtId="10" fontId="13" fillId="0" borderId="0" xfId="0" applyNumberFormat="1" applyFont="1" applyFill="1" applyAlignment="1">
      <alignment horizontal="left" vertical="top" wrapText="1"/>
    </xf>
    <xf numFmtId="0" fontId="13" fillId="0" borderId="0" xfId="0" applyFont="1" applyFill="1" applyAlignment="1">
      <alignment horizontal="left" vertical="top" wrapText="1"/>
    </xf>
    <xf numFmtId="178" fontId="13" fillId="0" borderId="0" xfId="3" applyNumberFormat="1" applyFont="1" applyFill="1" applyAlignment="1">
      <alignment vertical="center"/>
    </xf>
    <xf numFmtId="0" fontId="1" fillId="0" borderId="5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_合肥万达文旅新城一期塔楼门窗测算2014.6.4（修改版）" xfId="49"/>
    <cellStyle name="常规 1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tabSelected="1" workbookViewId="0">
      <selection activeCell="O13" sqref="O13"/>
    </sheetView>
  </sheetViews>
  <sheetFormatPr defaultColWidth="9" defaultRowHeight="13.5"/>
  <cols>
    <col min="1" max="1" width="3.875" style="40" customWidth="1"/>
    <col min="2" max="2" width="13.25" style="40" customWidth="1"/>
    <col min="3" max="3" width="7.375" style="40" customWidth="1"/>
    <col min="4" max="5" width="7.625" style="40" customWidth="1"/>
    <col min="6" max="6" width="7.125" style="41" customWidth="1"/>
    <col min="7" max="7" width="6" style="40" customWidth="1"/>
    <col min="8" max="8" width="10.625" style="40" customWidth="1"/>
    <col min="9" max="9" width="8.375" style="40" customWidth="1"/>
    <col min="10" max="10" width="13.5" style="40" customWidth="1"/>
    <col min="11" max="11" width="7.5" style="42" customWidth="1"/>
    <col min="12" max="12" width="6.125" style="41" customWidth="1"/>
    <col min="13" max="13" width="8.25" style="40" customWidth="1"/>
    <col min="14" max="14" width="9.625" style="40" customWidth="1"/>
    <col min="15" max="15" width="14.5" style="40" customWidth="1"/>
    <col min="16" max="16384" width="9" style="40"/>
  </cols>
  <sheetData>
    <row r="1" s="40" customFormat="1" ht="27" customHeight="1" spans="1:15">
      <c r="A1" s="43" t="s">
        <v>0</v>
      </c>
      <c r="B1" s="44"/>
      <c r="C1" s="44"/>
      <c r="D1" s="44"/>
      <c r="E1" s="44"/>
      <c r="F1" s="45"/>
      <c r="G1" s="44"/>
      <c r="H1" s="44"/>
      <c r="I1" s="44"/>
      <c r="J1" s="44"/>
      <c r="K1" s="71"/>
      <c r="L1" s="45"/>
      <c r="M1" s="44"/>
      <c r="N1" s="44"/>
      <c r="O1" s="44"/>
    </row>
    <row r="2" s="40" customFormat="1" ht="29.1" customHeight="1" spans="1:15">
      <c r="A2" s="46" t="s">
        <v>1</v>
      </c>
      <c r="B2" s="46" t="s">
        <v>2</v>
      </c>
      <c r="C2" s="46" t="s">
        <v>3</v>
      </c>
      <c r="D2" s="46" t="s">
        <v>4</v>
      </c>
      <c r="E2" s="46" t="s">
        <v>5</v>
      </c>
      <c r="F2" s="47" t="s">
        <v>6</v>
      </c>
      <c r="G2" s="46"/>
      <c r="H2" s="46" t="s">
        <v>7</v>
      </c>
      <c r="I2" s="46"/>
      <c r="J2" s="46"/>
      <c r="K2" s="72" t="s">
        <v>8</v>
      </c>
      <c r="L2" s="47"/>
      <c r="M2" s="46" t="s">
        <v>9</v>
      </c>
      <c r="N2" s="46" t="s">
        <v>10</v>
      </c>
      <c r="O2" s="46" t="s">
        <v>11</v>
      </c>
    </row>
    <row r="3" s="40" customFormat="1" ht="42" customHeight="1" spans="1:15">
      <c r="A3" s="46"/>
      <c r="B3" s="46"/>
      <c r="C3" s="46"/>
      <c r="D3" s="46"/>
      <c r="E3" s="46"/>
      <c r="F3" s="47" t="s">
        <v>12</v>
      </c>
      <c r="G3" s="46" t="s">
        <v>13</v>
      </c>
      <c r="H3" s="46" t="s">
        <v>14</v>
      </c>
      <c r="I3" s="46" t="s">
        <v>15</v>
      </c>
      <c r="J3" s="46" t="s">
        <v>16</v>
      </c>
      <c r="K3" s="72" t="s">
        <v>17</v>
      </c>
      <c r="L3" s="47" t="s">
        <v>18</v>
      </c>
      <c r="M3" s="46"/>
      <c r="N3" s="46"/>
      <c r="O3" s="46"/>
    </row>
    <row r="4" s="40" customFormat="1" ht="48.95" customHeight="1" spans="1:15">
      <c r="A4" s="48"/>
      <c r="B4" s="48"/>
      <c r="C4" s="49" t="s">
        <v>19</v>
      </c>
      <c r="D4" s="50" t="s">
        <v>20</v>
      </c>
      <c r="E4" s="50" t="s">
        <v>20</v>
      </c>
      <c r="F4" s="51" t="s">
        <v>21</v>
      </c>
      <c r="G4" s="52" t="s">
        <v>22</v>
      </c>
      <c r="H4" s="51" t="s">
        <v>23</v>
      </c>
      <c r="I4" s="73" t="s">
        <v>24</v>
      </c>
      <c r="J4" s="52" t="s">
        <v>25</v>
      </c>
      <c r="K4" s="74" t="s">
        <v>26</v>
      </c>
      <c r="L4" s="75" t="s">
        <v>27</v>
      </c>
      <c r="M4" s="52" t="s">
        <v>28</v>
      </c>
      <c r="N4" s="52" t="s">
        <v>29</v>
      </c>
      <c r="O4" s="76" t="s">
        <v>30</v>
      </c>
    </row>
    <row r="5" s="40" customFormat="1" ht="34" customHeight="1" spans="1:15">
      <c r="A5" s="53">
        <v>1</v>
      </c>
      <c r="B5" s="53" t="s">
        <v>31</v>
      </c>
      <c r="C5" s="54"/>
      <c r="D5" s="55">
        <v>81</v>
      </c>
      <c r="E5" s="55">
        <v>179.67</v>
      </c>
      <c r="F5" s="56"/>
      <c r="G5" s="57"/>
      <c r="H5" s="56">
        <f>E5*D5</f>
        <v>14553.27</v>
      </c>
      <c r="I5" s="77">
        <v>0.8</v>
      </c>
      <c r="J5" s="57">
        <f>H5*I5</f>
        <v>11642.616</v>
      </c>
      <c r="K5" s="78"/>
      <c r="L5" s="79"/>
      <c r="M5" s="57"/>
      <c r="N5" s="57"/>
      <c r="O5" s="56"/>
    </row>
    <row r="6" s="40" customFormat="1" ht="38" customHeight="1" spans="1:15">
      <c r="A6" s="53">
        <v>2</v>
      </c>
      <c r="B6" s="53" t="s">
        <v>32</v>
      </c>
      <c r="C6" s="54"/>
      <c r="D6" s="55">
        <v>79.76</v>
      </c>
      <c r="E6" s="55">
        <v>223.125034676058</v>
      </c>
      <c r="F6" s="56"/>
      <c r="G6" s="57"/>
      <c r="H6" s="56">
        <f>E6*D6</f>
        <v>17796.4527657624</v>
      </c>
      <c r="I6" s="77">
        <v>0.8</v>
      </c>
      <c r="J6" s="57">
        <f>H6*I6</f>
        <v>14237.1622126099</v>
      </c>
      <c r="K6" s="78"/>
      <c r="L6" s="79"/>
      <c r="M6" s="57"/>
      <c r="N6" s="57"/>
      <c r="O6" s="56"/>
    </row>
    <row r="7" s="40" customFormat="1" ht="24.95" customHeight="1" spans="1:15">
      <c r="A7" s="58"/>
      <c r="B7" s="59" t="s">
        <v>33</v>
      </c>
      <c r="C7" s="59"/>
      <c r="D7" s="59"/>
      <c r="E7" s="58"/>
      <c r="F7" s="60"/>
      <c r="G7" s="61"/>
      <c r="H7" s="61"/>
      <c r="I7" s="80"/>
      <c r="J7" s="61">
        <f>J5+J6</f>
        <v>25879.7782126099</v>
      </c>
      <c r="K7" s="61"/>
      <c r="L7" s="81"/>
      <c r="M7" s="82" t="s">
        <v>34</v>
      </c>
      <c r="N7" s="82" t="s">
        <v>35</v>
      </c>
      <c r="O7" s="83"/>
    </row>
    <row r="8" s="40" customFormat="1" ht="24.95" customHeight="1" spans="1:15">
      <c r="A8" s="62"/>
      <c r="B8" s="62" t="s">
        <v>36</v>
      </c>
      <c r="C8" s="62"/>
      <c r="D8" s="62"/>
      <c r="E8" s="62"/>
      <c r="F8" s="63"/>
      <c r="G8" s="64"/>
      <c r="H8" s="64"/>
      <c r="I8" s="64"/>
      <c r="J8" s="64">
        <v>25000</v>
      </c>
      <c r="K8" s="84"/>
      <c r="L8" s="85"/>
      <c r="M8" s="64"/>
      <c r="N8" s="64"/>
      <c r="O8" s="86" t="s">
        <v>37</v>
      </c>
    </row>
    <row r="9" s="40" customFormat="1" ht="24.95" customHeight="1" spans="1:15">
      <c r="A9" s="65" t="s">
        <v>38</v>
      </c>
      <c r="B9" s="65"/>
      <c r="C9" s="65"/>
      <c r="D9" s="65"/>
      <c r="E9" s="65"/>
      <c r="F9" s="66"/>
      <c r="G9" s="65"/>
      <c r="H9" s="65"/>
      <c r="I9" s="65"/>
      <c r="J9" s="65"/>
      <c r="K9" s="87"/>
      <c r="L9" s="66"/>
      <c r="M9" s="65"/>
      <c r="N9" s="65"/>
      <c r="O9" s="65"/>
    </row>
    <row r="10" s="40" customFormat="1" ht="24.95" customHeight="1" spans="1:15">
      <c r="A10" s="65" t="s">
        <v>39</v>
      </c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</row>
    <row r="11" s="40" customFormat="1" ht="26.25" customHeight="1" spans="1:15">
      <c r="A11" s="67"/>
      <c r="B11" s="68"/>
      <c r="C11" s="68"/>
      <c r="D11" s="68"/>
      <c r="E11" s="68"/>
      <c r="F11" s="69"/>
      <c r="G11" s="70" t="s">
        <v>40</v>
      </c>
      <c r="H11" s="70"/>
      <c r="I11" s="70"/>
      <c r="J11" s="88"/>
      <c r="K11" s="89"/>
      <c r="L11" s="90" t="s">
        <v>41</v>
      </c>
      <c r="M11" s="91"/>
      <c r="N11" s="68"/>
      <c r="O11" s="68"/>
    </row>
    <row r="12" s="40" customFormat="1" ht="28.5" customHeight="1" spans="1:15">
      <c r="A12" s="67"/>
      <c r="B12" s="68"/>
      <c r="C12" s="68"/>
      <c r="D12" s="68"/>
      <c r="E12" s="68"/>
      <c r="F12" s="69"/>
      <c r="J12" s="68"/>
      <c r="K12" s="92"/>
      <c r="L12" s="69"/>
      <c r="M12" s="68"/>
      <c r="N12" s="68"/>
      <c r="O12" s="68"/>
    </row>
  </sheetData>
  <mergeCells count="18">
    <mergeCell ref="A1:O1"/>
    <mergeCell ref="F2:G2"/>
    <mergeCell ref="H2:J2"/>
    <mergeCell ref="K2:L2"/>
    <mergeCell ref="B8:E8"/>
    <mergeCell ref="A9:O9"/>
    <mergeCell ref="A10:O10"/>
    <mergeCell ref="G11:I11"/>
    <mergeCell ref="J11:K11"/>
    <mergeCell ref="L11:M11"/>
    <mergeCell ref="A2:A3"/>
    <mergeCell ref="B2:B3"/>
    <mergeCell ref="C2:C3"/>
    <mergeCell ref="D2:D3"/>
    <mergeCell ref="E2:E3"/>
    <mergeCell ref="M2:M3"/>
    <mergeCell ref="N2:N3"/>
    <mergeCell ref="O2:O3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2"/>
  <sheetViews>
    <sheetView topLeftCell="A19" workbookViewId="0">
      <selection activeCell="F41" sqref="F41:K41"/>
    </sheetView>
  </sheetViews>
  <sheetFormatPr defaultColWidth="9" defaultRowHeight="13.5"/>
  <cols>
    <col min="1" max="1" width="4.375" style="1" customWidth="1"/>
    <col min="2" max="2" width="17.1333333333333" style="1" customWidth="1"/>
    <col min="3" max="3" width="12.5" style="1" customWidth="1"/>
    <col min="4" max="4" width="11.875" style="2" customWidth="1"/>
    <col min="5" max="5" width="4.375" style="1" customWidth="1"/>
    <col min="6" max="6" width="8.375" style="3" customWidth="1"/>
    <col min="7" max="9" width="6.375" style="3" customWidth="1"/>
    <col min="10" max="11" width="7.375" style="3" customWidth="1"/>
    <col min="12" max="12" width="7.125" style="3" customWidth="1"/>
    <col min="13" max="13" width="8.5" style="3" customWidth="1"/>
    <col min="14" max="14" width="11" style="3" customWidth="1"/>
    <col min="15" max="15" width="14.75" style="3" customWidth="1"/>
    <col min="16" max="16384" width="9" style="3"/>
  </cols>
  <sheetData>
    <row r="1" ht="15" customHeight="1" spans="1:15">
      <c r="A1" s="4" t="s">
        <v>42</v>
      </c>
      <c r="D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18.75" customHeight="1" spans="1:12">
      <c r="A2" s="5" t="s">
        <v>1</v>
      </c>
      <c r="B2" s="5" t="s">
        <v>43</v>
      </c>
      <c r="C2" s="5" t="s">
        <v>44</v>
      </c>
      <c r="D2" s="6" t="s">
        <v>45</v>
      </c>
      <c r="E2" s="7" t="s">
        <v>42</v>
      </c>
      <c r="F2" s="8"/>
      <c r="G2" s="8"/>
      <c r="H2" s="8"/>
      <c r="I2" s="8"/>
      <c r="J2" s="8"/>
      <c r="K2" s="8"/>
      <c r="L2" s="8"/>
    </row>
    <row r="3" ht="40.5" spans="1:15">
      <c r="A3" s="9"/>
      <c r="B3" s="9"/>
      <c r="C3" s="9"/>
      <c r="D3" s="10"/>
      <c r="E3" s="9" t="s">
        <v>46</v>
      </c>
      <c r="F3" s="9" t="s">
        <v>47</v>
      </c>
      <c r="G3" s="11" t="s">
        <v>48</v>
      </c>
      <c r="H3" s="11" t="s">
        <v>49</v>
      </c>
      <c r="I3" s="11" t="s">
        <v>50</v>
      </c>
      <c r="J3" s="11" t="s">
        <v>51</v>
      </c>
      <c r="K3" s="11" t="s">
        <v>52</v>
      </c>
      <c r="L3" s="11"/>
      <c r="M3" s="11" t="s">
        <v>33</v>
      </c>
      <c r="N3" s="27" t="s">
        <v>53</v>
      </c>
      <c r="O3" s="28">
        <f>O4+O5</f>
        <v>13346.1309568</v>
      </c>
    </row>
    <row r="4" ht="20.25" customHeight="1" spans="1:15">
      <c r="A4" s="9">
        <v>1</v>
      </c>
      <c r="B4" s="11" t="s">
        <v>54</v>
      </c>
      <c r="C4" s="9"/>
      <c r="D4" s="11" t="s">
        <v>55</v>
      </c>
      <c r="E4" s="9" t="s">
        <v>56</v>
      </c>
      <c r="F4" s="9">
        <f>(1.324+2.504+0.2+2.504+0.98+1.878+0.15*2)*2</f>
        <v>19.38</v>
      </c>
      <c r="G4" s="11">
        <f>(2.57+0.32+0.15*2)*2</f>
        <v>6.38</v>
      </c>
      <c r="H4" s="11">
        <f>(2.495+2.53+0.15*2)*2</f>
        <v>10.65</v>
      </c>
      <c r="I4" s="11">
        <f>(2.495+2.53+0.15*2)*2</f>
        <v>10.65</v>
      </c>
      <c r="J4" s="11">
        <f>(2.495+2.53+0.15*2)*3*2</f>
        <v>31.95</v>
      </c>
      <c r="K4" s="11">
        <f>(2.53+2.459+0.08+0.15*2+1.36)*2</f>
        <v>13.458</v>
      </c>
      <c r="L4" s="11"/>
      <c r="M4" s="11">
        <f>G4+H4+I4+J4+K4</f>
        <v>73.088</v>
      </c>
      <c r="N4" s="29">
        <v>179.67</v>
      </c>
      <c r="O4" s="30">
        <f>N4*M4</f>
        <v>13131.72096</v>
      </c>
    </row>
    <row r="5" ht="24" customHeight="1" spans="1:15">
      <c r="A5" s="9">
        <v>2</v>
      </c>
      <c r="B5" s="11" t="s">
        <v>57</v>
      </c>
      <c r="C5" s="11"/>
      <c r="D5" s="11" t="s">
        <v>58</v>
      </c>
      <c r="E5" s="9" t="s">
        <v>56</v>
      </c>
      <c r="F5" s="9"/>
      <c r="G5" s="11">
        <f>2.188*2</f>
        <v>4.376</v>
      </c>
      <c r="H5" s="11"/>
      <c r="I5" s="11"/>
      <c r="J5" s="11"/>
      <c r="K5" s="11"/>
      <c r="L5" s="11"/>
      <c r="M5" s="11">
        <f>G5+H5+I5+J5+K5</f>
        <v>4.376</v>
      </c>
      <c r="N5" s="29">
        <v>48.9968</v>
      </c>
      <c r="O5" s="30">
        <f>N5*M5</f>
        <v>214.4099968</v>
      </c>
    </row>
    <row r="6" ht="21" customHeight="1" spans="1:15">
      <c r="A6" s="9" t="s">
        <v>59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ht="40.5" spans="1:15">
      <c r="A7" s="9" t="s">
        <v>1</v>
      </c>
      <c r="B7" s="9" t="s">
        <v>43</v>
      </c>
      <c r="C7" s="9"/>
      <c r="D7" s="9" t="s">
        <v>60</v>
      </c>
      <c r="E7" s="9" t="s">
        <v>46</v>
      </c>
      <c r="F7" s="9" t="s">
        <v>61</v>
      </c>
      <c r="G7" s="9" t="s">
        <v>62</v>
      </c>
      <c r="H7" s="9"/>
      <c r="I7" s="9"/>
      <c r="J7" s="9"/>
      <c r="K7" s="9"/>
      <c r="L7" s="9"/>
      <c r="M7" s="9" t="s">
        <v>63</v>
      </c>
      <c r="N7" s="27" t="s">
        <v>53</v>
      </c>
      <c r="O7" s="28">
        <f>O9+O10+O11</f>
        <v>30596.638456</v>
      </c>
    </row>
    <row r="8" ht="27" spans="1:15">
      <c r="A8" s="9"/>
      <c r="B8" s="9"/>
      <c r="C8" s="9"/>
      <c r="D8" s="9"/>
      <c r="E8" s="9"/>
      <c r="F8" s="9"/>
      <c r="G8" s="93" t="s">
        <v>64</v>
      </c>
      <c r="H8" s="9" t="s">
        <v>65</v>
      </c>
      <c r="I8" s="9" t="s">
        <v>66</v>
      </c>
      <c r="J8" s="31" t="s">
        <v>67</v>
      </c>
      <c r="K8" s="11"/>
      <c r="L8" s="9" t="s">
        <v>68</v>
      </c>
      <c r="M8" s="9"/>
      <c r="N8" s="11"/>
      <c r="O8" s="11"/>
    </row>
    <row r="9" spans="1:15">
      <c r="A9" s="9">
        <v>6</v>
      </c>
      <c r="B9" s="11" t="s">
        <v>54</v>
      </c>
      <c r="C9" s="9" t="s">
        <v>69</v>
      </c>
      <c r="D9" s="9"/>
      <c r="E9" s="9" t="s">
        <v>56</v>
      </c>
      <c r="F9" s="9">
        <f>G9+H9+I9</f>
        <v>150.18</v>
      </c>
      <c r="G9" s="9">
        <f>(8.74+0.22*3)*3</f>
        <v>28.2</v>
      </c>
      <c r="H9" s="9">
        <f>(4.38+0.6+3.4+1.6+0.22*4)*3</f>
        <v>32.58</v>
      </c>
      <c r="I9" s="9">
        <f>(2.76*5*2+0.22*5*2)*3</f>
        <v>89.4</v>
      </c>
      <c r="J9" s="9"/>
      <c r="K9" s="9"/>
      <c r="L9" s="9"/>
      <c r="M9" s="11">
        <f>F9</f>
        <v>150.18</v>
      </c>
      <c r="N9" s="29">
        <v>179.67</v>
      </c>
      <c r="O9" s="11">
        <f>N9*M9</f>
        <v>26982.8406</v>
      </c>
    </row>
    <row r="10" spans="1:15">
      <c r="A10" s="9">
        <v>7</v>
      </c>
      <c r="B10" s="11" t="s">
        <v>54</v>
      </c>
      <c r="C10" s="9" t="s">
        <v>70</v>
      </c>
      <c r="D10" s="9"/>
      <c r="E10" s="9" t="s">
        <v>56</v>
      </c>
      <c r="F10" s="9">
        <f>(1.36+3.02+1.9)*3</f>
        <v>18.84</v>
      </c>
      <c r="G10" s="9"/>
      <c r="H10" s="9"/>
      <c r="I10" s="9"/>
      <c r="J10" s="9"/>
      <c r="K10" s="9"/>
      <c r="L10" s="9"/>
      <c r="M10" s="11">
        <f>F10</f>
        <v>18.84</v>
      </c>
      <c r="N10" s="29">
        <v>179.67</v>
      </c>
      <c r="O10" s="11">
        <f t="shared" ref="O10:O16" si="0">N10*M10</f>
        <v>3384.9828</v>
      </c>
    </row>
    <row r="11" spans="1:15">
      <c r="A11" s="9">
        <v>8</v>
      </c>
      <c r="B11" s="11" t="s">
        <v>57</v>
      </c>
      <c r="C11" s="11"/>
      <c r="D11" s="11" t="s">
        <v>58</v>
      </c>
      <c r="E11" s="9" t="s">
        <v>56</v>
      </c>
      <c r="F11" s="9">
        <v>4.67</v>
      </c>
      <c r="G11" s="9"/>
      <c r="H11" s="9"/>
      <c r="I11" s="9"/>
      <c r="J11" s="9"/>
      <c r="K11" s="9"/>
      <c r="L11" s="9"/>
      <c r="M11" s="11">
        <f>F11</f>
        <v>4.67</v>
      </c>
      <c r="N11" s="29">
        <v>48.9968</v>
      </c>
      <c r="O11" s="11">
        <f t="shared" si="0"/>
        <v>228.815056</v>
      </c>
    </row>
    <row r="12" ht="27" spans="1:15">
      <c r="A12" s="11" t="s">
        <v>71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</row>
    <row r="13" ht="18" customHeight="1" spans="1:15">
      <c r="A13" s="5" t="s">
        <v>1</v>
      </c>
      <c r="B13" s="5" t="s">
        <v>43</v>
      </c>
      <c r="C13" s="5" t="s">
        <v>44</v>
      </c>
      <c r="D13" s="5" t="s">
        <v>45</v>
      </c>
      <c r="E13" s="5" t="s">
        <v>71</v>
      </c>
      <c r="F13" s="5"/>
      <c r="G13" s="5"/>
      <c r="H13" s="5"/>
      <c r="I13" s="5"/>
      <c r="J13" s="5"/>
      <c r="K13" s="5"/>
      <c r="L13" s="5"/>
      <c r="M13" s="5"/>
      <c r="N13" s="32" t="s">
        <v>53</v>
      </c>
      <c r="O13" s="33">
        <f>O15+O16</f>
        <v>20214.5557168</v>
      </c>
    </row>
    <row r="14" ht="21" customHeight="1" spans="1:15">
      <c r="A14" s="9"/>
      <c r="B14" s="9"/>
      <c r="C14" s="9"/>
      <c r="D14" s="9"/>
      <c r="E14" s="9" t="s">
        <v>46</v>
      </c>
      <c r="F14" s="9" t="s">
        <v>47</v>
      </c>
      <c r="G14" s="11" t="s">
        <v>48</v>
      </c>
      <c r="H14" s="11" t="s">
        <v>49</v>
      </c>
      <c r="I14" s="11" t="s">
        <v>50</v>
      </c>
      <c r="J14" s="11" t="s">
        <v>72</v>
      </c>
      <c r="K14" s="11" t="s">
        <v>73</v>
      </c>
      <c r="L14" s="11"/>
      <c r="M14" s="11" t="s">
        <v>33</v>
      </c>
      <c r="N14" s="34"/>
      <c r="O14" s="5"/>
    </row>
    <row r="15" spans="1:15">
      <c r="A15" s="9">
        <v>8</v>
      </c>
      <c r="B15" s="11" t="s">
        <v>54</v>
      </c>
      <c r="C15" s="9"/>
      <c r="D15" s="11" t="s">
        <v>55</v>
      </c>
      <c r="E15" s="9" t="s">
        <v>56</v>
      </c>
      <c r="F15" s="12">
        <f>(1.63+2.253+2.253+2.013+5.25+0.15*4)*2</f>
        <v>27.998</v>
      </c>
      <c r="G15" s="11">
        <f>(2.559+2.177+0.32+0.15-2.188)*2</f>
        <v>6.036</v>
      </c>
      <c r="H15" s="11">
        <f>(2.518+2.518+0.15*2)*2</f>
        <v>10.672</v>
      </c>
      <c r="I15" s="11">
        <f>(2.518+2.518+0.15*2)*2</f>
        <v>10.672</v>
      </c>
      <c r="J15" s="11">
        <f>(2.518+2.518+0.15*2)*4*2</f>
        <v>42.688</v>
      </c>
      <c r="K15" s="11">
        <f>(2.518+2.447+0.15*2+1.36)*2</f>
        <v>13.25</v>
      </c>
      <c r="L15" s="11"/>
      <c r="M15" s="35">
        <f>G15+H15+I15+J15+K15+F15</f>
        <v>111.316</v>
      </c>
      <c r="N15" s="29">
        <v>179.67</v>
      </c>
      <c r="O15" s="11">
        <f t="shared" si="0"/>
        <v>20000.14572</v>
      </c>
    </row>
    <row r="16" spans="1:15">
      <c r="A16" s="9">
        <v>9</v>
      </c>
      <c r="B16" s="11" t="s">
        <v>57</v>
      </c>
      <c r="C16" s="11"/>
      <c r="D16" s="11" t="s">
        <v>58</v>
      </c>
      <c r="E16" s="9" t="s">
        <v>56</v>
      </c>
      <c r="F16" s="9"/>
      <c r="G16" s="11">
        <f>2.188*2</f>
        <v>4.376</v>
      </c>
      <c r="H16" s="11"/>
      <c r="I16" s="11"/>
      <c r="J16" s="11"/>
      <c r="K16" s="11"/>
      <c r="L16" s="11"/>
      <c r="M16" s="11">
        <f>G16+H16+I16+J16+K16</f>
        <v>4.376</v>
      </c>
      <c r="N16" s="29">
        <v>48.9968</v>
      </c>
      <c r="O16" s="11">
        <f t="shared" si="0"/>
        <v>214.4099968</v>
      </c>
    </row>
    <row r="17" ht="26" customHeight="1" spans="1:15">
      <c r="A17" s="1" t="s">
        <v>74</v>
      </c>
      <c r="D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ht="23" customHeight="1" spans="1:15">
      <c r="A18" s="9" t="s">
        <v>1</v>
      </c>
      <c r="B18" s="13" t="s">
        <v>43</v>
      </c>
      <c r="C18" s="14"/>
      <c r="D18" s="9" t="s">
        <v>60</v>
      </c>
      <c r="E18" s="9" t="s">
        <v>46</v>
      </c>
      <c r="F18" s="9" t="s">
        <v>61</v>
      </c>
      <c r="G18" s="9" t="s">
        <v>62</v>
      </c>
      <c r="H18" s="9"/>
      <c r="I18" s="9"/>
      <c r="J18" s="9"/>
      <c r="K18" s="9"/>
      <c r="L18" s="9"/>
      <c r="M18" s="9" t="s">
        <v>63</v>
      </c>
      <c r="N18" s="32" t="s">
        <v>53</v>
      </c>
      <c r="O18" s="36">
        <f>O20+O21+O22</f>
        <v>17770.153096</v>
      </c>
    </row>
    <row r="19" ht="27" spans="1:15">
      <c r="A19" s="9"/>
      <c r="B19" s="7"/>
      <c r="C19" s="15"/>
      <c r="D19" s="9"/>
      <c r="E19" s="9"/>
      <c r="F19" s="9"/>
      <c r="G19" s="93" t="s">
        <v>64</v>
      </c>
      <c r="H19" s="9" t="s">
        <v>65</v>
      </c>
      <c r="I19" s="9" t="s">
        <v>66</v>
      </c>
      <c r="J19" s="31" t="s">
        <v>67</v>
      </c>
      <c r="K19" s="11"/>
      <c r="L19" s="9" t="s">
        <v>68</v>
      </c>
      <c r="M19" s="9"/>
      <c r="N19" s="34"/>
      <c r="O19" s="37"/>
    </row>
    <row r="20" spans="1:15">
      <c r="A20" s="9">
        <v>5</v>
      </c>
      <c r="B20" s="11" t="s">
        <v>54</v>
      </c>
      <c r="C20" s="9" t="s">
        <v>69</v>
      </c>
      <c r="D20" s="9"/>
      <c r="E20" s="9" t="s">
        <v>56</v>
      </c>
      <c r="F20" s="9">
        <f>G20+H20+I20</f>
        <v>95.78</v>
      </c>
      <c r="G20" s="9">
        <f>(8.23+0.22*4)*2</f>
        <v>18.22</v>
      </c>
      <c r="H20" s="9">
        <f>(2.55*7*2+0.22*7*2)*2</f>
        <v>77.56</v>
      </c>
      <c r="I20" s="9"/>
      <c r="J20" s="9"/>
      <c r="K20" s="9"/>
      <c r="L20" s="9"/>
      <c r="M20" s="11">
        <f>F20</f>
        <v>95.78</v>
      </c>
      <c r="N20" s="29">
        <v>179.67</v>
      </c>
      <c r="O20" s="11">
        <f>N20*M20</f>
        <v>17208.7926</v>
      </c>
    </row>
    <row r="21" spans="1:15">
      <c r="A21" s="9"/>
      <c r="B21" s="11" t="s">
        <v>54</v>
      </c>
      <c r="C21" s="9" t="s">
        <v>70</v>
      </c>
      <c r="D21" s="9"/>
      <c r="E21" s="9" t="s">
        <v>56</v>
      </c>
      <c r="F21" s="9">
        <v>1.36</v>
      </c>
      <c r="G21" s="9"/>
      <c r="H21" s="9"/>
      <c r="I21" s="9"/>
      <c r="J21" s="9"/>
      <c r="K21" s="9"/>
      <c r="L21" s="9"/>
      <c r="M21" s="11">
        <f>F21</f>
        <v>1.36</v>
      </c>
      <c r="N21" s="29">
        <v>179.67</v>
      </c>
      <c r="O21" s="11">
        <f t="shared" ref="O21:O27" si="1">N21*M21</f>
        <v>244.3512</v>
      </c>
    </row>
    <row r="22" spans="1:15">
      <c r="A22" s="9"/>
      <c r="B22" s="11" t="s">
        <v>57</v>
      </c>
      <c r="C22" s="11"/>
      <c r="D22" s="11" t="s">
        <v>58</v>
      </c>
      <c r="E22" s="9" t="s">
        <v>56</v>
      </c>
      <c r="F22" s="9">
        <v>6.47</v>
      </c>
      <c r="G22" s="9"/>
      <c r="H22" s="9"/>
      <c r="I22" s="9"/>
      <c r="J22" s="9"/>
      <c r="K22" s="9"/>
      <c r="L22" s="9"/>
      <c r="M22" s="11">
        <f>F22</f>
        <v>6.47</v>
      </c>
      <c r="N22" s="29">
        <v>48.9968</v>
      </c>
      <c r="O22" s="11">
        <f t="shared" si="1"/>
        <v>317.009296</v>
      </c>
    </row>
    <row r="23" ht="41" customHeight="1" spans="1:12">
      <c r="A23" s="16" t="s">
        <v>75</v>
      </c>
      <c r="B23" s="16"/>
      <c r="C23" s="16"/>
      <c r="D23" s="17"/>
      <c r="E23" s="17"/>
      <c r="F23" s="17"/>
      <c r="G23" s="17"/>
      <c r="H23" s="17"/>
      <c r="I23" s="17"/>
      <c r="J23" s="17"/>
      <c r="K23" s="17"/>
      <c r="L23" s="17"/>
    </row>
    <row r="24" ht="14.25" spans="1:15">
      <c r="A24" s="18" t="s">
        <v>1</v>
      </c>
      <c r="B24" s="18" t="s">
        <v>43</v>
      </c>
      <c r="C24" s="18" t="s">
        <v>44</v>
      </c>
      <c r="D24" s="18" t="s">
        <v>45</v>
      </c>
      <c r="E24" s="18" t="s">
        <v>46</v>
      </c>
      <c r="F24" s="19" t="s">
        <v>75</v>
      </c>
      <c r="G24" s="20"/>
      <c r="H24" s="20"/>
      <c r="I24" s="20"/>
      <c r="J24" s="20"/>
      <c r="K24" s="20"/>
      <c r="L24" s="24"/>
      <c r="M24" s="11"/>
      <c r="N24" s="11"/>
      <c r="O24" s="33">
        <f>O26+O27</f>
        <v>14890.9502504</v>
      </c>
    </row>
    <row r="25" ht="14.25" spans="1:15">
      <c r="A25" s="21"/>
      <c r="B25" s="22"/>
      <c r="C25" s="22"/>
      <c r="D25" s="22"/>
      <c r="E25" s="22"/>
      <c r="F25" s="22" t="s">
        <v>76</v>
      </c>
      <c r="G25" s="22" t="s">
        <v>48</v>
      </c>
      <c r="H25" s="22" t="s">
        <v>49</v>
      </c>
      <c r="I25" s="22" t="s">
        <v>50</v>
      </c>
      <c r="J25" s="22" t="s">
        <v>51</v>
      </c>
      <c r="K25" s="22" t="s">
        <v>52</v>
      </c>
      <c r="L25" s="22"/>
      <c r="M25" s="23"/>
      <c r="N25" s="11"/>
      <c r="O25" s="5"/>
    </row>
    <row r="26" ht="14.25" spans="1:15">
      <c r="A26" s="18">
        <v>7</v>
      </c>
      <c r="B26" s="23" t="s">
        <v>54</v>
      </c>
      <c r="C26" s="18"/>
      <c r="D26" s="23"/>
      <c r="E26" s="23" t="s">
        <v>56</v>
      </c>
      <c r="F26" s="23"/>
      <c r="G26" s="23">
        <f t="shared" ref="G26:I26" si="2">2.55+2.55+0.15</f>
        <v>5.25</v>
      </c>
      <c r="H26" s="23">
        <f t="shared" si="2"/>
        <v>5.25</v>
      </c>
      <c r="I26" s="23">
        <f t="shared" si="2"/>
        <v>5.25</v>
      </c>
      <c r="J26" s="23">
        <f>(2.55+2.55+0.15)*3</f>
        <v>15.75</v>
      </c>
      <c r="K26" s="23">
        <f>2.574+2.559+0.15+1.36</f>
        <v>6.643</v>
      </c>
      <c r="L26" s="23"/>
      <c r="M26" s="11">
        <f>(F26+G26+H26+I26+J26+K26+L26)*2</f>
        <v>76.286</v>
      </c>
      <c r="N26" s="29">
        <v>179.67</v>
      </c>
      <c r="O26" s="11">
        <f t="shared" si="1"/>
        <v>13706.30562</v>
      </c>
    </row>
    <row r="27" ht="17.1" customHeight="1" spans="1:15">
      <c r="A27" s="18">
        <v>8</v>
      </c>
      <c r="B27" s="11" t="s">
        <v>57</v>
      </c>
      <c r="C27" s="11"/>
      <c r="D27" s="11" t="s">
        <v>58</v>
      </c>
      <c r="E27" s="10" t="s">
        <v>56</v>
      </c>
      <c r="F27" s="9"/>
      <c r="G27" s="9">
        <f>(2.779+2.115+1.877+2.189+1.878+1.251)*2</f>
        <v>24.178</v>
      </c>
      <c r="H27" s="9"/>
      <c r="I27" s="9"/>
      <c r="J27" s="9"/>
      <c r="K27" s="9"/>
      <c r="L27" s="9"/>
      <c r="M27" s="23">
        <f>F27+G27+H27+I27+J27+K27+L27</f>
        <v>24.178</v>
      </c>
      <c r="N27" s="29">
        <v>48.9968</v>
      </c>
      <c r="O27" s="11">
        <f t="shared" si="1"/>
        <v>1184.6446304</v>
      </c>
    </row>
    <row r="28" ht="29" customHeight="1" spans="1:15">
      <c r="A28" s="9"/>
      <c r="B28" s="9" t="s">
        <v>33</v>
      </c>
      <c r="C28" s="9"/>
      <c r="D28" s="10"/>
      <c r="E28" s="9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ht="14.25" spans="1:15">
      <c r="A29" s="19" t="s">
        <v>77</v>
      </c>
      <c r="B29" s="20"/>
      <c r="C29" s="24"/>
      <c r="D29" s="23"/>
      <c r="E29" s="23"/>
      <c r="F29" s="23"/>
      <c r="G29" s="23"/>
      <c r="H29" s="23"/>
      <c r="I29" s="23"/>
      <c r="J29" s="23"/>
      <c r="K29" s="23"/>
      <c r="L29" s="23"/>
      <c r="M29" s="11"/>
      <c r="N29" s="11"/>
      <c r="O29" s="11"/>
    </row>
    <row r="30" ht="14.25" spans="1:15">
      <c r="A30" s="18" t="s">
        <v>1</v>
      </c>
      <c r="B30" s="18" t="s">
        <v>43</v>
      </c>
      <c r="C30" s="18" t="s">
        <v>44</v>
      </c>
      <c r="D30" s="18" t="s">
        <v>45</v>
      </c>
      <c r="E30" s="18" t="s">
        <v>46</v>
      </c>
      <c r="F30" s="25" t="s">
        <v>77</v>
      </c>
      <c r="G30" s="25"/>
      <c r="H30" s="25"/>
      <c r="I30" s="25"/>
      <c r="J30" s="25"/>
      <c r="K30" s="25"/>
      <c r="L30" s="25"/>
      <c r="M30" s="38"/>
      <c r="N30" s="11"/>
      <c r="O30" s="11">
        <f>SUM(O32:O42)</f>
        <v>71113.3559098481</v>
      </c>
    </row>
    <row r="31" ht="14.25" spans="1:15">
      <c r="A31" s="18"/>
      <c r="B31" s="23"/>
      <c r="C31" s="23"/>
      <c r="D31" s="23"/>
      <c r="E31" s="23"/>
      <c r="F31" s="23" t="s">
        <v>76</v>
      </c>
      <c r="G31" s="23" t="s">
        <v>48</v>
      </c>
      <c r="H31" s="23" t="s">
        <v>49</v>
      </c>
      <c r="I31" s="23" t="s">
        <v>50</v>
      </c>
      <c r="J31" s="23" t="s">
        <v>72</v>
      </c>
      <c r="K31" s="23" t="s">
        <v>73</v>
      </c>
      <c r="L31" s="23"/>
      <c r="M31" s="39" t="s">
        <v>33</v>
      </c>
      <c r="N31" s="11"/>
      <c r="O31" s="11"/>
    </row>
    <row r="32" ht="14.25" spans="1:15">
      <c r="A32" s="18">
        <v>1</v>
      </c>
      <c r="B32" s="11" t="s">
        <v>78</v>
      </c>
      <c r="C32" s="23" t="s">
        <v>79</v>
      </c>
      <c r="D32" s="26" t="s">
        <v>80</v>
      </c>
      <c r="E32" s="18" t="s">
        <v>81</v>
      </c>
      <c r="F32" s="23"/>
      <c r="G32" s="23">
        <f>0.74*2.3*4</f>
        <v>6.808</v>
      </c>
      <c r="H32" s="23"/>
      <c r="I32" s="23">
        <f>0.74*2.3*4</f>
        <v>6.808</v>
      </c>
      <c r="J32" s="23">
        <f>0.74*2.3*4*5</f>
        <v>34.04</v>
      </c>
      <c r="K32" s="23"/>
      <c r="L32" s="23"/>
      <c r="M32" s="39">
        <f t="shared" ref="M32:M40" si="3">F32+G32+H32+I32+J32+K32</f>
        <v>47.656</v>
      </c>
      <c r="N32" s="35">
        <v>223.125034676058</v>
      </c>
      <c r="O32" s="30">
        <f t="shared" ref="O32:O40" si="4">N32*M32</f>
        <v>10633.2466525222</v>
      </c>
    </row>
    <row r="33" ht="14.25" spans="1:15">
      <c r="A33" s="18">
        <v>2</v>
      </c>
      <c r="B33" s="11" t="s">
        <v>78</v>
      </c>
      <c r="C33" s="23" t="s">
        <v>82</v>
      </c>
      <c r="D33" s="26" t="s">
        <v>83</v>
      </c>
      <c r="E33" s="18" t="s">
        <v>81</v>
      </c>
      <c r="F33" s="23"/>
      <c r="G33" s="23">
        <f>1*2.3*2</f>
        <v>4.6</v>
      </c>
      <c r="H33" s="23"/>
      <c r="I33" s="23">
        <f>1*2.3*2</f>
        <v>4.6</v>
      </c>
      <c r="J33" s="23">
        <f>1*2.3*2*5</f>
        <v>23</v>
      </c>
      <c r="K33" s="23"/>
      <c r="L33" s="23"/>
      <c r="M33" s="39">
        <f t="shared" si="3"/>
        <v>32.2</v>
      </c>
      <c r="N33" s="35">
        <v>223.125034676058</v>
      </c>
      <c r="O33" s="30">
        <f t="shared" si="4"/>
        <v>7184.62611656907</v>
      </c>
    </row>
    <row r="34" ht="14.25" spans="1:15">
      <c r="A34" s="18">
        <v>3</v>
      </c>
      <c r="B34" s="11" t="s">
        <v>78</v>
      </c>
      <c r="C34" s="23" t="s">
        <v>84</v>
      </c>
      <c r="D34" s="26" t="s">
        <v>85</v>
      </c>
      <c r="E34" s="18" t="s">
        <v>81</v>
      </c>
      <c r="F34" s="23"/>
      <c r="G34" s="23"/>
      <c r="H34" s="23">
        <f>0.74*2*4</f>
        <v>5.92</v>
      </c>
      <c r="I34" s="23"/>
      <c r="J34" s="23"/>
      <c r="K34" s="23">
        <f>0.74*2*4</f>
        <v>5.92</v>
      </c>
      <c r="L34" s="23"/>
      <c r="M34" s="39">
        <f t="shared" si="3"/>
        <v>11.84</v>
      </c>
      <c r="N34" s="35">
        <v>223.125034676058</v>
      </c>
      <c r="O34" s="30">
        <f t="shared" si="4"/>
        <v>2641.80041056453</v>
      </c>
    </row>
    <row r="35" ht="14.25" spans="1:15">
      <c r="A35" s="18">
        <v>4</v>
      </c>
      <c r="B35" s="11" t="s">
        <v>78</v>
      </c>
      <c r="C35" s="23" t="s">
        <v>86</v>
      </c>
      <c r="D35" s="26" t="s">
        <v>87</v>
      </c>
      <c r="E35" s="18" t="s">
        <v>81</v>
      </c>
      <c r="F35" s="23"/>
      <c r="G35" s="23"/>
      <c r="H35" s="23">
        <f>1*2*2</f>
        <v>4</v>
      </c>
      <c r="I35" s="23"/>
      <c r="J35" s="23"/>
      <c r="K35" s="23">
        <f>1*2*2</f>
        <v>4</v>
      </c>
      <c r="L35" s="23"/>
      <c r="M35" s="39">
        <f t="shared" si="3"/>
        <v>8</v>
      </c>
      <c r="N35" s="35">
        <v>223.125034676058</v>
      </c>
      <c r="O35" s="30">
        <f t="shared" si="4"/>
        <v>1785.00027740846</v>
      </c>
    </row>
    <row r="36" ht="14.25" spans="1:15">
      <c r="A36" s="18">
        <v>5</v>
      </c>
      <c r="B36" s="11" t="s">
        <v>78</v>
      </c>
      <c r="C36" s="23" t="s">
        <v>88</v>
      </c>
      <c r="D36" s="26" t="s">
        <v>89</v>
      </c>
      <c r="E36" s="18" t="s">
        <v>81</v>
      </c>
      <c r="F36" s="23">
        <f>2.4*0.74*4</f>
        <v>7.104</v>
      </c>
      <c r="G36" s="23"/>
      <c r="H36" s="23"/>
      <c r="I36" s="23"/>
      <c r="J36" s="23"/>
      <c r="K36" s="23"/>
      <c r="L36" s="23"/>
      <c r="M36" s="39">
        <f t="shared" si="3"/>
        <v>7.104</v>
      </c>
      <c r="N36" s="35">
        <v>223.125034676058</v>
      </c>
      <c r="O36" s="30">
        <f t="shared" si="4"/>
        <v>1585.08024633872</v>
      </c>
    </row>
    <row r="37" ht="14.25" spans="1:15">
      <c r="A37" s="18">
        <v>6</v>
      </c>
      <c r="B37" s="11" t="s">
        <v>78</v>
      </c>
      <c r="C37" s="23" t="s">
        <v>90</v>
      </c>
      <c r="D37" s="26" t="s">
        <v>91</v>
      </c>
      <c r="E37" s="18" t="s">
        <v>81</v>
      </c>
      <c r="F37" s="23">
        <f>1*2.4*2</f>
        <v>4.8</v>
      </c>
      <c r="G37" s="23"/>
      <c r="H37" s="23"/>
      <c r="I37" s="23"/>
      <c r="J37" s="23"/>
      <c r="K37" s="23"/>
      <c r="L37" s="23"/>
      <c r="M37" s="39">
        <f t="shared" si="3"/>
        <v>4.8</v>
      </c>
      <c r="N37" s="35">
        <v>223.125034676058</v>
      </c>
      <c r="O37" s="30">
        <f t="shared" si="4"/>
        <v>1071.00016644508</v>
      </c>
    </row>
    <row r="38" ht="14.25" spans="1:15">
      <c r="A38" s="18">
        <v>7</v>
      </c>
      <c r="B38" s="18" t="s">
        <v>92</v>
      </c>
      <c r="C38" s="23" t="s">
        <v>93</v>
      </c>
      <c r="D38" s="10" t="s">
        <v>94</v>
      </c>
      <c r="E38" s="23" t="s">
        <v>56</v>
      </c>
      <c r="F38" s="23"/>
      <c r="G38" s="23">
        <f t="shared" ref="G38:I38" si="5">2*4</f>
        <v>8</v>
      </c>
      <c r="H38" s="23">
        <f t="shared" si="5"/>
        <v>8</v>
      </c>
      <c r="I38" s="23">
        <f t="shared" si="5"/>
        <v>8</v>
      </c>
      <c r="J38" s="23">
        <f>2*4*5</f>
        <v>40</v>
      </c>
      <c r="K38" s="23">
        <f>2*4</f>
        <v>8</v>
      </c>
      <c r="L38" s="23"/>
      <c r="M38" s="39">
        <f t="shared" si="3"/>
        <v>72</v>
      </c>
      <c r="N38" s="11">
        <v>84.9986</v>
      </c>
      <c r="O38" s="30">
        <f t="shared" si="4"/>
        <v>6119.8992</v>
      </c>
    </row>
    <row r="39" ht="128.25" spans="1:15">
      <c r="A39" s="18">
        <v>8</v>
      </c>
      <c r="B39" s="23" t="s">
        <v>95</v>
      </c>
      <c r="C39" s="23" t="s">
        <v>96</v>
      </c>
      <c r="D39" s="23" t="s">
        <v>97</v>
      </c>
      <c r="E39" s="23" t="s">
        <v>56</v>
      </c>
      <c r="F39" s="23"/>
      <c r="G39" s="23">
        <f t="shared" ref="G39:I39" si="6">6.9*4</f>
        <v>27.6</v>
      </c>
      <c r="H39" s="23">
        <f t="shared" si="6"/>
        <v>27.6</v>
      </c>
      <c r="I39" s="23">
        <f t="shared" si="6"/>
        <v>27.6</v>
      </c>
      <c r="J39" s="23">
        <f>6.9*4*5</f>
        <v>138</v>
      </c>
      <c r="K39" s="23">
        <f>6.9*4</f>
        <v>27.6</v>
      </c>
      <c r="L39" s="23"/>
      <c r="M39" s="39">
        <f t="shared" si="3"/>
        <v>248.4</v>
      </c>
      <c r="N39" s="11">
        <v>127.9951</v>
      </c>
      <c r="O39" s="30">
        <f t="shared" si="4"/>
        <v>31793.98284</v>
      </c>
    </row>
    <row r="40" ht="14.25" spans="1:15">
      <c r="A40" s="18">
        <v>9</v>
      </c>
      <c r="B40" s="9" t="s">
        <v>98</v>
      </c>
      <c r="C40" s="23" t="s">
        <v>99</v>
      </c>
      <c r="D40" s="23" t="s">
        <v>100</v>
      </c>
      <c r="E40" s="23" t="s">
        <v>56</v>
      </c>
      <c r="F40" s="23"/>
      <c r="G40" s="23">
        <f t="shared" ref="G40:I40" si="7">3*4</f>
        <v>12</v>
      </c>
      <c r="H40" s="23">
        <f t="shared" si="7"/>
        <v>12</v>
      </c>
      <c r="I40" s="23">
        <f t="shared" si="7"/>
        <v>12</v>
      </c>
      <c r="J40" s="23">
        <f>3*4*5</f>
        <v>60</v>
      </c>
      <c r="K40" s="23">
        <f>3*4</f>
        <v>12</v>
      </c>
      <c r="L40" s="23"/>
      <c r="M40" s="39">
        <f t="shared" si="3"/>
        <v>108</v>
      </c>
      <c r="N40" s="11">
        <v>76.84</v>
      </c>
      <c r="O40" s="30">
        <f t="shared" si="4"/>
        <v>8298.72</v>
      </c>
    </row>
    <row r="41" ht="14.25" spans="1:15">
      <c r="A41" s="18">
        <v>10</v>
      </c>
      <c r="B41" s="23" t="s">
        <v>54</v>
      </c>
      <c r="C41" s="18"/>
      <c r="D41" s="23"/>
      <c r="E41" s="23"/>
      <c r="F41" s="23">
        <f>1.832+2.415+2.193+2.236+2.266+2.748+0.15*5</f>
        <v>14.44</v>
      </c>
      <c r="G41" s="23">
        <f>2.447+0.26+0.15</f>
        <v>2.857</v>
      </c>
      <c r="H41" s="23">
        <f>2.518+2.518+0.15</f>
        <v>5.186</v>
      </c>
      <c r="I41" s="23">
        <f>2.518+2.518+0.15</f>
        <v>5.186</v>
      </c>
      <c r="J41" s="23">
        <f>(2.518+2.518+0.15)*4</f>
        <v>20.744</v>
      </c>
      <c r="K41" s="23">
        <f>2.518+2.512+1.36+0.15</f>
        <v>6.54</v>
      </c>
      <c r="L41" s="23"/>
      <c r="M41" s="39">
        <f>(F41+G41+H41+I41+J41+K41)*2</f>
        <v>109.906</v>
      </c>
      <c r="N41" s="11"/>
      <c r="O41" s="11"/>
    </row>
    <row r="42" ht="14.25" spans="1:15">
      <c r="A42" s="18">
        <v>11</v>
      </c>
      <c r="B42" s="11" t="s">
        <v>57</v>
      </c>
      <c r="C42" s="11"/>
      <c r="D42" s="11" t="s">
        <v>58</v>
      </c>
      <c r="E42" s="9" t="s">
        <v>56</v>
      </c>
      <c r="F42" s="23">
        <f>2.53+2.71</f>
        <v>5.24</v>
      </c>
      <c r="G42" s="23"/>
      <c r="H42" s="23"/>
      <c r="I42" s="23"/>
      <c r="J42" s="23"/>
      <c r="K42" s="23"/>
      <c r="L42" s="23"/>
      <c r="M42" s="39">
        <f>F42*2</f>
        <v>10.48</v>
      </c>
      <c r="N42" s="11"/>
      <c r="O42" s="11"/>
    </row>
  </sheetData>
  <autoFilter ref="A3:M42">
    <extLst/>
  </autoFilter>
  <mergeCells count="46">
    <mergeCell ref="A1:O1"/>
    <mergeCell ref="E2:L2"/>
    <mergeCell ref="A6:O6"/>
    <mergeCell ref="G7:L7"/>
    <mergeCell ref="E13:M13"/>
    <mergeCell ref="A17:O17"/>
    <mergeCell ref="G18:L18"/>
    <mergeCell ref="A23:C23"/>
    <mergeCell ref="F24:L24"/>
    <mergeCell ref="A29:C29"/>
    <mergeCell ref="F30:L30"/>
    <mergeCell ref="A2:A3"/>
    <mergeCell ref="A7:A8"/>
    <mergeCell ref="A13:A14"/>
    <mergeCell ref="A18:A19"/>
    <mergeCell ref="A24:A25"/>
    <mergeCell ref="A30:A31"/>
    <mergeCell ref="B2:B3"/>
    <mergeCell ref="B13:B14"/>
    <mergeCell ref="B24:B25"/>
    <mergeCell ref="B30:B31"/>
    <mergeCell ref="C2:C3"/>
    <mergeCell ref="C13:C14"/>
    <mergeCell ref="C24:C25"/>
    <mergeCell ref="C30:C31"/>
    <mergeCell ref="D2:D3"/>
    <mergeCell ref="D7:D8"/>
    <mergeCell ref="D13:D14"/>
    <mergeCell ref="D18:D19"/>
    <mergeCell ref="D24:D25"/>
    <mergeCell ref="D30:D31"/>
    <mergeCell ref="E7:E8"/>
    <mergeCell ref="E18:E19"/>
    <mergeCell ref="E24:E25"/>
    <mergeCell ref="E30:E31"/>
    <mergeCell ref="F7:F8"/>
    <mergeCell ref="F18:F19"/>
    <mergeCell ref="M7:M8"/>
    <mergeCell ref="M18:M19"/>
    <mergeCell ref="N13:N14"/>
    <mergeCell ref="N18:N19"/>
    <mergeCell ref="O13:O14"/>
    <mergeCell ref="O18:O19"/>
    <mergeCell ref="O24:O25"/>
    <mergeCell ref="B7:C8"/>
    <mergeCell ref="B18:C19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1#楼、2#楼</vt:lpstr>
      <vt:lpstr>04、工程量计算书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不要总是（圈a）我</cp:lastModifiedBy>
  <dcterms:created xsi:type="dcterms:W3CDTF">2020-12-05T09:38:00Z</dcterms:created>
  <dcterms:modified xsi:type="dcterms:W3CDTF">2024-01-09T01:38:34Z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0D7F1678D3C946F78A472997CEACF851</vt:lpwstr>
  </property>
</Properties>
</file>