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总包第七次进度款 封面" sheetId="4" r:id="rId1"/>
    <sheet name="总包第七次进度款 (数量为金额) " sheetId="6" r:id="rId2"/>
  </sheets>
  <externalReferences>
    <externalReference r:id="rId3"/>
  </externalReferences>
  <definedNames>
    <definedName name="_xlnm.Print_Titles" localSheetId="0">'总包第七次进度款 封面'!$1:$1</definedName>
    <definedName name="_xlnm.Print_Area" localSheetId="0">'总包第七次进度款 封面'!$A$1:$H$8</definedName>
    <definedName name="_xlnm.Print_Titles" localSheetId="1">'总包第七次进度款 (数量为金额) '!$1:$3</definedName>
    <definedName name="_xlnm.Print_Area" localSheetId="1">'总包第七次进度款 (数量为金额) '!$A$1:$N$27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<sst xmlns="http://schemas.openxmlformats.org/spreadsheetml/2006/main" count="65" uniqueCount="57">
  <si>
    <t>刘富村C-06地块项目施工总承包工程</t>
  </si>
  <si>
    <t>工程进度款费用计算明细表-3#楼、5#楼、8#楼、10#楼、地下车库</t>
  </si>
  <si>
    <t>本次申请应付款</t>
  </si>
  <si>
    <t>元</t>
  </si>
  <si>
    <t>本年申请应付款</t>
  </si>
  <si>
    <t>累计应付款</t>
  </si>
  <si>
    <t>负责人</t>
  </si>
  <si>
    <t>工程承包人</t>
  </si>
  <si>
    <t>中铁电气化局集团北京建筑工程有限公司</t>
  </si>
  <si>
    <t>工程发包人</t>
  </si>
  <si>
    <t>河南浩德新澜置业有限公司</t>
  </si>
  <si>
    <t>填报日期</t>
  </si>
  <si>
    <t xml:space="preserve">   年   月   日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</si>
  <si>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</si>
  <si>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</si>
  <si>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</si>
  <si>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</si>
  <si>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</si>
  <si>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</si>
  <si>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</si>
  <si>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</si>
  <si>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r>
      <rPr>
        <b/>
        <sz val="8"/>
        <color rgb="FF00B050"/>
        <rFont val="微软雅黑"/>
        <charset val="134"/>
      </rPr>
      <t>本次</t>
    </r>
    <r>
      <rPr>
        <b/>
        <sz val="8"/>
        <rFont val="微软雅黑"/>
        <charset val="134"/>
      </rPr>
      <t>审批工程量</t>
    </r>
  </si>
  <si>
    <t>累计已审批工程量</t>
  </si>
  <si>
    <t>累计已审批款</t>
  </si>
  <si>
    <t>本次应付工程量</t>
  </si>
  <si>
    <t>合同节点比例</t>
  </si>
  <si>
    <t>本次应付款（详见明细附件）</t>
  </si>
  <si>
    <t>应申请总金额</t>
  </si>
  <si>
    <t>累计申请比例</t>
  </si>
  <si>
    <t>10号楼</t>
  </si>
  <si>
    <t>3号楼</t>
  </si>
  <si>
    <t>伊河湾项目-3号楼-地下主体</t>
  </si>
  <si>
    <t>伊河湾项目-3号楼-地上1~4层</t>
  </si>
  <si>
    <t>伊河湾项目-3号楼-地上5~12层</t>
  </si>
  <si>
    <t>伊河湾项目-3号楼-地上13~20层</t>
  </si>
  <si>
    <t>伊河湾项目-3号楼-地上21~23层主体封顶</t>
  </si>
  <si>
    <t>8号楼</t>
  </si>
  <si>
    <t>伊河湾项目-8号楼-地下主体</t>
  </si>
  <si>
    <t>伊河湾项目-8号楼-地上1~4层</t>
  </si>
  <si>
    <t>伊河湾项目-8号楼-地上5~11层主体封顶</t>
  </si>
  <si>
    <t>5号楼</t>
  </si>
  <si>
    <t>伊河湾项目-5号楼-地下主体</t>
  </si>
  <si>
    <t>伊河湾项目-5号楼-地上1~4层</t>
  </si>
  <si>
    <t>地下车库</t>
  </si>
  <si>
    <t>伊河湾项目-地下车库-主体结构（非人防）</t>
  </si>
  <si>
    <t>进度款合计</t>
  </si>
  <si>
    <t xml:space="preserve">     工程承包人：</t>
  </si>
  <si>
    <t xml:space="preserve">         工程发包人：</t>
  </si>
  <si>
    <t>截止上次开累审批</t>
  </si>
  <si>
    <t>不含税</t>
  </si>
  <si>
    <t>税额</t>
  </si>
  <si>
    <t>总价</t>
  </si>
  <si>
    <t>面积</t>
  </si>
  <si>
    <t>单价</t>
  </si>
  <si>
    <t>伊河湾项目-地下车库-主体结构（人防）</t>
  </si>
  <si>
    <t>伊河湾项目-地下车库-二次结构及装饰等土建工程（非人防）</t>
  </si>
  <si>
    <t>伊河湾项目-地下车库-二次结构及装饰等土建工程（人防）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</si>
</sst>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[DBNum2][$RMB]General;[Red][DBNum2][$RMB]General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name val="微软雅黑"/>
      <charset val="134"/>
    </font>
    <font>
      <b/>
      <sz val="8"/>
      <color rgb="FF00B050"/>
      <name val="微软雅黑"/>
      <charset val="134"/>
    </font>
    <font>
      <sz val="8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8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6"/>
      <color theme="1"/>
      <name val="宋体"/>
      <charset val="134"/>
      <scheme val="minor"/>
    </font>
    <font>
      <u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</cellStyleXfs>
  <cellXfs count="5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176" fontId="0" fillId="0" borderId="0" xfId="0" applyNumberFormat="1" applyFont="1" applyFill="1" applyBorder="1" applyAlignment="1">
      <alignment vertical="center" wrapText="1"/>
    </xf>
    <xf numFmtId="176" fontId="0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177" fontId="0" fillId="0" borderId="0" xfId="0" applyNumberFormat="1" applyFont="1" applyFill="1" applyBorder="1" applyAlignment="1">
      <alignment vertical="center"/>
    </xf>
    <xf numFmtId="9" fontId="7" fillId="0" borderId="0" xfId="3" applyNumberFormat="1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176" fontId="8" fillId="0" borderId="0" xfId="0" applyNumberFormat="1" applyFont="1" applyFill="1" applyBorder="1" applyAlignment="1">
      <alignment vertical="center"/>
    </xf>
    <xf numFmtId="176" fontId="8" fillId="0" borderId="0" xfId="0" applyNumberFormat="1" applyFont="1" applyFill="1" applyAlignment="1">
      <alignment vertical="center"/>
    </xf>
    <xf numFmtId="176" fontId="8" fillId="0" borderId="0" xfId="0" applyNumberFormat="1" applyFont="1" applyFill="1" applyBorder="1" applyAlignment="1">
      <alignment vertical="center" wrapText="1"/>
    </xf>
    <xf numFmtId="177" fontId="8" fillId="0" borderId="0" xfId="0" applyNumberFormat="1" applyFont="1" applyFill="1" applyBorder="1" applyAlignment="1">
      <alignment vertical="center" wrapText="1"/>
    </xf>
    <xf numFmtId="176" fontId="2" fillId="0" borderId="0" xfId="3" applyNumberFormat="1" applyFont="1" applyFill="1" applyAlignment="1">
      <alignment horizontal="center" vertical="center"/>
    </xf>
    <xf numFmtId="176" fontId="3" fillId="0" borderId="1" xfId="3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9" fontId="7" fillId="0" borderId="1" xfId="3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9" fontId="7" fillId="0" borderId="0" xfId="3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178" fontId="0" fillId="0" borderId="0" xfId="0" applyNumberFormat="1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horizontal="center" vertical="center" wrapText="1"/>
    </xf>
    <xf numFmtId="10" fontId="6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vertical="center"/>
    </xf>
    <xf numFmtId="176" fontId="0" fillId="0" borderId="0" xfId="0" applyNumberFormat="1" applyFont="1" applyFill="1" applyAlignment="1">
      <alignment horizontal="center" vertical="center"/>
    </xf>
    <xf numFmtId="176" fontId="9" fillId="2" borderId="0" xfId="0" applyNumberFormat="1" applyFont="1" applyFill="1" applyBorder="1" applyAlignment="1">
      <alignment vertical="center"/>
    </xf>
    <xf numFmtId="10" fontId="0" fillId="0" borderId="0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234;&#27827;&#28286;&#39033;&#30446;\&#24037;&#20316;-&#28009;&#24503;&#22320;&#20135;\&#24635;&#21253;&#26242;&#36716;&#22266;\3#8#10#&#21450;&#36710;&#24211;&#25104;&#26524;&#25991;&#20214;-&#26680;&#23545;&#21518;\&#20234;&#27827;&#28286;&#39033;&#30446;-10&#21495;&#27004;\&#20234;&#27827;&#28286;&#39033;&#30446;-10&#21495;&#27004;&#65288;&#22303;&#24314;&#65289;\&#20234;&#27827;&#28286;&#39033;&#30446;-10&#21495;&#27004;&#65288;&#22303;&#24314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#楼第一次进度款"/>
      <sheetName val="单项工程费用汇总表"/>
      <sheetName val="10号楼-主体+二次结构费用汇总表"/>
      <sheetName val="10号楼-主体+二次结构预算表"/>
      <sheetName val="伊河湾项目-10号楼-内外粉刷+屋面费用汇总表"/>
      <sheetName val="10号楼-内外粉刷+屋面预算表"/>
      <sheetName val="10号楼-其他部分费用汇总表"/>
      <sheetName val="10号楼-其他部分预算表"/>
      <sheetName val="10号楼-变更签证汇总表"/>
      <sheetName val="10号楼-变更签证预算表"/>
    </sheetNames>
    <sheetDataSet>
      <sheetData sheetId="0"/>
      <sheetData sheetId="1">
        <row r="5">
          <cell r="B5" t="str">
            <v>伊河湾项目-10号楼-主体+二次结构</v>
          </cell>
          <cell r="C5">
            <v>2386437.08</v>
          </cell>
        </row>
        <row r="6">
          <cell r="B6" t="str">
            <v>伊河湾项目-10号楼-内外粉刷+屋面</v>
          </cell>
          <cell r="C6">
            <v>92503.35</v>
          </cell>
        </row>
        <row r="7">
          <cell r="B7" t="str">
            <v>伊河湾项目-10号楼-其他部分</v>
          </cell>
          <cell r="C7">
            <v>5953.66</v>
          </cell>
        </row>
        <row r="8">
          <cell r="B8" t="str">
            <v>伊河湾项目-10号楼-变更签证</v>
          </cell>
          <cell r="C8">
            <v>65957.79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C11" sqref="C11"/>
    </sheetView>
  </sheetViews>
  <sheetFormatPr defaultColWidth="7.775" defaultRowHeight="33" customHeight="1" outlineLevelRow="7" outlineLevelCol="7"/>
  <cols>
    <col min="1" max="1" width="9.33333333333333" style="2" customWidth="1"/>
    <col min="2" max="2" width="10.1333333333333" style="3" customWidth="1"/>
    <col min="3" max="4" width="10.75" style="4" customWidth="1"/>
    <col min="5" max="5" width="7.89166666666667" style="4" customWidth="1"/>
    <col min="6" max="6" width="10.5666666666667" style="5" customWidth="1"/>
    <col min="7" max="7" width="11.1333333333333" style="5" customWidth="1"/>
    <col min="8" max="8" width="14.5583333333333" style="5" customWidth="1"/>
    <col min="9" max="9" width="7.775" style="1"/>
    <col min="10" max="10" width="37.8833333333333" style="1"/>
    <col min="11" max="16384" width="7.775" style="1"/>
  </cols>
  <sheetData>
    <row r="1" s="1" customFormat="1" ht="46" customHeight="1" spans="1:8">
      <c r="A1" s="48" t="s">
        <v>0</v>
      </c>
      <c r="B1" s="48"/>
      <c r="C1" s="49"/>
      <c r="D1" s="49"/>
      <c r="E1" s="49"/>
      <c r="F1" s="50"/>
      <c r="G1" s="50"/>
      <c r="H1" s="50"/>
    </row>
    <row r="2" ht="64" customHeight="1" spans="1:8">
      <c r="A2" s="6" t="s">
        <v>1</v>
      </c>
      <c r="B2" s="7"/>
      <c r="C2" s="8"/>
      <c r="D2" s="8"/>
      <c r="E2" s="8"/>
      <c r="F2" s="9"/>
      <c r="G2" s="9"/>
      <c r="H2" s="9"/>
    </row>
    <row r="3" ht="70" customHeight="1" spans="1:8">
      <c r="A3" s="14" t="s">
        <v>2</v>
      </c>
      <c r="B3" s="14"/>
      <c r="C3" s="51">
        <f>'总包第七次进度款 (数量为金额) '!G26</f>
        <v>4455749.55713092</v>
      </c>
      <c r="D3" s="51"/>
      <c r="E3" s="51"/>
      <c r="F3" s="51"/>
      <c r="G3" s="51"/>
      <c r="H3" s="51" t="s">
        <v>3</v>
      </c>
    </row>
    <row r="4" ht="64" customHeight="1" spans="1:8">
      <c r="A4" s="14" t="s">
        <v>4</v>
      </c>
      <c r="B4" s="14"/>
      <c r="C4" s="51">
        <f>'总包第七次进度款 (数量为金额) '!M26</f>
        <v>28089409.292</v>
      </c>
      <c r="D4" s="51"/>
      <c r="E4" s="51"/>
      <c r="F4" s="51"/>
      <c r="G4" s="51"/>
      <c r="H4" s="51" t="s">
        <v>3</v>
      </c>
    </row>
    <row r="5" ht="58" customHeight="1" spans="1:8">
      <c r="A5" s="14" t="s">
        <v>5</v>
      </c>
      <c r="B5" s="14"/>
      <c r="C5" s="51">
        <f>'总包第七次进度款 (数量为金额) '!M26</f>
        <v>28089409.292</v>
      </c>
      <c r="D5" s="51"/>
      <c r="E5" s="51"/>
      <c r="F5" s="51"/>
      <c r="G5" s="51"/>
      <c r="H5" s="51" t="s">
        <v>3</v>
      </c>
    </row>
    <row r="6" ht="51" customHeight="1" spans="1:8">
      <c r="A6" s="14" t="s">
        <v>6</v>
      </c>
      <c r="B6" s="14"/>
      <c r="C6" s="52"/>
      <c r="D6" s="52"/>
      <c r="E6" s="14" t="s">
        <v>6</v>
      </c>
      <c r="F6" s="14"/>
      <c r="G6" s="51"/>
      <c r="H6" s="51"/>
    </row>
    <row r="7" ht="55" customHeight="1" spans="1:8">
      <c r="A7" s="14" t="s">
        <v>7</v>
      </c>
      <c r="B7" s="14"/>
      <c r="C7" s="51" t="s">
        <v>8</v>
      </c>
      <c r="D7" s="51"/>
      <c r="E7" s="14" t="s">
        <v>9</v>
      </c>
      <c r="F7" s="14"/>
      <c r="G7" s="51" t="s">
        <v>10</v>
      </c>
      <c r="H7" s="51"/>
    </row>
    <row r="8" ht="62" customHeight="1" spans="1:8">
      <c r="A8" s="14" t="s">
        <v>11</v>
      </c>
      <c r="B8" s="14"/>
      <c r="C8" s="51" t="s">
        <v>12</v>
      </c>
      <c r="D8" s="51"/>
      <c r="E8" s="14" t="s">
        <v>11</v>
      </c>
      <c r="F8" s="14"/>
      <c r="G8" s="51" t="s">
        <v>12</v>
      </c>
      <c r="H8" s="51"/>
    </row>
  </sheetData>
  <mergeCells count="20">
    <mergeCell ref="A1:H1"/>
    <mergeCell ref="A2:H2"/>
    <mergeCell ref="A3:B3"/>
    <mergeCell ref="C3:G3"/>
    <mergeCell ref="A4:B4"/>
    <mergeCell ref="C4:G4"/>
    <mergeCell ref="A5:B5"/>
    <mergeCell ref="C5:G5"/>
    <mergeCell ref="A6:B6"/>
    <mergeCell ref="C6:D6"/>
    <mergeCell ref="E6:F6"/>
    <mergeCell ref="G6:H6"/>
    <mergeCell ref="A7:B7"/>
    <mergeCell ref="C7:D7"/>
    <mergeCell ref="E7:F7"/>
    <mergeCell ref="G7:H7"/>
    <mergeCell ref="A8:B8"/>
    <mergeCell ref="C8:D8"/>
    <mergeCell ref="E8:F8"/>
    <mergeCell ref="G8:H8"/>
  </mergeCells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8"/>
  <sheetViews>
    <sheetView view="pageBreakPreview" zoomScaleNormal="100" topLeftCell="A19" workbookViewId="0">
      <selection activeCell="L24" sqref="L24"/>
    </sheetView>
  </sheetViews>
  <sheetFormatPr defaultColWidth="7.775" defaultRowHeight="33" customHeight="1"/>
  <cols>
    <col min="1" max="1" width="2.66666666666667" style="2" customWidth="1"/>
    <col min="2" max="2" width="11.775" style="3" customWidth="1"/>
    <col min="3" max="4" width="12.225" style="4" customWidth="1"/>
    <col min="5" max="5" width="12.6666666666667" style="4" customWidth="1"/>
    <col min="6" max="6" width="6.55833333333333" style="4" customWidth="1"/>
    <col min="7" max="7" width="10.8833333333333" style="5" customWidth="1"/>
    <col min="8" max="8" width="12.775" style="5" customWidth="1"/>
    <col min="9" max="9" width="13" style="5" customWidth="1"/>
    <col min="10" max="10" width="11" style="5" customWidth="1"/>
    <col min="11" max="11" width="7.75" style="5" customWidth="1"/>
    <col min="12" max="12" width="11" style="5" customWidth="1"/>
    <col min="13" max="15" width="10.8833333333333" style="5" customWidth="1"/>
    <col min="16" max="16" width="35" style="1" customWidth="1"/>
    <col min="17" max="17" width="12.8916666666667" style="1"/>
    <col min="18" max="18" width="12.625" style="1"/>
    <col min="19" max="16384" width="7.775" style="1"/>
  </cols>
  <sheetData>
    <row r="1" s="1" customFormat="1" customHeight="1" spans="1:15">
      <c r="A1" s="6" t="s">
        <v>1</v>
      </c>
      <c r="B1" s="7"/>
      <c r="C1" s="8"/>
      <c r="D1" s="8"/>
      <c r="E1" s="8"/>
      <c r="F1" s="8"/>
      <c r="G1" s="9"/>
      <c r="H1" s="9"/>
      <c r="I1" s="9"/>
      <c r="J1" s="9"/>
      <c r="K1" s="9"/>
      <c r="L1" s="9"/>
      <c r="M1" s="31"/>
      <c r="N1" s="9"/>
      <c r="O1" s="9"/>
    </row>
    <row r="2" s="1" customFormat="1" customHeight="1" spans="1:15">
      <c r="A2" s="10" t="s">
        <v>13</v>
      </c>
      <c r="B2" s="10" t="s">
        <v>14</v>
      </c>
      <c r="C2" s="11" t="s">
        <v>15</v>
      </c>
      <c r="D2" s="11"/>
      <c r="E2" s="11" t="s">
        <v>16</v>
      </c>
      <c r="F2" s="12" t="s">
        <v>17</v>
      </c>
      <c r="G2" s="11" t="s">
        <v>18</v>
      </c>
      <c r="H2" s="11"/>
      <c r="I2" s="11"/>
      <c r="J2" s="11" t="s">
        <v>19</v>
      </c>
      <c r="K2" s="11"/>
      <c r="L2" s="11"/>
      <c r="M2" s="32" t="s">
        <v>20</v>
      </c>
      <c r="N2" s="11"/>
      <c r="O2" s="33"/>
    </row>
    <row r="3" s="1" customFormat="1" customHeight="1" spans="1:15">
      <c r="A3" s="10"/>
      <c r="B3" s="10"/>
      <c r="C3" s="11"/>
      <c r="D3" s="11"/>
      <c r="E3" s="11"/>
      <c r="F3" s="12"/>
      <c r="G3" s="13" t="s">
        <v>21</v>
      </c>
      <c r="H3" s="11" t="s">
        <v>22</v>
      </c>
      <c r="I3" s="11" t="s">
        <v>23</v>
      </c>
      <c r="J3" s="11" t="s">
        <v>24</v>
      </c>
      <c r="K3" s="11" t="s">
        <v>25</v>
      </c>
      <c r="L3" s="11" t="s">
        <v>26</v>
      </c>
      <c r="M3" s="32" t="s">
        <v>27</v>
      </c>
      <c r="N3" s="11" t="s">
        <v>28</v>
      </c>
      <c r="O3" s="33"/>
    </row>
    <row r="4" s="1" customFormat="1" customHeight="1" spans="1:15">
      <c r="A4" s="10"/>
      <c r="B4" s="10" t="s">
        <v>29</v>
      </c>
      <c r="C4" s="11"/>
      <c r="D4" s="11"/>
      <c r="E4" s="12"/>
      <c r="F4" s="11"/>
      <c r="G4" s="11"/>
      <c r="H4" s="11"/>
      <c r="I4" s="11"/>
      <c r="J4" s="11"/>
      <c r="K4" s="11"/>
      <c r="L4" s="34"/>
      <c r="M4" s="32"/>
      <c r="N4" s="11"/>
      <c r="O4" s="33"/>
    </row>
    <row r="5" s="1" customFormat="1" customHeight="1" spans="1:18">
      <c r="A5" s="14">
        <v>1</v>
      </c>
      <c r="B5" s="15" t="str">
        <f>[1]单项工程费用汇总表!B5</f>
        <v>伊河湾项目-10号楼-主体+二次结构</v>
      </c>
      <c r="C5" s="16">
        <f>[1]单项工程费用汇总表!C5</f>
        <v>2386437.08</v>
      </c>
      <c r="D5" s="16">
        <v>2350109.81</v>
      </c>
      <c r="E5" s="16">
        <f t="shared" ref="E5:E14" si="0">D5</f>
        <v>2350109.81</v>
      </c>
      <c r="F5" s="16">
        <v>1</v>
      </c>
      <c r="G5" s="16">
        <v>-29061.816</v>
      </c>
      <c r="H5" s="16">
        <v>1909149.66</v>
      </c>
      <c r="I5" s="16">
        <f t="shared" ref="I5:I8" si="1">H5</f>
        <v>1909149.66</v>
      </c>
      <c r="J5" s="16">
        <f t="shared" ref="J5:J8" si="2">G5</f>
        <v>-29061.816</v>
      </c>
      <c r="K5" s="35">
        <v>0.8</v>
      </c>
      <c r="L5" s="36">
        <f t="shared" ref="L5:L8" si="3">J5</f>
        <v>-29061.816</v>
      </c>
      <c r="M5" s="16">
        <f>1909149.66+G5</f>
        <v>1880087.844</v>
      </c>
      <c r="N5" s="35">
        <f t="shared" ref="N5:N14" si="4">M5/D5</f>
        <v>0.799999998297952</v>
      </c>
      <c r="O5" s="37"/>
      <c r="P5" s="1">
        <v>2350109.81</v>
      </c>
      <c r="Q5" s="1">
        <f t="shared" ref="Q5:Q13" si="5">P5-C5</f>
        <v>-36327.27</v>
      </c>
      <c r="R5" s="5">
        <f>Q5*0.8</f>
        <v>-29061.816</v>
      </c>
    </row>
    <row r="6" s="1" customFormat="1" customHeight="1" spans="1:18">
      <c r="A6" s="14">
        <v>2</v>
      </c>
      <c r="B6" s="15" t="str">
        <f>[1]单项工程费用汇总表!B6</f>
        <v>伊河湾项目-10号楼-内外粉刷+屋面</v>
      </c>
      <c r="C6" s="16">
        <f>[1]单项工程费用汇总表!C6</f>
        <v>92503.35</v>
      </c>
      <c r="D6" s="16">
        <v>92503.35</v>
      </c>
      <c r="E6" s="16">
        <f t="shared" si="0"/>
        <v>92503.35</v>
      </c>
      <c r="F6" s="16">
        <v>1</v>
      </c>
      <c r="G6" s="16">
        <v>0</v>
      </c>
      <c r="H6" s="16">
        <v>74002.68</v>
      </c>
      <c r="I6" s="16">
        <f t="shared" si="1"/>
        <v>74002.68</v>
      </c>
      <c r="J6" s="16">
        <f t="shared" si="2"/>
        <v>0</v>
      </c>
      <c r="K6" s="35">
        <v>0.8</v>
      </c>
      <c r="L6" s="36">
        <f t="shared" si="3"/>
        <v>0</v>
      </c>
      <c r="M6" s="16">
        <f>74002.68+G6</f>
        <v>74002.68</v>
      </c>
      <c r="N6" s="35">
        <f t="shared" si="4"/>
        <v>0.8</v>
      </c>
      <c r="O6" s="37"/>
      <c r="P6" s="1">
        <v>92503.35</v>
      </c>
      <c r="Q6" s="1">
        <f t="shared" si="5"/>
        <v>0</v>
      </c>
      <c r="R6" s="5">
        <f t="shared" ref="R6:R23" si="6">Q6*0.8</f>
        <v>0</v>
      </c>
    </row>
    <row r="7" s="1" customFormat="1" customHeight="1" spans="1:18">
      <c r="A7" s="14">
        <v>3</v>
      </c>
      <c r="B7" s="15" t="str">
        <f>[1]单项工程费用汇总表!B7</f>
        <v>伊河湾项目-10号楼-其他部分</v>
      </c>
      <c r="C7" s="16">
        <f>[1]单项工程费用汇总表!C7</f>
        <v>5953.66</v>
      </c>
      <c r="D7" s="16">
        <v>0</v>
      </c>
      <c r="E7" s="16">
        <f t="shared" si="0"/>
        <v>0</v>
      </c>
      <c r="F7" s="16">
        <v>1</v>
      </c>
      <c r="G7" s="16">
        <v>-4762.928</v>
      </c>
      <c r="H7" s="16">
        <v>4762.93</v>
      </c>
      <c r="I7" s="16">
        <f t="shared" si="1"/>
        <v>4762.93</v>
      </c>
      <c r="J7" s="16">
        <f t="shared" si="2"/>
        <v>-4762.928</v>
      </c>
      <c r="K7" s="35">
        <v>0.8</v>
      </c>
      <c r="L7" s="36">
        <f t="shared" si="3"/>
        <v>-4762.928</v>
      </c>
      <c r="M7" s="16">
        <f>4762.93+G7</f>
        <v>0.00200000000040745</v>
      </c>
      <c r="N7" s="35" t="e">
        <f t="shared" si="4"/>
        <v>#DIV/0!</v>
      </c>
      <c r="O7" s="37"/>
      <c r="Q7" s="1">
        <f t="shared" si="5"/>
        <v>-5953.66</v>
      </c>
      <c r="R7" s="5">
        <f t="shared" si="6"/>
        <v>-4762.928</v>
      </c>
    </row>
    <row r="8" s="1" customFormat="1" customHeight="1" spans="1:18">
      <c r="A8" s="14">
        <v>4</v>
      </c>
      <c r="B8" s="15" t="str">
        <f>[1]单项工程费用汇总表!B8</f>
        <v>伊河湾项目-10号楼-变更签证</v>
      </c>
      <c r="C8" s="16">
        <f>[1]单项工程费用汇总表!C8</f>
        <v>65957.79</v>
      </c>
      <c r="D8" s="16">
        <v>65193.76</v>
      </c>
      <c r="E8" s="16">
        <f t="shared" si="0"/>
        <v>65193.76</v>
      </c>
      <c r="F8" s="16">
        <v>1</v>
      </c>
      <c r="G8" s="16">
        <v>-611.223999999993</v>
      </c>
      <c r="H8" s="16">
        <v>52766.23</v>
      </c>
      <c r="I8" s="16">
        <f t="shared" si="1"/>
        <v>52766.23</v>
      </c>
      <c r="J8" s="16">
        <f t="shared" si="2"/>
        <v>-611.223999999993</v>
      </c>
      <c r="K8" s="35">
        <v>0.8</v>
      </c>
      <c r="L8" s="36">
        <f t="shared" si="3"/>
        <v>-611.223999999993</v>
      </c>
      <c r="M8" s="16">
        <f>52766.23+G8</f>
        <v>52155.006</v>
      </c>
      <c r="N8" s="35">
        <f t="shared" si="4"/>
        <v>0.799999969322217</v>
      </c>
      <c r="O8" s="37"/>
      <c r="P8" s="1">
        <v>65193.76</v>
      </c>
      <c r="Q8" s="1">
        <f t="shared" si="5"/>
        <v>-764.029999999992</v>
      </c>
      <c r="R8" s="5">
        <f t="shared" si="6"/>
        <v>-611.223999999993</v>
      </c>
    </row>
    <row r="9" s="1" customFormat="1" customHeight="1" spans="1:18">
      <c r="A9" s="14"/>
      <c r="B9" s="17" t="s">
        <v>30</v>
      </c>
      <c r="C9" s="16"/>
      <c r="D9" s="16"/>
      <c r="E9" s="16"/>
      <c r="F9" s="16"/>
      <c r="G9" s="16"/>
      <c r="H9" s="16"/>
      <c r="I9" s="16"/>
      <c r="J9" s="16"/>
      <c r="K9" s="35"/>
      <c r="L9" s="36"/>
      <c r="M9" s="16"/>
      <c r="N9" s="35"/>
      <c r="O9" s="37"/>
      <c r="R9" s="5">
        <f t="shared" si="6"/>
        <v>0</v>
      </c>
    </row>
    <row r="10" s="1" customFormat="1" customHeight="1" spans="1:18">
      <c r="A10" s="14">
        <v>5</v>
      </c>
      <c r="B10" s="15" t="s">
        <v>31</v>
      </c>
      <c r="C10" s="16">
        <v>3307157.97</v>
      </c>
      <c r="D10" s="16">
        <v>3311940.54</v>
      </c>
      <c r="E10" s="16">
        <f t="shared" si="0"/>
        <v>3311940.54</v>
      </c>
      <c r="F10" s="16">
        <v>1</v>
      </c>
      <c r="G10" s="16">
        <v>3826.05599999987</v>
      </c>
      <c r="H10" s="16">
        <v>2645726.38</v>
      </c>
      <c r="I10" s="16">
        <f t="shared" ref="I10:I13" si="7">H10</f>
        <v>2645726.38</v>
      </c>
      <c r="J10" s="16">
        <f t="shared" ref="J10:J13" si="8">G10</f>
        <v>3826.05599999987</v>
      </c>
      <c r="K10" s="35">
        <v>0.8</v>
      </c>
      <c r="L10" s="36">
        <f t="shared" ref="L10:L14" si="9">J10</f>
        <v>3826.05599999987</v>
      </c>
      <c r="M10" s="16">
        <f>2645726.38+G10</f>
        <v>2649552.436</v>
      </c>
      <c r="N10" s="35">
        <f t="shared" si="4"/>
        <v>0.800000001207751</v>
      </c>
      <c r="O10" s="37"/>
      <c r="P10" s="1">
        <v>3311940.54</v>
      </c>
      <c r="Q10" s="1">
        <f t="shared" si="5"/>
        <v>4782.56999999983</v>
      </c>
      <c r="R10" s="5">
        <f t="shared" si="6"/>
        <v>3826.05599999987</v>
      </c>
    </row>
    <row r="11" s="1" customFormat="1" customHeight="1" spans="1:18">
      <c r="A11" s="14">
        <v>6</v>
      </c>
      <c r="B11" s="15" t="s">
        <v>32</v>
      </c>
      <c r="C11" s="16">
        <v>2663429.86</v>
      </c>
      <c r="D11" s="16">
        <v>2672315.42</v>
      </c>
      <c r="E11" s="16">
        <f t="shared" si="0"/>
        <v>2672315.42</v>
      </c>
      <c r="F11" s="16">
        <v>1</v>
      </c>
      <c r="G11" s="16">
        <v>7108.44800000004</v>
      </c>
      <c r="H11" s="16">
        <v>2130743.89</v>
      </c>
      <c r="I11" s="16">
        <f t="shared" si="7"/>
        <v>2130743.89</v>
      </c>
      <c r="J11" s="16">
        <f t="shared" si="8"/>
        <v>7108.44800000004</v>
      </c>
      <c r="K11" s="35">
        <v>0.8</v>
      </c>
      <c r="L11" s="36">
        <f t="shared" si="9"/>
        <v>7108.44800000004</v>
      </c>
      <c r="M11" s="16">
        <f>2130743.89+G11</f>
        <v>2137852.338</v>
      </c>
      <c r="N11" s="35">
        <f t="shared" si="4"/>
        <v>0.800000000748415</v>
      </c>
      <c r="O11" s="37"/>
      <c r="P11" s="1">
        <v>2672315.42</v>
      </c>
      <c r="Q11" s="1">
        <f t="shared" si="5"/>
        <v>8885.56000000006</v>
      </c>
      <c r="R11" s="5">
        <f t="shared" si="6"/>
        <v>7108.44800000004</v>
      </c>
    </row>
    <row r="12" s="1" customFormat="1" customHeight="1" spans="1:18">
      <c r="A12" s="14">
        <v>7</v>
      </c>
      <c r="B12" s="15" t="s">
        <v>33</v>
      </c>
      <c r="C12" s="16">
        <v>5648869.88</v>
      </c>
      <c r="D12" s="16">
        <v>5668778.54</v>
      </c>
      <c r="E12" s="16">
        <f t="shared" si="0"/>
        <v>5668778.54</v>
      </c>
      <c r="F12" s="16">
        <v>1</v>
      </c>
      <c r="G12" s="16">
        <v>15926.9280000001</v>
      </c>
      <c r="H12" s="16">
        <v>4519095.9</v>
      </c>
      <c r="I12" s="16">
        <f t="shared" si="7"/>
        <v>4519095.9</v>
      </c>
      <c r="J12" s="16">
        <f t="shared" si="8"/>
        <v>15926.9280000001</v>
      </c>
      <c r="K12" s="35">
        <v>0.8</v>
      </c>
      <c r="L12" s="36">
        <f t="shared" si="9"/>
        <v>15926.9280000001</v>
      </c>
      <c r="M12" s="16">
        <f>4519095.9+G12</f>
        <v>4535022.828</v>
      </c>
      <c r="N12" s="35">
        <f t="shared" si="4"/>
        <v>0.799999999294381</v>
      </c>
      <c r="O12" s="37"/>
      <c r="P12" s="1">
        <v>5668778.54</v>
      </c>
      <c r="Q12" s="1">
        <f t="shared" si="5"/>
        <v>19908.6600000001</v>
      </c>
      <c r="R12" s="5">
        <f t="shared" si="6"/>
        <v>15926.9280000001</v>
      </c>
    </row>
    <row r="13" s="1" customFormat="1" customHeight="1" spans="1:18">
      <c r="A13" s="14">
        <v>8</v>
      </c>
      <c r="B13" s="15" t="s">
        <v>34</v>
      </c>
      <c r="C13" s="16">
        <v>5726454.8</v>
      </c>
      <c r="D13" s="16">
        <v>5746353.82</v>
      </c>
      <c r="E13" s="16">
        <f t="shared" si="0"/>
        <v>5746353.82</v>
      </c>
      <c r="F13" s="16">
        <v>1</v>
      </c>
      <c r="G13" s="16">
        <v>15919.2160000004</v>
      </c>
      <c r="H13" s="16">
        <v>4581163.84</v>
      </c>
      <c r="I13" s="16">
        <f t="shared" si="7"/>
        <v>4581163.84</v>
      </c>
      <c r="J13" s="16">
        <f t="shared" si="8"/>
        <v>15919.2160000004</v>
      </c>
      <c r="K13" s="35">
        <v>0.8</v>
      </c>
      <c r="L13" s="36">
        <f t="shared" si="9"/>
        <v>15919.2160000004</v>
      </c>
      <c r="M13" s="16">
        <f>4581163.84+G13</f>
        <v>4597083.056</v>
      </c>
      <c r="N13" s="35">
        <f t="shared" si="4"/>
        <v>0.8</v>
      </c>
      <c r="O13" s="37"/>
      <c r="P13" s="1">
        <v>5746353.82</v>
      </c>
      <c r="Q13" s="1">
        <f t="shared" si="5"/>
        <v>19899.0200000005</v>
      </c>
      <c r="R13" s="5">
        <f t="shared" si="6"/>
        <v>15919.2160000004</v>
      </c>
    </row>
    <row r="14" s="1" customFormat="1" customHeight="1" spans="1:18">
      <c r="A14" s="14">
        <v>9</v>
      </c>
      <c r="B14" s="15" t="s">
        <v>35</v>
      </c>
      <c r="C14" s="16">
        <v>2520509.32</v>
      </c>
      <c r="D14" s="16">
        <v>2520509.32</v>
      </c>
      <c r="E14" s="16">
        <f t="shared" si="0"/>
        <v>2520509.32</v>
      </c>
      <c r="F14" s="16">
        <v>1</v>
      </c>
      <c r="G14" s="16">
        <f>E14*0.8</f>
        <v>2016407.456</v>
      </c>
      <c r="H14" s="16">
        <f>G14</f>
        <v>2016407.456</v>
      </c>
      <c r="I14" s="16">
        <v>0</v>
      </c>
      <c r="J14" s="16">
        <f>H14</f>
        <v>2016407.456</v>
      </c>
      <c r="K14" s="35">
        <v>0.8</v>
      </c>
      <c r="L14" s="36">
        <f t="shared" si="9"/>
        <v>2016407.456</v>
      </c>
      <c r="M14" s="36">
        <f>H14</f>
        <v>2016407.456</v>
      </c>
      <c r="N14" s="35">
        <f t="shared" si="4"/>
        <v>0.8</v>
      </c>
      <c r="O14" s="37"/>
      <c r="R14" s="5">
        <f t="shared" si="6"/>
        <v>0</v>
      </c>
    </row>
    <row r="15" s="1" customFormat="1" customHeight="1" spans="1:18">
      <c r="A15" s="14"/>
      <c r="B15" s="17" t="s">
        <v>36</v>
      </c>
      <c r="C15" s="16"/>
      <c r="D15" s="16"/>
      <c r="E15" s="16"/>
      <c r="F15" s="16"/>
      <c r="G15" s="16"/>
      <c r="H15" s="16"/>
      <c r="I15" s="16"/>
      <c r="J15" s="16"/>
      <c r="K15" s="35"/>
      <c r="L15" s="36"/>
      <c r="M15" s="36"/>
      <c r="N15" s="35"/>
      <c r="O15" s="37"/>
      <c r="R15" s="5">
        <f t="shared" si="6"/>
        <v>0</v>
      </c>
    </row>
    <row r="16" s="1" customFormat="1" customHeight="1" spans="1:18">
      <c r="A16" s="14">
        <v>10</v>
      </c>
      <c r="B16" s="15" t="s">
        <v>37</v>
      </c>
      <c r="C16" s="16">
        <v>1340880.4</v>
      </c>
      <c r="D16" s="16">
        <v>1344369.3</v>
      </c>
      <c r="E16" s="16">
        <f t="shared" ref="E16:E18" si="10">D16</f>
        <v>1344369.3</v>
      </c>
      <c r="F16" s="16">
        <v>1</v>
      </c>
      <c r="G16" s="16">
        <v>2791.12000000011</v>
      </c>
      <c r="H16" s="16">
        <v>1072704.32</v>
      </c>
      <c r="I16" s="16">
        <f t="shared" ref="I16:I18" si="11">H16</f>
        <v>1072704.32</v>
      </c>
      <c r="J16" s="16">
        <f t="shared" ref="J16:J18" si="12">G16</f>
        <v>2791.12000000011</v>
      </c>
      <c r="K16" s="35">
        <v>0.8</v>
      </c>
      <c r="L16" s="16">
        <f t="shared" ref="L16:L18" si="13">J16</f>
        <v>2791.12000000011</v>
      </c>
      <c r="M16" s="16">
        <f>1072704.32+G16</f>
        <v>1075495.44</v>
      </c>
      <c r="N16" s="35">
        <f t="shared" ref="N16:N18" si="14">M16/D16</f>
        <v>0.8</v>
      </c>
      <c r="O16" s="37"/>
      <c r="P16" s="1">
        <v>1344369.3</v>
      </c>
      <c r="Q16" s="1">
        <f t="shared" ref="Q16:Q18" si="15">P16-C16</f>
        <v>3488.90000000014</v>
      </c>
      <c r="R16" s="5">
        <f t="shared" si="6"/>
        <v>2791.12000000011</v>
      </c>
    </row>
    <row r="17" s="1" customFormat="1" customHeight="1" spans="1:18">
      <c r="A17" s="14">
        <v>11</v>
      </c>
      <c r="B17" s="15" t="s">
        <v>38</v>
      </c>
      <c r="C17" s="16">
        <v>1564074.23</v>
      </c>
      <c r="D17" s="16">
        <v>1571537.38</v>
      </c>
      <c r="E17" s="16">
        <f t="shared" si="10"/>
        <v>1571537.38</v>
      </c>
      <c r="F17" s="16">
        <v>1</v>
      </c>
      <c r="G17" s="16">
        <v>5970.51999999993</v>
      </c>
      <c r="H17" s="16">
        <v>1251259.38</v>
      </c>
      <c r="I17" s="16">
        <f t="shared" si="11"/>
        <v>1251259.38</v>
      </c>
      <c r="J17" s="16">
        <f t="shared" si="12"/>
        <v>5970.51999999993</v>
      </c>
      <c r="K17" s="35">
        <v>0.8</v>
      </c>
      <c r="L17" s="16">
        <f t="shared" si="13"/>
        <v>5970.51999999993</v>
      </c>
      <c r="M17" s="16">
        <f>1251259.38+G17</f>
        <v>1257229.9</v>
      </c>
      <c r="N17" s="35">
        <f t="shared" si="14"/>
        <v>0.799999997454722</v>
      </c>
      <c r="O17" s="37"/>
      <c r="P17" s="1">
        <v>1571537.38</v>
      </c>
      <c r="Q17" s="1">
        <f t="shared" si="15"/>
        <v>7463.14999999991</v>
      </c>
      <c r="R17" s="5">
        <f t="shared" si="6"/>
        <v>5970.51999999993</v>
      </c>
    </row>
    <row r="18" s="1" customFormat="1" customHeight="1" spans="1:18">
      <c r="A18" s="14">
        <v>12</v>
      </c>
      <c r="B18" s="15" t="s">
        <v>39</v>
      </c>
      <c r="C18" s="16">
        <v>2832547.26</v>
      </c>
      <c r="D18" s="16">
        <v>2848988.33</v>
      </c>
      <c r="E18" s="16">
        <f t="shared" si="10"/>
        <v>2848988.33</v>
      </c>
      <c r="F18" s="16">
        <v>1</v>
      </c>
      <c r="G18" s="16">
        <v>13152.8560000002</v>
      </c>
      <c r="H18" s="16">
        <v>2266037.81</v>
      </c>
      <c r="I18" s="16">
        <f t="shared" si="11"/>
        <v>2266037.81</v>
      </c>
      <c r="J18" s="16">
        <f t="shared" si="12"/>
        <v>13152.8560000002</v>
      </c>
      <c r="K18" s="35">
        <v>0.8</v>
      </c>
      <c r="L18" s="16">
        <f t="shared" si="13"/>
        <v>13152.8560000002</v>
      </c>
      <c r="M18" s="16">
        <f>2266037.81+G18</f>
        <v>2279190.666</v>
      </c>
      <c r="N18" s="35">
        <f t="shared" si="14"/>
        <v>0.800000000702004</v>
      </c>
      <c r="O18" s="37"/>
      <c r="P18" s="1">
        <v>2848988.33</v>
      </c>
      <c r="Q18" s="1">
        <f t="shared" si="15"/>
        <v>16441.0700000003</v>
      </c>
      <c r="R18" s="5">
        <f t="shared" si="6"/>
        <v>13152.8560000002</v>
      </c>
    </row>
    <row r="19" s="1" customFormat="1" customHeight="1" spans="1:18">
      <c r="A19" s="14"/>
      <c r="B19" s="17" t="s">
        <v>40</v>
      </c>
      <c r="C19" s="16"/>
      <c r="D19" s="16"/>
      <c r="E19" s="16"/>
      <c r="F19" s="16"/>
      <c r="G19" s="16"/>
      <c r="H19" s="16"/>
      <c r="I19" s="16"/>
      <c r="J19" s="16"/>
      <c r="K19" s="35"/>
      <c r="L19" s="16"/>
      <c r="M19" s="16"/>
      <c r="N19" s="35"/>
      <c r="O19" s="37"/>
      <c r="R19" s="5">
        <f t="shared" si="6"/>
        <v>0</v>
      </c>
    </row>
    <row r="20" s="1" customFormat="1" customHeight="1" spans="1:18">
      <c r="A20" s="14">
        <v>13</v>
      </c>
      <c r="B20" s="15" t="s">
        <v>41</v>
      </c>
      <c r="C20" s="16">
        <v>1530212.09</v>
      </c>
      <c r="D20" s="16">
        <v>1530212.09</v>
      </c>
      <c r="E20" s="16">
        <f t="shared" ref="E20:E23" si="16">D20</f>
        <v>1530212.09</v>
      </c>
      <c r="F20" s="16">
        <v>1</v>
      </c>
      <c r="G20" s="16">
        <f>E20*0.8</f>
        <v>1224169.672</v>
      </c>
      <c r="H20" s="16">
        <f>G20</f>
        <v>1224169.672</v>
      </c>
      <c r="I20" s="16">
        <v>0</v>
      </c>
      <c r="J20" s="16">
        <f>H20</f>
        <v>1224169.672</v>
      </c>
      <c r="K20" s="35">
        <v>0.8</v>
      </c>
      <c r="L20" s="36">
        <f>J20</f>
        <v>1224169.672</v>
      </c>
      <c r="M20" s="36">
        <f>H20</f>
        <v>1224169.672</v>
      </c>
      <c r="N20" s="35">
        <f t="shared" ref="N20:N23" si="17">M20/D20</f>
        <v>0.8</v>
      </c>
      <c r="O20" s="37"/>
      <c r="R20" s="5">
        <f t="shared" si="6"/>
        <v>0</v>
      </c>
    </row>
    <row r="21" s="1" customFormat="1" customHeight="1" spans="1:18">
      <c r="A21" s="14">
        <v>14</v>
      </c>
      <c r="B21" s="15" t="s">
        <v>42</v>
      </c>
      <c r="C21" s="16">
        <v>1472959.96</v>
      </c>
      <c r="D21" s="16">
        <v>1472959.96</v>
      </c>
      <c r="E21" s="16">
        <f t="shared" si="16"/>
        <v>1472959.96</v>
      </c>
      <c r="F21" s="16">
        <v>1</v>
      </c>
      <c r="G21" s="16">
        <f>E21*0.8</f>
        <v>1178367.968</v>
      </c>
      <c r="H21" s="16">
        <f>G21</f>
        <v>1178367.968</v>
      </c>
      <c r="I21" s="16">
        <v>0</v>
      </c>
      <c r="J21" s="16">
        <f>H21</f>
        <v>1178367.968</v>
      </c>
      <c r="K21" s="35">
        <v>0.8</v>
      </c>
      <c r="L21" s="36">
        <f>J21</f>
        <v>1178367.968</v>
      </c>
      <c r="M21" s="36">
        <f>H21</f>
        <v>1178367.968</v>
      </c>
      <c r="N21" s="35">
        <f t="shared" si="17"/>
        <v>0.8</v>
      </c>
      <c r="O21" s="37"/>
      <c r="R21" s="5">
        <f t="shared" si="6"/>
        <v>0</v>
      </c>
    </row>
    <row r="22" s="1" customFormat="1" customHeight="1" spans="1:18">
      <c r="A22" s="14"/>
      <c r="B22" s="17" t="s">
        <v>43</v>
      </c>
      <c r="C22" s="16"/>
      <c r="D22" s="16"/>
      <c r="E22" s="16"/>
      <c r="F22" s="16"/>
      <c r="G22" s="16"/>
      <c r="H22" s="16"/>
      <c r="I22" s="16"/>
      <c r="J22" s="16"/>
      <c r="K22" s="35"/>
      <c r="L22" s="16"/>
      <c r="M22" s="16"/>
      <c r="N22" s="35"/>
      <c r="R22" s="5">
        <f t="shared" si="6"/>
        <v>0</v>
      </c>
    </row>
    <row r="23" s="1" customFormat="1" ht="46" customHeight="1" spans="1:18">
      <c r="A23" s="14">
        <v>15</v>
      </c>
      <c r="B23" s="15" t="s">
        <v>44</v>
      </c>
      <c r="C23" s="16">
        <f>3000*G32</f>
        <v>3907808.39358636</v>
      </c>
      <c r="D23" s="16">
        <v>3915990</v>
      </c>
      <c r="E23" s="16">
        <f t="shared" si="16"/>
        <v>3915990</v>
      </c>
      <c r="F23" s="16">
        <v>1</v>
      </c>
      <c r="G23" s="16">
        <v>6545.28513091505</v>
      </c>
      <c r="H23" s="16">
        <v>3126246.71486909</v>
      </c>
      <c r="I23" s="16">
        <f>H23</f>
        <v>3126246.71486909</v>
      </c>
      <c r="J23" s="16">
        <f>G23</f>
        <v>6545.28513091505</v>
      </c>
      <c r="K23" s="35">
        <v>0.8</v>
      </c>
      <c r="L23" s="16">
        <f>J23</f>
        <v>6545.28513091505</v>
      </c>
      <c r="M23" s="16">
        <f>H23+G23</f>
        <v>3132792.00000001</v>
      </c>
      <c r="N23" s="35">
        <f t="shared" si="17"/>
        <v>0.800000000000001</v>
      </c>
      <c r="P23" s="1">
        <f>1305.33*3000</f>
        <v>3915990</v>
      </c>
      <c r="Q23" s="1">
        <f>P23-C23</f>
        <v>8181.60641364381</v>
      </c>
      <c r="R23" s="5">
        <f t="shared" si="6"/>
        <v>6545.28513091505</v>
      </c>
    </row>
    <row r="24" s="1" customFormat="1" customHeight="1" spans="1:17">
      <c r="A24" s="14"/>
      <c r="B24" s="15"/>
      <c r="C24" s="16"/>
      <c r="D24" s="16"/>
      <c r="E24" s="16"/>
      <c r="F24" s="16"/>
      <c r="G24" s="16"/>
      <c r="H24" s="16"/>
      <c r="I24" s="16"/>
      <c r="J24" s="16"/>
      <c r="K24" s="35"/>
      <c r="L24" s="16"/>
      <c r="M24" s="16"/>
      <c r="N24" s="35"/>
      <c r="Q24" s="1">
        <f>SUM(Q5:Q23)</f>
        <v>46005.5764136447</v>
      </c>
    </row>
    <row r="25" s="1" customFormat="1" customHeight="1" spans="1:15">
      <c r="A25" s="14"/>
      <c r="B25" s="15"/>
      <c r="C25" s="16">
        <f>SUM(C5:C24)</f>
        <v>35065756.0435864</v>
      </c>
      <c r="D25" s="16">
        <f>SUM(D4:D24)</f>
        <v>35111761.62</v>
      </c>
      <c r="E25" s="16"/>
      <c r="F25" s="16"/>
      <c r="G25" s="16"/>
      <c r="H25" s="16"/>
      <c r="I25" s="16"/>
      <c r="J25" s="16"/>
      <c r="K25" s="35"/>
      <c r="L25" s="16"/>
      <c r="M25" s="16"/>
      <c r="N25" s="35"/>
      <c r="O25" s="22"/>
    </row>
    <row r="26" s="1" customFormat="1" customHeight="1" spans="1:16">
      <c r="A26" s="14"/>
      <c r="B26" s="18" t="s">
        <v>45</v>
      </c>
      <c r="C26" s="19"/>
      <c r="D26" s="19"/>
      <c r="E26" s="19"/>
      <c r="F26" s="19"/>
      <c r="G26" s="16">
        <f>SUM(G5:G25)</f>
        <v>4455749.55713092</v>
      </c>
      <c r="H26" s="16">
        <f>SUM(H5:H25)</f>
        <v>28052604.8308691</v>
      </c>
      <c r="I26" s="16">
        <f>SUM(I5:I25)</f>
        <v>23633659.7348691</v>
      </c>
      <c r="J26" s="38"/>
      <c r="K26" s="38"/>
      <c r="L26" s="16">
        <f>SUM(L5:L25)</f>
        <v>4455749.55713092</v>
      </c>
      <c r="M26" s="16">
        <f>SUM(M5:M25)</f>
        <v>28089409.292</v>
      </c>
      <c r="N26" s="16"/>
      <c r="O26" s="39"/>
      <c r="P26" s="40">
        <f>L26</f>
        <v>4455749.55713092</v>
      </c>
    </row>
    <row r="27" s="1" customFormat="1" customHeight="1" spans="1:16">
      <c r="A27" s="20" t="s">
        <v>46</v>
      </c>
      <c r="B27" s="20"/>
      <c r="C27" s="20"/>
      <c r="D27" s="20"/>
      <c r="E27" s="20"/>
      <c r="F27" s="20"/>
      <c r="G27" s="20"/>
      <c r="H27" s="20" t="s">
        <v>47</v>
      </c>
      <c r="I27" s="20"/>
      <c r="J27" s="20"/>
      <c r="K27" s="20"/>
      <c r="L27" s="20"/>
      <c r="M27" s="20"/>
      <c r="N27" s="20"/>
      <c r="O27" s="39"/>
      <c r="P27" s="40"/>
    </row>
    <row r="28" s="1" customFormat="1" customHeight="1" spans="1:15">
      <c r="A28" s="2"/>
      <c r="B28" s="3"/>
      <c r="C28" s="4"/>
      <c r="D28" s="4"/>
      <c r="E28" s="4"/>
      <c r="F28" s="4"/>
      <c r="G28" s="21"/>
      <c r="H28" s="21"/>
      <c r="I28" s="41" t="s">
        <v>48</v>
      </c>
      <c r="J28" s="21"/>
      <c r="K28" s="21"/>
      <c r="L28" s="21"/>
      <c r="M28" s="42">
        <f>M26/D25</f>
        <v>0.799999999886078</v>
      </c>
      <c r="N28" s="39"/>
      <c r="O28" s="39"/>
    </row>
    <row r="29" customHeight="1" spans="11:12">
      <c r="K29" s="43" t="s">
        <v>49</v>
      </c>
      <c r="L29" s="43">
        <f>L26/1.09</f>
        <v>4087843.63039534</v>
      </c>
    </row>
    <row r="30" customHeight="1" spans="11:12">
      <c r="K30" s="43" t="s">
        <v>50</v>
      </c>
      <c r="L30" s="43">
        <f>L26-L29</f>
        <v>367905.92673558</v>
      </c>
    </row>
    <row r="31" hidden="1" customHeight="1" spans="3:7">
      <c r="C31" s="22" t="s">
        <v>43</v>
      </c>
      <c r="D31" s="22"/>
      <c r="E31" s="23" t="s">
        <v>51</v>
      </c>
      <c r="F31" s="24" t="s">
        <v>52</v>
      </c>
      <c r="G31" s="1" t="s">
        <v>53</v>
      </c>
    </row>
    <row r="32" hidden="1" customHeight="1" spans="3:14">
      <c r="C32" s="22" t="s">
        <v>44</v>
      </c>
      <c r="D32" s="22"/>
      <c r="E32" s="25">
        <v>21690941.79</v>
      </c>
      <c r="F32" s="26">
        <v>16652</v>
      </c>
      <c r="G32" s="27">
        <f t="shared" ref="G32:G36" si="18">E32/F32</f>
        <v>1302.60279786212</v>
      </c>
      <c r="H32" s="27"/>
      <c r="I32" s="26"/>
      <c r="J32" s="27"/>
      <c r="K32" s="44"/>
      <c r="N32" s="45"/>
    </row>
    <row r="33" hidden="1" customHeight="1" spans="3:14">
      <c r="C33" s="22" t="s">
        <v>54</v>
      </c>
      <c r="D33" s="22"/>
      <c r="E33" s="28">
        <v>12057700.6</v>
      </c>
      <c r="F33" s="26">
        <v>5835.26</v>
      </c>
      <c r="G33" s="27">
        <f t="shared" si="18"/>
        <v>2066.35190205749</v>
      </c>
      <c r="H33" s="27"/>
      <c r="I33" s="26"/>
      <c r="J33" s="27"/>
      <c r="K33" s="44"/>
      <c r="M33" s="46"/>
      <c r="N33" s="47"/>
    </row>
    <row r="34" hidden="1" customHeight="1" spans="3:14">
      <c r="C34" s="22" t="s">
        <v>55</v>
      </c>
      <c r="D34" s="22"/>
      <c r="E34" s="28">
        <v>4448566.99</v>
      </c>
      <c r="F34" s="26">
        <v>16652</v>
      </c>
      <c r="G34" s="27">
        <f t="shared" si="18"/>
        <v>267.149110617343</v>
      </c>
      <c r="H34" s="27"/>
      <c r="I34" s="26"/>
      <c r="J34" s="27"/>
      <c r="K34" s="44"/>
      <c r="M34" s="46"/>
      <c r="N34" s="47"/>
    </row>
    <row r="35" hidden="1" customHeight="1" spans="3:14">
      <c r="C35" s="22" t="s">
        <v>56</v>
      </c>
      <c r="D35" s="22"/>
      <c r="E35" s="28">
        <v>1358349.67</v>
      </c>
      <c r="F35" s="26">
        <v>5835.26</v>
      </c>
      <c r="G35" s="27">
        <f t="shared" si="18"/>
        <v>232.783058509818</v>
      </c>
      <c r="H35" s="27"/>
      <c r="I35" s="26"/>
      <c r="J35" s="27"/>
      <c r="K35" s="44"/>
      <c r="M35" s="46"/>
      <c r="N35" s="47"/>
    </row>
    <row r="36" hidden="1" customHeight="1" spans="5:14">
      <c r="E36" s="29">
        <f>SUM(E32:E35)</f>
        <v>39555559.05</v>
      </c>
      <c r="F36" s="30">
        <f>SUM(F34:F35)</f>
        <v>22487.26</v>
      </c>
      <c r="G36" s="27">
        <f t="shared" si="18"/>
        <v>1759.02084335753</v>
      </c>
      <c r="H36" s="27"/>
      <c r="K36" s="44"/>
      <c r="M36" s="46"/>
      <c r="N36" s="47"/>
    </row>
    <row r="37" customHeight="1" spans="11:14">
      <c r="K37" s="44"/>
      <c r="M37" s="46"/>
      <c r="N37" s="47"/>
    </row>
    <row r="38" customHeight="1" spans="11:14">
      <c r="K38" s="44"/>
      <c r="M38" s="46"/>
      <c r="N38" s="47"/>
    </row>
  </sheetData>
  <mergeCells count="13">
    <mergeCell ref="A1:N1"/>
    <mergeCell ref="G2:I2"/>
    <mergeCell ref="J2:L2"/>
    <mergeCell ref="M2:N2"/>
    <mergeCell ref="B26:F26"/>
    <mergeCell ref="A27:G27"/>
    <mergeCell ref="H27:N27"/>
    <mergeCell ref="A2:A3"/>
    <mergeCell ref="B2:B3"/>
    <mergeCell ref="C2:C3"/>
    <mergeCell ref="E2:E3"/>
    <mergeCell ref="F2:F3"/>
    <mergeCell ref="K32:K38"/>
  </mergeCells>
  <pageMargins left="0.751388888888889" right="0.751388888888889" top="0.708333333333333" bottom="0.590277777777778" header="0.5" footer="0.196527777777778"/>
  <pageSetup paperSize="9" scale="90" fitToHeight="0" orientation="landscape" horizontalDpi="600"/>
  <headerFooter>
    <oddFooter>&amp;C第 &amp;P 页，共 &amp;N 页</oddFooter>
  </headerFooter>
  <ignoredErrors>
    <ignoredError sqref="N7" evalError="1"/>
    <ignoredError sqref="F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总包第七次进度款 封面</vt:lpstr>
      <vt:lpstr>总包第七次进度款 (数量为金额)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HMJ</cp:lastModifiedBy>
  <dcterms:created xsi:type="dcterms:W3CDTF">2023-06-20T07:37:00Z</dcterms:created>
  <dcterms:modified xsi:type="dcterms:W3CDTF">2024-01-17T08:45:59Z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913A9BF2EA3F4273BFD8085330D938EE_13</vt:lpwstr>
  </property>
  <property fmtid="{D5CDD505-2E9C-101B-9397-08002B2CF9AE}" pid="3" name="KSOProductBuildVer">
    <vt:lpwstr>2052-12.1.0.16120</vt:lpwstr>
  </property>
</Properties>
</file>