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苗木-以实结算" sheetId="85" r:id="rId9"/>
    <sheet name="土建-设计变更项" sheetId="87" r:id="rId10"/>
    <sheet name="安装类-设计变更项" sheetId="90" r:id="rId11"/>
    <sheet name="雨污水系统-以实结算" sheetId="92" r:id="rId12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10" hidden="1">'安装类-设计变更项'!$A$2:$I$106</definedName>
    <definedName name="_xlnm._FilterDatabase" localSheetId="11" hidden="1">'雨污水系统-以实结算'!$A$2:$I$18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'2资料存档目录'!$A$1:$F$26</definedName>
    <definedName name="_xlnm.Print_Area" localSheetId="7">'4结算明细汇总表'!$A$1:$D$38</definedName>
    <definedName name="_xlnm.Print_Titles" localSheetId="7">'4结算明细汇总表'!$1:$2</definedName>
    <definedName name="_xlnm.Print_Area" localSheetId="8">'苗木-以实结算'!$A$1:$P$89</definedName>
    <definedName name="_xlnm.Print_Titles" localSheetId="8">'苗木-以实结算'!$1:$3</definedName>
    <definedName name="_xlnm.Print_Titles" localSheetId="11">'雨污水系统-以实结算'!$1:$4</definedName>
    <definedName name="_xlnm.Print_Titles" localSheetId="10">'安装类-设计变更项'!$1:$4</definedName>
    <definedName name="_xlnm.Print_Area" localSheetId="9">'土建-设计变更项'!$A$1:$I$62</definedName>
    <definedName name="_xlnm.Print_Titles" localSheetId="9">'土建-设计变更项'!$1:$3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<sst xmlns="http://schemas.openxmlformats.org/spreadsheetml/2006/main" count="1912" uniqueCount="900">
  <si>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</si>
  <si>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</si>
  <si>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</si>
  <si>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</si>
  <si>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</si>
  <si>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</si>
  <si>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</si>
  <si>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</si>
  <si>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</si>
  <si>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</si>
  <si>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</si>
  <si>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</si>
  <si>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</si>
  <si>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</si>
  <si>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</si>
  <si>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</si>
  <si>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</si>
  <si>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</si>
  <si>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</si>
  <si>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</si>
  <si>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</si>
  <si>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</si>
  <si>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</si>
  <si>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</si>
  <si>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</si>
  <si>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</si>
  <si>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</si>
  <si>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</si>
  <si>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</si>
  <si>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</si>
  <si>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</si>
  <si>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</si>
  <si>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</si>
  <si>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</si>
  <si>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</si>
  <si>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</si>
  <si>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</si>
  <si>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</si>
  <si>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</si>
  <si>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</si>
  <si>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</si>
  <si>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</si>
  <si>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</si>
  <si>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</si>
  <si>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</si>
  <si>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</si>
  <si>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</si>
  <si>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</si>
  <si>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</si>
  <si>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</si>
  <si>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</si>
  <si>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</si>
  <si>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</si>
  <si>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</si>
  <si>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</si>
  <si>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</si>
  <si>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</si>
  <si>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</si>
  <si>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</si>
  <si>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</si>
  <si>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</si>
  <si>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</si>
  <si>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</si>
  <si>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</si>
  <si>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</si>
  <si>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</si>
  <si>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</si>
  <si>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</si>
  <si>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</si>
  <si>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</si>
  <si>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</si>
  <si>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</si>
  <si>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</si>
  <si>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</si>
  <si>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</si>
  <si>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</si>
  <si>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</si>
  <si>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</si>
  <si>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</si>
  <si>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</si>
  <si>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</si>
  <si>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</si>
  <si>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</si>
  <si>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</si>
  <si>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</si>
  <si>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</si>
  <si>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</si>
  <si>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</si>
  <si>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</si>
  <si>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</si>
  <si>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</si>
  <si>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</si>
  <si>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</si>
  <si>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</si>
  <si>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</si>
  <si>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</si>
  <si>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</si>
  <si>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</si>
  <si>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</si>
  <si>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</si>
  <si>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</si>
  <si>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</si>
  <si>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</si>
  <si>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</si>
  <si>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</si>
  <si>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</si>
  <si>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</si>
  <si>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</si>
  <si>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</si>
  <si>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</si>
  <si>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</si>
  <si>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</si>
  <si>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</si>
  <si>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</si>
  <si>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</si>
  <si>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</si>
  <si>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</si>
  <si>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</si>
  <si>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</si>
  <si>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</si>
  <si>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</si>
  <si>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</si>
  <si>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</si>
  <si>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</si>
  <si>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</si>
  <si>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</si>
  <si>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</si>
  <si>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</si>
  <si>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</si>
  <si>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</si>
  <si>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</si>
  <si>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</si>
  <si>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</si>
  <si>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</si>
  <si>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</si>
  <si>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</si>
  <si>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</si>
  <si>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</si>
  <si>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</si>
  <si>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</si>
  <si>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</si>
  <si>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</si>
  <si>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</si>
  <si>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</si>
  <si>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</si>
  <si>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</si>
  <si>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</si>
  <si>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</si>
  <si>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</si>
  <si>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</si>
  <si>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</si>
  <si>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</si>
  <si>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</si>
  <si>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</si>
  <si>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</si>
  <si>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</si>
  <si>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</si>
  <si>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</si>
  <si>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</si>
  <si>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</si>
  <si>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</si>
  <si>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</si>
  <si>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</si>
  <si>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</si>
  <si>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</si>
  <si>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</si>
  <si>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</si>
  <si>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</si>
  <si>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</si>
  <si>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</si>
  <si>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</si>
  <si>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</si>
  <si>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</si>
  <si>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</si>
  <si>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</si>
  <si>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</si>
  <si>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</si>
  <si>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</si>
  <si>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</si>
  <si>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</si>
  <si>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</si>
  <si>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</si>
  <si>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</si>
  <si>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</si>
  <si>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</si>
  <si>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</si>
  <si>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</si>
  <si>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</si>
  <si>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</si>
  <si>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</si>
  <si>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</si>
  <si>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</si>
  <si>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</si>
  <si>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</si>
  <si>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</si>
  <si>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</si>
  <si>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</si>
  <si>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</si>
  <si>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</si>
  <si>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</si>
  <si>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</si>
  <si>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</si>
  <si>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</si>
  <si>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</si>
  <si>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</si>
  <si>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</si>
  <si>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</si>
  <si>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</si>
  <si>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</si>
  <si>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</si>
  <si>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</si>
  <si>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</si>
  <si>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</si>
  <si>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</si>
  <si>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</si>
  <si>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</si>
  <si>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</si>
  <si>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</si>
  <si>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</si>
  <si>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</si>
  <si>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</si>
  <si>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</si>
  <si>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</si>
  <si>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</si>
  <si>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</si>
  <si>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</si>
  <si>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</si>
  <si>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</si>
  <si>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</si>
  <si>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</si>
  <si>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</si>
  <si>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</si>
  <si>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</si>
  <si>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</si>
  <si>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</si>
  <si>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</si>
  <si>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</si>
  <si>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</si>
  <si>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</si>
  <si>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</si>
  <si>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</si>
  <si>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</si>
  <si>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</si>
  <si>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</si>
  <si>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</si>
  <si>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</si>
  <si>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</si>
  <si>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</si>
  <si>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</si>
  <si>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</si>
  <si>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</si>
  <si>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</si>
  <si>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</si>
  <si>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</si>
  <si>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</si>
  <si>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</si>
  <si>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</si>
  <si>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</si>
  <si>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</si>
  <si>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</si>
  <si>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</si>
  <si>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</si>
  <si>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</si>
  <si>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</si>
  <si>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</si>
  <si>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</si>
  <si>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</si>
  <si>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</si>
  <si>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</si>
  <si>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</si>
  <si>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</si>
  <si>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</si>
  <si>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</si>
  <si>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</si>
  <si>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</si>
  <si>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</si>
  <si>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</si>
  <si>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</si>
  <si>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</si>
  <si>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</si>
  <si>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</si>
  <si>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</si>
  <si>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</si>
  <si>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</si>
  <si>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</si>
  <si>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</si>
  <si>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</si>
  <si>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</si>
  <si>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</si>
  <si>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</si>
  <si>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</si>
  <si>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</si>
  <si>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</si>
  <si>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</si>
  <si>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</si>
  <si>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</si>
  <si>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</si>
  <si>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</si>
  <si>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</si>
  <si>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</si>
  <si>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</si>
  <si>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</si>
  <si>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</si>
  <si>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</si>
  <si>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</si>
  <si>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</si>
  <si>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</si>
  <si>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</si>
  <si>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</si>
  <si>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</si>
  <si>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</si>
  <si>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</si>
  <si>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</si>
  <si>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</si>
  <si>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</si>
  <si>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</si>
  <si>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</si>
  <si>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</si>
  <si>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</si>
  <si>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</si>
  <si>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</si>
  <si>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</si>
  <si>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</si>
  <si>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</si>
  <si>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</si>
  <si>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</si>
  <si>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</si>
  <si>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</si>
  <si>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</si>
  <si>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</si>
  <si>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</si>
  <si>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</si>
  <si>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</si>
  <si>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</si>
  <si>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</si>
  <si>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</si>
  <si>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</si>
  <si>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</si>
  <si>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</si>
  <si>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</si>
  <si>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</si>
  <si>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</si>
  <si>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洛宁项目售楼部展示区景观工程施工合同</t>
    </r>
    <r>
      <rPr>
        <b/>
        <sz val="14"/>
        <rFont val="楷体_GB2312"/>
        <charset val="134"/>
      </rPr>
      <t>结算审批表</t>
    </r>
  </si>
  <si>
    <t>项目名称</t>
  </si>
  <si>
    <t>洛宁山水文苑</t>
  </si>
  <si>
    <t>合同编号</t>
  </si>
  <si>
    <t>LNSSWY-JP-023</t>
  </si>
  <si>
    <t>合同名称</t>
  </si>
  <si>
    <t>洛宁项目售楼部展示区景观工程施工合同</t>
  </si>
  <si>
    <t>合同金额</t>
  </si>
  <si>
    <r>
      <rPr>
        <u/>
        <sz val="12"/>
        <rFont val="楷体_GB2312"/>
        <charset val="134"/>
      </rPr>
      <t>2925227.15</t>
    </r>
    <r>
      <rPr>
        <sz val="12"/>
        <rFont val="楷体_GB2312"/>
        <charset val="134"/>
      </rPr>
      <t>元</t>
    </r>
  </si>
  <si>
    <t>施工单位名称</t>
  </si>
  <si>
    <t>河南林祥园林绿化工程有限公司</t>
  </si>
  <si>
    <t>乙方送审价</t>
  </si>
  <si>
    <t>2879352.67元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</si>
  <si>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</si>
  <si>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</si>
  <si>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</si>
  <si>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</si>
  <si>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</si>
  <si>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</si>
  <si>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</si>
  <si>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</si>
  <si>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</si>
  <si>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</si>
  <si>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</si>
  <si>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</si>
  <si>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</si>
  <si>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</si>
  <si>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</si>
  <si>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</si>
  <si>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</si>
  <si>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</si>
  <si>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</si>
  <si>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</si>
  <si>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洛宁项目售楼部展示区景观工程施工合同结算审批表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</si>
  <si>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</si>
  <si>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</si>
  <si>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</si>
  <si>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</si>
  <si>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</si>
  <si>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</si>
  <si>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</si>
  <si>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</si>
  <si>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</si>
  <si>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洛宁项目售楼部展示区景观工程施工合同结算汇总表</t>
  </si>
  <si>
    <t>第4页</t>
  </si>
  <si>
    <t>洛宁项目售楼部展示区景观工程施工合同结算价明细汇总表</t>
  </si>
  <si>
    <t>1份2页</t>
  </si>
  <si>
    <t>第5~6页</t>
  </si>
  <si>
    <t>洛宁项目售楼部展示区景观工程施工合同量价确认单</t>
  </si>
  <si>
    <t>1份21页</t>
  </si>
  <si>
    <t>第7~27页</t>
  </si>
  <si>
    <t>签字版</t>
  </si>
  <si>
    <t>结算通知书（合同编号：LNSSWY-JP-023）</t>
  </si>
  <si>
    <t>第28页</t>
  </si>
  <si>
    <t>结算申请报告（合同编号：LNSSWY-JP-023）</t>
  </si>
  <si>
    <t>第29页</t>
  </si>
  <si>
    <t>工程验收单（合同编号：LNSSWY-JP-023）</t>
  </si>
  <si>
    <t>1份8页</t>
  </si>
  <si>
    <t>第30~37页</t>
  </si>
  <si>
    <t>授权委托书（合同编号：LNSSWY-JP-023）</t>
  </si>
  <si>
    <t>第38页</t>
  </si>
  <si>
    <t>工程往来账目明细（合同编号：LNSSWY-JP-023）</t>
  </si>
  <si>
    <t>第39~40页</t>
  </si>
  <si>
    <t>水电费结清证明（合同编号：LNSSWY-JP-023）</t>
  </si>
  <si>
    <t>第41~42页</t>
  </si>
  <si>
    <t>洛宁项目售楼部展示区景观工程施工合同（含审批表）（合同编号：LNSSWY-JP-023）</t>
  </si>
  <si>
    <t>1份51页</t>
  </si>
  <si>
    <t>第43~93页</t>
  </si>
  <si>
    <t>复印件</t>
  </si>
  <si>
    <t>设计修改通知单</t>
  </si>
  <si>
    <t>第94~95页</t>
  </si>
  <si>
    <t>洛宁项目售楼部展示区景观工程施工合同签证单（编号：LNSSWY-JP-023-001~004、LNSSWY-JP-023-006~018）</t>
  </si>
  <si>
    <t>1份99页</t>
  </si>
  <si>
    <t>第96~194页</t>
  </si>
  <si>
    <t>现场照片</t>
  </si>
  <si>
    <t>1份4页</t>
  </si>
  <si>
    <t>第195~198页</t>
  </si>
  <si>
    <t>施工方报送的结算资料</t>
  </si>
  <si>
    <t>1份36页</t>
  </si>
  <si>
    <t>第199~234页</t>
  </si>
  <si>
    <t>竣工图纸</t>
  </si>
  <si>
    <t>1份</t>
  </si>
  <si>
    <t>蓝图</t>
  </si>
  <si>
    <t>造价师：</t>
  </si>
  <si>
    <t>日期：</t>
  </si>
  <si>
    <t>工程结算汇总表</t>
  </si>
  <si>
    <t>合同编号：LNSSWY-JP-023                        合同金额：2925227.15元</t>
  </si>
  <si>
    <t>合同名称：洛宁项目售楼部展示区景观工程施工合同</t>
  </si>
  <si>
    <t>甲    方：洛阳浩德浩康置业有限公司</t>
  </si>
  <si>
    <t>乙    方：河南林祥园林绿化工程有限公司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</si>
  <si>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</si>
  <si>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</si>
  <si>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</si>
  <si>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</si>
  <si>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</si>
  <si>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</si>
  <si>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设计变更</t>
  </si>
  <si>
    <t>签证单</t>
  </si>
  <si>
    <t>扣款项目</t>
  </si>
  <si>
    <t>二</t>
  </si>
  <si>
    <t>其他费用合计</t>
  </si>
  <si>
    <t>审减追加额</t>
  </si>
  <si>
    <t>协商结算舍尾数金额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</si>
  <si>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</si>
  <si>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</si>
  <si>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</si>
  <si>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</si>
  <si>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</si>
  <si>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</si>
  <si>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</si>
  <si>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</si>
  <si>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</si>
  <si>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……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</si>
  <si>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</si>
  <si>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</si>
  <si>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</si>
  <si>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</si>
  <si>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</si>
  <si>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</si>
  <si>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</si>
  <si>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</si>
  <si>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</si>
  <si>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</si>
  <si>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</si>
  <si>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洛宁项目售楼部展示区景观工程施工合同
结算价明细汇总表</t>
  </si>
  <si>
    <t>含税金额（元）</t>
  </si>
  <si>
    <t>详见后附表</t>
  </si>
  <si>
    <t>原合同金额</t>
  </si>
  <si>
    <t>绿植苗木部分</t>
  </si>
  <si>
    <t>固定综合单价包干依实结算</t>
  </si>
  <si>
    <t>土建部分</t>
  </si>
  <si>
    <t>固定总价</t>
  </si>
  <si>
    <t>安装部分</t>
  </si>
  <si>
    <t>雾森系统</t>
  </si>
  <si>
    <t>合同额</t>
  </si>
  <si>
    <t>雨污水系统</t>
  </si>
  <si>
    <t>土建类</t>
  </si>
  <si>
    <t>详见签证单</t>
  </si>
  <si>
    <t>现在</t>
  </si>
  <si>
    <t>靠近建筑3m范围的砖混结构改为钢结构</t>
  </si>
  <si>
    <t>LNSSWY-JP-023-001</t>
  </si>
  <si>
    <t>1、旧入口铺设人行道路；
2、正大门拆除、重建原有人行道；
3、停车场门口拆除重建原有人行道；
4、垃圾清理</t>
  </si>
  <si>
    <t>LNSSWY-JP-023-002</t>
  </si>
  <si>
    <t>签证</t>
  </si>
  <si>
    <t>因售楼部南侧示范区回填层过高，避免后期沉降，故在原设计素混凝土上增加钢筋</t>
  </si>
  <si>
    <t>LNSSWY-JP-023-003</t>
  </si>
  <si>
    <t>将室外电箱真空开关NXM-160S/3300，更换为漏电保护器CDM3L-125C。因原开关位置不足，需将周边5个断路器，4个时间控制器拆除重新排列，增加漏保上下各一路零线至零排，7个铜鼻重新焊接</t>
  </si>
  <si>
    <t>LNSSWY-JP-023-004</t>
  </si>
  <si>
    <t>自建筑南侧高低跨位置，铺设De25PVC管35m*2根。包含管沟开挖，土方回填，穿墙2处，防水填塞1处，穿井1处</t>
  </si>
  <si>
    <t>LNSSWY-JP-023-006</t>
  </si>
  <si>
    <t>将原自来水井盖(1个600*800)和雨水检查井盖(1个直径800)升高30公分</t>
  </si>
  <si>
    <t>LNSSWY-JP-023-007</t>
  </si>
  <si>
    <t>1、松树移栽、雪狼石安装；
2、美女樱二次移栽；
3、土方回填；
4、人行道铺装；</t>
  </si>
  <si>
    <t>LNSSWY-JP-023-008</t>
  </si>
  <si>
    <t>自开元壹号项目开挖部分苗木移栽至洛宁项目展示区使用</t>
  </si>
  <si>
    <t>LNSSWY-JP-023-009</t>
  </si>
  <si>
    <t>临时增加多种花卉品种</t>
  </si>
  <si>
    <t>LNSSWY-JP-023-010</t>
  </si>
  <si>
    <t>室外增加3支玻璃钢仙鹤雕塑，2套小鸟雕塑(6只)，2套沙发(4个)，2个茶几，1支猫雕塑</t>
  </si>
  <si>
    <t>LNSSWY-JP-023-011</t>
  </si>
  <si>
    <t>室外增加成品岗亭（尺寸1500*2000*2700h镀锌钢板）1个</t>
  </si>
  <si>
    <t>LNSSWY-JP-023-012</t>
  </si>
  <si>
    <t>甲方要求，1、因售楼部中央水景两侧原有时花（三色堇）到季桔死，为提升观感更换为大叶黄杨；2、因中央水景景石区域原有时花（佛甲草）到季枯死，为提升观感更换为佛甲草；3、因售楼部门口东西两侧小水系前时花（矮牵牛）到季枯死，为提升观感更换鼠尾草；4、因售楼部门口小水系东西两侧时花（矮牵牛）到季枯死，为提升观感更换为草坪</t>
  </si>
  <si>
    <t>LNSSWY-JP-023-013</t>
  </si>
  <si>
    <t>1、售楼部门口小水系前时花（鼠尾草）因到季枯死更换为草坪；2、停车场入口苗木因举办冰雪
节活动摆放设备踩踏压毁更换为草坪。共计更换草坪73.165m。</t>
  </si>
  <si>
    <t>LNSSWY-JP-023-014</t>
  </si>
  <si>
    <t>1、原停车场车位沥青标线较窄，且两端无石材波打线，为了提升观感，应甲方要求，新增600*200*50厚芝麻灰烧面5.3m*2=10.6m，新增10cm宽热熔标线车位 (2.3m*5m)15个；
2、按图纸示意要求，停车场岗亭方向为长向是南北方向（门向南)，现场结合甲方意见要求，调整为旋转90度（门向东），将原有1800*2300*100厚C20岗亭基础破除，并重新浇筑。</t>
  </si>
  <si>
    <t>LNSSWY-JP-023-015</t>
  </si>
  <si>
    <t>在中央水景回水沟上方增加一圈直径10雾森管道，总长60m；新增红宝石雾森喷头43个,主机由5.5kw 调整为7.5kw。</t>
  </si>
  <si>
    <t>LNSSWY-JP-023-016</t>
  </si>
  <si>
    <t>新增现场2个600*600手控井盖，1个800*800阀门井盖，3个600*600阀门井盖，1个600*600光纤通信井盖，以上位置全部采用50高5厚不锈钢井盖</t>
  </si>
  <si>
    <t>LNSSWY-JP-023-017</t>
  </si>
  <si>
    <t>景观示范区增加直饮水机</t>
  </si>
  <si>
    <t>LNSSWY-JP-023-018</t>
  </si>
  <si>
    <t>合计（一+二+三）</t>
  </si>
  <si>
    <t>经双方友好协商一致，本合同最终结算总价</t>
  </si>
  <si>
    <t>舍尾数金额385.69元</t>
  </si>
  <si>
    <t>洛宁项目售楼部展示区景观工程施工合同（苗木类）</t>
  </si>
  <si>
    <t>单位</t>
  </si>
  <si>
    <t>现场验收工程量</t>
  </si>
  <si>
    <t>含税综合单价（元）</t>
  </si>
  <si>
    <t>含税合价（元）</t>
  </si>
  <si>
    <t>实际规格</t>
  </si>
  <si>
    <t>合同规格</t>
  </si>
  <si>
    <t>总数量</t>
  </si>
  <si>
    <t>数量明细</t>
  </si>
  <si>
    <t>干径(cm)20</t>
  </si>
  <si>
    <t>高度(m)30</t>
  </si>
  <si>
    <t>冠幅(m)50</t>
  </si>
  <si>
    <t>干径(cm)</t>
  </si>
  <si>
    <t>高度(m)</t>
  </si>
  <si>
    <t>冠幅(m)</t>
  </si>
  <si>
    <t>分枝点(m)</t>
  </si>
  <si>
    <t>乔木</t>
  </si>
  <si>
    <t>国槐A</t>
  </si>
  <si>
    <t>株</t>
  </si>
  <si>
    <t>满足合同要求规格</t>
  </si>
  <si>
    <t>胸径25</t>
  </si>
  <si>
    <t>成活价，自然株型，全冠，树型优美，3级分叉及以上</t>
  </si>
  <si>
    <t>国槐B</t>
  </si>
  <si>
    <t>胸径22</t>
  </si>
  <si>
    <t>7.00-7.50</t>
  </si>
  <si>
    <t>5.00-5.50</t>
  </si>
  <si>
    <t>斜飘朴树</t>
  </si>
  <si>
    <t>胸径25-26</t>
  </si>
  <si>
    <t>成活价，偏冠，斜飘，树型优美，3级分叉及以上</t>
  </si>
  <si>
    <t>此为设计方、施工方、甲方三方实地考察，现场选定造型，经沟通按合同价计入</t>
  </si>
  <si>
    <t>山杏</t>
  </si>
  <si>
    <t>成活价，全冠，树型优美，3级分叉及以上</t>
  </si>
  <si>
    <t>油松</t>
  </si>
  <si>
    <t>胸径30</t>
  </si>
  <si>
    <t>成活价，精品树种、造型优美；</t>
  </si>
  <si>
    <t>紫玉兰</t>
  </si>
  <si>
    <t>地径15</t>
  </si>
  <si>
    <t>0.80-1.00</t>
  </si>
  <si>
    <t>成活价，全冠，株形圆润饱满，枝叶茂盛</t>
  </si>
  <si>
    <t>紫薇</t>
  </si>
  <si>
    <t>地径12</t>
  </si>
  <si>
    <t>1.40-1.50</t>
  </si>
  <si>
    <t>红叶石楠树A</t>
  </si>
  <si>
    <t>成活价，丛生，全冠，株形圆润饱满，枝叶茂盛</t>
  </si>
  <si>
    <t>红叶石楠树B</t>
  </si>
  <si>
    <t>红叶李</t>
  </si>
  <si>
    <t>地径13</t>
  </si>
  <si>
    <t>0.30-0.40</t>
  </si>
  <si>
    <t>成活价，低分枝，全冠，株形圆润饱满，枝叶茂盛</t>
  </si>
  <si>
    <t>日本晚樱</t>
  </si>
  <si>
    <t>1.10-1.20</t>
  </si>
  <si>
    <t>红梅A</t>
  </si>
  <si>
    <t>地径25</t>
  </si>
  <si>
    <t>成活价，低分枝，全冠，姿态飘逸，树型优美，3级分叉及以上</t>
  </si>
  <si>
    <t>红梅B</t>
  </si>
  <si>
    <t>地径10</t>
  </si>
  <si>
    <t>2.00-2.50</t>
  </si>
  <si>
    <t>2.20-2.50</t>
  </si>
  <si>
    <t>0.40-0.50</t>
  </si>
  <si>
    <t>成活价，全冠，姿态飘逸，树型优美，3级分叉及以上</t>
  </si>
  <si>
    <t>死亡，需更换</t>
  </si>
  <si>
    <t>鸡爪槭</t>
  </si>
  <si>
    <t>0.20-0.30</t>
  </si>
  <si>
    <t>不含移栽2棵</t>
  </si>
  <si>
    <t>果石榴</t>
  </si>
  <si>
    <t>地径20</t>
  </si>
  <si>
    <t>成活价，全冠，树型优美，5分枝以上</t>
  </si>
  <si>
    <t>榆叶梅</t>
  </si>
  <si>
    <t>长势不好，需更换</t>
  </si>
  <si>
    <t>红枫</t>
  </si>
  <si>
    <t>0.60-0.70</t>
  </si>
  <si>
    <t>验收后2棵已死，不用再换，不计算</t>
  </si>
  <si>
    <t>造型黑松A</t>
  </si>
  <si>
    <t>2.00-2.20</t>
  </si>
  <si>
    <t>2.30-2.50</t>
  </si>
  <si>
    <t>造型黑松B</t>
  </si>
  <si>
    <t>丛生连翘</t>
  </si>
  <si>
    <t>成活价，丛生，15分枝以上，枝叶茂密</t>
  </si>
  <si>
    <t>验收后一棵已死，不用再换，不计算</t>
  </si>
  <si>
    <t>灌木</t>
  </si>
  <si>
    <t>高度(cm)</t>
  </si>
  <si>
    <t>冠幅(cm)</t>
  </si>
  <si>
    <t>分枝点(cm)</t>
  </si>
  <si>
    <t>红叶石楠球</t>
  </si>
  <si>
    <r>
      <rPr>
        <sz val="10"/>
        <rFont val="宋体"/>
        <charset val="134"/>
        <scheme val="minor"/>
      </rPr>
      <t>成活价，滚圆、球形饱满</t>
    </r>
    <r>
      <rPr>
        <sz val="10"/>
        <rFont val="Helvetica"/>
        <charset val="0"/>
      </rPr>
      <t>,</t>
    </r>
    <r>
      <rPr>
        <sz val="10"/>
        <rFont val="宋体"/>
        <charset val="134"/>
      </rPr>
      <t>不脱脚</t>
    </r>
    <r>
      <rPr>
        <sz val="10"/>
        <rFont val="Helvetica"/>
        <charset val="0"/>
      </rPr>
      <t>,</t>
    </r>
    <r>
      <rPr>
        <sz val="10"/>
        <rFont val="宋体"/>
        <charset val="134"/>
      </rPr>
      <t>修剪后规格</t>
    </r>
  </si>
  <si>
    <t>大叶黄杨球A</t>
  </si>
  <si>
    <t>大叶黄杨球B</t>
  </si>
  <si>
    <t>包含一株因冰雪节活动死亡</t>
  </si>
  <si>
    <t>成活价，滚圆、球形饱满,不脱脚,修剪后规格。
包含一株因冰雪节死亡</t>
  </si>
  <si>
    <t>无刺枸骨球</t>
  </si>
  <si>
    <t>南天竹-点缀</t>
  </si>
  <si>
    <t>成活价，自然株形，8分枝以上/丛，不脱脚</t>
  </si>
  <si>
    <t>铺地柏丛</t>
  </si>
  <si>
    <t>成活价，自然株形，枝繁叶茂、饱满</t>
  </si>
  <si>
    <t>地被</t>
  </si>
  <si>
    <t>红叶石楠</t>
  </si>
  <si>
    <t>m²</t>
  </si>
  <si>
    <t>45-50</t>
  </si>
  <si>
    <t>20-25</t>
  </si>
  <si>
    <t>成活价，49株/m²，毛球，高度和冠幅为修剪后尺寸，不漏土</t>
  </si>
  <si>
    <t>大叶黄杨</t>
  </si>
  <si>
    <t>成活价，81株/m²，毛球，高度和冠幅为修剪后尺寸，不漏土</t>
  </si>
  <si>
    <t>大吴风草</t>
  </si>
  <si>
    <t>20-40</t>
  </si>
  <si>
    <t>成活价，25丛/m²，2加仑盆苗，枝叶茂密，密植不露土</t>
  </si>
  <si>
    <t>金森女贞</t>
  </si>
  <si>
    <t>成活价，64株/m²，毛球，高度和冠幅为修剪后尺寸，不漏土</t>
  </si>
  <si>
    <t>金丝苔草</t>
  </si>
  <si>
    <t>25-30</t>
  </si>
  <si>
    <t>成活价，49株/m²，1加仑盆苗，枝叶茂盛</t>
  </si>
  <si>
    <t>毛鹃</t>
  </si>
  <si>
    <t>小叶黄杨</t>
  </si>
  <si>
    <t>火焰南天竹</t>
  </si>
  <si>
    <t>30-35</t>
  </si>
  <si>
    <t>成活价，64株/m²，1加仑盆苗，高度和冠幅为修剪后尺寸，不漏土</t>
  </si>
  <si>
    <t>矮麦冬</t>
  </si>
  <si>
    <t>15-20</t>
  </si>
  <si>
    <t>12-15</t>
  </si>
  <si>
    <t>成活价，满铺，不漏土，株型紧凑</t>
  </si>
  <si>
    <t>草坪</t>
  </si>
  <si>
    <t>——</t>
  </si>
  <si>
    <t>成活价，矮生百慕大混播黑麦草草坪卷</t>
  </si>
  <si>
    <t>绿化用地整理</t>
  </si>
  <si>
    <t>绿化用地整理，堆土丘</t>
  </si>
  <si>
    <t>m2</t>
  </si>
  <si>
    <t>平衡考虑场地内所需土方，包含绿化用地、铺装用地所需土方</t>
  </si>
  <si>
    <t>土方回填</t>
  </si>
  <si>
    <t>m3</t>
  </si>
  <si>
    <t>合计</t>
  </si>
  <si>
    <t>从洋房示范区移栽苗木，以上数量不含该移栽数量</t>
  </si>
  <si>
    <t>移栽鸡爪槭</t>
  </si>
  <si>
    <t>移栽红枫</t>
  </si>
  <si>
    <t>只活一枝</t>
  </si>
  <si>
    <t>移栽红花檵木球</t>
  </si>
  <si>
    <t>死亡</t>
  </si>
  <si>
    <t>移栽瓜子黄杨球</t>
  </si>
  <si>
    <t>移栽海桐球</t>
  </si>
  <si>
    <t>移栽红叶石楠球</t>
  </si>
  <si>
    <t>移栽大叶黄杨球</t>
  </si>
  <si>
    <t>洛宁项目售楼部展示区景观工程施工合同（土建类设计变更项）</t>
  </si>
  <si>
    <t>项目特征</t>
  </si>
  <si>
    <t>工程量</t>
  </si>
  <si>
    <t>综合单价（元）</t>
  </si>
  <si>
    <t>其中：主材</t>
  </si>
  <si>
    <t>变更单编号1#BG1-01、变更单编号1#BG1-02</t>
  </si>
  <si>
    <t>景墙变更</t>
  </si>
  <si>
    <t>级配碎石垫层</t>
  </si>
  <si>
    <t>1.垫层材料种类：级配碎石
2.其他满足规范和设计图纸要求</t>
  </si>
  <si>
    <t>C20混凝土垫层</t>
  </si>
  <si>
    <t>1.混凝土强度等级:C20混凝土
2.混凝土拌合料要求：符合规范要求
3.模板安拆费用计入综合单价，支模方式综合考虑
4.其它满足规范和设计图纸要求</t>
  </si>
  <si>
    <t>C25混凝土池底</t>
  </si>
  <si>
    <t>1.混凝土强度等级:C25混凝土
2.混凝土拌合料要求：符合规范要求
3.模板安拆费用计入综合单价，支模方式综合考虑
4.其它满足规范和设计图纸要求</t>
  </si>
  <si>
    <t>C25混凝土池壁</t>
  </si>
  <si>
    <t>钢筋</t>
  </si>
  <si>
    <t>1.规格型号：HRB400直径10以内
2.钢筋制作、安装及为满足图纸设计而进行的必要措施                                
3.其它满足规范和设计图纸要求</t>
  </si>
  <si>
    <t>t</t>
  </si>
  <si>
    <t>JS涂料防水</t>
  </si>
  <si>
    <t>1.JS防水涂料两道
2.15厚1：2.5水泥砂浆保护层两道
3.其他满足规范和设计图纸要求</t>
  </si>
  <si>
    <t>土工布</t>
  </si>
  <si>
    <t>1.200g/m2土工布
2.其他满足规范和图纸设计要求</t>
  </si>
  <si>
    <t>不锈钢细丝网</t>
  </si>
  <si>
    <t>1.0.6x10x10不锈钢细丝网
2.其他满足规范和图纸设计要求</t>
  </si>
  <si>
    <t>不锈钢篦子</t>
  </si>
  <si>
    <t>1.304不锈钢水篦子
2.90*70镀锌角钢，M6螺栓固定
3.其他满足规范和图纸设计要求</t>
  </si>
  <si>
    <t>水泥砂浆粘结层</t>
  </si>
  <si>
    <t>1.30厚1:2.5水泥砂浆保护层
2.其他满足规范和图纸设计要求</t>
  </si>
  <si>
    <t>特色黑山石置石</t>
  </si>
  <si>
    <t>1.规格尺寸：5.3*1.8*0.8m，综合考虑，满足图纸设计要求（含加工开洞）
2.采购、运输、安装等为满足效果相关措施</t>
  </si>
  <si>
    <t>块</t>
  </si>
  <si>
    <t>不锈钢板水槽</t>
  </si>
  <si>
    <t>1.5厚304不锈钢水槽，电镀浅香槟金色，可视面拉丝  2.其他满足规范和图纸设计要求</t>
  </si>
  <si>
    <t>不锈钢水槽肋板</t>
  </si>
  <si>
    <t>1.3厚不锈钢肋板@600                         2.其他满足规范和图纸设计要求；</t>
  </si>
  <si>
    <t>船型雕塑</t>
  </si>
  <si>
    <t>1.规格尺寸：980*2500*750（h）不锈钢，综合考虑，满足图纸设计要求                                     2.含雕塑基础                                3.采购、运输、安装等为满足效果相关措施；</t>
  </si>
  <si>
    <t>件</t>
  </si>
  <si>
    <t>沙发</t>
  </si>
  <si>
    <t xml:space="preserve">1.规格尺寸：750*700*650（h）,综合考虑，满足图纸设计要求                                                    2.采购、运输、安装等为满足效果相关措施；                                     </t>
  </si>
  <si>
    <t>个</t>
  </si>
  <si>
    <t>茶几</t>
  </si>
  <si>
    <t xml:space="preserve">1.规格尺寸：φ900*350（h）,综合考虑，满足图纸设计要求                                                    2.采购、运输、安装等为满足效果相关措施；                                     </t>
  </si>
  <si>
    <t>C25混凝土条形基础</t>
  </si>
  <si>
    <t>C25混凝土圈梁</t>
  </si>
  <si>
    <t>1.混凝土强度等级:c25混凝土
2.混凝土拌合料要求：符合规范要求
3.模板安拆费用计入综合单价，支模方式综合考虑
4.其它满足规范和设计图纸要求</t>
  </si>
  <si>
    <t>C25混凝土腰梁</t>
  </si>
  <si>
    <t>C25混凝土压顶</t>
  </si>
  <si>
    <t>水泥砂浆抹面</t>
  </si>
  <si>
    <t>1.30厚1:2.5水泥砂浆面
2.其它满足规范和设计图纸要求</t>
  </si>
  <si>
    <t>53~54项的钢筋没扣，全给了</t>
  </si>
  <si>
    <t>真石漆</t>
  </si>
  <si>
    <t>1.浅灰色真石漆
2.其它满足规范和设计图纸要求</t>
  </si>
  <si>
    <t>钢板造型</t>
  </si>
  <si>
    <t>1.1.5厚不锈钢预折，电镀浅香槟金色，M6膨胀螺栓固定间距500mm
2.其他满足规范和图纸设计要求</t>
  </si>
  <si>
    <t>仿白木纹PC砖（干挂）</t>
  </si>
  <si>
    <t>1.面层：600*1195*20厚/600*840*20厚/340*1195*20厚浅灰色仿石PC砖（与建筑同色）
2.做法：50x50x5厚镀锌角钢干挂
3.干挂件详见设计图纸
4.其他满足规范和图纸设计要求</t>
  </si>
  <si>
    <t>仿白木纹PC砖</t>
  </si>
  <si>
    <t>1.面层：330*600*20厚浅灰色仿石PC砖（与建筑同色）
2.做法：结构胶固定
3.其他满足规范和图纸设计要求</t>
  </si>
  <si>
    <t>C25混凝土构造柱</t>
  </si>
  <si>
    <t>砖砌景墙</t>
  </si>
  <si>
    <t>1.M7.5水泥砂浆，MU10砖砌体
2.其他满足规范和图纸设计要求</t>
  </si>
  <si>
    <t>浅灰色仿石PC砖</t>
  </si>
  <si>
    <t>1.600*900*20厚浅灰色仿石PC砖面层
2.其他满足规范和图纸设计要求</t>
  </si>
  <si>
    <t>C25混凝土景墙</t>
  </si>
  <si>
    <t>1.混凝土强度等级:C25混凝土
2.厚度：240mm
3.混凝土拌合料要求：符合规范要求
4.模板安拆费用计入综合单价，支模方式综合考虑
5.其它满足规范和设计图纸要求</t>
  </si>
  <si>
    <t>仿山水横纹PC砖</t>
  </si>
  <si>
    <t>1.600*600*18厚仿山水横纹PC砖
2.30厚1:2.5水泥砂浆粘结
3.其它满足规范和设计图纸要求</t>
  </si>
  <si>
    <t>仿芝麻灰PC砖</t>
  </si>
  <si>
    <t>1.200*600*18厚仿芝麻灰PC砖
2.30厚1:2.5水泥砂浆粘结
3.其它满足规范和设计图纸要求</t>
  </si>
  <si>
    <t>仿福鼎黑PC砖</t>
  </si>
  <si>
    <t>1.180*600*18厚仿福鼎黑PC砖
2.30厚1:2.5水泥砂浆粘结
3.其它满足规范和设计图纸要求</t>
  </si>
  <si>
    <t>中国黑光面花岗岩线条</t>
  </si>
  <si>
    <t>1.700*270*20中国黑光面花岗岩线条
2.其他满足规范和设计图纸要求</t>
  </si>
  <si>
    <t>m</t>
  </si>
  <si>
    <t>白木纹石英砖厚度调整</t>
  </si>
  <si>
    <t>厚度由20厚调整为18厚</t>
  </si>
  <si>
    <t>仿白木纹PC砖（湿挂）</t>
  </si>
  <si>
    <t>1.面层：600*360*20厚浅灰色仿石PC砖（与建筑同色）
2.粘接层：25厚1:2.5无碱水泥沙浆粘接层 
3.找坡层：25厚1:2.5无碱水泥沙浆找平层
4.其他满足规范和图纸设计要求</t>
  </si>
  <si>
    <t>金属格栅</t>
  </si>
  <si>
    <t>1.上梁为200*50*8厚热镀锌扁通，外饰深咖色氟碳漆
2.下梁为200*100*8厚热镀锌扁通，外饰深咖色氟碳漆
3.两侧为200*50*5厚热镀锌扁通，外饰深咖色氟碳漆
4.竖向80*50*5厚热镀锌钢管间距80mm、80mm、110mm，外喷深咖色氟碳漆
5.含辅材及制作、安装及为满足图纸而进行的相关措施
6.其他满足规范和设计图纸要求</t>
  </si>
  <si>
    <t>1.面层：600*1200*20厚浅灰色仿石PC砖（与建筑同色）
2.粘接层：25厚1:2.5无碱水泥沙浆粘接层
3.找坡层：25厚1:2.5无碱水泥沙浆找平层
4.其他满足规范和图纸设计要求</t>
  </si>
  <si>
    <t>LOGO字体</t>
  </si>
  <si>
    <t>1.1.5厚深咖啡色拉丝面不锈钢字/LOGO
2.背衬亚克力板，背发光，详图纸
3.含相关固定用辅材
4.其他满足规范和图纸设计要求</t>
  </si>
  <si>
    <t>136~148</t>
  </si>
  <si>
    <r>
      <rPr>
        <sz val="10"/>
        <rFont val="宋体"/>
        <charset val="134"/>
      </rPr>
      <t>仿白木纹</t>
    </r>
    <r>
      <rPr>
        <sz val="10"/>
        <rFont val="Calibri"/>
        <charset val="0"/>
      </rPr>
      <t>PC</t>
    </r>
    <r>
      <rPr>
        <sz val="10"/>
        <rFont val="宋体"/>
        <charset val="134"/>
      </rPr>
      <t>砖</t>
    </r>
  </si>
  <si>
    <t>1.20厚浅灰色仿石PC砖面层（含干挂件）
2.其他满足规范和图纸设计要求</t>
  </si>
  <si>
    <t>排水沟</t>
  </si>
  <si>
    <t>1.C25混凝土 P6                    
2.含混凝土运输、浇筑、养护等为满足工艺的相关辅助措施       
3.模板制作、安装、拆除、运输等相关措施
4.含排水沟盖板、锚栓、止水板连接件等相关设施
6.其他满足规范和图纸设计要求</t>
  </si>
  <si>
    <t>1.外饰仿石英砖真石漆（同建筑色）
2.其他满足规范和图纸设计要求</t>
  </si>
  <si>
    <t>中国黑花岗岩光面异型加工</t>
  </si>
  <si>
    <t>1.150×600×70厚中国黑花岗岩光面，异型加工
2.其它满足规范和设计图纸要求</t>
  </si>
  <si>
    <t>中国黑花岗岩光面</t>
  </si>
  <si>
    <t>1.600×270×30厚中国黑花岗岩光面
2.其它满足规范和设计图纸要求</t>
  </si>
  <si>
    <t>中国黑光面花岗岩</t>
  </si>
  <si>
    <t>1.600*600*20中国黑光面花岗岩
2.含万能支撑器
3.其他满足规范和设计图纸要求</t>
  </si>
  <si>
    <t>景石</t>
  </si>
  <si>
    <t>1.规格尺寸：综合考虑，满足图纸设计要求
2.采购、运输、安装等为满足效果相关措施
3.其他满足规范和设计图纸要求</t>
  </si>
  <si>
    <t>元</t>
  </si>
  <si>
    <t>洛宁项目售楼部展示区景观工程施工合同（安装类-设计变更项）</t>
  </si>
  <si>
    <t>合价（元）</t>
  </si>
  <si>
    <t>竣工图工程量</t>
  </si>
  <si>
    <t>竣工图合价</t>
  </si>
  <si>
    <t>其中：主材单价</t>
  </si>
  <si>
    <t>景观电气小计</t>
  </si>
  <si>
    <t>室外景观配电柜AL</t>
  </si>
  <si>
    <t>1、名称：照明配电箱AL1；
2、安装方式：落地安装；
3、含基础、接地、配电箱系统调试；   
4、型号：IP65，不锈钢；                          
5、其他：详见图纸设计，相关图集，相关规范等。</t>
  </si>
  <si>
    <t>套</t>
  </si>
  <si>
    <t>低压灯变压器</t>
  </si>
  <si>
    <t>1、名称：低压灯变压器；
2、材质、规格：（防水型） （300VA）；
3、安装方式：设备坑内/防水盒内；
4、其他：详见图纸设计，相关图集，规范等。</t>
  </si>
  <si>
    <t>配管</t>
  </si>
  <si>
    <t>1、名称：电线管；
2、材质、规格：PC32；
3、敷设方式：埋地敷设；
4、其他：详见图纸设计，相关图集，规范等。</t>
  </si>
  <si>
    <t>1、名称：电线管；
2、材质、规格：PC40；
3、敷设方式：埋地敷设；
4、其他：详见图纸设计，相关图集，规范等。</t>
  </si>
  <si>
    <t>1、名称：电线管；
2、材质、规格：PVC32；
3、敷设方式：埋地敷设；
4、其他：详见图纸设计，相关图集，规范等。</t>
  </si>
  <si>
    <t>电力电缆</t>
  </si>
  <si>
    <t>1、名称：电力电缆；
2、规格、型号：YJV-3*4mm2；
3、含电缆头；
4、敷设方式:穿管敷设；
5、其它：详见图纸设计，相关图集，规范等。</t>
  </si>
  <si>
    <t>1、名称：电力电缆；
2、规格、型号：YJV-3*6mm2；
3、含电缆头；
4、敷设方式:穿管敷设；
5、其它：详见图纸设计，相关图集，规范等。</t>
  </si>
  <si>
    <t>1、名称：电力电缆；
2、规格、型号：YJV-4*4mm2；
3、含电缆头；
4、敷设方式:穿管敷设；
5、其它：详见图纸设计，相关图集，规范等。</t>
  </si>
  <si>
    <t>1、名称：电力电缆；
2、规格、型号：YJV-4*6mm2；
3、含电缆头；
4、敷设方式:穿管敷设；
5、其它：详见图纸设计，相关图集，规范等。</t>
  </si>
  <si>
    <t>1、名称：防水电缆；
2、规格、型号：FS-VV-2*4mm2；
3、含电缆头；
4、敷设方式:穿管敷设；
5、其它：详见图纸设计，相关图集，规范等。</t>
  </si>
  <si>
    <t>灯具</t>
  </si>
  <si>
    <t>1、名称：庭院柱灯；
2、规格、大小、型号：LED灯,色温3000K,1*50W， H=3500mm；
3、含基础、预留、调试、接地；            
4、安装方式：地面安装；
5、灯体描述:黑色；                
6、其他：详见图纸设计，相关图集，规范等。</t>
  </si>
  <si>
    <t>1、名称：草坪灯；
2、规格、大小、型号：LED灯,色温3000K,1*10W，275*275*450；
3、含基础、预留、调试、接地；
4、安装方式：地面安装；
5、灯体描述:黑色；
6、其他：详见图纸设计，相关图集，规范等。</t>
  </si>
  <si>
    <t>1、名称：景观灯柱；
2、规格、大小、型号：LED灯,色温3000K,1*10W,900*900*600；
3、含基础、预留、调试、接地；
4、安装方式：预留基座安装；
5、其他：详见图纸设计，相关图集，规范等。</t>
  </si>
  <si>
    <t>1、名称：洗墙灯；
2、规格、大小、型号：LED灯,色温3000K,24W,W42*H28*L1000(MM)；
3、含基础、预留、调试、接地；
4、安装方式：景墙下侧安装；
5、其他：详见图纸设计，相关图集，规范等。</t>
  </si>
  <si>
    <t>1、名称：插泥灯；
2、规格、大小、型号：LED灯,色温3000K,1*18W；
3、含基础、预留、调试、接地；
4、安装方式：插泥安装；
5、其他：详见图纸设计，相关图集，规范等。</t>
  </si>
  <si>
    <t>1、名称：水底暗藏灯；
2、规格、大小、型号：LED灯,色温3000K,3W/DC12V；
3、含基础、预留、调试、接地；
4、安装方式：池底嵌装；
5、其他：详见图纸设计，相关图集，规范等。</t>
  </si>
  <si>
    <t>1、名称：环形水下灯；
2、规格、大小、型号：LED灯,色温3000K,12W/DC12V ；
3、含基础、预留、调试、接地；
4、安装方式：涌泉套装绑定安装；
5、灯体描述:不锈钢灯体； 
6、其他：详见图纸设计，相关图集，规范等。</t>
  </si>
  <si>
    <t>1、名称：水下洗墙灯；
2、规格、大小、型号：LED灯,色温3000K,12W/DC12V ；
3、含基础、预留、调试、接地；
4、安装方式：景墙下侧安装；
5、灯体描述:606纯铝+全灌胶灯体； 
6、其他：详见图纸设计，相关图集，规范等。</t>
  </si>
  <si>
    <t>LED灯带</t>
  </si>
  <si>
    <t>1、名称：LED灯带；
2、规格、大小、型号：LED灯,色温3000K,14.4W/米；                   3、安装方式：灯槽预留安装； 
4、其他：详见图纸设计，相关图集，规范等。</t>
  </si>
  <si>
    <t>1、名称：LED灯带；
2、规格、大小、型号：LED灯,色温3000K,9W/米，DC24V ；                   3、安装方式：灯槽预留安装； 
4、其他：详见图纸设计，相关图集，规范等。</t>
  </si>
  <si>
    <t>1、名称：LED水下灯带；
2、规格、大小、型号：LED灯,色温3000K,6W/米，DC24V ；                   3、安装方式：灯槽预留安装； 
4、其他：详见图纸设计，相关图集，规范等。</t>
  </si>
  <si>
    <t>景观水泵</t>
  </si>
  <si>
    <t>1、名称：景观水泵                
2、其他：详见图纸设计，相关图集，规范等。</t>
  </si>
  <si>
    <t>接线盒</t>
  </si>
  <si>
    <t>1、名称：防水接线盒                
2、其他：详见图纸设计，相关图集，规范等。</t>
  </si>
  <si>
    <t>电缆手孔井（按需）</t>
  </si>
  <si>
    <t>1、名称：电缆手孔井            
2、规格：370*370*520；
3、其它：详见图纸设计，相关图集16D702-6，规范等。</t>
  </si>
  <si>
    <t>挖土方</t>
  </si>
  <si>
    <t>1、类型：沟槽挖土方
2、挖土深度：2m以内
3、其他：详见图纸设计、相关图集、规范等</t>
  </si>
  <si>
    <t>回填土</t>
  </si>
  <si>
    <t>1、类型：回填、夯实
2、其他：详见图纸设计、相关图集、规范等</t>
  </si>
  <si>
    <t>1、名称：电线管；
2、材质、规格：SC70；
3、敷设方式：埋地敷设；
4、其他：详见图纸设计，相关图集，规范等。</t>
  </si>
  <si>
    <t>1、名称：电力电缆；
2、规格、型号：YJV-4*50+1*25mm2；
3、含电缆头；
4、敷设方式:穿管敷设；
5、其它：详见图纸设计，相关图集，规范等。</t>
  </si>
  <si>
    <t>背景音乐小计</t>
  </si>
  <si>
    <t>1、名称：电线管；
2、材质、规格：PC20；
3、敷设方式：埋地敷设；
4、其他：详见图纸设计，相关图集，规范等。</t>
  </si>
  <si>
    <t>1、名称：双绞线；
2、规格、型号：RVS-2*2.5mm2；
3、敷设方式:穿管敷设；
4、其它：详见图纸设计，相关图集，规范等。</t>
  </si>
  <si>
    <t>室外音箱</t>
  </si>
  <si>
    <t>1、名称：室外音箱；
2、规格、大小、型号：20W ；                 
3、安装方式：室外安装； 
4、其他：详见图纸设计，相关图集，规范等。</t>
  </si>
  <si>
    <t>景观给排水小计</t>
  </si>
  <si>
    <t>（一）</t>
  </si>
  <si>
    <t>景观给水</t>
  </si>
  <si>
    <t>PE给水管</t>
  </si>
  <si>
    <t>1、名称：PE给水管
2、规格：De32
3、压力等级：PN1.25MPa
4、连接方式：热熔连接，含相关配件
5、压力试验及吹、洗设计要求:满足规范及设计要求
6、其他：详见图纸设计、相关图集、规范等</t>
  </si>
  <si>
    <t>1、名称：PE给水管
2、规格：De40
3、压力等级：PN1.25MPa
4、连接方式：热熔连接，含相关配件
5、压力试验及吹、洗设计要求:满足规范及设计要求
6、其他：详见图纸设计、相关图集、规范等</t>
  </si>
  <si>
    <t>1、名称：PE给水管
2、规格：De50
3、压力等级：PN1.25MPa
4、连接方式：热熔连接，含相关配件
5、压力试验及吹、洗设计要求:满足规范及设计要求
6、其他：详见图纸设计、相关图集、规范等</t>
  </si>
  <si>
    <t>1、名称：PE给水管
2、规格：De63
3、压力等级：PN1.25MPa
4、连接方式：热熔连接，含相关配件
5、压力试验及吹、洗设计要求:满足规范及设计要求
6、其他：详见图纸设计、相关图集、规范等</t>
  </si>
  <si>
    <t>水表井</t>
  </si>
  <si>
    <t>1、名称：水表井
2、砖砌体：MU10级砖M10水泥砂浆
3、附件：阀门另计，井盖与井圈等满足规范及图纸要求 
4、具体参照图集05S502-43
5、其他：详见图纸设计、相关图集、规范等</t>
  </si>
  <si>
    <t>座</t>
  </si>
  <si>
    <t>水表井内水表</t>
  </si>
  <si>
    <t>1、名称：水表（水表井内）
2、材质：满足规范及图纸要求
3、规格：DN50
4、连接方式：螺纹连接
5、其他：详见图纸设计、相关图集、规范等</t>
  </si>
  <si>
    <t>组</t>
  </si>
  <si>
    <t>水表井内闸阀</t>
  </si>
  <si>
    <t>1、名称：闸阀（水表井内）
2、材质：满足规范及图纸要求
3、规格：DN50
4、连接方式：螺纹连接
5、其他：详见图纸设计、相关图集、规范等</t>
  </si>
  <si>
    <t>水表井内Y型过滤器</t>
  </si>
  <si>
    <t>1、名称：Y型过滤器（水表井内）
2、材质：满足规范及图纸要求
3、规格：DN50
4、连接方式：螺纹连接
5、其他：详见图纸设计、相关图集、规范等</t>
  </si>
  <si>
    <t>水表井内倒流防止器</t>
  </si>
  <si>
    <t>1、名称：倒流防止器（水表井内）
2、材质：满足规范及图纸要求
3、规格：DN50
4、连接方式：螺纹连接
5、其他：详见图纸设计、相关图集、规范等</t>
  </si>
  <si>
    <t>快速取水阀套筒</t>
  </si>
  <si>
    <t>1、名称：快速取水阀套筒
2、其他：详见图纸设计、相关图集、规范等</t>
  </si>
  <si>
    <t>快速取水阀</t>
  </si>
  <si>
    <t>1、名称：快速取水阀
2、规格：DN25
3、其他：详见图纸设计、相关图集、规范等</t>
  </si>
  <si>
    <t>（二）</t>
  </si>
  <si>
    <t>前排水景</t>
  </si>
  <si>
    <t>1、名称：PE给水管
2、规格：DN80
3、压力等级：PN1.25MPa
4、连接方式：热熔连接，含相关配件
5、压力试验及吹、洗设计要求:满足规范及设计要求
6、其他：详见图纸设计、相关图集、规范等</t>
  </si>
  <si>
    <t>1、名称：PE给水管
2、规格：DN65
3、压力等级：PN1.25MPa
4、连接方式：热熔连接，含相关配件
5、压力试验及吹、洗设计要求:满足规范及设计要求
6、其他：详见图纸设计、相关图集、规范等</t>
  </si>
  <si>
    <t>UPVC放空管</t>
  </si>
  <si>
    <t>1、名称：放空管UPVC
2、规格：de110
3、连接方式：承插连接，橡胶圈接口，含相关配件
4、压力试验及吹、洗设计要求:满足规范及设计要求
5、其他：详见图纸设计、相关图集、规范等</t>
  </si>
  <si>
    <t>UPVC溢流管</t>
  </si>
  <si>
    <t>1、名称：溢流管UPVC
2、规格：de110
3、连接方式：承插连接，橡胶圈接口，含相关配件
4、压力试验及吹、洗设计要求:满足规范及设计要求
5、其他：详见图纸设计、相关图集、规范等</t>
  </si>
  <si>
    <t>UPVC贯通管</t>
  </si>
  <si>
    <t>1、名称：贯通管UPVC
2、规格：de110
3、连接方式：承插连接，橡胶圈接口，含相关配件
4、压力试验及吹、洗设计要求:满足规范及设计要求
5、其他：详见图纸设计、相关图集、规范等</t>
  </si>
  <si>
    <t>潜水泵</t>
  </si>
  <si>
    <t>1、名称：潜水泵
2、设备型号：QSP 40-7-1.1
3、参数:流量40m3/h，扬程7米，功率1.1KW
4、安装方式:卧式安装
5、其他：详见图纸设计、相关图集、规范等</t>
  </si>
  <si>
    <t>台</t>
  </si>
  <si>
    <t>蝶阀</t>
  </si>
  <si>
    <t>1、名称：蝶阀
2、材质：铸铁
3、规格：DN80
4、连接方式：法兰连接
5、其他：详见图纸设计、相关图集、规范等</t>
  </si>
  <si>
    <t>止回阀</t>
  </si>
  <si>
    <t>1、名称：止回阀
2、材质：铸铁
3、规格：DN80
4、连接方式：法兰连接
5、其他：详见图纸设计、相关图集、规范等</t>
  </si>
  <si>
    <t>涌泉喷头</t>
  </si>
  <si>
    <t>1、名称：涌泉喷头
2、型号：PJY-DN25
3、材质：钢制
4、参数:流量3.5~8m3/h，压力50~150KPa，喷高0.3~0.5m，喷洒直径0.2~0.4m</t>
  </si>
  <si>
    <t>UPVC排水管</t>
  </si>
  <si>
    <t>1、名称：UPVC排水管
2、规格：De110
3、连接方式：粘接连接，含相关配件
4、压力试验及吹、洗设计要求:满足规范及设计要求
5、附件：管口设不锈钢网罩
6、其他：详见图纸设计、相关图集、规范等</t>
  </si>
  <si>
    <t>放空阀门井</t>
  </si>
  <si>
    <t>1、名称：放空阀门井
2、垫层、基础材质及厚度:100mm厚C10混凝土垫层
3、砌筑材料品种、规格、强度等级:砖砌体（MU10级砖），井室深1.5m
4、砂浆强度等级、配合比:M10水泥砂浆
5、底板:200mm厚C25混凝土底板
6、附件：位于车行道或铺砌地面的阀门井，采用具有足够承载力和稳定性良好的井盖及井座,井盖与井座与路面平,其他不行车的人行道,绿化带采用轻型井盖及井座,井盖面应高出设计地面50mm,做法详S143-S147。 位于草坪中的井盖承载力不小于2KN/M2,道路中的雨篦子承载力不小于100KN/M2，满足规范及图纸要求。
7、具体做法：参照图集05S502第16页
8、其他：详见图纸设计、相关图集、规范等</t>
  </si>
  <si>
    <t>不锈钢放空地漏</t>
  </si>
  <si>
    <t>1、名称：地漏
2、材质：不锈钢
3、规格：DN100
4、连接方式：法兰连接 侧壁立式安装
5、其他：详见图纸设计、相关图集、规范等</t>
  </si>
  <si>
    <t>溢流口</t>
  </si>
  <si>
    <t>1、名称：溢流口
2、规格：DN100
3、材质：不锈钢
4、其他：详见图纸设计、相关图集、规范等</t>
  </si>
  <si>
    <t>（三）</t>
  </si>
  <si>
    <t>连廊水景</t>
  </si>
  <si>
    <t>1、名称：PE给水管
2、规格：DN100
3、压力等级：PN1.25MPa
4、连接方式：热熔连接，含相关配件
5、压力试验及吹、洗设计要求:满足规范及设计要求
6、其他：详见图纸设计、相关图集、规范等</t>
  </si>
  <si>
    <t>PE多孔出水管</t>
  </si>
  <si>
    <t>1、名称：PE多孔出水管
2、规格：DN80
3、压力等级：PN1.25MPa
4、连接方式：热熔连接，含相关配件
5、压力试验及吹、洗设计要求:满足规范及设计要求
6、其他：详见图纸设计、相关图集、规范等</t>
  </si>
  <si>
    <t>1、名称：潜水泵
2、设备型号：QS 80-12-4
3、参数:流量80m3/h，扬程12米，功率4KW 重量65kg 尺寸168mm*600mm
4、卧式安装
5、其他：详见图纸设计、相关图集、规范等</t>
  </si>
  <si>
    <t>（四）</t>
  </si>
  <si>
    <t>涌泉水钵</t>
  </si>
  <si>
    <t>1、名称：PE给水管
2、规格：De25
3、压力等级：PN1.25MPa
4、连接方式：热熔连接，含相关配件
5、压力试验及吹、洗设计要求:满足规范及设计要求
6、其他：详见图纸设计、相关图集、规范等</t>
  </si>
  <si>
    <t>球阀</t>
  </si>
  <si>
    <t>1、名称：球阀
2、材质：不锈钢
3、规格：DN25
4、连接方式：螺纹连接
5、其他：详见图纸设计、相关图集、规范等</t>
  </si>
  <si>
    <t>1、名称：涌泉喷头
2、型号：PJY-DN25
3、材质：不锈钢
4、参数:流量3.5~8m3/h，压力50~150KPa，喷高0.3~0.5m，喷洒直径0.2~0.4m</t>
  </si>
  <si>
    <t>微型潜水泵</t>
  </si>
  <si>
    <t>1、名称：微型潜水泵
2、设备型号：WQ-4-3.4-65
2、参数:流量4m3/h，扬程3.4米，功率65W 过滤面积200cm2 尺寸（直径*长度）250*140*130
3、卧式安装 DC24V
4、其他：详见图纸设计、相关图集、规范等</t>
  </si>
  <si>
    <t>1、名称：放空阀门井
2、垫层、基础材质及厚度:100mm厚C10混凝土垫层
3、砌筑材料品种、规格、强度等级:砖砌体（MU10级砖），井室深1.5m
4、砂浆强度等级、配合比:M10水泥砂浆
5、底板:200mm厚C25混凝土底板
6、附件：位于车行道或铺砌地面的阀门井，采用具有足够承载力和稳定性良好的井盖及井座,井盖与井座与路面平,其他不行车的人行道,绿化带采用轻型井盖及井座,井盖面应高出设计地面50mm,做法详S143-S147。位于草坪中的井盖承载力不小于2KN/M2,道路中的雨篦子承载力不小于100KN/M2，满足规范及图纸要求。
7、具体做法：参照图集05S502第16页
8、其他：详见图纸设计、相关图集、规范等</t>
  </si>
  <si>
    <t>（五）</t>
  </si>
  <si>
    <t>置石水景</t>
  </si>
  <si>
    <t>1、名称：PE多孔出水管
2、规格：DN50
3、压力等级：PN1.25MPa
4、连接方式：热熔连接，含相关配件
5、压力试验及吹、洗设计要求:满足规范及设计要求
6、其他：详见图纸设计、相关图集、规范等</t>
  </si>
  <si>
    <t>1、名称：潜水泵
2、设备型号：QS 25-9-1.1
3、参数:流量25m3/h 扬程9米 功率1.1KW
4、卧式安装
5、其他：详见图纸设计、相关图集、规范等</t>
  </si>
  <si>
    <t>价差</t>
  </si>
  <si>
    <t>洛宁项目售楼部展示区景观工程施工合同（雨污水系统-以实结算）</t>
  </si>
  <si>
    <t>竣工图合价（元）</t>
  </si>
  <si>
    <t>污水管</t>
  </si>
  <si>
    <t>1、名称：双壁波纹管DN300；
2、规格：DN300 环刚度SN4；
3、连接方式：承插式连接；
4、安装方式：埋地安装；
5、压力试验及吹、洗设计要求:满足规范及设计要求；
6、其他：详见图纸设计、相关图集、规范等。</t>
  </si>
  <si>
    <t>污水井盖</t>
  </si>
  <si>
    <t>1、污水井盖
2、详见图纸设计</t>
  </si>
  <si>
    <t xml:space="preserve">雨水管 </t>
  </si>
  <si>
    <t>1、名称：HDPE双壁波纹管DN400；
2、规格：DN300 环刚度SN4；
3、连接方式：承插式连接；
4、安装方式：埋地安装；
5、压力试验及吹、洗设计要求:满足规范及设计要求；
6、其他：详见图纸设计、相关图集、规范等。</t>
  </si>
  <si>
    <t>1、名称：HDPE双壁波纹管DN300；
2、规格：DN300 环刚度SN4；
3、连接方式：承插式连接；
4、安装方式：埋地安装；
5、压力试验及吹、洗设计要求:满足规范及设计要求；
6、其他：详见图纸设计、相关图集、规范等。</t>
  </si>
  <si>
    <t>1、名称：UPVC管；
2、规格：DN200；
3、连接方式：粘接；
4、安装方式：埋地安装；
5、压力试验及吹、洗设计要求:满足规范及设计要求；
6、其他：详见图纸设计、相关图集、规范等。</t>
  </si>
  <si>
    <t>污水井</t>
  </si>
  <si>
    <t>1、名称：圆形砌筑污水检查井φ450 井深700mm；
2、井深：详见图纸；
3、含井盖、基础，详细井盖选用及基础做法参考08SS523；
4、其他：详见图纸设计、检查井做法参考相关图集02S515、规范等。</t>
  </si>
  <si>
    <t>雨水井</t>
  </si>
  <si>
    <t>1、名称：圆形砌筑雨水检查井φ450 井深700mm；
2、井深：详见图纸；
3、含井盖、基础，详细井盖选用及基础做法参考08SS523；
4、其他：详见图纸设计、检查井做法参考相关图集02S515、规范等。</t>
  </si>
  <si>
    <t>成品化粪池</t>
  </si>
  <si>
    <t>1、名称：成品化粪池4m3；
2、井深：详见图纸；
3、含井盖、基础，详细井盖选用及基础做法参考；
4、其他：详见图纸设计、检查井做法参考相关图集、规范等。</t>
  </si>
  <si>
    <t>绿地雨水口</t>
  </si>
  <si>
    <t>1、绿地雨水口
2、规格详见图纸设计
3、含井盖，详见图纸设计</t>
  </si>
  <si>
    <t>铺装雨水口</t>
  </si>
  <si>
    <t>1、铺装雨水口
2、规格详见图纸设计
3、含井盖，详见图纸设计</t>
  </si>
  <si>
    <t>雨水井盖</t>
  </si>
  <si>
    <t>1、雨水井盖
2、详见图纸设计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</si>
</sst>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  <numFmt numFmtId="179" formatCode="0.00&quot;元&quot;"/>
    <numFmt numFmtId="180" formatCode="[DBNum2][$RMB]General;[Red][DBNum2][$RMB]General"/>
    <numFmt numFmtId="181" formatCode="0_ "/>
  </numFmts>
  <fonts count="57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Calibri"/>
      <charset val="0"/>
    </font>
    <font>
      <sz val="10"/>
      <name val="Helvetica"/>
      <charset val="0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5" borderId="1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22" applyNumberFormat="0" applyAlignment="0" applyProtection="0">
      <alignment vertical="center"/>
    </xf>
    <xf numFmtId="0" fontId="41" fillId="7" borderId="23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8" borderId="24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49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176" fontId="12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178" fontId="9" fillId="0" borderId="1" xfId="0" applyNumberFormat="1" applyFont="1" applyFill="1" applyBorder="1" applyAlignment="1">
      <alignment horizontal="center" vertical="center"/>
    </xf>
    <xf numFmtId="2" fontId="9" fillId="0" borderId="1" xfId="55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" fillId="0" borderId="0" xfId="52" applyFont="1" applyAlignment="1">
      <alignment horizontal="center" vertical="center" wrapText="1"/>
    </xf>
    <xf numFmtId="0" fontId="1" fillId="0" borderId="0" xfId="52" applyFont="1" applyAlignment="1">
      <alignment horizontal="center" vertical="center"/>
    </xf>
    <xf numFmtId="0" fontId="1" fillId="0" borderId="0" xfId="52" applyFont="1" applyFill="1" applyAlignment="1">
      <alignment horizontal="center" vertical="center"/>
    </xf>
    <xf numFmtId="0" fontId="1" fillId="0" borderId="2" xfId="52" applyFont="1" applyBorder="1" applyAlignment="1">
      <alignment horizontal="center" vertical="center"/>
    </xf>
    <xf numFmtId="0" fontId="1" fillId="0" borderId="3" xfId="52" applyFont="1" applyBorder="1" applyAlignment="1">
      <alignment horizontal="center" vertical="center"/>
    </xf>
    <xf numFmtId="0" fontId="1" fillId="0" borderId="3" xfId="52" applyFont="1" applyFill="1" applyBorder="1" applyAlignment="1">
      <alignment horizontal="center" vertical="center"/>
    </xf>
    <xf numFmtId="0" fontId="1" fillId="0" borderId="4" xfId="52" applyFont="1" applyBorder="1" applyAlignment="1">
      <alignment horizontal="center" vertical="center"/>
    </xf>
    <xf numFmtId="0" fontId="1" fillId="0" borderId="5" xfId="52" applyFont="1" applyBorder="1" applyAlignment="1">
      <alignment horizontal="center" vertical="center"/>
    </xf>
    <xf numFmtId="0" fontId="1" fillId="0" borderId="1" xfId="52" applyFont="1" applyBorder="1" applyAlignment="1">
      <alignment horizontal="center" vertical="center" wrapText="1"/>
    </xf>
    <xf numFmtId="178" fontId="1" fillId="0" borderId="1" xfId="52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0" fillId="0" borderId="5" xfId="52" applyFont="1" applyBorder="1" applyAlignment="1">
      <alignment horizontal="center" vertical="center"/>
    </xf>
    <xf numFmtId="178" fontId="0" fillId="0" borderId="1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/>
    </xf>
    <xf numFmtId="0" fontId="0" fillId="0" borderId="5" xfId="52" applyFont="1" applyBorder="1" applyAlignment="1">
      <alignment horizontal="center" vertical="center"/>
    </xf>
    <xf numFmtId="0" fontId="0" fillId="0" borderId="1" xfId="52" applyFont="1" applyBorder="1" applyAlignment="1">
      <alignment horizontal="center" vertical="center" wrapText="1"/>
    </xf>
    <xf numFmtId="0" fontId="19" fillId="0" borderId="6" xfId="52" applyFont="1" applyFill="1" applyBorder="1" applyAlignment="1">
      <alignment horizontal="center" vertical="center" wrapText="1"/>
    </xf>
    <xf numFmtId="178" fontId="1" fillId="0" borderId="1" xfId="52" applyNumberFormat="1" applyFont="1" applyFill="1" applyBorder="1" applyAlignment="1">
      <alignment horizontal="center" vertical="center"/>
    </xf>
    <xf numFmtId="0" fontId="1" fillId="0" borderId="6" xfId="52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5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8" fontId="0" fillId="0" borderId="0" xfId="0" applyNumberFormat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1" fillId="0" borderId="8" xfId="52" applyFont="1" applyBorder="1" applyAlignment="1">
      <alignment horizontal="center" vertical="center"/>
    </xf>
    <xf numFmtId="0" fontId="1" fillId="0" borderId="9" xfId="52" applyFont="1" applyBorder="1" applyAlignment="1">
      <alignment horizontal="center" vertical="center" wrapText="1"/>
    </xf>
    <xf numFmtId="178" fontId="1" fillId="0" borderId="9" xfId="52" applyNumberFormat="1" applyFont="1" applyFill="1" applyBorder="1" applyAlignment="1">
      <alignment horizontal="center" vertical="center"/>
    </xf>
    <xf numFmtId="0" fontId="10" fillId="0" borderId="10" xfId="52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justify" vertical="center"/>
    </xf>
    <xf numFmtId="0" fontId="0" fillId="0" borderId="0" xfId="52">
      <alignment vertical="center"/>
    </xf>
    <xf numFmtId="0" fontId="0" fillId="0" borderId="0" xfId="52" applyFill="1">
      <alignment vertical="center"/>
    </xf>
    <xf numFmtId="10" fontId="0" fillId="0" borderId="0" xfId="0" applyNumberForma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178" fontId="23" fillId="0" borderId="1" xfId="0" applyNumberFormat="1" applyFont="1" applyFill="1" applyBorder="1" applyAlignment="1">
      <alignment horizontal="justify" vertical="center" wrapText="1"/>
    </xf>
    <xf numFmtId="179" fontId="23" fillId="0" borderId="1" xfId="0" applyNumberFormat="1" applyFont="1" applyFill="1" applyBorder="1" applyAlignment="1">
      <alignment horizontal="justify" vertical="center" wrapText="1"/>
    </xf>
    <xf numFmtId="180" fontId="23" fillId="0" borderId="1" xfId="0" applyNumberFormat="1" applyFont="1" applyFill="1" applyBorder="1" applyAlignment="1">
      <alignment horizontal="justify" vertical="center" wrapText="1"/>
    </xf>
    <xf numFmtId="181" fontId="23" fillId="0" borderId="1" xfId="0" applyNumberFormat="1" applyFont="1" applyFill="1" applyBorder="1" applyAlignment="1">
      <alignment horizontal="justify" vertical="center" wrapText="1"/>
    </xf>
    <xf numFmtId="0" fontId="24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5" fillId="0" borderId="11" xfId="2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26" fillId="0" borderId="2" xfId="22" applyFont="1" applyFill="1" applyBorder="1" applyAlignment="1">
      <alignment horizontal="center" vertical="center" wrapText="1"/>
    </xf>
    <xf numFmtId="0" fontId="26" fillId="0" borderId="3" xfId="22" applyFont="1" applyFill="1" applyBorder="1" applyAlignment="1">
      <alignment horizontal="center" vertical="center" wrapText="1"/>
    </xf>
    <xf numFmtId="0" fontId="26" fillId="0" borderId="4" xfId="22" applyFont="1" applyFill="1" applyBorder="1" applyAlignment="1">
      <alignment horizontal="center" vertical="center" wrapText="1"/>
    </xf>
    <xf numFmtId="0" fontId="26" fillId="0" borderId="12" xfId="22" applyFont="1" applyFill="1" applyBorder="1" applyAlignment="1">
      <alignment horizontal="center" vertical="center" wrapText="1"/>
    </xf>
    <xf numFmtId="0" fontId="26" fillId="0" borderId="13" xfId="22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6" fillId="0" borderId="1" xfId="22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justify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179" fontId="30" fillId="0" borderId="6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wrapText="1"/>
    </xf>
    <xf numFmtId="0" fontId="23" fillId="0" borderId="6" xfId="0" applyNumberFormat="1" applyFont="1" applyFill="1" applyBorder="1" applyAlignment="1">
      <alignment horizontal="left" wrapText="1"/>
    </xf>
    <xf numFmtId="0" fontId="31" fillId="0" borderId="1" xfId="0" applyNumberFormat="1" applyFont="1" applyFill="1" applyBorder="1" applyAlignment="1">
      <alignment horizontal="left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left" wrapText="1"/>
    </xf>
    <xf numFmtId="0" fontId="23" fillId="0" borderId="10" xfId="0" applyNumberFormat="1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>
      <alignment vertical="center"/>
    </xf>
    <xf numFmtId="0" fontId="0" fillId="0" borderId="15" xfId="0" applyBorder="1">
      <alignment vertical="center"/>
    </xf>
    <xf numFmtId="0" fontId="0" fillId="4" borderId="15" xfId="0" applyFill="1" applyBorder="1">
      <alignment vertical="center"/>
    </xf>
    <xf numFmtId="0" fontId="0" fillId="0" borderId="17" xfId="0" applyBorder="1">
      <alignment vertical="center"/>
    </xf>
    <xf numFmtId="0" fontId="0" fillId="4" borderId="18" xfId="0" applyFill="1" applyBorder="1">
      <alignment vertical="center"/>
    </xf>
    <xf numFmtId="0" fontId="0" fillId="0" borderId="18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0 2 2 3 2" xfId="50"/>
    <cellStyle name="常规 2" xfId="51"/>
    <cellStyle name="常规 10 2 2 2 2 2" xfId="52"/>
    <cellStyle name="常规 3 2 4" xfId="53"/>
    <cellStyle name="常规 7" xfId="54"/>
    <cellStyle name="常规_Sheet1" xfId="55"/>
  </cellStyles>
  <tableStyles count="0" defaultTableStyle="TableStyleMedium9" defaultPivotStyle="PivotStyleLight16"/>
  <colors>
    <mruColors>
      <color rgb="007F9698"/>
      <color rgb="00006100"/>
      <color rgb="0000969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</row>
    <row r="2" spans="1:28">
      <c r="A2" s="209" t="s">
        <v>1</v>
      </c>
      <c r="B2" s="209" t="s">
        <v>2</v>
      </c>
      <c r="C2" s="209" t="s">
        <v>3</v>
      </c>
      <c r="D2" s="209" t="s">
        <v>4</v>
      </c>
      <c r="E2" s="209" t="s">
        <v>5</v>
      </c>
      <c r="F2" s="209" t="s">
        <v>6</v>
      </c>
      <c r="G2" s="209" t="s">
        <v>7</v>
      </c>
      <c r="H2" s="209" t="s">
        <v>8</v>
      </c>
      <c r="I2" s="209" t="s">
        <v>9</v>
      </c>
      <c r="J2" s="209" t="s">
        <v>10</v>
      </c>
      <c r="K2" s="209" t="s">
        <v>11</v>
      </c>
      <c r="L2" s="209" t="s">
        <v>12</v>
      </c>
      <c r="M2" s="209" t="s">
        <v>13</v>
      </c>
      <c r="N2" s="209" t="s">
        <v>14</v>
      </c>
      <c r="O2" s="209" t="s">
        <v>15</v>
      </c>
      <c r="P2" s="209" t="s">
        <v>16</v>
      </c>
      <c r="Q2" s="209" t="s">
        <v>17</v>
      </c>
      <c r="R2" s="209" t="s">
        <v>18</v>
      </c>
      <c r="S2" s="209" t="s">
        <v>19</v>
      </c>
      <c r="T2" s="209" t="s">
        <v>20</v>
      </c>
      <c r="U2" s="209" t="s">
        <v>21</v>
      </c>
      <c r="V2" s="209" t="s">
        <v>22</v>
      </c>
      <c r="W2" s="209" t="s">
        <v>23</v>
      </c>
      <c r="X2" s="209" t="s">
        <v>24</v>
      </c>
      <c r="Y2" s="209" t="s">
        <v>25</v>
      </c>
      <c r="Z2" s="209" t="s">
        <v>26</v>
      </c>
      <c r="AA2" s="209" t="s">
        <v>27</v>
      </c>
      <c r="AB2" s="209" t="s">
        <v>28</v>
      </c>
    </row>
    <row r="3" spans="1:28">
      <c r="A3" s="209" t="s">
        <v>29</v>
      </c>
      <c r="B3" s="209" t="s">
        <v>30</v>
      </c>
      <c r="C3" s="209"/>
      <c r="D3" s="209"/>
      <c r="E3" s="209"/>
      <c r="F3" s="209"/>
      <c r="G3" s="209">
        <v>1</v>
      </c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>
        <f>SUM(E3:AA3)</f>
        <v>1</v>
      </c>
    </row>
    <row r="4" spans="1:28">
      <c r="A4" s="209" t="s">
        <v>31</v>
      </c>
      <c r="B4" s="209" t="s">
        <v>32</v>
      </c>
      <c r="C4" s="209"/>
      <c r="D4" s="209"/>
      <c r="E4" s="209">
        <v>1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>
        <f t="shared" ref="AB4:AB67" si="0">SUM(E4:AA4)</f>
        <v>1</v>
      </c>
    </row>
    <row r="5" spans="1:28">
      <c r="A5" s="209" t="s">
        <v>33</v>
      </c>
      <c r="B5" s="209" t="s">
        <v>34</v>
      </c>
      <c r="C5" s="209"/>
      <c r="D5" s="209"/>
      <c r="E5" s="209">
        <v>1</v>
      </c>
      <c r="F5" s="209">
        <v>1</v>
      </c>
      <c r="G5" s="209">
        <v>1</v>
      </c>
      <c r="H5" s="209">
        <v>2</v>
      </c>
      <c r="I5" s="209">
        <v>2</v>
      </c>
      <c r="J5" s="209">
        <v>2</v>
      </c>
      <c r="K5" s="209">
        <v>2</v>
      </c>
      <c r="L5" s="209">
        <v>2</v>
      </c>
      <c r="M5" s="209">
        <v>2</v>
      </c>
      <c r="N5" s="209">
        <v>2</v>
      </c>
      <c r="O5" s="209">
        <v>2</v>
      </c>
      <c r="P5" s="209">
        <v>2</v>
      </c>
      <c r="Q5" s="209">
        <v>2</v>
      </c>
      <c r="R5" s="209">
        <v>2</v>
      </c>
      <c r="S5" s="209">
        <v>2</v>
      </c>
      <c r="T5" s="209">
        <v>2</v>
      </c>
      <c r="U5" s="209">
        <v>2</v>
      </c>
      <c r="V5" s="209">
        <v>2</v>
      </c>
      <c r="W5" s="209">
        <v>2</v>
      </c>
      <c r="X5" s="209">
        <v>2</v>
      </c>
      <c r="Y5" s="209">
        <v>2</v>
      </c>
      <c r="Z5" s="209">
        <v>2</v>
      </c>
      <c r="AA5" s="209">
        <v>1</v>
      </c>
      <c r="AB5" s="209">
        <f t="shared" si="0"/>
        <v>42</v>
      </c>
    </row>
    <row r="6" spans="1:28">
      <c r="A6" s="209" t="s">
        <v>35</v>
      </c>
      <c r="B6" s="209" t="s">
        <v>36</v>
      </c>
      <c r="C6" s="209"/>
      <c r="D6" s="209"/>
      <c r="E6" s="209">
        <v>1</v>
      </c>
      <c r="F6" s="209">
        <v>1</v>
      </c>
      <c r="G6" s="209">
        <v>1</v>
      </c>
      <c r="H6" s="209"/>
      <c r="I6" s="209">
        <v>1</v>
      </c>
      <c r="J6" s="209">
        <v>1</v>
      </c>
      <c r="K6" s="209">
        <v>1</v>
      </c>
      <c r="L6" s="209">
        <v>1</v>
      </c>
      <c r="M6" s="209">
        <v>1</v>
      </c>
      <c r="N6" s="209">
        <v>1</v>
      </c>
      <c r="O6" s="209">
        <v>1</v>
      </c>
      <c r="P6" s="209">
        <v>1</v>
      </c>
      <c r="Q6" s="209">
        <v>1</v>
      </c>
      <c r="R6" s="209">
        <v>1</v>
      </c>
      <c r="S6" s="209">
        <v>1</v>
      </c>
      <c r="T6" s="209">
        <v>1</v>
      </c>
      <c r="U6" s="209">
        <v>1</v>
      </c>
      <c r="V6" s="209">
        <v>1</v>
      </c>
      <c r="W6" s="209">
        <v>1</v>
      </c>
      <c r="X6" s="209">
        <v>1</v>
      </c>
      <c r="Y6" s="209">
        <v>1</v>
      </c>
      <c r="Z6" s="209">
        <v>1</v>
      </c>
      <c r="AA6" s="209"/>
      <c r="AB6" s="209">
        <f t="shared" si="0"/>
        <v>21</v>
      </c>
    </row>
    <row r="7" spans="1:28">
      <c r="A7" s="209" t="s">
        <v>37</v>
      </c>
      <c r="B7" s="209" t="s">
        <v>38</v>
      </c>
      <c r="C7" s="209"/>
      <c r="D7" s="209"/>
      <c r="E7" s="209">
        <v>1</v>
      </c>
      <c r="F7" s="209">
        <v>1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>
        <f t="shared" si="0"/>
        <v>2</v>
      </c>
    </row>
    <row r="8" spans="1:28">
      <c r="A8" s="209" t="s">
        <v>39</v>
      </c>
      <c r="B8" s="209" t="s">
        <v>40</v>
      </c>
      <c r="C8" s="209"/>
      <c r="D8" s="209"/>
      <c r="E8" s="209">
        <v>1</v>
      </c>
      <c r="F8" s="209"/>
      <c r="G8" s="209">
        <v>4</v>
      </c>
      <c r="H8" s="209">
        <v>2</v>
      </c>
      <c r="I8" s="209">
        <v>2</v>
      </c>
      <c r="J8" s="209">
        <v>2</v>
      </c>
      <c r="K8" s="209">
        <v>2</v>
      </c>
      <c r="L8" s="209">
        <v>2</v>
      </c>
      <c r="M8" s="209">
        <v>2</v>
      </c>
      <c r="N8" s="209">
        <v>2</v>
      </c>
      <c r="O8" s="209">
        <v>2</v>
      </c>
      <c r="P8" s="209">
        <v>2</v>
      </c>
      <c r="Q8" s="209">
        <v>2</v>
      </c>
      <c r="R8" s="209">
        <v>2</v>
      </c>
      <c r="S8" s="209">
        <v>2</v>
      </c>
      <c r="T8" s="209">
        <v>2</v>
      </c>
      <c r="U8" s="209">
        <v>2</v>
      </c>
      <c r="V8" s="209">
        <v>2</v>
      </c>
      <c r="W8" s="209">
        <v>2</v>
      </c>
      <c r="X8" s="209">
        <v>2</v>
      </c>
      <c r="Y8" s="209">
        <v>2</v>
      </c>
      <c r="Z8" s="209">
        <v>2</v>
      </c>
      <c r="AA8" s="209"/>
      <c r="AB8" s="209">
        <f t="shared" si="0"/>
        <v>43</v>
      </c>
    </row>
    <row r="9" spans="1:28">
      <c r="A9" s="209" t="s">
        <v>41</v>
      </c>
      <c r="B9" s="209" t="s">
        <v>42</v>
      </c>
      <c r="C9" s="209"/>
      <c r="D9" s="209"/>
      <c r="E9" s="209"/>
      <c r="F9" s="209">
        <v>1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>
        <f t="shared" si="0"/>
        <v>1</v>
      </c>
    </row>
    <row r="10" spans="1:28">
      <c r="A10" s="209" t="s">
        <v>43</v>
      </c>
      <c r="B10" s="209" t="s">
        <v>44</v>
      </c>
      <c r="C10" s="209"/>
      <c r="D10" s="209"/>
      <c r="E10" s="209"/>
      <c r="F10" s="209">
        <v>2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>
        <f t="shared" si="0"/>
        <v>2</v>
      </c>
    </row>
    <row r="11" spans="1:28">
      <c r="A11" s="209" t="s">
        <v>45</v>
      </c>
      <c r="B11" s="209" t="s">
        <v>46</v>
      </c>
      <c r="C11" s="209"/>
      <c r="D11" s="209"/>
      <c r="E11" s="209"/>
      <c r="F11" s="209">
        <v>2</v>
      </c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>
        <f t="shared" si="0"/>
        <v>2</v>
      </c>
    </row>
    <row r="12" spans="1:28">
      <c r="A12" s="209" t="s">
        <v>47</v>
      </c>
      <c r="B12" s="209" t="s">
        <v>48</v>
      </c>
      <c r="C12" s="209"/>
      <c r="D12" s="209"/>
      <c r="E12" s="209"/>
      <c r="F12" s="209">
        <v>4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>
        <f t="shared" si="0"/>
        <v>4</v>
      </c>
    </row>
    <row r="13" spans="1:28">
      <c r="A13" s="209" t="s">
        <v>49</v>
      </c>
      <c r="B13" s="209" t="s">
        <v>50</v>
      </c>
      <c r="C13" s="209"/>
      <c r="D13" s="209"/>
      <c r="E13" s="209"/>
      <c r="F13" s="209">
        <v>1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>
        <f t="shared" si="0"/>
        <v>1</v>
      </c>
    </row>
    <row r="14" spans="1:28">
      <c r="A14" s="209" t="s">
        <v>51</v>
      </c>
      <c r="B14" s="209" t="s">
        <v>52</v>
      </c>
      <c r="C14" s="209"/>
      <c r="D14" s="209"/>
      <c r="E14" s="209"/>
      <c r="F14" s="209">
        <v>1</v>
      </c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>
        <f t="shared" si="0"/>
        <v>1</v>
      </c>
    </row>
    <row r="15" spans="1:28">
      <c r="A15" s="209" t="s">
        <v>53</v>
      </c>
      <c r="B15" s="209" t="s">
        <v>54</v>
      </c>
      <c r="C15" s="209"/>
      <c r="D15" s="209"/>
      <c r="E15" s="209"/>
      <c r="F15" s="209">
        <v>1</v>
      </c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>
        <f t="shared" si="0"/>
        <v>1</v>
      </c>
    </row>
    <row r="16" spans="1:28">
      <c r="A16" s="209" t="s">
        <v>55</v>
      </c>
      <c r="B16" s="209" t="s">
        <v>56</v>
      </c>
      <c r="C16" s="209"/>
      <c r="D16" s="209"/>
      <c r="E16" s="209"/>
      <c r="F16" s="209">
        <v>1</v>
      </c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>
        <f t="shared" si="0"/>
        <v>1</v>
      </c>
    </row>
    <row r="17" spans="1:28">
      <c r="A17" s="209" t="s">
        <v>57</v>
      </c>
      <c r="B17" s="209" t="s">
        <v>58</v>
      </c>
      <c r="C17" s="209"/>
      <c r="D17" s="209"/>
      <c r="E17" s="209"/>
      <c r="F17" s="209">
        <v>2</v>
      </c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>
        <f t="shared" si="0"/>
        <v>2</v>
      </c>
    </row>
    <row r="18" spans="1:28">
      <c r="A18" s="209" t="s">
        <v>59</v>
      </c>
      <c r="B18" s="209" t="s">
        <v>60</v>
      </c>
      <c r="C18" s="209"/>
      <c r="D18" s="209"/>
      <c r="E18" s="209"/>
      <c r="F18" s="209">
        <v>1</v>
      </c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>
        <f t="shared" si="0"/>
        <v>1</v>
      </c>
    </row>
    <row r="19" spans="1:28">
      <c r="A19" s="209" t="s">
        <v>61</v>
      </c>
      <c r="B19" s="209" t="s">
        <v>62</v>
      </c>
      <c r="C19" s="209"/>
      <c r="D19" s="209"/>
      <c r="E19" s="209"/>
      <c r="F19" s="209">
        <v>1</v>
      </c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>
        <f t="shared" si="0"/>
        <v>1</v>
      </c>
    </row>
    <row r="20" spans="1:28">
      <c r="A20" s="209" t="s">
        <v>63</v>
      </c>
      <c r="B20" s="209" t="s">
        <v>64</v>
      </c>
      <c r="C20" s="209"/>
      <c r="D20" s="209"/>
      <c r="E20" s="209"/>
      <c r="F20" s="209">
        <v>1</v>
      </c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>
        <f t="shared" si="0"/>
        <v>1</v>
      </c>
    </row>
    <row r="21" spans="1:28">
      <c r="A21" s="209" t="s">
        <v>65</v>
      </c>
      <c r="B21" s="209" t="s">
        <v>66</v>
      </c>
      <c r="C21" s="209"/>
      <c r="D21" s="209"/>
      <c r="E21" s="209"/>
      <c r="F21" s="209">
        <v>7</v>
      </c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>
        <f t="shared" si="0"/>
        <v>7</v>
      </c>
    </row>
    <row r="22" spans="1:28">
      <c r="A22" s="209" t="s">
        <v>67</v>
      </c>
      <c r="B22" s="209" t="s">
        <v>68</v>
      </c>
      <c r="C22" s="209"/>
      <c r="D22" s="209"/>
      <c r="E22" s="209"/>
      <c r="F22" s="209">
        <v>1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>
        <f t="shared" si="0"/>
        <v>1</v>
      </c>
    </row>
    <row r="23" spans="1:28">
      <c r="A23" s="209" t="s">
        <v>69</v>
      </c>
      <c r="B23" s="209" t="s">
        <v>70</v>
      </c>
      <c r="C23" s="209"/>
      <c r="D23" s="209"/>
      <c r="E23" s="209"/>
      <c r="F23" s="209">
        <v>6</v>
      </c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>
        <f t="shared" si="0"/>
        <v>6</v>
      </c>
    </row>
    <row r="24" spans="1:28">
      <c r="A24" s="209" t="s">
        <v>71</v>
      </c>
      <c r="B24" s="209" t="s">
        <v>72</v>
      </c>
      <c r="C24" s="209"/>
      <c r="D24" s="209"/>
      <c r="E24" s="209"/>
      <c r="F24" s="209">
        <v>4</v>
      </c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>
        <f t="shared" si="0"/>
        <v>4</v>
      </c>
    </row>
    <row r="25" spans="1:28">
      <c r="A25" s="209" t="s">
        <v>73</v>
      </c>
      <c r="B25" s="209" t="s">
        <v>74</v>
      </c>
      <c r="C25" s="209"/>
      <c r="D25" s="209"/>
      <c r="E25" s="209"/>
      <c r="F25" s="209">
        <v>1</v>
      </c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>
        <f t="shared" si="0"/>
        <v>1</v>
      </c>
    </row>
    <row r="26" spans="1:28">
      <c r="A26" s="209" t="s">
        <v>75</v>
      </c>
      <c r="B26" s="209" t="s">
        <v>76</v>
      </c>
      <c r="C26" s="209"/>
      <c r="D26" s="209"/>
      <c r="E26" s="209"/>
      <c r="F26" s="209">
        <v>1</v>
      </c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>
        <f t="shared" si="0"/>
        <v>1</v>
      </c>
    </row>
    <row r="27" spans="1:28">
      <c r="A27" s="209" t="s">
        <v>77</v>
      </c>
      <c r="B27" s="209" t="s">
        <v>78</v>
      </c>
      <c r="C27" s="209"/>
      <c r="D27" s="209"/>
      <c r="E27" s="209"/>
      <c r="F27" s="209">
        <v>1</v>
      </c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>
        <f t="shared" si="0"/>
        <v>1</v>
      </c>
    </row>
    <row r="28" spans="1:28">
      <c r="A28" s="209" t="s">
        <v>79</v>
      </c>
      <c r="B28" s="209" t="s">
        <v>80</v>
      </c>
      <c r="C28" s="209"/>
      <c r="D28" s="209"/>
      <c r="E28" s="209"/>
      <c r="F28" s="209">
        <v>1</v>
      </c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>
        <f t="shared" si="0"/>
        <v>1</v>
      </c>
    </row>
    <row r="29" spans="1:28">
      <c r="A29" s="209" t="s">
        <v>81</v>
      </c>
      <c r="B29" s="209" t="s">
        <v>82</v>
      </c>
      <c r="C29" s="209"/>
      <c r="D29" s="209"/>
      <c r="E29" s="209"/>
      <c r="F29" s="209">
        <v>1</v>
      </c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>
        <f t="shared" si="0"/>
        <v>1</v>
      </c>
    </row>
    <row r="30" spans="1:28">
      <c r="A30" s="209" t="s">
        <v>83</v>
      </c>
      <c r="B30" s="209" t="s">
        <v>84</v>
      </c>
      <c r="C30" s="209"/>
      <c r="D30" s="209"/>
      <c r="E30" s="209"/>
      <c r="F30" s="209">
        <v>1</v>
      </c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>
        <f t="shared" si="0"/>
        <v>1</v>
      </c>
    </row>
    <row r="31" spans="1:28">
      <c r="A31" s="209" t="s">
        <v>85</v>
      </c>
      <c r="B31" s="209" t="s">
        <v>86</v>
      </c>
      <c r="C31" s="209"/>
      <c r="D31" s="209"/>
      <c r="E31" s="209"/>
      <c r="F31" s="209">
        <v>1</v>
      </c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>
        <f t="shared" si="0"/>
        <v>1</v>
      </c>
    </row>
    <row r="32" spans="1:28">
      <c r="A32" s="209" t="s">
        <v>87</v>
      </c>
      <c r="B32" s="209" t="s">
        <v>88</v>
      </c>
      <c r="C32" s="209"/>
      <c r="D32" s="209"/>
      <c r="E32" s="209"/>
      <c r="F32" s="209"/>
      <c r="G32" s="209">
        <v>2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>
        <f t="shared" si="0"/>
        <v>2</v>
      </c>
    </row>
    <row r="33" spans="1:28">
      <c r="A33" s="209" t="s">
        <v>89</v>
      </c>
      <c r="B33" s="209" t="s">
        <v>90</v>
      </c>
      <c r="C33" s="209"/>
      <c r="D33" s="209"/>
      <c r="E33" s="209"/>
      <c r="F33" s="209"/>
      <c r="G33" s="209">
        <v>3</v>
      </c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>
        <f t="shared" si="0"/>
        <v>3</v>
      </c>
    </row>
    <row r="34" spans="1:28">
      <c r="A34" s="209" t="s">
        <v>91</v>
      </c>
      <c r="B34" s="209" t="s">
        <v>92</v>
      </c>
      <c r="C34" s="209"/>
      <c r="D34" s="209"/>
      <c r="E34" s="209"/>
      <c r="F34" s="209"/>
      <c r="G34" s="209">
        <v>1</v>
      </c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>
        <f t="shared" si="0"/>
        <v>1</v>
      </c>
    </row>
    <row r="35" spans="1:28">
      <c r="A35" s="209" t="s">
        <v>93</v>
      </c>
      <c r="B35" s="209" t="s">
        <v>94</v>
      </c>
      <c r="C35" s="209"/>
      <c r="D35" s="209"/>
      <c r="E35" s="209"/>
      <c r="F35" s="209"/>
      <c r="G35" s="209">
        <v>1</v>
      </c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>
        <f t="shared" si="0"/>
        <v>1</v>
      </c>
    </row>
    <row r="36" spans="1:28">
      <c r="A36" s="209" t="s">
        <v>95</v>
      </c>
      <c r="B36" s="209" t="s">
        <v>96</v>
      </c>
      <c r="C36" s="209"/>
      <c r="D36" s="209"/>
      <c r="E36" s="209"/>
      <c r="F36" s="209"/>
      <c r="G36" s="209">
        <v>1</v>
      </c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>
        <f t="shared" si="0"/>
        <v>1</v>
      </c>
    </row>
    <row r="37" spans="1:28">
      <c r="A37" s="209" t="s">
        <v>97</v>
      </c>
      <c r="B37" s="209" t="s">
        <v>98</v>
      </c>
      <c r="C37" s="209"/>
      <c r="D37" s="209"/>
      <c r="E37" s="209"/>
      <c r="F37" s="209"/>
      <c r="G37" s="209">
        <v>1</v>
      </c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>
        <f t="shared" si="0"/>
        <v>1</v>
      </c>
    </row>
    <row r="38" spans="1:28">
      <c r="A38" s="209" t="s">
        <v>99</v>
      </c>
      <c r="B38" s="209" t="s">
        <v>100</v>
      </c>
      <c r="C38" s="209"/>
      <c r="D38" s="209"/>
      <c r="E38" s="209"/>
      <c r="F38" s="209"/>
      <c r="G38" s="209">
        <v>1</v>
      </c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>
        <f t="shared" si="0"/>
        <v>1</v>
      </c>
    </row>
    <row r="39" spans="1:28">
      <c r="A39" s="209" t="s">
        <v>101</v>
      </c>
      <c r="B39" s="209" t="s">
        <v>102</v>
      </c>
      <c r="C39" s="209"/>
      <c r="D39" s="209"/>
      <c r="E39" s="209"/>
      <c r="F39" s="209"/>
      <c r="G39" s="209">
        <v>1</v>
      </c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>
        <f t="shared" si="0"/>
        <v>1</v>
      </c>
    </row>
    <row r="40" spans="1:28">
      <c r="A40" s="209" t="s">
        <v>103</v>
      </c>
      <c r="B40" s="209" t="s">
        <v>104</v>
      </c>
      <c r="C40" s="209"/>
      <c r="D40" s="209"/>
      <c r="E40" s="209"/>
      <c r="F40" s="209"/>
      <c r="G40" s="209">
        <v>1</v>
      </c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>
        <f t="shared" si="0"/>
        <v>1</v>
      </c>
    </row>
    <row r="41" spans="1:28">
      <c r="A41" s="209" t="s">
        <v>105</v>
      </c>
      <c r="B41" s="209" t="s">
        <v>106</v>
      </c>
      <c r="C41" s="209"/>
      <c r="D41" s="209"/>
      <c r="E41" s="209"/>
      <c r="F41" s="209"/>
      <c r="G41" s="209">
        <v>1</v>
      </c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>
        <f t="shared" si="0"/>
        <v>1</v>
      </c>
    </row>
    <row r="42" spans="1:28">
      <c r="A42" s="209" t="s">
        <v>107</v>
      </c>
      <c r="B42" s="209" t="s">
        <v>108</v>
      </c>
      <c r="C42" s="209"/>
      <c r="D42" s="209"/>
      <c r="E42" s="209"/>
      <c r="F42" s="209"/>
      <c r="G42" s="209">
        <v>1</v>
      </c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>
        <f t="shared" si="0"/>
        <v>1</v>
      </c>
    </row>
    <row r="43" spans="1:28">
      <c r="A43" s="209" t="s">
        <v>109</v>
      </c>
      <c r="B43" s="209" t="s">
        <v>110</v>
      </c>
      <c r="C43" s="209"/>
      <c r="D43" s="209"/>
      <c r="E43" s="209"/>
      <c r="F43" s="209"/>
      <c r="G43" s="209">
        <v>1</v>
      </c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>
        <f t="shared" si="0"/>
        <v>1</v>
      </c>
    </row>
    <row r="44" spans="1:28">
      <c r="A44" s="209" t="s">
        <v>111</v>
      </c>
      <c r="B44" s="209" t="s">
        <v>112</v>
      </c>
      <c r="C44" s="209"/>
      <c r="D44" s="209"/>
      <c r="E44" s="209"/>
      <c r="F44" s="209"/>
      <c r="G44" s="209">
        <v>1</v>
      </c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>
        <f t="shared" si="0"/>
        <v>1</v>
      </c>
    </row>
    <row r="45" spans="1:28">
      <c r="A45" s="209" t="s">
        <v>113</v>
      </c>
      <c r="B45" s="209" t="s">
        <v>114</v>
      </c>
      <c r="C45" s="209"/>
      <c r="D45" s="209"/>
      <c r="E45" s="209"/>
      <c r="F45" s="209"/>
      <c r="G45" s="209">
        <v>6</v>
      </c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>
        <f t="shared" si="0"/>
        <v>6</v>
      </c>
    </row>
    <row r="46" spans="1:28">
      <c r="A46" s="209" t="s">
        <v>115</v>
      </c>
      <c r="B46" s="209" t="s">
        <v>116</v>
      </c>
      <c r="C46" s="209"/>
      <c r="D46" s="209"/>
      <c r="E46" s="209"/>
      <c r="F46" s="209"/>
      <c r="G46" s="209">
        <v>1</v>
      </c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>
        <f t="shared" si="0"/>
        <v>1</v>
      </c>
    </row>
    <row r="47" spans="1:28">
      <c r="A47" s="209" t="s">
        <v>117</v>
      </c>
      <c r="B47" s="211" t="s">
        <v>118</v>
      </c>
      <c r="C47" s="209"/>
      <c r="D47" s="209"/>
      <c r="E47" s="209"/>
      <c r="F47" s="209"/>
      <c r="G47" s="209">
        <v>1</v>
      </c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>
        <f t="shared" si="0"/>
        <v>1</v>
      </c>
    </row>
    <row r="48" spans="1:28">
      <c r="A48" s="209" t="s">
        <v>119</v>
      </c>
      <c r="B48" s="209" t="s">
        <v>120</v>
      </c>
      <c r="C48" s="209"/>
      <c r="D48" s="209"/>
      <c r="E48" s="209"/>
      <c r="F48" s="209"/>
      <c r="G48" s="209">
        <v>4</v>
      </c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>
        <f t="shared" si="0"/>
        <v>4</v>
      </c>
    </row>
    <row r="49" spans="1:28">
      <c r="A49" s="209" t="s">
        <v>121</v>
      </c>
      <c r="B49" s="209" t="s">
        <v>122</v>
      </c>
      <c r="C49" s="209"/>
      <c r="D49" s="209"/>
      <c r="E49" s="209"/>
      <c r="F49" s="209"/>
      <c r="G49" s="209">
        <v>1</v>
      </c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>
        <f t="shared" si="0"/>
        <v>1</v>
      </c>
    </row>
    <row r="50" spans="1:28">
      <c r="A50" s="209" t="s">
        <v>123</v>
      </c>
      <c r="B50" s="209" t="s">
        <v>124</v>
      </c>
      <c r="C50" s="209"/>
      <c r="D50" s="209"/>
      <c r="E50" s="209"/>
      <c r="F50" s="209"/>
      <c r="G50" s="209">
        <v>1</v>
      </c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>
        <f t="shared" si="0"/>
        <v>1</v>
      </c>
    </row>
    <row r="51" spans="1:28">
      <c r="A51" s="209" t="s">
        <v>125</v>
      </c>
      <c r="B51" s="209" t="s">
        <v>126</v>
      </c>
      <c r="C51" s="209"/>
      <c r="D51" s="209"/>
      <c r="E51" s="209"/>
      <c r="F51" s="209"/>
      <c r="G51" s="209">
        <v>1</v>
      </c>
      <c r="H51" s="209">
        <v>2</v>
      </c>
      <c r="I51" s="209">
        <v>2</v>
      </c>
      <c r="J51" s="209">
        <v>2</v>
      </c>
      <c r="K51" s="209">
        <v>2</v>
      </c>
      <c r="L51" s="209">
        <v>2</v>
      </c>
      <c r="M51" s="209">
        <v>2</v>
      </c>
      <c r="N51" s="209">
        <v>2</v>
      </c>
      <c r="O51" s="209">
        <v>2</v>
      </c>
      <c r="P51" s="209">
        <v>2</v>
      </c>
      <c r="Q51" s="209">
        <v>2</v>
      </c>
      <c r="R51" s="209">
        <v>2</v>
      </c>
      <c r="S51" s="209">
        <v>2</v>
      </c>
      <c r="T51" s="209">
        <v>2</v>
      </c>
      <c r="U51" s="209">
        <v>2</v>
      </c>
      <c r="V51" s="209">
        <v>2</v>
      </c>
      <c r="W51" s="209">
        <v>2</v>
      </c>
      <c r="X51" s="209">
        <v>2</v>
      </c>
      <c r="Y51" s="209">
        <v>2</v>
      </c>
      <c r="Z51" s="209">
        <v>2</v>
      </c>
      <c r="AA51" s="209">
        <v>2</v>
      </c>
      <c r="AB51" s="209">
        <f t="shared" si="0"/>
        <v>41</v>
      </c>
    </row>
    <row r="52" spans="1:28">
      <c r="A52" s="209" t="s">
        <v>127</v>
      </c>
      <c r="B52" s="209" t="s">
        <v>128</v>
      </c>
      <c r="C52" s="209"/>
      <c r="D52" s="209"/>
      <c r="E52" s="209"/>
      <c r="F52" s="209"/>
      <c r="G52" s="209">
        <v>1</v>
      </c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>
        <f t="shared" si="0"/>
        <v>1</v>
      </c>
    </row>
    <row r="53" spans="1:28">
      <c r="A53" s="209" t="s">
        <v>129</v>
      </c>
      <c r="B53" s="209" t="s">
        <v>130</v>
      </c>
      <c r="C53" s="209"/>
      <c r="D53" s="209"/>
      <c r="E53" s="209"/>
      <c r="F53" s="209"/>
      <c r="G53" s="209">
        <v>1</v>
      </c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>
        <f t="shared" si="0"/>
        <v>1</v>
      </c>
    </row>
    <row r="54" spans="1:28">
      <c r="A54" s="209" t="s">
        <v>131</v>
      </c>
      <c r="B54" s="209" t="s">
        <v>132</v>
      </c>
      <c r="C54" s="209"/>
      <c r="D54" s="209"/>
      <c r="E54" s="209"/>
      <c r="F54" s="209"/>
      <c r="G54" s="209">
        <v>1</v>
      </c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>
        <f t="shared" si="0"/>
        <v>1</v>
      </c>
    </row>
    <row r="55" spans="1:28">
      <c r="A55" s="209" t="s">
        <v>133</v>
      </c>
      <c r="B55" s="210" t="s">
        <v>134</v>
      </c>
      <c r="C55" s="210"/>
      <c r="D55" s="210"/>
      <c r="E55" s="210"/>
      <c r="F55" s="210"/>
      <c r="G55" s="210">
        <v>1</v>
      </c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09">
        <f t="shared" si="0"/>
        <v>1</v>
      </c>
    </row>
    <row r="56" spans="1:28">
      <c r="A56" s="214" t="s">
        <v>135</v>
      </c>
      <c r="B56" s="209" t="s">
        <v>136</v>
      </c>
      <c r="C56" s="209"/>
      <c r="D56" s="209"/>
      <c r="E56" s="209"/>
      <c r="F56" s="209"/>
      <c r="G56" s="209">
        <v>2</v>
      </c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>
        <f t="shared" si="0"/>
        <v>2</v>
      </c>
    </row>
    <row r="57" spans="1:28">
      <c r="A57" s="214" t="s">
        <v>137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>
        <f t="shared" si="0"/>
        <v>0</v>
      </c>
    </row>
    <row r="58" spans="1:28">
      <c r="A58" s="214" t="s">
        <v>138</v>
      </c>
      <c r="B58" s="209" t="s">
        <v>139</v>
      </c>
      <c r="C58" s="209"/>
      <c r="D58" s="209"/>
      <c r="E58" s="209"/>
      <c r="F58" s="209"/>
      <c r="G58" s="209">
        <v>1</v>
      </c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>
        <f t="shared" si="0"/>
        <v>1</v>
      </c>
    </row>
    <row r="59" spans="1:28">
      <c r="A59" s="214" t="s">
        <v>140</v>
      </c>
      <c r="B59" s="209" t="s">
        <v>141</v>
      </c>
      <c r="C59" s="209"/>
      <c r="D59" s="209"/>
      <c r="E59" s="209"/>
      <c r="F59" s="209"/>
      <c r="G59" s="209"/>
      <c r="H59" s="209">
        <v>1</v>
      </c>
      <c r="I59" s="209">
        <v>1</v>
      </c>
      <c r="J59" s="209">
        <v>1</v>
      </c>
      <c r="K59" s="209">
        <v>1</v>
      </c>
      <c r="L59" s="209">
        <v>1</v>
      </c>
      <c r="M59" s="209">
        <v>1</v>
      </c>
      <c r="N59" s="209">
        <v>1</v>
      </c>
      <c r="O59" s="209">
        <v>1</v>
      </c>
      <c r="P59" s="209">
        <v>1</v>
      </c>
      <c r="Q59" s="209">
        <v>1</v>
      </c>
      <c r="R59" s="209">
        <v>1</v>
      </c>
      <c r="S59" s="209">
        <v>1</v>
      </c>
      <c r="T59" s="209">
        <v>1</v>
      </c>
      <c r="U59" s="209">
        <v>1</v>
      </c>
      <c r="V59" s="209">
        <v>1</v>
      </c>
      <c r="W59" s="209">
        <v>1</v>
      </c>
      <c r="X59" s="209">
        <v>1</v>
      </c>
      <c r="Y59" s="209">
        <v>1</v>
      </c>
      <c r="Z59" s="209">
        <v>1</v>
      </c>
      <c r="AA59" s="209"/>
      <c r="AB59" s="209">
        <f t="shared" si="0"/>
        <v>19</v>
      </c>
    </row>
    <row r="60" spans="1:28">
      <c r="A60" s="214" t="s">
        <v>142</v>
      </c>
      <c r="B60" s="209" t="s">
        <v>143</v>
      </c>
      <c r="C60" s="209"/>
      <c r="D60" s="209"/>
      <c r="E60" s="209"/>
      <c r="F60" s="209"/>
      <c r="G60" s="209"/>
      <c r="H60" s="209">
        <v>1</v>
      </c>
      <c r="I60" s="209">
        <v>1</v>
      </c>
      <c r="J60" s="209">
        <v>1</v>
      </c>
      <c r="K60" s="209">
        <v>1</v>
      </c>
      <c r="L60" s="209">
        <v>1</v>
      </c>
      <c r="M60" s="209">
        <v>1</v>
      </c>
      <c r="N60" s="209">
        <v>1</v>
      </c>
      <c r="O60" s="209">
        <v>1</v>
      </c>
      <c r="P60" s="209">
        <v>1</v>
      </c>
      <c r="Q60" s="209">
        <v>1</v>
      </c>
      <c r="R60" s="209">
        <v>1</v>
      </c>
      <c r="S60" s="209">
        <v>1</v>
      </c>
      <c r="T60" s="209">
        <v>1</v>
      </c>
      <c r="U60" s="209">
        <v>1</v>
      </c>
      <c r="V60" s="209">
        <v>1</v>
      </c>
      <c r="W60" s="209">
        <v>1</v>
      </c>
      <c r="X60" s="209">
        <v>1</v>
      </c>
      <c r="Y60" s="209">
        <v>1</v>
      </c>
      <c r="Z60" s="209">
        <v>1</v>
      </c>
      <c r="AA60" s="209"/>
      <c r="AB60" s="209">
        <f t="shared" si="0"/>
        <v>19</v>
      </c>
    </row>
    <row r="61" spans="1:28">
      <c r="A61" s="214" t="s">
        <v>144</v>
      </c>
      <c r="B61" s="209" t="s">
        <v>145</v>
      </c>
      <c r="C61" s="209"/>
      <c r="D61" s="209"/>
      <c r="E61" s="209"/>
      <c r="F61" s="209"/>
      <c r="G61" s="209"/>
      <c r="H61" s="209">
        <v>4</v>
      </c>
      <c r="I61" s="209">
        <v>4</v>
      </c>
      <c r="J61" s="209">
        <v>4</v>
      </c>
      <c r="K61" s="209">
        <v>4</v>
      </c>
      <c r="L61" s="209">
        <v>4</v>
      </c>
      <c r="M61" s="209">
        <v>4</v>
      </c>
      <c r="N61" s="209">
        <v>4</v>
      </c>
      <c r="O61" s="209">
        <v>4</v>
      </c>
      <c r="P61" s="209">
        <v>4</v>
      </c>
      <c r="Q61" s="209">
        <v>4</v>
      </c>
      <c r="R61" s="209">
        <v>4</v>
      </c>
      <c r="S61" s="209">
        <v>4</v>
      </c>
      <c r="T61" s="209">
        <v>4</v>
      </c>
      <c r="U61" s="209">
        <v>4</v>
      </c>
      <c r="V61" s="209">
        <v>4</v>
      </c>
      <c r="W61" s="209">
        <v>4</v>
      </c>
      <c r="X61" s="209">
        <v>4</v>
      </c>
      <c r="Y61" s="209">
        <v>4</v>
      </c>
      <c r="Z61" s="209">
        <v>4</v>
      </c>
      <c r="AA61" s="209"/>
      <c r="AB61" s="209">
        <f t="shared" si="0"/>
        <v>76</v>
      </c>
    </row>
    <row r="62" spans="1:28">
      <c r="A62" s="214" t="s">
        <v>146</v>
      </c>
      <c r="B62" s="209" t="s">
        <v>147</v>
      </c>
      <c r="C62" s="209"/>
      <c r="D62" s="209"/>
      <c r="E62" s="209"/>
      <c r="F62" s="209"/>
      <c r="G62" s="209"/>
      <c r="H62" s="209">
        <v>3</v>
      </c>
      <c r="I62" s="209">
        <v>3</v>
      </c>
      <c r="J62" s="209">
        <v>3</v>
      </c>
      <c r="K62" s="209">
        <v>3</v>
      </c>
      <c r="L62" s="209">
        <v>3</v>
      </c>
      <c r="M62" s="209">
        <v>3</v>
      </c>
      <c r="N62" s="209">
        <v>3</v>
      </c>
      <c r="O62" s="209">
        <v>3</v>
      </c>
      <c r="P62" s="209">
        <v>3</v>
      </c>
      <c r="Q62" s="209">
        <v>3</v>
      </c>
      <c r="R62" s="209">
        <v>3</v>
      </c>
      <c r="S62" s="209">
        <v>3</v>
      </c>
      <c r="T62" s="209">
        <v>3</v>
      </c>
      <c r="U62" s="209">
        <v>3</v>
      </c>
      <c r="V62" s="209">
        <v>3</v>
      </c>
      <c r="W62" s="209">
        <v>3</v>
      </c>
      <c r="X62" s="209">
        <v>3</v>
      </c>
      <c r="Y62" s="209">
        <v>3</v>
      </c>
      <c r="Z62" s="209">
        <v>3</v>
      </c>
      <c r="AA62" s="209"/>
      <c r="AB62" s="209">
        <f t="shared" si="0"/>
        <v>57</v>
      </c>
    </row>
    <row r="63" spans="1:28">
      <c r="A63" s="214" t="s">
        <v>148</v>
      </c>
      <c r="B63" s="209" t="s">
        <v>149</v>
      </c>
      <c r="C63" s="209"/>
      <c r="D63" s="209"/>
      <c r="E63" s="209"/>
      <c r="F63" s="209"/>
      <c r="G63" s="209"/>
      <c r="H63" s="209">
        <v>6</v>
      </c>
      <c r="I63" s="209">
        <v>6</v>
      </c>
      <c r="J63" s="209">
        <v>6</v>
      </c>
      <c r="K63" s="209">
        <v>6</v>
      </c>
      <c r="L63" s="209">
        <v>6</v>
      </c>
      <c r="M63" s="209">
        <v>6</v>
      </c>
      <c r="N63" s="209">
        <v>6</v>
      </c>
      <c r="O63" s="209">
        <v>6</v>
      </c>
      <c r="P63" s="209">
        <v>6</v>
      </c>
      <c r="Q63" s="209">
        <v>6</v>
      </c>
      <c r="R63" s="209">
        <v>6</v>
      </c>
      <c r="S63" s="209">
        <v>6</v>
      </c>
      <c r="T63" s="209">
        <v>6</v>
      </c>
      <c r="U63" s="209">
        <v>6</v>
      </c>
      <c r="V63" s="209">
        <v>6</v>
      </c>
      <c r="W63" s="209">
        <v>6</v>
      </c>
      <c r="X63" s="209">
        <v>6</v>
      </c>
      <c r="Y63" s="209">
        <v>6</v>
      </c>
      <c r="Z63" s="209">
        <v>6</v>
      </c>
      <c r="AA63" s="209"/>
      <c r="AB63" s="209">
        <f t="shared" si="0"/>
        <v>114</v>
      </c>
    </row>
    <row r="64" spans="1:28">
      <c r="A64" s="214" t="s">
        <v>150</v>
      </c>
      <c r="B64" s="209" t="s">
        <v>151</v>
      </c>
      <c r="C64" s="209"/>
      <c r="D64" s="209"/>
      <c r="E64" s="209"/>
      <c r="F64" s="209"/>
      <c r="G64" s="209"/>
      <c r="H64" s="209">
        <v>6</v>
      </c>
      <c r="I64" s="209">
        <v>6</v>
      </c>
      <c r="J64" s="209">
        <v>6</v>
      </c>
      <c r="K64" s="209">
        <v>6</v>
      </c>
      <c r="L64" s="209">
        <v>6</v>
      </c>
      <c r="M64" s="209">
        <v>6</v>
      </c>
      <c r="N64" s="209">
        <v>6</v>
      </c>
      <c r="O64" s="209">
        <v>6</v>
      </c>
      <c r="P64" s="209">
        <v>6</v>
      </c>
      <c r="Q64" s="209">
        <v>6</v>
      </c>
      <c r="R64" s="209">
        <v>6</v>
      </c>
      <c r="S64" s="209">
        <v>6</v>
      </c>
      <c r="T64" s="209">
        <v>6</v>
      </c>
      <c r="U64" s="209">
        <v>6</v>
      </c>
      <c r="V64" s="209">
        <v>6</v>
      </c>
      <c r="W64" s="209">
        <v>6</v>
      </c>
      <c r="X64" s="209">
        <v>6</v>
      </c>
      <c r="Y64" s="209">
        <v>6</v>
      </c>
      <c r="Z64" s="209">
        <v>6</v>
      </c>
      <c r="AA64" s="209"/>
      <c r="AB64" s="209">
        <f t="shared" si="0"/>
        <v>114</v>
      </c>
    </row>
    <row r="65" spans="1:28">
      <c r="A65" s="214" t="s">
        <v>152</v>
      </c>
      <c r="B65" s="209" t="s">
        <v>153</v>
      </c>
      <c r="C65" s="209"/>
      <c r="D65" s="209"/>
      <c r="E65" s="209"/>
      <c r="F65" s="209"/>
      <c r="G65" s="209"/>
      <c r="H65" s="209">
        <v>3</v>
      </c>
      <c r="I65" s="209">
        <v>1</v>
      </c>
      <c r="J65" s="209">
        <v>1</v>
      </c>
      <c r="K65" s="209">
        <v>1</v>
      </c>
      <c r="L65" s="209">
        <v>2</v>
      </c>
      <c r="M65" s="209">
        <v>1</v>
      </c>
      <c r="N65" s="209">
        <v>2</v>
      </c>
      <c r="O65" s="209">
        <v>1</v>
      </c>
      <c r="P65" s="209">
        <v>1</v>
      </c>
      <c r="Q65" s="209">
        <v>1</v>
      </c>
      <c r="R65" s="209">
        <v>1</v>
      </c>
      <c r="S65" s="209">
        <v>1</v>
      </c>
      <c r="T65" s="209">
        <v>1</v>
      </c>
      <c r="U65" s="209">
        <v>1</v>
      </c>
      <c r="V65" s="209">
        <v>1</v>
      </c>
      <c r="W65" s="209">
        <v>1</v>
      </c>
      <c r="X65" s="209">
        <v>1</v>
      </c>
      <c r="Y65" s="209">
        <v>1</v>
      </c>
      <c r="Z65" s="209">
        <v>1</v>
      </c>
      <c r="AA65" s="209"/>
      <c r="AB65" s="209">
        <f t="shared" si="0"/>
        <v>23</v>
      </c>
    </row>
    <row r="66" spans="1:28">
      <c r="A66" s="214" t="s">
        <v>154</v>
      </c>
      <c r="B66" s="209" t="s">
        <v>155</v>
      </c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>
        <f t="shared" si="0"/>
        <v>0</v>
      </c>
    </row>
    <row r="67" spans="1:28">
      <c r="A67" s="214" t="s">
        <v>156</v>
      </c>
      <c r="B67" s="209" t="s">
        <v>157</v>
      </c>
      <c r="C67" s="209"/>
      <c r="D67" s="209"/>
      <c r="E67" s="209"/>
      <c r="F67" s="209"/>
      <c r="G67" s="209"/>
      <c r="H67" s="209">
        <v>1</v>
      </c>
      <c r="I67" s="209">
        <v>1</v>
      </c>
      <c r="J67" s="209">
        <v>1</v>
      </c>
      <c r="K67" s="209">
        <v>1</v>
      </c>
      <c r="L67" s="209">
        <v>1</v>
      </c>
      <c r="M67" s="209">
        <v>1</v>
      </c>
      <c r="N67" s="209">
        <v>1</v>
      </c>
      <c r="O67" s="209">
        <v>1</v>
      </c>
      <c r="P67" s="209">
        <v>1</v>
      </c>
      <c r="Q67" s="209">
        <v>1</v>
      </c>
      <c r="R67" s="209">
        <v>1</v>
      </c>
      <c r="S67" s="209">
        <v>1</v>
      </c>
      <c r="T67" s="209">
        <v>1</v>
      </c>
      <c r="U67" s="209">
        <v>1</v>
      </c>
      <c r="V67" s="209">
        <v>1</v>
      </c>
      <c r="W67" s="209">
        <v>1</v>
      </c>
      <c r="X67" s="209">
        <v>1</v>
      </c>
      <c r="Y67" s="209">
        <v>1</v>
      </c>
      <c r="Z67" s="209">
        <v>1</v>
      </c>
      <c r="AA67" s="209"/>
      <c r="AB67" s="209">
        <f t="shared" si="0"/>
        <v>19</v>
      </c>
    </row>
    <row r="68" spans="1:28">
      <c r="A68" s="214" t="s">
        <v>158</v>
      </c>
      <c r="B68" s="209" t="s">
        <v>159</v>
      </c>
      <c r="C68" s="209"/>
      <c r="D68" s="209"/>
      <c r="E68" s="209"/>
      <c r="F68" s="209"/>
      <c r="G68" s="209"/>
      <c r="H68" s="209">
        <v>2</v>
      </c>
      <c r="I68" s="209">
        <v>2</v>
      </c>
      <c r="J68" s="209">
        <v>2</v>
      </c>
      <c r="K68" s="209">
        <v>2</v>
      </c>
      <c r="L68" s="209">
        <v>2</v>
      </c>
      <c r="M68" s="209">
        <v>2</v>
      </c>
      <c r="N68" s="209">
        <v>2</v>
      </c>
      <c r="O68" s="209">
        <v>2</v>
      </c>
      <c r="P68" s="209">
        <v>2</v>
      </c>
      <c r="Q68" s="209">
        <v>2</v>
      </c>
      <c r="R68" s="209">
        <v>2</v>
      </c>
      <c r="S68" s="209">
        <v>2</v>
      </c>
      <c r="T68" s="209">
        <v>2</v>
      </c>
      <c r="U68" s="209">
        <v>2</v>
      </c>
      <c r="V68" s="209">
        <v>2</v>
      </c>
      <c r="W68" s="209">
        <v>2</v>
      </c>
      <c r="X68" s="209">
        <v>2</v>
      </c>
      <c r="Y68" s="209">
        <v>2</v>
      </c>
      <c r="Z68" s="209">
        <v>2</v>
      </c>
      <c r="AA68" s="209"/>
      <c r="AB68" s="209">
        <f t="shared" ref="AB68:AB91" si="1">SUM(E68:AA68)</f>
        <v>38</v>
      </c>
    </row>
    <row r="69" spans="1:28">
      <c r="A69" s="214" t="s">
        <v>160</v>
      </c>
      <c r="B69" s="209" t="s">
        <v>161</v>
      </c>
      <c r="C69" s="209"/>
      <c r="D69" s="209"/>
      <c r="E69" s="209"/>
      <c r="F69" s="209"/>
      <c r="G69" s="209"/>
      <c r="H69" s="209">
        <v>2</v>
      </c>
      <c r="I69" s="209">
        <v>1</v>
      </c>
      <c r="J69" s="209">
        <v>1</v>
      </c>
      <c r="K69" s="209">
        <v>1</v>
      </c>
      <c r="L69" s="209">
        <v>1</v>
      </c>
      <c r="M69" s="209">
        <v>1</v>
      </c>
      <c r="N69" s="209">
        <v>1</v>
      </c>
      <c r="O69" s="209">
        <v>1</v>
      </c>
      <c r="P69" s="209">
        <v>1</v>
      </c>
      <c r="Q69" s="209">
        <v>1</v>
      </c>
      <c r="R69" s="209">
        <v>1</v>
      </c>
      <c r="S69" s="209">
        <v>1</v>
      </c>
      <c r="T69" s="209">
        <v>1</v>
      </c>
      <c r="U69" s="209">
        <v>1</v>
      </c>
      <c r="V69" s="209">
        <v>1</v>
      </c>
      <c r="W69" s="209">
        <v>1</v>
      </c>
      <c r="X69" s="209">
        <v>1</v>
      </c>
      <c r="Y69" s="209">
        <v>1</v>
      </c>
      <c r="Z69" s="209">
        <v>1</v>
      </c>
      <c r="AA69" s="209"/>
      <c r="AB69" s="209">
        <f t="shared" si="1"/>
        <v>20</v>
      </c>
    </row>
    <row r="70" spans="1:28">
      <c r="A70" s="214" t="s">
        <v>162</v>
      </c>
      <c r="B70" s="209" t="s">
        <v>163</v>
      </c>
      <c r="C70" s="209"/>
      <c r="D70" s="209"/>
      <c r="E70" s="209"/>
      <c r="F70" s="209"/>
      <c r="G70" s="209"/>
      <c r="H70" s="209">
        <v>2</v>
      </c>
      <c r="I70" s="209">
        <v>2</v>
      </c>
      <c r="J70" s="209">
        <v>2</v>
      </c>
      <c r="K70" s="209">
        <v>2</v>
      </c>
      <c r="L70" s="209">
        <v>2</v>
      </c>
      <c r="M70" s="209">
        <v>2</v>
      </c>
      <c r="N70" s="209">
        <v>2</v>
      </c>
      <c r="O70" s="209">
        <v>2</v>
      </c>
      <c r="P70" s="209">
        <v>2</v>
      </c>
      <c r="Q70" s="209">
        <v>2</v>
      </c>
      <c r="R70" s="209">
        <v>2</v>
      </c>
      <c r="S70" s="209">
        <v>2</v>
      </c>
      <c r="T70" s="209">
        <v>2</v>
      </c>
      <c r="U70" s="209">
        <v>2</v>
      </c>
      <c r="V70" s="209">
        <v>2</v>
      </c>
      <c r="W70" s="209">
        <v>2</v>
      </c>
      <c r="X70" s="209">
        <v>2</v>
      </c>
      <c r="Y70" s="209">
        <v>2</v>
      </c>
      <c r="Z70" s="209">
        <v>2</v>
      </c>
      <c r="AA70" s="209"/>
      <c r="AB70" s="209">
        <f t="shared" si="1"/>
        <v>38</v>
      </c>
    </row>
    <row r="71" spans="1:28">
      <c r="A71" s="214" t="s">
        <v>164</v>
      </c>
      <c r="B71" s="209" t="s">
        <v>165</v>
      </c>
      <c r="C71" s="209"/>
      <c r="D71" s="209"/>
      <c r="E71" s="209"/>
      <c r="F71" s="209"/>
      <c r="G71" s="209"/>
      <c r="H71" s="209">
        <v>1</v>
      </c>
      <c r="I71" s="209">
        <v>1</v>
      </c>
      <c r="J71" s="209">
        <v>1</v>
      </c>
      <c r="K71" s="209">
        <v>1</v>
      </c>
      <c r="L71" s="209">
        <v>1</v>
      </c>
      <c r="M71" s="209">
        <v>1</v>
      </c>
      <c r="N71" s="209">
        <v>1</v>
      </c>
      <c r="O71" s="209">
        <v>1</v>
      </c>
      <c r="P71" s="209">
        <v>1</v>
      </c>
      <c r="Q71" s="209">
        <v>1</v>
      </c>
      <c r="R71" s="209">
        <v>1</v>
      </c>
      <c r="S71" s="209">
        <v>1</v>
      </c>
      <c r="T71" s="209">
        <v>1</v>
      </c>
      <c r="U71" s="209">
        <v>1</v>
      </c>
      <c r="V71" s="209">
        <v>1</v>
      </c>
      <c r="W71" s="209">
        <v>1</v>
      </c>
      <c r="X71" s="209">
        <v>1</v>
      </c>
      <c r="Y71" s="209">
        <v>1</v>
      </c>
      <c r="Z71" s="209">
        <v>1</v>
      </c>
      <c r="AA71" s="209"/>
      <c r="AB71" s="209">
        <f t="shared" si="1"/>
        <v>19</v>
      </c>
    </row>
    <row r="72" spans="1:28">
      <c r="A72" s="214" t="s">
        <v>166</v>
      </c>
      <c r="B72" s="209" t="s">
        <v>167</v>
      </c>
      <c r="C72" s="209"/>
      <c r="D72" s="209"/>
      <c r="E72" s="209"/>
      <c r="F72" s="209"/>
      <c r="G72" s="209"/>
      <c r="H72" s="209">
        <v>1</v>
      </c>
      <c r="I72" s="209">
        <v>1</v>
      </c>
      <c r="J72" s="209">
        <v>1</v>
      </c>
      <c r="K72" s="209">
        <v>1</v>
      </c>
      <c r="L72" s="209">
        <v>1</v>
      </c>
      <c r="M72" s="209">
        <v>1</v>
      </c>
      <c r="N72" s="209">
        <v>1</v>
      </c>
      <c r="O72" s="209">
        <v>1</v>
      </c>
      <c r="P72" s="209">
        <v>1</v>
      </c>
      <c r="Q72" s="209">
        <v>1</v>
      </c>
      <c r="R72" s="209">
        <v>1</v>
      </c>
      <c r="S72" s="209">
        <v>1</v>
      </c>
      <c r="T72" s="209">
        <v>1</v>
      </c>
      <c r="U72" s="209">
        <v>1</v>
      </c>
      <c r="V72" s="209">
        <v>1</v>
      </c>
      <c r="W72" s="209">
        <v>1</v>
      </c>
      <c r="X72" s="209">
        <v>1</v>
      </c>
      <c r="Y72" s="209">
        <v>1</v>
      </c>
      <c r="Z72" s="209">
        <v>1</v>
      </c>
      <c r="AA72" s="209"/>
      <c r="AB72" s="209">
        <f t="shared" si="1"/>
        <v>19</v>
      </c>
    </row>
    <row r="73" spans="1:28">
      <c r="A73" s="214" t="s">
        <v>168</v>
      </c>
      <c r="B73" s="209" t="s">
        <v>169</v>
      </c>
      <c r="C73" s="209"/>
      <c r="D73" s="209"/>
      <c r="E73" s="209"/>
      <c r="F73" s="209"/>
      <c r="G73" s="209"/>
      <c r="H73" s="209">
        <v>2</v>
      </c>
      <c r="I73" s="209">
        <v>2</v>
      </c>
      <c r="J73" s="209">
        <v>2</v>
      </c>
      <c r="K73" s="209">
        <v>2</v>
      </c>
      <c r="L73" s="209">
        <v>2</v>
      </c>
      <c r="M73" s="209">
        <v>2</v>
      </c>
      <c r="N73" s="209">
        <v>2</v>
      </c>
      <c r="O73" s="209">
        <v>2</v>
      </c>
      <c r="P73" s="209">
        <v>2</v>
      </c>
      <c r="Q73" s="209">
        <v>2</v>
      </c>
      <c r="R73" s="209">
        <v>2</v>
      </c>
      <c r="S73" s="209">
        <v>2</v>
      </c>
      <c r="T73" s="209">
        <v>2</v>
      </c>
      <c r="U73" s="209">
        <v>2</v>
      </c>
      <c r="V73" s="209">
        <v>2</v>
      </c>
      <c r="W73" s="209">
        <v>2</v>
      </c>
      <c r="X73" s="209">
        <v>2</v>
      </c>
      <c r="Y73" s="209">
        <v>2</v>
      </c>
      <c r="Z73" s="209">
        <v>2</v>
      </c>
      <c r="AA73" s="209"/>
      <c r="AB73" s="209">
        <f t="shared" si="1"/>
        <v>38</v>
      </c>
    </row>
    <row r="74" spans="1:28">
      <c r="A74" s="214" t="s">
        <v>170</v>
      </c>
      <c r="B74" s="209" t="s">
        <v>171</v>
      </c>
      <c r="C74" s="209"/>
      <c r="D74" s="209"/>
      <c r="E74" s="209"/>
      <c r="F74" s="209"/>
      <c r="G74" s="209"/>
      <c r="H74" s="209">
        <v>1</v>
      </c>
      <c r="I74" s="209">
        <v>1</v>
      </c>
      <c r="J74" s="209">
        <v>1</v>
      </c>
      <c r="K74" s="209">
        <v>1</v>
      </c>
      <c r="L74" s="209">
        <v>1</v>
      </c>
      <c r="M74" s="209">
        <v>1</v>
      </c>
      <c r="N74" s="209">
        <v>1</v>
      </c>
      <c r="O74" s="209">
        <v>1</v>
      </c>
      <c r="P74" s="209">
        <v>1</v>
      </c>
      <c r="Q74" s="209">
        <v>1</v>
      </c>
      <c r="R74" s="209">
        <v>1</v>
      </c>
      <c r="S74" s="209">
        <v>1</v>
      </c>
      <c r="T74" s="209">
        <v>1</v>
      </c>
      <c r="U74" s="209">
        <v>1</v>
      </c>
      <c r="V74" s="209">
        <v>1</v>
      </c>
      <c r="W74" s="209">
        <v>1</v>
      </c>
      <c r="X74" s="209">
        <v>1</v>
      </c>
      <c r="Y74" s="209">
        <v>1</v>
      </c>
      <c r="Z74" s="209">
        <v>1</v>
      </c>
      <c r="AA74" s="209"/>
      <c r="AB74" s="209">
        <f t="shared" si="1"/>
        <v>19</v>
      </c>
    </row>
    <row r="75" spans="1:28">
      <c r="A75" s="209" t="s">
        <v>172</v>
      </c>
      <c r="B75" s="209" t="s">
        <v>173</v>
      </c>
      <c r="C75" s="209"/>
      <c r="D75" s="209"/>
      <c r="E75" s="209"/>
      <c r="F75" s="209"/>
      <c r="G75" s="209"/>
      <c r="H75" s="209">
        <v>1</v>
      </c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>
        <f t="shared" si="1"/>
        <v>1</v>
      </c>
    </row>
    <row r="76" spans="1:28">
      <c r="A76" s="209" t="s">
        <v>174</v>
      </c>
      <c r="B76" s="209" t="s">
        <v>175</v>
      </c>
      <c r="C76" s="209"/>
      <c r="D76" s="209"/>
      <c r="E76" s="209"/>
      <c r="F76" s="209"/>
      <c r="G76" s="209"/>
      <c r="H76" s="209">
        <v>1</v>
      </c>
      <c r="I76" s="209">
        <v>1</v>
      </c>
      <c r="J76" s="209">
        <v>1</v>
      </c>
      <c r="K76" s="209">
        <v>1</v>
      </c>
      <c r="L76" s="209">
        <v>1</v>
      </c>
      <c r="M76" s="209">
        <v>1</v>
      </c>
      <c r="N76" s="209">
        <v>1</v>
      </c>
      <c r="O76" s="209">
        <v>1</v>
      </c>
      <c r="P76" s="209">
        <v>1</v>
      </c>
      <c r="Q76" s="209">
        <v>1</v>
      </c>
      <c r="R76" s="209">
        <v>1</v>
      </c>
      <c r="S76" s="209">
        <v>1</v>
      </c>
      <c r="T76" s="209">
        <v>1</v>
      </c>
      <c r="U76" s="209">
        <v>1</v>
      </c>
      <c r="V76" s="209">
        <v>1</v>
      </c>
      <c r="W76" s="209">
        <v>1</v>
      </c>
      <c r="X76" s="209">
        <v>1</v>
      </c>
      <c r="Y76" s="209">
        <v>1</v>
      </c>
      <c r="Z76" s="209">
        <v>1</v>
      </c>
      <c r="AA76" s="209"/>
      <c r="AB76" s="209">
        <f t="shared" si="1"/>
        <v>19</v>
      </c>
    </row>
    <row r="77" spans="1:28">
      <c r="A77" s="209" t="s">
        <v>176</v>
      </c>
      <c r="B77" s="209" t="s">
        <v>177</v>
      </c>
      <c r="C77" s="209"/>
      <c r="D77" s="209"/>
      <c r="E77" s="209"/>
      <c r="F77" s="209"/>
      <c r="G77" s="209"/>
      <c r="H77" s="209">
        <v>1</v>
      </c>
      <c r="I77" s="209">
        <v>1</v>
      </c>
      <c r="J77" s="209">
        <v>1</v>
      </c>
      <c r="K77" s="209">
        <v>1</v>
      </c>
      <c r="L77" s="209">
        <v>1</v>
      </c>
      <c r="M77" s="209">
        <v>1</v>
      </c>
      <c r="N77" s="209">
        <v>1</v>
      </c>
      <c r="O77" s="209">
        <v>1</v>
      </c>
      <c r="P77" s="209">
        <v>1</v>
      </c>
      <c r="Q77" s="209">
        <v>1</v>
      </c>
      <c r="R77" s="209">
        <v>1</v>
      </c>
      <c r="S77" s="209">
        <v>1</v>
      </c>
      <c r="T77" s="209">
        <v>1</v>
      </c>
      <c r="U77" s="209">
        <v>1</v>
      </c>
      <c r="V77" s="209">
        <v>1</v>
      </c>
      <c r="W77" s="209">
        <v>1</v>
      </c>
      <c r="X77" s="209">
        <v>1</v>
      </c>
      <c r="Y77" s="209">
        <v>1</v>
      </c>
      <c r="Z77" s="209">
        <v>1</v>
      </c>
      <c r="AA77" s="209"/>
      <c r="AB77" s="209">
        <f t="shared" si="1"/>
        <v>19</v>
      </c>
    </row>
    <row r="78" spans="1:28">
      <c r="A78" s="209" t="s">
        <v>178</v>
      </c>
      <c r="B78" s="209" t="s">
        <v>179</v>
      </c>
      <c r="C78" s="209"/>
      <c r="D78" s="209"/>
      <c r="E78" s="209"/>
      <c r="F78" s="209"/>
      <c r="G78" s="209"/>
      <c r="H78" s="209">
        <v>1</v>
      </c>
      <c r="I78" s="209">
        <v>1</v>
      </c>
      <c r="J78" s="209">
        <v>1</v>
      </c>
      <c r="K78" s="209">
        <v>1</v>
      </c>
      <c r="L78" s="209">
        <v>1</v>
      </c>
      <c r="M78" s="209">
        <v>1</v>
      </c>
      <c r="N78" s="209">
        <v>1</v>
      </c>
      <c r="O78" s="209">
        <v>1</v>
      </c>
      <c r="P78" s="209">
        <v>1</v>
      </c>
      <c r="Q78" s="209">
        <v>1</v>
      </c>
      <c r="R78" s="209">
        <v>1</v>
      </c>
      <c r="S78" s="209">
        <v>1</v>
      </c>
      <c r="T78" s="209">
        <v>1</v>
      </c>
      <c r="U78" s="209">
        <v>1</v>
      </c>
      <c r="V78" s="209">
        <v>1</v>
      </c>
      <c r="W78" s="209">
        <v>1</v>
      </c>
      <c r="X78" s="209">
        <v>1</v>
      </c>
      <c r="Y78" s="209">
        <v>1</v>
      </c>
      <c r="Z78" s="209">
        <v>1</v>
      </c>
      <c r="AA78" s="209"/>
      <c r="AB78" s="209">
        <f t="shared" si="1"/>
        <v>19</v>
      </c>
    </row>
    <row r="79" spans="1:28">
      <c r="A79" s="209" t="s">
        <v>180</v>
      </c>
      <c r="B79" s="209" t="s">
        <v>181</v>
      </c>
      <c r="C79" s="209"/>
      <c r="D79" s="209"/>
      <c r="E79" s="209"/>
      <c r="F79" s="209"/>
      <c r="G79" s="209"/>
      <c r="H79" s="209">
        <v>1</v>
      </c>
      <c r="I79" s="209">
        <v>1</v>
      </c>
      <c r="J79" s="209">
        <v>1</v>
      </c>
      <c r="K79" s="209">
        <v>1</v>
      </c>
      <c r="L79" s="209">
        <v>1</v>
      </c>
      <c r="M79" s="209">
        <v>1</v>
      </c>
      <c r="N79" s="209">
        <v>1</v>
      </c>
      <c r="O79" s="209">
        <v>1</v>
      </c>
      <c r="P79" s="209">
        <v>1</v>
      </c>
      <c r="Q79" s="209">
        <v>1</v>
      </c>
      <c r="R79" s="209">
        <v>1</v>
      </c>
      <c r="S79" s="209">
        <v>1</v>
      </c>
      <c r="T79" s="209">
        <v>1</v>
      </c>
      <c r="U79" s="209">
        <v>1</v>
      </c>
      <c r="V79" s="209">
        <v>1</v>
      </c>
      <c r="W79" s="209">
        <v>1</v>
      </c>
      <c r="X79" s="209">
        <v>1</v>
      </c>
      <c r="Y79" s="209">
        <v>1</v>
      </c>
      <c r="Z79" s="209">
        <v>1</v>
      </c>
      <c r="AA79" s="209"/>
      <c r="AB79" s="209">
        <f t="shared" si="1"/>
        <v>19</v>
      </c>
    </row>
    <row r="80" spans="1:28">
      <c r="A80" s="209" t="s">
        <v>182</v>
      </c>
      <c r="B80" s="209" t="s">
        <v>183</v>
      </c>
      <c r="C80" s="209"/>
      <c r="D80" s="209"/>
      <c r="E80" s="209"/>
      <c r="F80" s="209"/>
      <c r="G80" s="209"/>
      <c r="H80" s="209">
        <v>1</v>
      </c>
      <c r="I80" s="209">
        <v>1</v>
      </c>
      <c r="J80" s="209">
        <v>1</v>
      </c>
      <c r="K80" s="209">
        <v>1</v>
      </c>
      <c r="L80" s="209">
        <v>1</v>
      </c>
      <c r="M80" s="209">
        <v>1</v>
      </c>
      <c r="N80" s="209">
        <v>1</v>
      </c>
      <c r="O80" s="209">
        <v>1</v>
      </c>
      <c r="P80" s="209">
        <v>1</v>
      </c>
      <c r="Q80" s="209">
        <v>1</v>
      </c>
      <c r="R80" s="209">
        <v>1</v>
      </c>
      <c r="S80" s="209">
        <v>1</v>
      </c>
      <c r="T80" s="209">
        <v>1</v>
      </c>
      <c r="U80" s="209">
        <v>1</v>
      </c>
      <c r="V80" s="209">
        <v>1</v>
      </c>
      <c r="W80" s="209">
        <v>1</v>
      </c>
      <c r="X80" s="209">
        <v>1</v>
      </c>
      <c r="Y80" s="209">
        <v>1</v>
      </c>
      <c r="Z80" s="209">
        <v>1</v>
      </c>
      <c r="AA80" s="209"/>
      <c r="AB80" s="209">
        <f t="shared" si="1"/>
        <v>19</v>
      </c>
    </row>
    <row r="81" spans="1:28">
      <c r="A81" s="209" t="s">
        <v>184</v>
      </c>
      <c r="B81" s="209" t="s">
        <v>185</v>
      </c>
      <c r="C81" s="209"/>
      <c r="D81" s="209"/>
      <c r="E81" s="209"/>
      <c r="F81" s="209"/>
      <c r="G81" s="209"/>
      <c r="H81" s="209"/>
      <c r="I81" s="209">
        <v>2</v>
      </c>
      <c r="J81" s="209">
        <v>2</v>
      </c>
      <c r="K81" s="209">
        <v>2</v>
      </c>
      <c r="L81" s="209">
        <v>1</v>
      </c>
      <c r="M81" s="209">
        <v>2</v>
      </c>
      <c r="N81" s="209">
        <v>1</v>
      </c>
      <c r="O81" s="209">
        <v>2</v>
      </c>
      <c r="P81" s="209">
        <v>2</v>
      </c>
      <c r="Q81" s="209">
        <v>2</v>
      </c>
      <c r="R81" s="209">
        <v>2</v>
      </c>
      <c r="S81" s="209">
        <v>2</v>
      </c>
      <c r="T81" s="209">
        <v>2</v>
      </c>
      <c r="U81" s="209">
        <v>2</v>
      </c>
      <c r="V81" s="209">
        <v>2</v>
      </c>
      <c r="W81" s="209">
        <v>2</v>
      </c>
      <c r="X81" s="209">
        <v>2</v>
      </c>
      <c r="Y81" s="209">
        <v>2</v>
      </c>
      <c r="Z81" s="209">
        <v>2</v>
      </c>
      <c r="AA81" s="209"/>
      <c r="AB81" s="209">
        <f t="shared" si="1"/>
        <v>34</v>
      </c>
    </row>
    <row r="82" spans="1:28">
      <c r="A82" s="209" t="s">
        <v>186</v>
      </c>
      <c r="B82" s="209" t="s">
        <v>187</v>
      </c>
      <c r="C82" s="209"/>
      <c r="D82" s="209"/>
      <c r="E82" s="209"/>
      <c r="F82" s="209"/>
      <c r="G82" s="209"/>
      <c r="H82" s="209"/>
      <c r="I82" s="209">
        <v>1</v>
      </c>
      <c r="J82" s="209">
        <v>1</v>
      </c>
      <c r="K82" s="209">
        <v>1</v>
      </c>
      <c r="L82" s="209">
        <v>1</v>
      </c>
      <c r="M82" s="209">
        <v>1</v>
      </c>
      <c r="N82" s="209">
        <v>1</v>
      </c>
      <c r="O82" s="209">
        <v>1</v>
      </c>
      <c r="P82" s="209">
        <v>1</v>
      </c>
      <c r="Q82" s="209">
        <v>1</v>
      </c>
      <c r="R82" s="209">
        <v>1</v>
      </c>
      <c r="S82" s="209">
        <v>1</v>
      </c>
      <c r="T82" s="209">
        <v>1</v>
      </c>
      <c r="U82" s="209">
        <v>1</v>
      </c>
      <c r="V82" s="209">
        <v>1</v>
      </c>
      <c r="W82" s="209">
        <v>1</v>
      </c>
      <c r="X82" s="209">
        <v>1</v>
      </c>
      <c r="Y82" s="209">
        <v>1</v>
      </c>
      <c r="Z82" s="209">
        <v>1</v>
      </c>
      <c r="AA82" s="209"/>
      <c r="AB82" s="209">
        <f t="shared" si="1"/>
        <v>18</v>
      </c>
    </row>
    <row r="83" spans="1:28">
      <c r="A83" s="209" t="s">
        <v>188</v>
      </c>
      <c r="B83" s="209" t="s">
        <v>189</v>
      </c>
      <c r="C83" s="209"/>
      <c r="D83" s="209"/>
      <c r="E83" s="209"/>
      <c r="F83" s="209"/>
      <c r="G83" s="209">
        <v>1</v>
      </c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>
        <f t="shared" si="1"/>
        <v>1</v>
      </c>
    </row>
    <row r="84" spans="1:28">
      <c r="A84" s="209" t="s">
        <v>190</v>
      </c>
      <c r="B84" s="209" t="s">
        <v>191</v>
      </c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>
        <v>2</v>
      </c>
      <c r="AB84" s="209">
        <f t="shared" si="1"/>
        <v>2</v>
      </c>
    </row>
    <row r="85" spans="1:28">
      <c r="A85" s="209" t="s">
        <v>192</v>
      </c>
      <c r="B85" s="209" t="s">
        <v>193</v>
      </c>
      <c r="C85" s="209"/>
      <c r="D85" s="209"/>
      <c r="E85" s="209"/>
      <c r="F85" s="209"/>
      <c r="G85" s="209">
        <v>1</v>
      </c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>
        <f t="shared" si="1"/>
        <v>1</v>
      </c>
    </row>
    <row r="86" spans="1:28">
      <c r="A86" s="209" t="s">
        <v>194</v>
      </c>
      <c r="B86" s="209" t="s">
        <v>195</v>
      </c>
      <c r="C86" s="209"/>
      <c r="D86" s="209"/>
      <c r="E86" s="209"/>
      <c r="F86" s="209">
        <v>1</v>
      </c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>
        <f t="shared" si="1"/>
        <v>1</v>
      </c>
    </row>
    <row r="87" spans="1:28">
      <c r="A87" s="209" t="s">
        <v>196</v>
      </c>
      <c r="B87" s="209" t="s">
        <v>155</v>
      </c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>
        <f t="shared" si="1"/>
        <v>0</v>
      </c>
    </row>
    <row r="88" spans="1:28">
      <c r="A88" s="209" t="s">
        <v>197</v>
      </c>
      <c r="B88" s="209" t="s">
        <v>198</v>
      </c>
      <c r="C88" s="209"/>
      <c r="D88" s="209"/>
      <c r="E88" s="209"/>
      <c r="G88" s="209">
        <v>1</v>
      </c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>
        <f t="shared" si="1"/>
        <v>1</v>
      </c>
    </row>
    <row r="89" spans="1:28">
      <c r="A89" s="209" t="s">
        <v>199</v>
      </c>
      <c r="B89" s="209" t="s">
        <v>200</v>
      </c>
      <c r="C89" s="209"/>
      <c r="D89" s="209"/>
      <c r="E89" s="209"/>
      <c r="F89" s="209">
        <v>21</v>
      </c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>
        <f t="shared" si="1"/>
        <v>21</v>
      </c>
    </row>
    <row r="90" spans="1:28">
      <c r="A90" s="209" t="s">
        <v>201</v>
      </c>
      <c r="B90" s="209" t="s">
        <v>202</v>
      </c>
      <c r="C90" s="209"/>
      <c r="D90" s="209"/>
      <c r="E90" s="209"/>
      <c r="F90" s="209">
        <v>3</v>
      </c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>
        <f t="shared" si="1"/>
        <v>3</v>
      </c>
    </row>
    <row r="91" spans="1:28">
      <c r="A91" s="209" t="s">
        <v>203</v>
      </c>
      <c r="B91" s="209" t="s">
        <v>204</v>
      </c>
      <c r="C91" s="209"/>
      <c r="D91" s="209"/>
      <c r="E91" s="209">
        <v>1</v>
      </c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>
        <f t="shared" si="1"/>
        <v>1</v>
      </c>
    </row>
    <row r="92" spans="28:28">
      <c r="AB92" s="218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opLeftCell="A55" workbookViewId="0">
      <selection activeCell="K61" sqref="K61:L63"/>
    </sheetView>
  </sheetViews>
  <sheetFormatPr defaultColWidth="9" defaultRowHeight="14.25"/>
  <cols>
    <col min="1" max="1" width="5.5" style="37" customWidth="1"/>
    <col min="2" max="2" width="15.125" style="37" customWidth="1"/>
    <col min="3" max="3" width="24.125" style="37" customWidth="1"/>
    <col min="4" max="4" width="5.625" style="37" customWidth="1"/>
    <col min="5" max="5" width="7.625" style="38" customWidth="1"/>
    <col min="6" max="6" width="8.125" style="37" customWidth="1"/>
    <col min="7" max="7" width="8.375" style="37" customWidth="1"/>
    <col min="8" max="8" width="12.625" style="38"/>
    <col min="9" max="9" width="6.625" style="37" customWidth="1"/>
    <col min="10" max="10" width="19.125" style="37" customWidth="1"/>
    <col min="11" max="16384" width="9" style="37"/>
  </cols>
  <sheetData>
    <row r="1" ht="18.75" spans="1:9">
      <c r="A1" s="39" t="s">
        <v>658</v>
      </c>
      <c r="B1" s="39"/>
      <c r="C1" s="39"/>
      <c r="D1" s="39"/>
      <c r="E1" s="40"/>
      <c r="F1" s="39"/>
      <c r="G1" s="39"/>
      <c r="H1" s="40"/>
      <c r="I1" s="39"/>
    </row>
    <row r="2" spans="1:9">
      <c r="A2" s="41" t="s">
        <v>1</v>
      </c>
      <c r="B2" s="41" t="s">
        <v>343</v>
      </c>
      <c r="C2" s="41" t="s">
        <v>659</v>
      </c>
      <c r="D2" s="42" t="s">
        <v>520</v>
      </c>
      <c r="E2" s="42" t="s">
        <v>660</v>
      </c>
      <c r="F2" s="43" t="s">
        <v>661</v>
      </c>
      <c r="G2" s="43"/>
      <c r="H2" s="44" t="s">
        <v>523</v>
      </c>
      <c r="I2" s="41" t="s">
        <v>374</v>
      </c>
    </row>
    <row r="3" ht="24" spans="1:9">
      <c r="A3" s="41"/>
      <c r="B3" s="41"/>
      <c r="C3" s="41"/>
      <c r="D3" s="42"/>
      <c r="E3" s="42"/>
      <c r="F3" s="43"/>
      <c r="G3" s="45" t="s">
        <v>662</v>
      </c>
      <c r="H3" s="44"/>
      <c r="I3" s="41"/>
    </row>
    <row r="4" ht="33.75" spans="1:9">
      <c r="A4" s="46" t="s">
        <v>435</v>
      </c>
      <c r="B4" s="9" t="s">
        <v>663</v>
      </c>
      <c r="C4" s="46"/>
      <c r="D4" s="46"/>
      <c r="E4" s="47"/>
      <c r="F4" s="46"/>
      <c r="G4" s="46"/>
      <c r="H4" s="47"/>
      <c r="I4" s="46"/>
    </row>
    <row r="5" spans="1:9">
      <c r="A5" s="46"/>
      <c r="B5" s="9" t="s">
        <v>664</v>
      </c>
      <c r="C5" s="46"/>
      <c r="D5" s="46"/>
      <c r="E5" s="47"/>
      <c r="F5" s="46"/>
      <c r="G5" s="46"/>
      <c r="H5" s="47"/>
      <c r="I5" s="46"/>
    </row>
    <row r="6" ht="24" spans="1:10">
      <c r="A6" s="48">
        <v>18</v>
      </c>
      <c r="B6" s="49" t="s">
        <v>665</v>
      </c>
      <c r="C6" s="50" t="s">
        <v>666</v>
      </c>
      <c r="D6" s="51" t="s">
        <v>646</v>
      </c>
      <c r="E6" s="52">
        <v>-0.36</v>
      </c>
      <c r="F6" s="53">
        <v>420</v>
      </c>
      <c r="G6" s="54">
        <v>350</v>
      </c>
      <c r="H6" s="55">
        <f>E6*F6</f>
        <v>-151.2</v>
      </c>
      <c r="I6" s="56"/>
      <c r="J6" s="66"/>
    </row>
    <row r="7" ht="72" spans="1:10">
      <c r="A7" s="48">
        <v>19</v>
      </c>
      <c r="B7" s="49" t="s">
        <v>667</v>
      </c>
      <c r="C7" s="50" t="s">
        <v>668</v>
      </c>
      <c r="D7" s="49" t="s">
        <v>646</v>
      </c>
      <c r="E7" s="52">
        <v>-0.36</v>
      </c>
      <c r="F7" s="49">
        <v>620</v>
      </c>
      <c r="G7" s="54">
        <v>480</v>
      </c>
      <c r="H7" s="55">
        <f t="shared" ref="H7:H38" si="0">E7*F7</f>
        <v>-223.2</v>
      </c>
      <c r="I7" s="56"/>
      <c r="J7" s="66"/>
    </row>
    <row r="8" ht="72" spans="1:10">
      <c r="A8" s="48">
        <v>20</v>
      </c>
      <c r="B8" s="49" t="s">
        <v>669</v>
      </c>
      <c r="C8" s="50" t="s">
        <v>670</v>
      </c>
      <c r="D8" s="49" t="s">
        <v>646</v>
      </c>
      <c r="E8" s="52">
        <v>-0.43</v>
      </c>
      <c r="F8" s="49">
        <v>750</v>
      </c>
      <c r="G8" s="54">
        <v>520</v>
      </c>
      <c r="H8" s="55">
        <f t="shared" si="0"/>
        <v>-322.5</v>
      </c>
      <c r="I8" s="56"/>
      <c r="J8" s="66"/>
    </row>
    <row r="9" ht="72" spans="1:10">
      <c r="A9" s="48">
        <v>21</v>
      </c>
      <c r="B9" s="49" t="s">
        <v>671</v>
      </c>
      <c r="C9" s="50" t="s">
        <v>670</v>
      </c>
      <c r="D9" s="49" t="s">
        <v>646</v>
      </c>
      <c r="E9" s="52">
        <v>-0.89</v>
      </c>
      <c r="F9" s="49">
        <v>750</v>
      </c>
      <c r="G9" s="54">
        <v>520</v>
      </c>
      <c r="H9" s="55">
        <f t="shared" si="0"/>
        <v>-667.5</v>
      </c>
      <c r="I9" s="56"/>
      <c r="J9" s="66"/>
    </row>
    <row r="10" ht="48" spans="1:10">
      <c r="A10" s="48">
        <v>22</v>
      </c>
      <c r="B10" s="51" t="s">
        <v>672</v>
      </c>
      <c r="C10" s="50" t="s">
        <v>673</v>
      </c>
      <c r="D10" s="51" t="s">
        <v>674</v>
      </c>
      <c r="E10" s="52">
        <v>-0.08</v>
      </c>
      <c r="F10" s="53">
        <v>6500</v>
      </c>
      <c r="G10" s="54">
        <v>5000</v>
      </c>
      <c r="H10" s="55">
        <f t="shared" si="0"/>
        <v>-520</v>
      </c>
      <c r="I10" s="56"/>
      <c r="J10" s="66"/>
    </row>
    <row r="11" ht="48" spans="1:10">
      <c r="A11" s="48">
        <v>23</v>
      </c>
      <c r="B11" s="51" t="s">
        <v>675</v>
      </c>
      <c r="C11" s="50" t="s">
        <v>676</v>
      </c>
      <c r="D11" s="49" t="s">
        <v>643</v>
      </c>
      <c r="E11" s="52">
        <v>-7.26</v>
      </c>
      <c r="F11" s="53">
        <v>160</v>
      </c>
      <c r="G11" s="54">
        <v>90</v>
      </c>
      <c r="H11" s="55">
        <f t="shared" si="0"/>
        <v>-1161.6</v>
      </c>
      <c r="I11" s="56"/>
      <c r="J11" s="66"/>
    </row>
    <row r="12" ht="24" spans="1:10">
      <c r="A12" s="48">
        <v>24</v>
      </c>
      <c r="B12" s="51" t="s">
        <v>677</v>
      </c>
      <c r="C12" s="50" t="s">
        <v>678</v>
      </c>
      <c r="D12" s="51" t="s">
        <v>643</v>
      </c>
      <c r="E12" s="52">
        <v>-1.96</v>
      </c>
      <c r="F12" s="53">
        <v>30</v>
      </c>
      <c r="G12" s="54">
        <v>20</v>
      </c>
      <c r="H12" s="55">
        <f t="shared" si="0"/>
        <v>-58.8</v>
      </c>
      <c r="I12" s="56"/>
      <c r="J12" s="66"/>
    </row>
    <row r="13" ht="24" spans="1:10">
      <c r="A13" s="48">
        <v>25</v>
      </c>
      <c r="B13" s="51" t="s">
        <v>679</v>
      </c>
      <c r="C13" s="50" t="s">
        <v>680</v>
      </c>
      <c r="D13" s="49" t="s">
        <v>643</v>
      </c>
      <c r="E13" s="52">
        <v>-1.96</v>
      </c>
      <c r="F13" s="53">
        <v>150</v>
      </c>
      <c r="G13" s="54">
        <v>80</v>
      </c>
      <c r="H13" s="55">
        <f t="shared" si="0"/>
        <v>-294</v>
      </c>
      <c r="I13" s="56"/>
      <c r="J13" s="66"/>
    </row>
    <row r="14" ht="36" spans="1:10">
      <c r="A14" s="48">
        <v>26</v>
      </c>
      <c r="B14" s="51" t="s">
        <v>681</v>
      </c>
      <c r="C14" s="50" t="s">
        <v>682</v>
      </c>
      <c r="D14" s="51" t="s">
        <v>643</v>
      </c>
      <c r="E14" s="52">
        <v>-1.96</v>
      </c>
      <c r="F14" s="53">
        <v>480</v>
      </c>
      <c r="G14" s="54">
        <v>330</v>
      </c>
      <c r="H14" s="55">
        <f t="shared" si="0"/>
        <v>-940.8</v>
      </c>
      <c r="I14" s="56"/>
      <c r="J14" s="66"/>
    </row>
    <row r="15" ht="24" spans="1:10">
      <c r="A15" s="48">
        <v>27</v>
      </c>
      <c r="B15" s="49" t="s">
        <v>665</v>
      </c>
      <c r="C15" s="50" t="s">
        <v>666</v>
      </c>
      <c r="D15" s="51" t="s">
        <v>646</v>
      </c>
      <c r="E15" s="52">
        <v>-1.18</v>
      </c>
      <c r="F15" s="53">
        <v>420</v>
      </c>
      <c r="G15" s="54">
        <v>350</v>
      </c>
      <c r="H15" s="55">
        <f t="shared" si="0"/>
        <v>-495.6</v>
      </c>
      <c r="I15" s="56"/>
      <c r="J15" s="66"/>
    </row>
    <row r="16" ht="72" spans="1:10">
      <c r="A16" s="48">
        <v>28</v>
      </c>
      <c r="B16" s="49" t="s">
        <v>667</v>
      </c>
      <c r="C16" s="50" t="s">
        <v>668</v>
      </c>
      <c r="D16" s="49" t="s">
        <v>646</v>
      </c>
      <c r="E16" s="52">
        <v>-1.58</v>
      </c>
      <c r="F16" s="49">
        <v>620</v>
      </c>
      <c r="G16" s="54">
        <v>480</v>
      </c>
      <c r="H16" s="55">
        <f t="shared" si="0"/>
        <v>-979.6</v>
      </c>
      <c r="I16" s="56"/>
      <c r="J16" s="66"/>
    </row>
    <row r="17" ht="24" spans="1:10">
      <c r="A17" s="48">
        <v>29</v>
      </c>
      <c r="B17" s="49" t="s">
        <v>683</v>
      </c>
      <c r="C17" s="50" t="s">
        <v>684</v>
      </c>
      <c r="D17" s="49" t="s">
        <v>643</v>
      </c>
      <c r="E17" s="52">
        <v>-7.9</v>
      </c>
      <c r="F17" s="49">
        <v>25</v>
      </c>
      <c r="G17" s="54">
        <v>12</v>
      </c>
      <c r="H17" s="55">
        <f t="shared" si="0"/>
        <v>-197.5</v>
      </c>
      <c r="I17" s="56"/>
      <c r="J17" s="66"/>
    </row>
    <row r="18" ht="60" spans="1:10">
      <c r="A18" s="48">
        <v>30</v>
      </c>
      <c r="B18" s="49" t="s">
        <v>685</v>
      </c>
      <c r="C18" s="50" t="s">
        <v>686</v>
      </c>
      <c r="D18" s="49" t="s">
        <v>687</v>
      </c>
      <c r="E18" s="52">
        <v>-1</v>
      </c>
      <c r="F18" s="53">
        <v>77400</v>
      </c>
      <c r="G18" s="54">
        <v>70000</v>
      </c>
      <c r="H18" s="55">
        <f t="shared" si="0"/>
        <v>-77400</v>
      </c>
      <c r="I18" s="56"/>
      <c r="J18" s="66"/>
    </row>
    <row r="19" ht="36" spans="1:10">
      <c r="A19" s="48">
        <v>31</v>
      </c>
      <c r="B19" s="49" t="s">
        <v>688</v>
      </c>
      <c r="C19" s="50" t="s">
        <v>689</v>
      </c>
      <c r="D19" s="49" t="s">
        <v>643</v>
      </c>
      <c r="E19" s="52">
        <v>-3.34</v>
      </c>
      <c r="F19" s="49">
        <v>650</v>
      </c>
      <c r="G19" s="54">
        <v>450</v>
      </c>
      <c r="H19" s="55">
        <f t="shared" si="0"/>
        <v>-2171</v>
      </c>
      <c r="I19" s="56"/>
      <c r="J19" s="66"/>
    </row>
    <row r="20" ht="36" spans="1:10">
      <c r="A20" s="48">
        <v>32</v>
      </c>
      <c r="B20" s="49" t="s">
        <v>690</v>
      </c>
      <c r="C20" s="50" t="s">
        <v>691</v>
      </c>
      <c r="D20" s="49" t="s">
        <v>643</v>
      </c>
      <c r="E20" s="52">
        <v>-0.23</v>
      </c>
      <c r="F20" s="49">
        <v>480</v>
      </c>
      <c r="G20" s="54">
        <v>350</v>
      </c>
      <c r="H20" s="55">
        <f t="shared" si="0"/>
        <v>-110.4</v>
      </c>
      <c r="I20" s="56"/>
      <c r="J20" s="66"/>
    </row>
    <row r="21" ht="72" spans="1:10">
      <c r="A21" s="48">
        <v>34</v>
      </c>
      <c r="B21" s="49" t="s">
        <v>692</v>
      </c>
      <c r="C21" s="50" t="s">
        <v>693</v>
      </c>
      <c r="D21" s="49" t="s">
        <v>694</v>
      </c>
      <c r="E21" s="52">
        <v>-1</v>
      </c>
      <c r="F21" s="49">
        <v>28000</v>
      </c>
      <c r="G21" s="54">
        <v>25000</v>
      </c>
      <c r="H21" s="55">
        <f t="shared" si="0"/>
        <v>-28000</v>
      </c>
      <c r="I21" s="67"/>
      <c r="J21" s="66"/>
    </row>
    <row r="22" ht="60" spans="1:10">
      <c r="A22" s="48">
        <v>35</v>
      </c>
      <c r="B22" s="49" t="s">
        <v>695</v>
      </c>
      <c r="C22" s="50" t="s">
        <v>696</v>
      </c>
      <c r="D22" s="49" t="s">
        <v>697</v>
      </c>
      <c r="E22" s="52">
        <v>-6</v>
      </c>
      <c r="F22" s="49">
        <v>1400</v>
      </c>
      <c r="G22" s="54">
        <v>1100</v>
      </c>
      <c r="H22" s="55">
        <f t="shared" si="0"/>
        <v>-8400</v>
      </c>
      <c r="I22" s="67"/>
      <c r="J22" s="66"/>
    </row>
    <row r="23" ht="48" spans="1:10">
      <c r="A23" s="48">
        <v>36</v>
      </c>
      <c r="B23" s="49" t="s">
        <v>698</v>
      </c>
      <c r="C23" s="50" t="s">
        <v>699</v>
      </c>
      <c r="D23" s="49" t="s">
        <v>697</v>
      </c>
      <c r="E23" s="52">
        <v>-2</v>
      </c>
      <c r="F23" s="49">
        <v>1200</v>
      </c>
      <c r="G23" s="54">
        <v>800</v>
      </c>
      <c r="H23" s="55">
        <f t="shared" si="0"/>
        <v>-2400</v>
      </c>
      <c r="I23" s="67"/>
      <c r="J23" s="66"/>
    </row>
    <row r="24" ht="24" spans="1:9">
      <c r="A24" s="48">
        <v>46</v>
      </c>
      <c r="B24" s="49" t="s">
        <v>665</v>
      </c>
      <c r="C24" s="50" t="s">
        <v>666</v>
      </c>
      <c r="D24" s="51" t="s">
        <v>646</v>
      </c>
      <c r="E24" s="52">
        <f>1.26-4.94</f>
        <v>-3.68</v>
      </c>
      <c r="F24" s="53">
        <v>420</v>
      </c>
      <c r="G24" s="54">
        <v>350</v>
      </c>
      <c r="H24" s="55">
        <f t="shared" si="0"/>
        <v>-1545.6</v>
      </c>
      <c r="I24" s="46"/>
    </row>
    <row r="25" ht="72" spans="1:9">
      <c r="A25" s="48">
        <v>47</v>
      </c>
      <c r="B25" s="49" t="s">
        <v>667</v>
      </c>
      <c r="C25" s="50" t="s">
        <v>668</v>
      </c>
      <c r="D25" s="49" t="s">
        <v>646</v>
      </c>
      <c r="E25" s="52">
        <f>1.26-4.94</f>
        <v>-3.68</v>
      </c>
      <c r="F25" s="49">
        <v>620</v>
      </c>
      <c r="G25" s="54">
        <v>480</v>
      </c>
      <c r="H25" s="55">
        <f t="shared" si="0"/>
        <v>-2281.6</v>
      </c>
      <c r="I25" s="46"/>
    </row>
    <row r="26" ht="72" spans="1:9">
      <c r="A26" s="48">
        <v>48</v>
      </c>
      <c r="B26" s="49" t="s">
        <v>700</v>
      </c>
      <c r="C26" s="50" t="s">
        <v>670</v>
      </c>
      <c r="D26" s="49" t="s">
        <v>646</v>
      </c>
      <c r="E26" s="52">
        <f>3.39-12.22</f>
        <v>-8.83</v>
      </c>
      <c r="F26" s="49">
        <v>750</v>
      </c>
      <c r="G26" s="54">
        <v>520</v>
      </c>
      <c r="H26" s="55">
        <f t="shared" si="0"/>
        <v>-6622.5</v>
      </c>
      <c r="I26" s="46"/>
    </row>
    <row r="27" ht="72" spans="1:9">
      <c r="A27" s="48">
        <v>50</v>
      </c>
      <c r="B27" s="51" t="s">
        <v>701</v>
      </c>
      <c r="C27" s="50" t="s">
        <v>702</v>
      </c>
      <c r="D27" s="51" t="s">
        <v>646</v>
      </c>
      <c r="E27" s="52">
        <f>1.48-2.27</f>
        <v>-0.79</v>
      </c>
      <c r="F27" s="53">
        <v>750</v>
      </c>
      <c r="G27" s="54">
        <v>520</v>
      </c>
      <c r="H27" s="55">
        <f t="shared" si="0"/>
        <v>-592.5</v>
      </c>
      <c r="I27" s="46"/>
    </row>
    <row r="28" ht="72" spans="1:9">
      <c r="A28" s="48">
        <v>51</v>
      </c>
      <c r="B28" s="51" t="s">
        <v>703</v>
      </c>
      <c r="C28" s="50" t="s">
        <v>702</v>
      </c>
      <c r="D28" s="51" t="s">
        <v>646</v>
      </c>
      <c r="E28" s="52">
        <v>-0.58</v>
      </c>
      <c r="F28" s="53">
        <v>750</v>
      </c>
      <c r="G28" s="54">
        <v>520</v>
      </c>
      <c r="H28" s="55">
        <f t="shared" si="0"/>
        <v>-435</v>
      </c>
      <c r="I28" s="46"/>
    </row>
    <row r="29" ht="72" spans="1:9">
      <c r="A29" s="48">
        <v>52</v>
      </c>
      <c r="B29" s="51" t="s">
        <v>704</v>
      </c>
      <c r="C29" s="50" t="s">
        <v>702</v>
      </c>
      <c r="D29" s="51" t="s">
        <v>646</v>
      </c>
      <c r="E29" s="52">
        <v>-2.27</v>
      </c>
      <c r="F29" s="53">
        <v>750</v>
      </c>
      <c r="G29" s="54">
        <v>520</v>
      </c>
      <c r="H29" s="55">
        <f t="shared" si="0"/>
        <v>-1702.5</v>
      </c>
      <c r="I29" s="46"/>
    </row>
    <row r="30" ht="28.5" spans="1:10">
      <c r="A30" s="48">
        <v>55</v>
      </c>
      <c r="B30" s="51" t="s">
        <v>705</v>
      </c>
      <c r="C30" s="50" t="s">
        <v>706</v>
      </c>
      <c r="D30" s="49" t="s">
        <v>643</v>
      </c>
      <c r="E30" s="52">
        <f>35.21-129.32</f>
        <v>-94.11</v>
      </c>
      <c r="F30" s="49">
        <v>25</v>
      </c>
      <c r="G30" s="54">
        <v>12</v>
      </c>
      <c r="H30" s="55">
        <f t="shared" si="0"/>
        <v>-2352.75</v>
      </c>
      <c r="I30" s="46"/>
      <c r="J30" s="68" t="s">
        <v>707</v>
      </c>
    </row>
    <row r="31" ht="24" spans="1:9">
      <c r="A31" s="48">
        <v>56</v>
      </c>
      <c r="B31" s="51" t="s">
        <v>708</v>
      </c>
      <c r="C31" s="50" t="s">
        <v>709</v>
      </c>
      <c r="D31" s="49" t="s">
        <v>643</v>
      </c>
      <c r="E31" s="52">
        <v>-129.32</v>
      </c>
      <c r="F31" s="53">
        <v>100</v>
      </c>
      <c r="G31" s="54">
        <v>70</v>
      </c>
      <c r="H31" s="55">
        <f t="shared" si="0"/>
        <v>-12932</v>
      </c>
      <c r="I31" s="46"/>
    </row>
    <row r="32" ht="48" spans="1:9">
      <c r="A32" s="48">
        <v>57</v>
      </c>
      <c r="B32" s="49" t="s">
        <v>710</v>
      </c>
      <c r="C32" s="50" t="s">
        <v>711</v>
      </c>
      <c r="D32" s="49" t="s">
        <v>643</v>
      </c>
      <c r="E32" s="52">
        <f>9.33-18.2</f>
        <v>-8.87</v>
      </c>
      <c r="F32" s="49">
        <v>600</v>
      </c>
      <c r="G32" s="54">
        <v>500</v>
      </c>
      <c r="H32" s="55">
        <f t="shared" si="0"/>
        <v>-5322</v>
      </c>
      <c r="I32" s="46"/>
    </row>
    <row r="33" ht="84" spans="1:9">
      <c r="A33" s="48">
        <v>58</v>
      </c>
      <c r="B33" s="51" t="s">
        <v>712</v>
      </c>
      <c r="C33" s="50" t="s">
        <v>713</v>
      </c>
      <c r="D33" s="51" t="s">
        <v>643</v>
      </c>
      <c r="E33" s="52">
        <f>42.33-138.53</f>
        <v>-96.2</v>
      </c>
      <c r="F33" s="53">
        <v>290</v>
      </c>
      <c r="G33" s="54">
        <v>120</v>
      </c>
      <c r="H33" s="55">
        <f t="shared" si="0"/>
        <v>-27898</v>
      </c>
      <c r="I33" s="46"/>
    </row>
    <row r="34" ht="48" spans="1:9">
      <c r="A34" s="48">
        <v>59</v>
      </c>
      <c r="B34" s="51" t="s">
        <v>714</v>
      </c>
      <c r="C34" s="50" t="s">
        <v>715</v>
      </c>
      <c r="D34" s="51" t="s">
        <v>643</v>
      </c>
      <c r="E34" s="52">
        <v>-10.8</v>
      </c>
      <c r="F34" s="53">
        <v>230</v>
      </c>
      <c r="G34" s="54">
        <v>120</v>
      </c>
      <c r="H34" s="55">
        <f t="shared" si="0"/>
        <v>-2484</v>
      </c>
      <c r="I34" s="46"/>
    </row>
    <row r="35" ht="72" spans="1:9">
      <c r="A35" s="48">
        <v>60</v>
      </c>
      <c r="B35" s="49" t="s">
        <v>716</v>
      </c>
      <c r="C35" s="50" t="s">
        <v>670</v>
      </c>
      <c r="D35" s="49" t="s">
        <v>646</v>
      </c>
      <c r="E35" s="52">
        <f>1.03-3.54</f>
        <v>-2.51</v>
      </c>
      <c r="F35" s="49">
        <v>750</v>
      </c>
      <c r="G35" s="54">
        <v>520</v>
      </c>
      <c r="H35" s="55">
        <f t="shared" si="0"/>
        <v>-1882.5</v>
      </c>
      <c r="I35" s="46"/>
    </row>
    <row r="36" ht="72" spans="1:9">
      <c r="A36" s="48">
        <v>81</v>
      </c>
      <c r="B36" s="49" t="s">
        <v>700</v>
      </c>
      <c r="C36" s="50" t="s">
        <v>670</v>
      </c>
      <c r="D36" s="49" t="s">
        <v>646</v>
      </c>
      <c r="E36" s="52">
        <f>4.07-5.64</f>
        <v>-1.57</v>
      </c>
      <c r="F36" s="53">
        <v>750</v>
      </c>
      <c r="G36" s="54">
        <v>520</v>
      </c>
      <c r="H36" s="55">
        <f t="shared" si="0"/>
        <v>-1177.5</v>
      </c>
      <c r="I36" s="46"/>
    </row>
    <row r="37" ht="72" spans="1:9">
      <c r="A37" s="48">
        <v>82</v>
      </c>
      <c r="B37" s="49" t="s">
        <v>716</v>
      </c>
      <c r="C37" s="50" t="s">
        <v>670</v>
      </c>
      <c r="D37" s="49" t="s">
        <v>646</v>
      </c>
      <c r="E37" s="52">
        <f>1.24-1.82</f>
        <v>-0.58</v>
      </c>
      <c r="F37" s="49">
        <v>750</v>
      </c>
      <c r="G37" s="54">
        <v>520</v>
      </c>
      <c r="H37" s="55">
        <f t="shared" si="0"/>
        <v>-435</v>
      </c>
      <c r="I37" s="46"/>
    </row>
    <row r="38" ht="24" spans="1:9">
      <c r="A38" s="48">
        <v>157</v>
      </c>
      <c r="B38" s="49" t="s">
        <v>717</v>
      </c>
      <c r="C38" s="50" t="s">
        <v>718</v>
      </c>
      <c r="D38" s="49" t="s">
        <v>646</v>
      </c>
      <c r="E38" s="52">
        <f>43.01-54.1</f>
        <v>-11.09</v>
      </c>
      <c r="F38" s="53">
        <v>650</v>
      </c>
      <c r="G38" s="54">
        <v>410</v>
      </c>
      <c r="H38" s="55">
        <f t="shared" si="0"/>
        <v>-7208.5</v>
      </c>
      <c r="I38" s="46"/>
    </row>
    <row r="39" ht="36" spans="1:9">
      <c r="A39" s="48">
        <v>177</v>
      </c>
      <c r="B39" s="51" t="s">
        <v>719</v>
      </c>
      <c r="C39" s="50" t="s">
        <v>720</v>
      </c>
      <c r="D39" s="49" t="s">
        <v>643</v>
      </c>
      <c r="E39" s="52">
        <v>-6.3</v>
      </c>
      <c r="F39" s="53">
        <v>255</v>
      </c>
      <c r="G39" s="54">
        <v>120</v>
      </c>
      <c r="H39" s="55">
        <f t="shared" ref="H39:H61" si="1">E39*F39</f>
        <v>-1606.5</v>
      </c>
      <c r="I39" s="46"/>
    </row>
    <row r="40" ht="84" spans="1:9">
      <c r="A40" s="48">
        <v>189</v>
      </c>
      <c r="B40" s="49" t="s">
        <v>721</v>
      </c>
      <c r="C40" s="50" t="s">
        <v>722</v>
      </c>
      <c r="D40" s="49" t="s">
        <v>646</v>
      </c>
      <c r="E40" s="52">
        <f>1.26-7.83</f>
        <v>-6.57</v>
      </c>
      <c r="F40" s="53">
        <v>750</v>
      </c>
      <c r="G40" s="54">
        <v>520</v>
      </c>
      <c r="H40" s="55">
        <f t="shared" si="1"/>
        <v>-4927.5</v>
      </c>
      <c r="I40" s="46"/>
    </row>
    <row r="41" ht="48" spans="1:9">
      <c r="A41" s="48">
        <v>203</v>
      </c>
      <c r="B41" s="51" t="s">
        <v>723</v>
      </c>
      <c r="C41" s="50" t="s">
        <v>724</v>
      </c>
      <c r="D41" s="51" t="s">
        <v>643</v>
      </c>
      <c r="E41" s="52">
        <v>-7.93</v>
      </c>
      <c r="F41" s="49">
        <v>205</v>
      </c>
      <c r="G41" s="54">
        <v>100</v>
      </c>
      <c r="H41" s="55">
        <f t="shared" si="1"/>
        <v>-1625.65</v>
      </c>
      <c r="I41" s="46"/>
    </row>
    <row r="42" ht="36" spans="1:9">
      <c r="A42" s="48">
        <v>204</v>
      </c>
      <c r="B42" s="51" t="s">
        <v>725</v>
      </c>
      <c r="C42" s="50" t="s">
        <v>726</v>
      </c>
      <c r="D42" s="51" t="s">
        <v>643</v>
      </c>
      <c r="E42" s="52">
        <v>-24.6</v>
      </c>
      <c r="F42" s="49">
        <v>205</v>
      </c>
      <c r="G42" s="54">
        <v>100</v>
      </c>
      <c r="H42" s="55">
        <f t="shared" si="1"/>
        <v>-5043</v>
      </c>
      <c r="I42" s="46"/>
    </row>
    <row r="43" ht="36" spans="1:9">
      <c r="A43" s="48">
        <v>205</v>
      </c>
      <c r="B43" s="51" t="s">
        <v>727</v>
      </c>
      <c r="C43" s="50" t="s">
        <v>728</v>
      </c>
      <c r="D43" s="51" t="s">
        <v>643</v>
      </c>
      <c r="E43" s="52">
        <v>-2.11</v>
      </c>
      <c r="F43" s="49">
        <v>205</v>
      </c>
      <c r="G43" s="54">
        <v>90</v>
      </c>
      <c r="H43" s="55">
        <f t="shared" si="1"/>
        <v>-432.55</v>
      </c>
      <c r="I43" s="46"/>
    </row>
    <row r="44" ht="36" spans="1:9">
      <c r="A44" s="48">
        <v>216</v>
      </c>
      <c r="B44" s="51" t="s">
        <v>729</v>
      </c>
      <c r="C44" s="50" t="s">
        <v>730</v>
      </c>
      <c r="D44" s="49" t="s">
        <v>731</v>
      </c>
      <c r="E44" s="52">
        <v>-17.82</v>
      </c>
      <c r="F44" s="49">
        <v>280</v>
      </c>
      <c r="G44" s="54">
        <v>180</v>
      </c>
      <c r="H44" s="55">
        <f t="shared" si="1"/>
        <v>-4989.6</v>
      </c>
      <c r="I44" s="46"/>
    </row>
    <row r="45" ht="24" spans="1:9">
      <c r="A45" s="48" t="s">
        <v>441</v>
      </c>
      <c r="B45" s="49" t="s">
        <v>732</v>
      </c>
      <c r="C45" s="56"/>
      <c r="D45" s="56"/>
      <c r="E45" s="47"/>
      <c r="F45" s="46"/>
      <c r="G45" s="46"/>
      <c r="H45" s="55">
        <f t="shared" si="1"/>
        <v>0</v>
      </c>
      <c r="I45" s="46"/>
    </row>
    <row r="46" spans="1:9">
      <c r="A46" s="48">
        <v>1</v>
      </c>
      <c r="B46" s="51" t="s">
        <v>714</v>
      </c>
      <c r="C46" s="50" t="s">
        <v>733</v>
      </c>
      <c r="D46" s="49" t="s">
        <v>643</v>
      </c>
      <c r="E46" s="52">
        <f>986.07+E33+E34+E39+'土建-设计变更项'!E48+'土建-设计变更项'!E50+'土建-设计变更项'!E54</f>
        <v>750.88</v>
      </c>
      <c r="F46" s="57">
        <v>-12</v>
      </c>
      <c r="G46" s="54"/>
      <c r="H46" s="55">
        <f t="shared" si="1"/>
        <v>-9010.56</v>
      </c>
      <c r="I46" s="46"/>
    </row>
    <row r="47" spans="1:9">
      <c r="A47" s="46" t="s">
        <v>445</v>
      </c>
      <c r="B47" s="46"/>
      <c r="C47" s="46"/>
      <c r="D47" s="46"/>
      <c r="E47" s="47"/>
      <c r="F47" s="46"/>
      <c r="G47" s="46"/>
      <c r="H47" s="55">
        <f t="shared" si="1"/>
        <v>0</v>
      </c>
      <c r="I47" s="46"/>
    </row>
    <row r="48" ht="84" spans="1:9">
      <c r="A48" s="58">
        <v>12</v>
      </c>
      <c r="B48" s="58" t="s">
        <v>734</v>
      </c>
      <c r="C48" s="50" t="s">
        <v>735</v>
      </c>
      <c r="D48" s="51" t="s">
        <v>643</v>
      </c>
      <c r="E48" s="52">
        <v>-8.31</v>
      </c>
      <c r="F48" s="53">
        <v>230</v>
      </c>
      <c r="G48" s="54">
        <v>120</v>
      </c>
      <c r="H48" s="55">
        <f t="shared" si="1"/>
        <v>-1911.3</v>
      </c>
      <c r="I48" s="69"/>
    </row>
    <row r="49" ht="144" spans="1:9">
      <c r="A49" s="58">
        <v>44</v>
      </c>
      <c r="B49" s="58" t="s">
        <v>736</v>
      </c>
      <c r="C49" s="50" t="s">
        <v>737</v>
      </c>
      <c r="D49" s="51" t="s">
        <v>643</v>
      </c>
      <c r="E49" s="52">
        <f>12.03-23.31</f>
        <v>-11.28</v>
      </c>
      <c r="F49" s="53">
        <v>615</v>
      </c>
      <c r="G49" s="54">
        <v>400</v>
      </c>
      <c r="H49" s="55">
        <f t="shared" si="1"/>
        <v>-6937.2</v>
      </c>
      <c r="I49" s="69"/>
    </row>
    <row r="50" ht="84" spans="1:9">
      <c r="A50" s="58">
        <v>85</v>
      </c>
      <c r="B50" s="58" t="s">
        <v>734</v>
      </c>
      <c r="C50" s="50" t="s">
        <v>738</v>
      </c>
      <c r="D50" s="51" t="s">
        <v>643</v>
      </c>
      <c r="E50" s="52">
        <v>-10.22</v>
      </c>
      <c r="F50" s="53">
        <v>230</v>
      </c>
      <c r="G50" s="54">
        <v>120</v>
      </c>
      <c r="H50" s="55">
        <f t="shared" si="1"/>
        <v>-2350.6</v>
      </c>
      <c r="I50" s="69"/>
    </row>
    <row r="51" ht="72" spans="1:9">
      <c r="A51" s="58">
        <v>90</v>
      </c>
      <c r="B51" s="49" t="s">
        <v>739</v>
      </c>
      <c r="C51" s="50" t="s">
        <v>740</v>
      </c>
      <c r="D51" s="49" t="s">
        <v>643</v>
      </c>
      <c r="E51" s="52">
        <f>2.47-3.64</f>
        <v>-1.17</v>
      </c>
      <c r="F51" s="49">
        <v>1000</v>
      </c>
      <c r="G51" s="54">
        <v>950</v>
      </c>
      <c r="H51" s="55">
        <f t="shared" si="1"/>
        <v>-1170</v>
      </c>
      <c r="I51" s="69"/>
    </row>
    <row r="52" ht="72" spans="1:9">
      <c r="A52" s="58">
        <v>96</v>
      </c>
      <c r="B52" s="49" t="s">
        <v>667</v>
      </c>
      <c r="C52" s="50" t="s">
        <v>668</v>
      </c>
      <c r="D52" s="49" t="s">
        <v>646</v>
      </c>
      <c r="E52" s="52">
        <f>10.45*0+20-95.43</f>
        <v>-75.43</v>
      </c>
      <c r="F52" s="49">
        <v>620</v>
      </c>
      <c r="G52" s="54">
        <v>480</v>
      </c>
      <c r="H52" s="55">
        <f t="shared" si="1"/>
        <v>-46766.6</v>
      </c>
      <c r="I52" s="69"/>
    </row>
    <row r="53" ht="36" spans="1:9">
      <c r="A53" s="58">
        <v>114</v>
      </c>
      <c r="B53" s="51" t="s">
        <v>725</v>
      </c>
      <c r="C53" s="50" t="s">
        <v>726</v>
      </c>
      <c r="D53" s="51" t="s">
        <v>643</v>
      </c>
      <c r="E53" s="52">
        <f>260.53-219.02</f>
        <v>41.51</v>
      </c>
      <c r="F53" s="53">
        <v>205</v>
      </c>
      <c r="G53" s="54">
        <v>100</v>
      </c>
      <c r="H53" s="55">
        <f t="shared" si="1"/>
        <v>8509.55</v>
      </c>
      <c r="I53" s="69"/>
    </row>
    <row r="54" ht="36" spans="1:9">
      <c r="A54" s="59" t="s">
        <v>741</v>
      </c>
      <c r="B54" s="51" t="s">
        <v>742</v>
      </c>
      <c r="C54" s="50" t="s">
        <v>743</v>
      </c>
      <c r="D54" s="51" t="s">
        <v>643</v>
      </c>
      <c r="E54" s="52">
        <f>334.21-437.57</f>
        <v>-103.36</v>
      </c>
      <c r="F54" s="53">
        <v>275</v>
      </c>
      <c r="G54" s="54">
        <v>120</v>
      </c>
      <c r="H54" s="55">
        <f t="shared" si="1"/>
        <v>-28424</v>
      </c>
      <c r="I54" s="69"/>
    </row>
    <row r="55" ht="96" spans="1:9">
      <c r="A55" s="58">
        <v>163</v>
      </c>
      <c r="B55" s="58" t="s">
        <v>744</v>
      </c>
      <c r="C55" s="50" t="s">
        <v>745</v>
      </c>
      <c r="D55" s="51" t="s">
        <v>731</v>
      </c>
      <c r="E55" s="52">
        <f>15.36-20.2</f>
        <v>-4.84</v>
      </c>
      <c r="F55" s="53">
        <v>280</v>
      </c>
      <c r="G55" s="54">
        <v>80</v>
      </c>
      <c r="H55" s="55">
        <f t="shared" si="1"/>
        <v>-1355.2</v>
      </c>
      <c r="I55" s="69"/>
    </row>
    <row r="56" ht="36" spans="1:9">
      <c r="A56" s="58">
        <v>181</v>
      </c>
      <c r="B56" s="58" t="s">
        <v>708</v>
      </c>
      <c r="C56" s="50" t="s">
        <v>746</v>
      </c>
      <c r="D56" s="49" t="s">
        <v>643</v>
      </c>
      <c r="E56" s="52">
        <v>-36.4</v>
      </c>
      <c r="F56" s="53">
        <v>100</v>
      </c>
      <c r="G56" s="54">
        <v>70</v>
      </c>
      <c r="H56" s="55">
        <f t="shared" si="1"/>
        <v>-3640</v>
      </c>
      <c r="I56" s="69"/>
    </row>
    <row r="57" ht="96" spans="1:9">
      <c r="A57" s="58">
        <v>209</v>
      </c>
      <c r="B57" s="58" t="s">
        <v>744</v>
      </c>
      <c r="C57" s="50" t="s">
        <v>745</v>
      </c>
      <c r="D57" s="49" t="s">
        <v>731</v>
      </c>
      <c r="E57" s="52">
        <f>26-30.72</f>
        <v>-4.72</v>
      </c>
      <c r="F57" s="49">
        <v>280</v>
      </c>
      <c r="G57" s="54">
        <v>80</v>
      </c>
      <c r="H57" s="55">
        <f t="shared" si="1"/>
        <v>-1321.6</v>
      </c>
      <c r="I57" s="69"/>
    </row>
    <row r="58" ht="36" spans="1:9">
      <c r="A58" s="58">
        <v>211</v>
      </c>
      <c r="B58" s="49" t="s">
        <v>747</v>
      </c>
      <c r="C58" s="50" t="s">
        <v>748</v>
      </c>
      <c r="D58" s="49" t="s">
        <v>643</v>
      </c>
      <c r="E58" s="52">
        <f>4.52-28.82</f>
        <v>-24.3</v>
      </c>
      <c r="F58" s="49">
        <v>680</v>
      </c>
      <c r="G58" s="54">
        <v>350</v>
      </c>
      <c r="H58" s="55">
        <f t="shared" si="1"/>
        <v>-16524</v>
      </c>
      <c r="I58" s="69"/>
    </row>
    <row r="59" ht="36" spans="1:9">
      <c r="A59" s="58">
        <v>212</v>
      </c>
      <c r="B59" s="49" t="s">
        <v>749</v>
      </c>
      <c r="C59" s="50" t="s">
        <v>750</v>
      </c>
      <c r="D59" s="49" t="s">
        <v>643</v>
      </c>
      <c r="E59" s="52">
        <f>7.53-17.82</f>
        <v>-10.29</v>
      </c>
      <c r="F59" s="49">
        <v>420</v>
      </c>
      <c r="G59" s="54">
        <v>240</v>
      </c>
      <c r="H59" s="55">
        <f t="shared" si="1"/>
        <v>-4321.8</v>
      </c>
      <c r="I59" s="69"/>
    </row>
    <row r="60" ht="36" spans="1:9">
      <c r="A60" s="58">
        <v>219</v>
      </c>
      <c r="B60" s="58" t="s">
        <v>751</v>
      </c>
      <c r="C60" s="50" t="s">
        <v>752</v>
      </c>
      <c r="D60" s="49" t="s">
        <v>643</v>
      </c>
      <c r="E60" s="52">
        <f>28.75-20.34</f>
        <v>8.41</v>
      </c>
      <c r="F60" s="49">
        <v>320</v>
      </c>
      <c r="G60" s="54">
        <v>180</v>
      </c>
      <c r="H60" s="55">
        <f t="shared" si="1"/>
        <v>2691.2</v>
      </c>
      <c r="I60" s="69"/>
    </row>
    <row r="61" ht="60" spans="1:9">
      <c r="A61" s="58">
        <v>254</v>
      </c>
      <c r="B61" s="49" t="s">
        <v>753</v>
      </c>
      <c r="C61" s="50" t="s">
        <v>754</v>
      </c>
      <c r="D61" s="49" t="s">
        <v>687</v>
      </c>
      <c r="E61" s="52">
        <f>16-25</f>
        <v>-9</v>
      </c>
      <c r="F61" s="53">
        <v>750</v>
      </c>
      <c r="G61" s="54">
        <v>560</v>
      </c>
      <c r="H61" s="55">
        <f t="shared" si="1"/>
        <v>-6750</v>
      </c>
      <c r="I61" s="69"/>
    </row>
    <row r="62" spans="1:9">
      <c r="A62" s="60" t="s">
        <v>449</v>
      </c>
      <c r="B62" s="45" t="s">
        <v>647</v>
      </c>
      <c r="C62" s="61"/>
      <c r="D62" s="45" t="s">
        <v>755</v>
      </c>
      <c r="E62" s="62"/>
      <c r="F62" s="63"/>
      <c r="G62" s="64"/>
      <c r="H62" s="65">
        <f>SUM(H6:H61)</f>
        <v>-337272.56</v>
      </c>
      <c r="I62" s="60"/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rintOptions horizontalCentered="1"/>
  <pageMargins left="0.118055555555556" right="0.118055555555556" top="0.118055555555556" bottom="0.118055555555556" header="0.5" footer="0.5"/>
  <pageSetup paperSize="9" orientation="portrait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S106"/>
  <sheetViews>
    <sheetView zoomScaleSheetLayoutView="60" workbookViewId="0">
      <pane ySplit="4" topLeftCell="A101" activePane="bottomLeft" state="frozen"/>
      <selection/>
      <selection pane="bottomLeft" activeCell="L111" sqref="L111"/>
    </sheetView>
  </sheetViews>
  <sheetFormatPr defaultColWidth="8.75" defaultRowHeight="11.25"/>
  <cols>
    <col min="1" max="1" width="6" style="19" customWidth="1"/>
    <col min="2" max="2" width="8.25" style="17" customWidth="1"/>
    <col min="3" max="3" width="20.625" style="17" customWidth="1"/>
    <col min="4" max="4" width="4.375" style="19" customWidth="1"/>
    <col min="5" max="5" width="6.875" style="20" customWidth="1"/>
    <col min="6" max="6" width="7.625" style="20" customWidth="1"/>
    <col min="7" max="7" width="7.375" style="20" customWidth="1"/>
    <col min="8" max="8" width="9.375" style="20" customWidth="1"/>
    <col min="9" max="9" width="5.25" style="17" customWidth="1"/>
    <col min="10" max="10" width="7.20833333333333" style="19" customWidth="1"/>
    <col min="11" max="11" width="9.75" style="19" customWidth="1"/>
    <col min="12" max="12" width="12.5" style="17" customWidth="1"/>
    <col min="13" max="16384" width="8.75" style="17"/>
  </cols>
  <sheetData>
    <row r="1" s="17" customFormat="1" spans="1:11">
      <c r="A1" s="21" t="s">
        <v>756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="17" customFormat="1" spans="1:1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="17" customFormat="1" spans="1:11">
      <c r="A3" s="7" t="s">
        <v>1</v>
      </c>
      <c r="B3" s="7" t="s">
        <v>343</v>
      </c>
      <c r="C3" s="7" t="s">
        <v>659</v>
      </c>
      <c r="D3" s="7" t="s">
        <v>520</v>
      </c>
      <c r="E3" s="8" t="s">
        <v>660</v>
      </c>
      <c r="F3" s="8" t="s">
        <v>661</v>
      </c>
      <c r="G3" s="8"/>
      <c r="H3" s="8" t="s">
        <v>757</v>
      </c>
      <c r="I3" s="7" t="s">
        <v>374</v>
      </c>
      <c r="J3" s="8" t="s">
        <v>758</v>
      </c>
      <c r="K3" s="7" t="s">
        <v>759</v>
      </c>
    </row>
    <row r="4" s="17" customFormat="1" ht="22.5" spans="1:11">
      <c r="A4" s="7"/>
      <c r="B4" s="7"/>
      <c r="C4" s="7"/>
      <c r="D4" s="7"/>
      <c r="E4" s="8"/>
      <c r="F4" s="8"/>
      <c r="G4" s="8" t="s">
        <v>760</v>
      </c>
      <c r="H4" s="8"/>
      <c r="I4" s="7"/>
      <c r="J4" s="8"/>
      <c r="K4" s="7"/>
    </row>
    <row r="5" s="17" customFormat="1" ht="22.5" spans="1:253">
      <c r="A5" s="7" t="s">
        <v>435</v>
      </c>
      <c r="B5" s="22" t="s">
        <v>761</v>
      </c>
      <c r="C5" s="16"/>
      <c r="D5" s="7"/>
      <c r="E5" s="8"/>
      <c r="F5" s="8"/>
      <c r="G5" s="8"/>
      <c r="H5" s="12"/>
      <c r="I5" s="28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</row>
    <row r="6" s="17" customFormat="1" ht="78.75" outlineLevel="1" spans="1:253">
      <c r="A6" s="9">
        <v>1</v>
      </c>
      <c r="B6" s="10" t="s">
        <v>762</v>
      </c>
      <c r="C6" s="10" t="s">
        <v>763</v>
      </c>
      <c r="D6" s="9" t="s">
        <v>764</v>
      </c>
      <c r="E6" s="12">
        <v>1</v>
      </c>
      <c r="F6" s="11">
        <v>3800</v>
      </c>
      <c r="G6" s="11">
        <v>3500</v>
      </c>
      <c r="H6" s="11">
        <f t="shared" ref="H6:H69" si="0">E6*F6</f>
        <v>3800</v>
      </c>
      <c r="I6" s="10"/>
      <c r="J6" s="9">
        <v>1</v>
      </c>
      <c r="K6" s="9">
        <f t="shared" ref="K6:K69" si="1">J6*F6</f>
        <v>3800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</row>
    <row r="7" s="17" customFormat="1" ht="78.75" outlineLevel="1" spans="1:253">
      <c r="A7" s="9">
        <v>2</v>
      </c>
      <c r="B7" s="10" t="s">
        <v>765</v>
      </c>
      <c r="C7" s="10" t="s">
        <v>766</v>
      </c>
      <c r="D7" s="9" t="s">
        <v>764</v>
      </c>
      <c r="E7" s="12">
        <v>14</v>
      </c>
      <c r="F7" s="11">
        <v>360</v>
      </c>
      <c r="G7" s="11">
        <v>300</v>
      </c>
      <c r="H7" s="11">
        <f t="shared" si="0"/>
        <v>5040</v>
      </c>
      <c r="I7" s="10"/>
      <c r="J7" s="9">
        <v>30</v>
      </c>
      <c r="K7" s="9">
        <f t="shared" si="1"/>
        <v>10800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</row>
    <row r="8" s="17" customFormat="1" ht="56.25" outlineLevel="1" spans="1:253">
      <c r="A8" s="9">
        <v>3</v>
      </c>
      <c r="B8" s="10" t="s">
        <v>767</v>
      </c>
      <c r="C8" s="10" t="s">
        <v>768</v>
      </c>
      <c r="D8" s="9" t="s">
        <v>731</v>
      </c>
      <c r="E8" s="23">
        <v>2586.46</v>
      </c>
      <c r="F8" s="11">
        <v>12</v>
      </c>
      <c r="G8" s="11">
        <v>5</v>
      </c>
      <c r="H8" s="11">
        <f t="shared" si="0"/>
        <v>31037.52</v>
      </c>
      <c r="I8" s="10"/>
      <c r="J8" s="9">
        <v>1168</v>
      </c>
      <c r="K8" s="9">
        <f t="shared" si="1"/>
        <v>14016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</row>
    <row r="9" s="17" customFormat="1" ht="56.25" outlineLevel="1" spans="1:253">
      <c r="A9" s="9">
        <v>4</v>
      </c>
      <c r="B9" s="10" t="s">
        <v>767</v>
      </c>
      <c r="C9" s="10" t="s">
        <v>769</v>
      </c>
      <c r="D9" s="9" t="s">
        <v>731</v>
      </c>
      <c r="E9" s="12">
        <v>45.07</v>
      </c>
      <c r="F9" s="11">
        <v>16</v>
      </c>
      <c r="G9" s="11">
        <v>12</v>
      </c>
      <c r="H9" s="11">
        <f t="shared" si="0"/>
        <v>721.12</v>
      </c>
      <c r="I9" s="10"/>
      <c r="J9" s="9">
        <v>19.84</v>
      </c>
      <c r="K9" s="9">
        <f t="shared" si="1"/>
        <v>317.44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</row>
    <row r="10" s="17" customFormat="1" ht="56.25" outlineLevel="1" spans="1:253">
      <c r="A10" s="9">
        <v>5</v>
      </c>
      <c r="B10" s="10" t="s">
        <v>767</v>
      </c>
      <c r="C10" s="10" t="s">
        <v>770</v>
      </c>
      <c r="D10" s="9" t="s">
        <v>731</v>
      </c>
      <c r="E10" s="12">
        <f>163.75+22.98</f>
        <v>186.73</v>
      </c>
      <c r="F10" s="11">
        <v>16</v>
      </c>
      <c r="G10" s="11">
        <v>9</v>
      </c>
      <c r="H10" s="11">
        <f t="shared" si="0"/>
        <v>2987.68</v>
      </c>
      <c r="I10" s="10"/>
      <c r="J10" s="9"/>
      <c r="K10" s="9">
        <f t="shared" si="1"/>
        <v>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</row>
    <row r="11" s="17" customFormat="1" ht="78.75" outlineLevel="1" spans="1:253">
      <c r="A11" s="9">
        <v>6</v>
      </c>
      <c r="B11" s="10" t="s">
        <v>771</v>
      </c>
      <c r="C11" s="10" t="s">
        <v>772</v>
      </c>
      <c r="D11" s="9" t="s">
        <v>731</v>
      </c>
      <c r="E11" s="23">
        <f>2504.58+6.6*1.025</f>
        <v>2511.35</v>
      </c>
      <c r="F11" s="11">
        <v>18</v>
      </c>
      <c r="G11" s="11">
        <v>11</v>
      </c>
      <c r="H11" s="11">
        <f t="shared" si="0"/>
        <v>45204.3</v>
      </c>
      <c r="I11" s="10"/>
      <c r="J11" s="9">
        <v>1688.04</v>
      </c>
      <c r="K11" s="9">
        <f t="shared" si="1"/>
        <v>30384.72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</row>
    <row r="12" s="17" customFormat="1" ht="78.75" outlineLevel="1" spans="1:253">
      <c r="A12" s="9">
        <v>7</v>
      </c>
      <c r="B12" s="10" t="s">
        <v>771</v>
      </c>
      <c r="C12" s="10" t="s">
        <v>773</v>
      </c>
      <c r="D12" s="9" t="s">
        <v>731</v>
      </c>
      <c r="E12" s="23">
        <v>128.92</v>
      </c>
      <c r="F12" s="11">
        <v>21.5</v>
      </c>
      <c r="G12" s="11">
        <v>15.5</v>
      </c>
      <c r="H12" s="11">
        <f t="shared" si="0"/>
        <v>2771.78</v>
      </c>
      <c r="I12" s="10"/>
      <c r="J12" s="9">
        <v>283.05</v>
      </c>
      <c r="K12" s="9">
        <f t="shared" si="1"/>
        <v>6085.575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</row>
    <row r="13" s="17" customFormat="1" ht="78.75" outlineLevel="1" spans="1:253">
      <c r="A13" s="9">
        <v>8</v>
      </c>
      <c r="B13" s="10" t="s">
        <v>771</v>
      </c>
      <c r="C13" s="10" t="s">
        <v>774</v>
      </c>
      <c r="D13" s="9" t="s">
        <v>731</v>
      </c>
      <c r="E13" s="12">
        <v>131.07</v>
      </c>
      <c r="F13" s="11">
        <v>21</v>
      </c>
      <c r="G13" s="11">
        <v>14.5</v>
      </c>
      <c r="H13" s="11">
        <f t="shared" si="0"/>
        <v>2752.47</v>
      </c>
      <c r="I13" s="10"/>
      <c r="J13" s="9">
        <v>30.74</v>
      </c>
      <c r="K13" s="9">
        <f t="shared" si="1"/>
        <v>645.54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</row>
    <row r="14" s="17" customFormat="1" ht="78.75" outlineLevel="1" spans="1:253">
      <c r="A14" s="9">
        <v>9</v>
      </c>
      <c r="B14" s="10" t="s">
        <v>771</v>
      </c>
      <c r="C14" s="10" t="s">
        <v>775</v>
      </c>
      <c r="D14" s="9" t="s">
        <v>731</v>
      </c>
      <c r="E14" s="12">
        <v>56.14</v>
      </c>
      <c r="F14" s="11">
        <v>30</v>
      </c>
      <c r="G14" s="11">
        <v>23.5</v>
      </c>
      <c r="H14" s="11">
        <f t="shared" si="0"/>
        <v>1684.2</v>
      </c>
      <c r="I14" s="10"/>
      <c r="J14" s="9">
        <v>46.44</v>
      </c>
      <c r="K14" s="9">
        <f t="shared" si="1"/>
        <v>1393.2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</row>
    <row r="15" s="17" customFormat="1" ht="78.75" outlineLevel="1" spans="1:253">
      <c r="A15" s="9">
        <v>10</v>
      </c>
      <c r="B15" s="10" t="s">
        <v>771</v>
      </c>
      <c r="C15" s="10" t="s">
        <v>776</v>
      </c>
      <c r="D15" s="9" t="s">
        <v>731</v>
      </c>
      <c r="E15" s="12">
        <f>22.98*1.025</f>
        <v>23.55</v>
      </c>
      <c r="F15" s="11">
        <v>15.5</v>
      </c>
      <c r="G15" s="11">
        <v>9</v>
      </c>
      <c r="H15" s="11">
        <f t="shared" si="0"/>
        <v>365.03</v>
      </c>
      <c r="I15" s="10"/>
      <c r="J15" s="9">
        <v>23.55</v>
      </c>
      <c r="K15" s="9">
        <f t="shared" si="1"/>
        <v>365.025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</row>
    <row r="16" s="17" customFormat="1" ht="112.5" outlineLevel="1" spans="1:253">
      <c r="A16" s="9">
        <v>11</v>
      </c>
      <c r="B16" s="10" t="s">
        <v>777</v>
      </c>
      <c r="C16" s="10" t="s">
        <v>778</v>
      </c>
      <c r="D16" s="9" t="s">
        <v>764</v>
      </c>
      <c r="E16" s="12">
        <v>5</v>
      </c>
      <c r="F16" s="11">
        <v>1800</v>
      </c>
      <c r="G16" s="11">
        <v>1500</v>
      </c>
      <c r="H16" s="11">
        <f t="shared" si="0"/>
        <v>9000</v>
      </c>
      <c r="I16" s="10"/>
      <c r="J16" s="9">
        <v>5</v>
      </c>
      <c r="K16" s="9">
        <f t="shared" si="1"/>
        <v>9000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="17" customFormat="1" ht="112.5" outlineLevel="1" spans="1:253">
      <c r="A17" s="9">
        <v>12</v>
      </c>
      <c r="B17" s="10" t="s">
        <v>777</v>
      </c>
      <c r="C17" s="10" t="s">
        <v>779</v>
      </c>
      <c r="D17" s="9" t="s">
        <v>764</v>
      </c>
      <c r="E17" s="12">
        <v>10</v>
      </c>
      <c r="F17" s="11">
        <v>360</v>
      </c>
      <c r="G17" s="11">
        <v>240</v>
      </c>
      <c r="H17" s="11">
        <f t="shared" si="0"/>
        <v>3600</v>
      </c>
      <c r="I17" s="10"/>
      <c r="J17" s="9">
        <v>9</v>
      </c>
      <c r="K17" s="9">
        <f t="shared" si="1"/>
        <v>3240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ht="112.5" outlineLevel="1" spans="1:253">
      <c r="A18" s="9">
        <v>13</v>
      </c>
      <c r="B18" s="10" t="s">
        <v>777</v>
      </c>
      <c r="C18" s="10" t="s">
        <v>780</v>
      </c>
      <c r="D18" s="9" t="s">
        <v>764</v>
      </c>
      <c r="E18" s="12">
        <v>2</v>
      </c>
      <c r="F18" s="11">
        <v>600</v>
      </c>
      <c r="G18" s="11">
        <v>550</v>
      </c>
      <c r="H18" s="11">
        <f t="shared" si="0"/>
        <v>1200</v>
      </c>
      <c r="I18" s="10"/>
      <c r="J18" s="9">
        <v>2</v>
      </c>
      <c r="K18" s="9">
        <f t="shared" si="1"/>
        <v>1200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</row>
    <row r="19" s="17" customFormat="1" ht="123.75" outlineLevel="1" spans="1:253">
      <c r="A19" s="9">
        <v>14</v>
      </c>
      <c r="B19" s="10" t="s">
        <v>777</v>
      </c>
      <c r="C19" s="10" t="s">
        <v>781</v>
      </c>
      <c r="D19" s="9" t="s">
        <v>764</v>
      </c>
      <c r="E19" s="12">
        <v>173</v>
      </c>
      <c r="F19" s="11">
        <v>170</v>
      </c>
      <c r="G19" s="11">
        <v>110</v>
      </c>
      <c r="H19" s="11">
        <f t="shared" si="0"/>
        <v>29410</v>
      </c>
      <c r="I19" s="10"/>
      <c r="J19" s="9">
        <v>130</v>
      </c>
      <c r="K19" s="9">
        <f t="shared" si="1"/>
        <v>22100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</row>
    <row r="20" s="17" customFormat="1" ht="90" outlineLevel="1" spans="1:253">
      <c r="A20" s="9">
        <v>15</v>
      </c>
      <c r="B20" s="10" t="s">
        <v>777</v>
      </c>
      <c r="C20" s="10" t="s">
        <v>782</v>
      </c>
      <c r="D20" s="9" t="s">
        <v>764</v>
      </c>
      <c r="E20" s="12">
        <v>67</v>
      </c>
      <c r="F20" s="11">
        <v>160</v>
      </c>
      <c r="G20" s="11">
        <v>120</v>
      </c>
      <c r="H20" s="11">
        <f t="shared" si="0"/>
        <v>10720</v>
      </c>
      <c r="I20" s="10"/>
      <c r="J20" s="9">
        <v>55</v>
      </c>
      <c r="K20" s="9">
        <f t="shared" si="1"/>
        <v>8800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</row>
    <row r="21" s="17" customFormat="1" ht="90" outlineLevel="1" spans="1:253">
      <c r="A21" s="9">
        <v>16</v>
      </c>
      <c r="B21" s="10" t="s">
        <v>777</v>
      </c>
      <c r="C21" s="10" t="s">
        <v>783</v>
      </c>
      <c r="D21" s="9" t="s">
        <v>764</v>
      </c>
      <c r="E21" s="12">
        <v>3</v>
      </c>
      <c r="F21" s="11">
        <v>120</v>
      </c>
      <c r="G21" s="11">
        <v>90</v>
      </c>
      <c r="H21" s="11">
        <f t="shared" si="0"/>
        <v>360</v>
      </c>
      <c r="I21" s="10"/>
      <c r="J21" s="9">
        <v>3</v>
      </c>
      <c r="K21" s="9">
        <f t="shared" si="1"/>
        <v>360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</row>
    <row r="22" s="17" customFormat="1" ht="123.75" outlineLevel="1" spans="1:253">
      <c r="A22" s="9">
        <v>17</v>
      </c>
      <c r="B22" s="10" t="s">
        <v>777</v>
      </c>
      <c r="C22" s="10" t="s">
        <v>784</v>
      </c>
      <c r="D22" s="9" t="s">
        <v>764</v>
      </c>
      <c r="E22" s="12">
        <v>13</v>
      </c>
      <c r="F22" s="11">
        <v>160</v>
      </c>
      <c r="G22" s="11">
        <v>120</v>
      </c>
      <c r="H22" s="11">
        <f t="shared" si="0"/>
        <v>2080</v>
      </c>
      <c r="I22" s="10"/>
      <c r="J22" s="9">
        <v>8</v>
      </c>
      <c r="K22" s="9">
        <f t="shared" si="1"/>
        <v>1280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</row>
    <row r="23" s="17" customFormat="1" ht="135" outlineLevel="1" spans="1:253">
      <c r="A23" s="9">
        <v>18</v>
      </c>
      <c r="B23" s="10" t="s">
        <v>777</v>
      </c>
      <c r="C23" s="10" t="s">
        <v>785</v>
      </c>
      <c r="D23" s="9" t="s">
        <v>764</v>
      </c>
      <c r="E23" s="12">
        <v>14</v>
      </c>
      <c r="F23" s="11">
        <v>210</v>
      </c>
      <c r="G23" s="11">
        <v>180</v>
      </c>
      <c r="H23" s="11">
        <f t="shared" si="0"/>
        <v>2940</v>
      </c>
      <c r="I23" s="10"/>
      <c r="J23" s="9">
        <v>6</v>
      </c>
      <c r="K23" s="9">
        <f t="shared" si="1"/>
        <v>1260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</row>
    <row r="24" s="17" customFormat="1" ht="78.75" outlineLevel="1" spans="1:253">
      <c r="A24" s="9">
        <v>19</v>
      </c>
      <c r="B24" s="10" t="s">
        <v>786</v>
      </c>
      <c r="C24" s="10" t="s">
        <v>787</v>
      </c>
      <c r="D24" s="9" t="s">
        <v>731</v>
      </c>
      <c r="E24" s="12">
        <v>53.44</v>
      </c>
      <c r="F24" s="11">
        <v>16</v>
      </c>
      <c r="G24" s="11">
        <v>12</v>
      </c>
      <c r="H24" s="11">
        <f t="shared" si="0"/>
        <v>855.04</v>
      </c>
      <c r="I24" s="10"/>
      <c r="J24" s="9">
        <v>20.56</v>
      </c>
      <c r="K24" s="9">
        <f t="shared" si="1"/>
        <v>328.96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</row>
    <row r="25" s="17" customFormat="1" ht="90" outlineLevel="1" spans="1:253">
      <c r="A25" s="9">
        <v>20</v>
      </c>
      <c r="B25" s="10" t="s">
        <v>786</v>
      </c>
      <c r="C25" s="10" t="s">
        <v>788</v>
      </c>
      <c r="D25" s="9" t="s">
        <v>731</v>
      </c>
      <c r="E25" s="12">
        <v>107</v>
      </c>
      <c r="F25" s="11">
        <v>14</v>
      </c>
      <c r="G25" s="11">
        <v>10</v>
      </c>
      <c r="H25" s="11">
        <f t="shared" si="0"/>
        <v>1498</v>
      </c>
      <c r="I25" s="10"/>
      <c r="J25" s="9">
        <v>99.94</v>
      </c>
      <c r="K25" s="9">
        <f t="shared" si="1"/>
        <v>1399.16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</row>
    <row r="26" s="17" customFormat="1" ht="90" outlineLevel="1" spans="1:253">
      <c r="A26" s="9">
        <v>21</v>
      </c>
      <c r="B26" s="10" t="s">
        <v>786</v>
      </c>
      <c r="C26" s="10" t="s">
        <v>789</v>
      </c>
      <c r="D26" s="9" t="s">
        <v>731</v>
      </c>
      <c r="E26" s="12">
        <v>76.22</v>
      </c>
      <c r="F26" s="11">
        <v>12</v>
      </c>
      <c r="G26" s="11">
        <v>8.5</v>
      </c>
      <c r="H26" s="11">
        <f t="shared" si="0"/>
        <v>914.64</v>
      </c>
      <c r="I26" s="10"/>
      <c r="J26" s="9">
        <v>83.92</v>
      </c>
      <c r="K26" s="9">
        <f t="shared" si="1"/>
        <v>1007.04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</row>
    <row r="27" s="17" customFormat="1" ht="33.75" outlineLevel="1" spans="1:253">
      <c r="A27" s="9">
        <v>22</v>
      </c>
      <c r="B27" s="10" t="s">
        <v>790</v>
      </c>
      <c r="C27" s="10" t="s">
        <v>791</v>
      </c>
      <c r="D27" s="9" t="s">
        <v>697</v>
      </c>
      <c r="E27" s="12">
        <v>6</v>
      </c>
      <c r="F27" s="11">
        <v>1200</v>
      </c>
      <c r="G27" s="11">
        <v>1000</v>
      </c>
      <c r="H27" s="11">
        <f t="shared" si="0"/>
        <v>7200</v>
      </c>
      <c r="I27" s="10"/>
      <c r="J27" s="9">
        <v>5</v>
      </c>
      <c r="K27" s="9">
        <f t="shared" si="1"/>
        <v>6000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</row>
    <row r="28" s="17" customFormat="1" ht="33.75" outlineLevel="1" spans="1:253">
      <c r="A28" s="9">
        <v>23</v>
      </c>
      <c r="B28" s="10" t="s">
        <v>792</v>
      </c>
      <c r="C28" s="10" t="s">
        <v>793</v>
      </c>
      <c r="D28" s="9" t="s">
        <v>697</v>
      </c>
      <c r="E28" s="12">
        <v>6</v>
      </c>
      <c r="F28" s="11">
        <v>12</v>
      </c>
      <c r="G28" s="11">
        <v>7</v>
      </c>
      <c r="H28" s="11">
        <f t="shared" si="0"/>
        <v>72</v>
      </c>
      <c r="I28" s="10"/>
      <c r="J28" s="9">
        <v>5</v>
      </c>
      <c r="K28" s="9">
        <f t="shared" si="1"/>
        <v>60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</row>
    <row r="29" s="17" customFormat="1" ht="45" outlineLevel="1" spans="1:253">
      <c r="A29" s="9">
        <v>24</v>
      </c>
      <c r="B29" s="10" t="s">
        <v>794</v>
      </c>
      <c r="C29" s="10" t="s">
        <v>795</v>
      </c>
      <c r="D29" s="9" t="s">
        <v>697</v>
      </c>
      <c r="E29" s="12">
        <v>6</v>
      </c>
      <c r="F29" s="11">
        <v>165</v>
      </c>
      <c r="G29" s="11"/>
      <c r="H29" s="11">
        <f t="shared" si="0"/>
        <v>990</v>
      </c>
      <c r="I29" s="10"/>
      <c r="J29" s="9">
        <v>3</v>
      </c>
      <c r="K29" s="9">
        <f t="shared" si="1"/>
        <v>495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</row>
    <row r="30" s="17" customFormat="1" ht="45" outlineLevel="2" spans="1:253">
      <c r="A30" s="9">
        <v>25</v>
      </c>
      <c r="B30" s="10" t="s">
        <v>796</v>
      </c>
      <c r="C30" s="10" t="s">
        <v>797</v>
      </c>
      <c r="D30" s="9" t="s">
        <v>646</v>
      </c>
      <c r="E30" s="12">
        <f>1368.86*0.6*0.6</f>
        <v>492.79</v>
      </c>
      <c r="F30" s="12">
        <v>21</v>
      </c>
      <c r="G30" s="12"/>
      <c r="H30" s="11">
        <f t="shared" si="0"/>
        <v>10348.59</v>
      </c>
      <c r="I30" s="10"/>
      <c r="J30" s="9">
        <v>384.9</v>
      </c>
      <c r="K30" s="9">
        <f t="shared" si="1"/>
        <v>8082.9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</row>
    <row r="31" s="17" customFormat="1" ht="33.75" outlineLevel="2" spans="1:253">
      <c r="A31" s="9">
        <v>26</v>
      </c>
      <c r="B31" s="10" t="s">
        <v>798</v>
      </c>
      <c r="C31" s="10" t="s">
        <v>799</v>
      </c>
      <c r="D31" s="9" t="s">
        <v>646</v>
      </c>
      <c r="E31" s="12">
        <f>1368.86*0.6*0.6-0.37*0.37*0.52*6</f>
        <v>492.36</v>
      </c>
      <c r="F31" s="12">
        <v>11</v>
      </c>
      <c r="G31" s="12"/>
      <c r="H31" s="11">
        <f t="shared" si="0"/>
        <v>5415.96</v>
      </c>
      <c r="I31" s="10"/>
      <c r="J31" s="9">
        <v>384.9</v>
      </c>
      <c r="K31" s="9">
        <f t="shared" si="1"/>
        <v>4233.9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</row>
    <row r="32" s="17" customFormat="1" ht="56.25" outlineLevel="2" spans="1:253">
      <c r="A32" s="9">
        <v>27</v>
      </c>
      <c r="B32" s="10" t="s">
        <v>767</v>
      </c>
      <c r="C32" s="10" t="s">
        <v>800</v>
      </c>
      <c r="D32" s="9" t="s">
        <v>731</v>
      </c>
      <c r="E32" s="12">
        <v>170</v>
      </c>
      <c r="F32" s="12">
        <v>60</v>
      </c>
      <c r="G32" s="12">
        <v>45</v>
      </c>
      <c r="H32" s="11">
        <f t="shared" si="0"/>
        <v>10200</v>
      </c>
      <c r="I32" s="10"/>
      <c r="J32" s="9">
        <v>150</v>
      </c>
      <c r="K32" s="9">
        <f t="shared" si="1"/>
        <v>9000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</row>
    <row r="33" s="17" customFormat="1" ht="78.75" outlineLevel="2" spans="1:253">
      <c r="A33" s="9">
        <v>28</v>
      </c>
      <c r="B33" s="10" t="s">
        <v>771</v>
      </c>
      <c r="C33" s="10" t="s">
        <v>801</v>
      </c>
      <c r="D33" s="9" t="s">
        <v>731</v>
      </c>
      <c r="E33" s="12">
        <v>180</v>
      </c>
      <c r="F33" s="12">
        <v>220</v>
      </c>
      <c r="G33" s="12">
        <v>180</v>
      </c>
      <c r="H33" s="11">
        <f t="shared" si="0"/>
        <v>39600</v>
      </c>
      <c r="I33" s="10"/>
      <c r="J33" s="9">
        <v>165</v>
      </c>
      <c r="K33" s="9">
        <f t="shared" si="1"/>
        <v>36300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</row>
    <row r="34" s="17" customFormat="1" ht="22.5" spans="1:253">
      <c r="A34" s="7" t="s">
        <v>441</v>
      </c>
      <c r="B34" s="22" t="s">
        <v>802</v>
      </c>
      <c r="C34" s="10"/>
      <c r="D34" s="9"/>
      <c r="E34" s="12"/>
      <c r="F34" s="11"/>
      <c r="G34" s="11"/>
      <c r="H34" s="11">
        <f t="shared" si="0"/>
        <v>0</v>
      </c>
      <c r="I34" s="10"/>
      <c r="J34" s="9"/>
      <c r="K34" s="9">
        <f t="shared" si="1"/>
        <v>0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</row>
    <row r="35" s="17" customFormat="1" ht="56.25" outlineLevel="1" spans="1:253">
      <c r="A35" s="9">
        <v>1</v>
      </c>
      <c r="B35" s="10" t="s">
        <v>767</v>
      </c>
      <c r="C35" s="10" t="s">
        <v>803</v>
      </c>
      <c r="D35" s="9" t="s">
        <v>731</v>
      </c>
      <c r="E35" s="12">
        <f>101.35+61.28</f>
        <v>162.63</v>
      </c>
      <c r="F35" s="11">
        <v>7.5</v>
      </c>
      <c r="G35" s="11">
        <v>6.5</v>
      </c>
      <c r="H35" s="11">
        <f t="shared" si="0"/>
        <v>1219.73</v>
      </c>
      <c r="I35" s="10"/>
      <c r="J35" s="9">
        <v>162.63</v>
      </c>
      <c r="K35" s="9">
        <f t="shared" si="1"/>
        <v>1219.725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</row>
    <row r="36" s="17" customFormat="1" ht="67.5" outlineLevel="1" spans="1:253">
      <c r="A36" s="9">
        <v>2</v>
      </c>
      <c r="B36" s="10" t="s">
        <v>767</v>
      </c>
      <c r="C36" s="10" t="s">
        <v>804</v>
      </c>
      <c r="D36" s="9" t="s">
        <v>731</v>
      </c>
      <c r="E36" s="12">
        <v>162.63</v>
      </c>
      <c r="F36" s="11">
        <v>4.6</v>
      </c>
      <c r="G36" s="11">
        <v>3.7</v>
      </c>
      <c r="H36" s="11">
        <f t="shared" si="0"/>
        <v>748.1</v>
      </c>
      <c r="I36" s="10"/>
      <c r="J36" s="9">
        <v>162.63</v>
      </c>
      <c r="K36" s="9">
        <f t="shared" si="1"/>
        <v>748.098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</row>
    <row r="37" s="17" customFormat="1" ht="67.5" outlineLevel="1" spans="1:253">
      <c r="A37" s="9">
        <v>3</v>
      </c>
      <c r="B37" s="10" t="s">
        <v>805</v>
      </c>
      <c r="C37" s="10" t="s">
        <v>806</v>
      </c>
      <c r="D37" s="9" t="s">
        <v>697</v>
      </c>
      <c r="E37" s="12">
        <v>7</v>
      </c>
      <c r="F37" s="11">
        <v>280</v>
      </c>
      <c r="G37" s="11">
        <v>160</v>
      </c>
      <c r="H37" s="11">
        <f t="shared" si="0"/>
        <v>1960</v>
      </c>
      <c r="I37" s="10"/>
      <c r="J37" s="9">
        <v>7</v>
      </c>
      <c r="K37" s="9">
        <f t="shared" si="1"/>
        <v>1960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</row>
    <row r="38" s="17" customFormat="1" ht="45" outlineLevel="2" spans="1:253">
      <c r="A38" s="9">
        <v>4</v>
      </c>
      <c r="B38" s="10" t="s">
        <v>796</v>
      </c>
      <c r="C38" s="10" t="s">
        <v>797</v>
      </c>
      <c r="D38" s="9" t="s">
        <v>646</v>
      </c>
      <c r="E38" s="12">
        <f>162.63*0.6*0.6</f>
        <v>58.55</v>
      </c>
      <c r="F38" s="12">
        <v>32</v>
      </c>
      <c r="G38" s="12"/>
      <c r="H38" s="11">
        <f t="shared" si="0"/>
        <v>1873.6</v>
      </c>
      <c r="I38" s="10"/>
      <c r="J38" s="9">
        <v>24.39</v>
      </c>
      <c r="K38" s="9">
        <f t="shared" si="1"/>
        <v>780.48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</row>
    <row r="39" s="17" customFormat="1" ht="33.75" outlineLevel="2" spans="1:253">
      <c r="A39" s="9">
        <v>5</v>
      </c>
      <c r="B39" s="10" t="s">
        <v>798</v>
      </c>
      <c r="C39" s="10" t="s">
        <v>799</v>
      </c>
      <c r="D39" s="9" t="s">
        <v>646</v>
      </c>
      <c r="E39" s="12">
        <v>58.55</v>
      </c>
      <c r="F39" s="12">
        <v>11</v>
      </c>
      <c r="G39" s="12"/>
      <c r="H39" s="11">
        <f t="shared" si="0"/>
        <v>644.05</v>
      </c>
      <c r="I39" s="10"/>
      <c r="J39" s="9">
        <v>24.39</v>
      </c>
      <c r="K39" s="9">
        <f t="shared" si="1"/>
        <v>268.29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</row>
    <row r="40" s="17" customFormat="1" ht="22.5" spans="1:11">
      <c r="A40" s="7" t="s">
        <v>445</v>
      </c>
      <c r="B40" s="16" t="s">
        <v>807</v>
      </c>
      <c r="C40" s="16"/>
      <c r="D40" s="7"/>
      <c r="E40" s="8"/>
      <c r="F40" s="8"/>
      <c r="G40" s="8"/>
      <c r="H40" s="11">
        <f t="shared" si="0"/>
        <v>0</v>
      </c>
      <c r="I40" s="16"/>
      <c r="J40" s="29"/>
      <c r="K40" s="9">
        <f t="shared" si="1"/>
        <v>0</v>
      </c>
    </row>
    <row r="41" s="17" customFormat="1" outlineLevel="1" spans="1:253">
      <c r="A41" s="7" t="s">
        <v>808</v>
      </c>
      <c r="B41" s="16" t="s">
        <v>809</v>
      </c>
      <c r="C41" s="10"/>
      <c r="D41" s="9"/>
      <c r="E41" s="12"/>
      <c r="F41" s="12"/>
      <c r="G41" s="12"/>
      <c r="H41" s="11">
        <f t="shared" si="0"/>
        <v>0</v>
      </c>
      <c r="I41" s="10"/>
      <c r="J41" s="9"/>
      <c r="K41" s="9">
        <f t="shared" si="1"/>
        <v>0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</row>
    <row r="42" s="17" customFormat="1" ht="45" outlineLevel="2" spans="1:253">
      <c r="A42" s="9">
        <v>1</v>
      </c>
      <c r="B42" s="10" t="s">
        <v>796</v>
      </c>
      <c r="C42" s="10" t="s">
        <v>797</v>
      </c>
      <c r="D42" s="9" t="s">
        <v>646</v>
      </c>
      <c r="E42" s="12">
        <f>225.22*0.5*0.6</f>
        <v>67.57</v>
      </c>
      <c r="F42" s="12">
        <v>32</v>
      </c>
      <c r="G42" s="12"/>
      <c r="H42" s="11">
        <f t="shared" si="0"/>
        <v>2162.24</v>
      </c>
      <c r="I42" s="10"/>
      <c r="J42" s="9"/>
      <c r="K42" s="9">
        <f t="shared" si="1"/>
        <v>0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</row>
    <row r="43" s="17" customFormat="1" ht="33.75" outlineLevel="2" spans="1:253">
      <c r="A43" s="9">
        <v>2</v>
      </c>
      <c r="B43" s="10" t="s">
        <v>798</v>
      </c>
      <c r="C43" s="10" t="s">
        <v>799</v>
      </c>
      <c r="D43" s="9" t="s">
        <v>646</v>
      </c>
      <c r="E43" s="12">
        <v>67.57</v>
      </c>
      <c r="F43" s="12">
        <v>11</v>
      </c>
      <c r="G43" s="12"/>
      <c r="H43" s="11">
        <f t="shared" si="0"/>
        <v>743.27</v>
      </c>
      <c r="I43" s="10"/>
      <c r="J43" s="9"/>
      <c r="K43" s="9">
        <f t="shared" si="1"/>
        <v>0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</row>
    <row r="44" s="17" customFormat="1" ht="101.25" outlineLevel="2" spans="1:253">
      <c r="A44" s="9">
        <v>3</v>
      </c>
      <c r="B44" s="10" t="s">
        <v>810</v>
      </c>
      <c r="C44" s="10" t="s">
        <v>811</v>
      </c>
      <c r="D44" s="9" t="s">
        <v>731</v>
      </c>
      <c r="E44" s="12">
        <f>39.69+4.06+20.95+3.23+12.66</f>
        <v>80.59</v>
      </c>
      <c r="F44" s="12">
        <v>13</v>
      </c>
      <c r="G44" s="12">
        <v>6</v>
      </c>
      <c r="H44" s="11">
        <f t="shared" si="0"/>
        <v>1047.67</v>
      </c>
      <c r="I44" s="10"/>
      <c r="J44" s="9">
        <v>73.34</v>
      </c>
      <c r="K44" s="9">
        <f t="shared" si="1"/>
        <v>953.42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</row>
    <row r="45" s="17" customFormat="1" ht="101.25" outlineLevel="2" spans="1:253">
      <c r="A45" s="9">
        <v>4</v>
      </c>
      <c r="B45" s="10" t="s">
        <v>810</v>
      </c>
      <c r="C45" s="10" t="s">
        <v>812</v>
      </c>
      <c r="D45" s="9" t="s">
        <v>731</v>
      </c>
      <c r="E45" s="12">
        <f>5.25+2.92</f>
        <v>8.17</v>
      </c>
      <c r="F45" s="12">
        <v>17</v>
      </c>
      <c r="G45" s="12">
        <v>9.5</v>
      </c>
      <c r="H45" s="11">
        <f t="shared" si="0"/>
        <v>138.89</v>
      </c>
      <c r="I45" s="10"/>
      <c r="J45" s="9">
        <v>20.48</v>
      </c>
      <c r="K45" s="9">
        <f t="shared" si="1"/>
        <v>348.16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</row>
    <row r="46" s="17" customFormat="1" ht="101.25" outlineLevel="2" spans="1:253">
      <c r="A46" s="9">
        <v>5</v>
      </c>
      <c r="B46" s="10" t="s">
        <v>810</v>
      </c>
      <c r="C46" s="10" t="s">
        <v>813</v>
      </c>
      <c r="D46" s="9" t="s">
        <v>731</v>
      </c>
      <c r="E46" s="12">
        <f>8.78+8.78+6+7.311+9.53+6.54</f>
        <v>46.94</v>
      </c>
      <c r="F46" s="12">
        <v>21</v>
      </c>
      <c r="G46" s="12">
        <v>15</v>
      </c>
      <c r="H46" s="11">
        <f t="shared" si="0"/>
        <v>985.74</v>
      </c>
      <c r="I46" s="10"/>
      <c r="J46" s="9">
        <v>51.51</v>
      </c>
      <c r="K46" s="9">
        <f t="shared" si="1"/>
        <v>1081.71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</row>
    <row r="47" s="17" customFormat="1" ht="101.25" outlineLevel="2" spans="1:253">
      <c r="A47" s="9">
        <v>6</v>
      </c>
      <c r="B47" s="10" t="s">
        <v>810</v>
      </c>
      <c r="C47" s="10" t="s">
        <v>814</v>
      </c>
      <c r="D47" s="9" t="s">
        <v>731</v>
      </c>
      <c r="E47" s="12">
        <f>77.53+11.99</f>
        <v>89.52</v>
      </c>
      <c r="F47" s="12">
        <v>26</v>
      </c>
      <c r="G47" s="12">
        <v>20</v>
      </c>
      <c r="H47" s="11">
        <f t="shared" si="0"/>
        <v>2327.52</v>
      </c>
      <c r="I47" s="10"/>
      <c r="J47" s="9">
        <v>90.64</v>
      </c>
      <c r="K47" s="9">
        <f t="shared" si="1"/>
        <v>2356.64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</row>
    <row r="48" s="17" customFormat="1" ht="90" outlineLevel="2" spans="1:253">
      <c r="A48" s="9">
        <v>7</v>
      </c>
      <c r="B48" s="10" t="s">
        <v>815</v>
      </c>
      <c r="C48" s="10" t="s">
        <v>816</v>
      </c>
      <c r="D48" s="9" t="s">
        <v>817</v>
      </c>
      <c r="E48" s="12">
        <v>1</v>
      </c>
      <c r="F48" s="12">
        <v>3600</v>
      </c>
      <c r="G48" s="12"/>
      <c r="H48" s="11">
        <f t="shared" si="0"/>
        <v>3600</v>
      </c>
      <c r="I48" s="10"/>
      <c r="J48" s="9">
        <v>1</v>
      </c>
      <c r="K48" s="9">
        <f t="shared" si="1"/>
        <v>3600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</row>
    <row r="49" s="17" customFormat="1" ht="78.75" outlineLevel="2" spans="1:253">
      <c r="A49" s="9">
        <v>8</v>
      </c>
      <c r="B49" s="10" t="s">
        <v>818</v>
      </c>
      <c r="C49" s="10" t="s">
        <v>819</v>
      </c>
      <c r="D49" s="9" t="s">
        <v>820</v>
      </c>
      <c r="E49" s="12">
        <v>1</v>
      </c>
      <c r="F49" s="12">
        <v>165</v>
      </c>
      <c r="G49" s="12">
        <v>105</v>
      </c>
      <c r="H49" s="11">
        <f t="shared" si="0"/>
        <v>165</v>
      </c>
      <c r="I49" s="10"/>
      <c r="J49" s="9">
        <v>1</v>
      </c>
      <c r="K49" s="9">
        <f t="shared" si="1"/>
        <v>165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</row>
    <row r="50" s="17" customFormat="1" ht="78.75" outlineLevel="2" spans="1:253">
      <c r="A50" s="9">
        <v>9</v>
      </c>
      <c r="B50" s="10" t="s">
        <v>821</v>
      </c>
      <c r="C50" s="10" t="s">
        <v>822</v>
      </c>
      <c r="D50" s="9" t="s">
        <v>697</v>
      </c>
      <c r="E50" s="12">
        <v>2</v>
      </c>
      <c r="F50" s="12">
        <v>80</v>
      </c>
      <c r="G50" s="12">
        <v>70</v>
      </c>
      <c r="H50" s="11">
        <f t="shared" si="0"/>
        <v>160</v>
      </c>
      <c r="I50" s="10"/>
      <c r="J50" s="9">
        <v>2</v>
      </c>
      <c r="K50" s="9">
        <f t="shared" si="1"/>
        <v>160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</row>
    <row r="51" s="17" customFormat="1" ht="90" outlineLevel="2" spans="1:253">
      <c r="A51" s="9">
        <v>10</v>
      </c>
      <c r="B51" s="10" t="s">
        <v>823</v>
      </c>
      <c r="C51" s="10" t="s">
        <v>824</v>
      </c>
      <c r="D51" s="9" t="s">
        <v>697</v>
      </c>
      <c r="E51" s="12">
        <v>1</v>
      </c>
      <c r="F51" s="12">
        <v>120</v>
      </c>
      <c r="G51" s="12">
        <v>100</v>
      </c>
      <c r="H51" s="11">
        <f t="shared" si="0"/>
        <v>120</v>
      </c>
      <c r="I51" s="10"/>
      <c r="J51" s="9">
        <v>1</v>
      </c>
      <c r="K51" s="9">
        <f t="shared" si="1"/>
        <v>120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</row>
    <row r="52" s="17" customFormat="1" ht="90" outlineLevel="2" spans="1:253">
      <c r="A52" s="9">
        <v>11</v>
      </c>
      <c r="B52" s="10" t="s">
        <v>825</v>
      </c>
      <c r="C52" s="10" t="s">
        <v>826</v>
      </c>
      <c r="D52" s="9" t="s">
        <v>697</v>
      </c>
      <c r="E52" s="12">
        <v>1</v>
      </c>
      <c r="F52" s="12">
        <v>420</v>
      </c>
      <c r="G52" s="12">
        <v>360</v>
      </c>
      <c r="H52" s="11">
        <f t="shared" si="0"/>
        <v>420</v>
      </c>
      <c r="I52" s="10"/>
      <c r="J52" s="9">
        <v>1</v>
      </c>
      <c r="K52" s="9">
        <f t="shared" si="1"/>
        <v>420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</row>
    <row r="53" s="17" customFormat="1" ht="33.75" outlineLevel="2" spans="1:253">
      <c r="A53" s="9">
        <v>12</v>
      </c>
      <c r="B53" s="10" t="s">
        <v>827</v>
      </c>
      <c r="C53" s="24" t="s">
        <v>828</v>
      </c>
      <c r="D53" s="25" t="s">
        <v>697</v>
      </c>
      <c r="E53" s="12">
        <v>7</v>
      </c>
      <c r="F53" s="12">
        <v>15</v>
      </c>
      <c r="G53" s="12">
        <v>13</v>
      </c>
      <c r="H53" s="11">
        <f t="shared" si="0"/>
        <v>105</v>
      </c>
      <c r="I53" s="10"/>
      <c r="J53" s="9">
        <v>7</v>
      </c>
      <c r="K53" s="9">
        <f t="shared" si="1"/>
        <v>105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</row>
    <row r="54" s="17" customFormat="1" ht="45" outlineLevel="2" spans="1:253">
      <c r="A54" s="9">
        <v>13</v>
      </c>
      <c r="B54" s="10" t="s">
        <v>829</v>
      </c>
      <c r="C54" s="10" t="s">
        <v>830</v>
      </c>
      <c r="D54" s="9" t="s">
        <v>697</v>
      </c>
      <c r="E54" s="12">
        <v>7</v>
      </c>
      <c r="F54" s="12">
        <v>42</v>
      </c>
      <c r="G54" s="12">
        <v>35</v>
      </c>
      <c r="H54" s="11">
        <f t="shared" si="0"/>
        <v>294</v>
      </c>
      <c r="I54" s="10"/>
      <c r="J54" s="9">
        <v>7</v>
      </c>
      <c r="K54" s="9">
        <f t="shared" si="1"/>
        <v>294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</row>
    <row r="55" s="17" customFormat="1" outlineLevel="1" spans="1:253">
      <c r="A55" s="7" t="s">
        <v>831</v>
      </c>
      <c r="B55" s="26" t="s">
        <v>832</v>
      </c>
      <c r="C55" s="24"/>
      <c r="D55" s="25"/>
      <c r="E55" s="12"/>
      <c r="F55" s="12"/>
      <c r="G55" s="12"/>
      <c r="H55" s="11">
        <f t="shared" si="0"/>
        <v>0</v>
      </c>
      <c r="I55" s="10"/>
      <c r="J55" s="29"/>
      <c r="K55" s="9">
        <f t="shared" si="1"/>
        <v>0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</row>
    <row r="56" s="17" customFormat="1" ht="45" outlineLevel="2" spans="1:253">
      <c r="A56" s="9">
        <v>1</v>
      </c>
      <c r="B56" s="10" t="s">
        <v>796</v>
      </c>
      <c r="C56" s="10" t="s">
        <v>797</v>
      </c>
      <c r="D56" s="9" t="s">
        <v>646</v>
      </c>
      <c r="E56" s="12">
        <v>4.95</v>
      </c>
      <c r="F56" s="12">
        <v>32</v>
      </c>
      <c r="G56" s="12"/>
      <c r="H56" s="11">
        <f t="shared" si="0"/>
        <v>158.4</v>
      </c>
      <c r="I56" s="10"/>
      <c r="J56" s="9">
        <v>4.95</v>
      </c>
      <c r="K56" s="9">
        <f t="shared" si="1"/>
        <v>158.4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</row>
    <row r="57" s="17" customFormat="1" ht="33.75" outlineLevel="2" spans="1:253">
      <c r="A57" s="9">
        <v>2</v>
      </c>
      <c r="B57" s="10" t="s">
        <v>798</v>
      </c>
      <c r="C57" s="10" t="s">
        <v>799</v>
      </c>
      <c r="D57" s="9" t="s">
        <v>646</v>
      </c>
      <c r="E57" s="12">
        <v>4.95</v>
      </c>
      <c r="F57" s="12">
        <v>11</v>
      </c>
      <c r="G57" s="12"/>
      <c r="H57" s="11">
        <f t="shared" si="0"/>
        <v>54.45</v>
      </c>
      <c r="I57" s="10"/>
      <c r="J57" s="9">
        <v>4.95</v>
      </c>
      <c r="K57" s="9">
        <f t="shared" si="1"/>
        <v>54.45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</row>
    <row r="58" s="17" customFormat="1" ht="101.25" outlineLevel="2" spans="1:253">
      <c r="A58" s="9">
        <v>3</v>
      </c>
      <c r="B58" s="10" t="s">
        <v>810</v>
      </c>
      <c r="C58" s="10" t="s">
        <v>833</v>
      </c>
      <c r="D58" s="9" t="s">
        <v>731</v>
      </c>
      <c r="E58" s="12">
        <f>(8.48+0.55)/4*2</f>
        <v>4.52</v>
      </c>
      <c r="F58" s="12">
        <v>35</v>
      </c>
      <c r="G58" s="12">
        <v>30</v>
      </c>
      <c r="H58" s="11">
        <f t="shared" si="0"/>
        <v>158.2</v>
      </c>
      <c r="I58" s="10"/>
      <c r="J58" s="29">
        <v>4.22</v>
      </c>
      <c r="K58" s="9">
        <f t="shared" si="1"/>
        <v>147.7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</row>
    <row r="59" s="17" customFormat="1" ht="101.25" outlineLevel="2" spans="1:253">
      <c r="A59" s="9">
        <v>4</v>
      </c>
      <c r="B59" s="10" t="s">
        <v>810</v>
      </c>
      <c r="C59" s="10" t="s">
        <v>834</v>
      </c>
      <c r="D59" s="9" t="s">
        <v>731</v>
      </c>
      <c r="E59" s="12">
        <f>6*2</f>
        <v>12</v>
      </c>
      <c r="F59" s="12">
        <v>22</v>
      </c>
      <c r="G59" s="12">
        <v>19</v>
      </c>
      <c r="H59" s="11">
        <f t="shared" si="0"/>
        <v>264</v>
      </c>
      <c r="I59" s="10"/>
      <c r="J59" s="29">
        <v>8</v>
      </c>
      <c r="K59" s="9">
        <f t="shared" si="1"/>
        <v>176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</row>
    <row r="60" s="17" customFormat="1" ht="90" outlineLevel="2" spans="1:253">
      <c r="A60" s="9">
        <v>5</v>
      </c>
      <c r="B60" s="10" t="s">
        <v>835</v>
      </c>
      <c r="C60" s="10" t="s">
        <v>836</v>
      </c>
      <c r="D60" s="9" t="s">
        <v>731</v>
      </c>
      <c r="E60" s="12">
        <f>(1.36/4+0.5)*2</f>
        <v>1.68</v>
      </c>
      <c r="F60" s="12">
        <v>59.5</v>
      </c>
      <c r="G60" s="12">
        <v>45</v>
      </c>
      <c r="H60" s="11">
        <f t="shared" si="0"/>
        <v>99.96</v>
      </c>
      <c r="I60" s="10"/>
      <c r="J60" s="29"/>
      <c r="K60" s="9">
        <f t="shared" si="1"/>
        <v>0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="17" customFormat="1" ht="90" outlineLevel="2" spans="1:11">
      <c r="A61" s="9">
        <v>6</v>
      </c>
      <c r="B61" s="10" t="s">
        <v>837</v>
      </c>
      <c r="C61" s="10" t="s">
        <v>838</v>
      </c>
      <c r="D61" s="9" t="s">
        <v>731</v>
      </c>
      <c r="E61" s="12">
        <f>(4.44/4)*2</f>
        <v>2.22</v>
      </c>
      <c r="F61" s="12">
        <v>59.5</v>
      </c>
      <c r="G61" s="12">
        <v>45</v>
      </c>
      <c r="H61" s="11">
        <f t="shared" si="0"/>
        <v>132.09</v>
      </c>
      <c r="I61" s="10"/>
      <c r="J61" s="29">
        <v>2.22</v>
      </c>
      <c r="K61" s="9">
        <f t="shared" si="1"/>
        <v>132.09</v>
      </c>
    </row>
    <row r="62" s="17" customFormat="1" ht="90" outlineLevel="2" spans="1:11">
      <c r="A62" s="9">
        <v>7</v>
      </c>
      <c r="B62" s="10" t="s">
        <v>839</v>
      </c>
      <c r="C62" s="10" t="s">
        <v>840</v>
      </c>
      <c r="D62" s="9" t="s">
        <v>731</v>
      </c>
      <c r="E62" s="12">
        <f>(6.8*3/4)*2</f>
        <v>10.2</v>
      </c>
      <c r="F62" s="12">
        <v>59.5</v>
      </c>
      <c r="G62" s="12">
        <v>45</v>
      </c>
      <c r="H62" s="11">
        <f t="shared" si="0"/>
        <v>606.9</v>
      </c>
      <c r="I62" s="10"/>
      <c r="J62" s="29">
        <v>10.2</v>
      </c>
      <c r="K62" s="9">
        <f t="shared" si="1"/>
        <v>606.9</v>
      </c>
    </row>
    <row r="63" s="17" customFormat="1" ht="78.75" outlineLevel="2" spans="1:11">
      <c r="A63" s="9">
        <v>8</v>
      </c>
      <c r="B63" s="10" t="s">
        <v>841</v>
      </c>
      <c r="C63" s="10" t="s">
        <v>842</v>
      </c>
      <c r="D63" s="9" t="s">
        <v>843</v>
      </c>
      <c r="E63" s="12">
        <v>2</v>
      </c>
      <c r="F63" s="27">
        <v>1750</v>
      </c>
      <c r="G63" s="12">
        <v>1560</v>
      </c>
      <c r="H63" s="11">
        <f t="shared" si="0"/>
        <v>3500</v>
      </c>
      <c r="I63" s="10"/>
      <c r="J63" s="29">
        <v>2</v>
      </c>
      <c r="K63" s="9">
        <f t="shared" si="1"/>
        <v>3500</v>
      </c>
    </row>
    <row r="64" s="17" customFormat="1" ht="67.5" outlineLevel="2" spans="1:11">
      <c r="A64" s="9">
        <v>9</v>
      </c>
      <c r="B64" s="24" t="s">
        <v>844</v>
      </c>
      <c r="C64" s="10" t="s">
        <v>845</v>
      </c>
      <c r="D64" s="9" t="s">
        <v>697</v>
      </c>
      <c r="E64" s="12">
        <v>2</v>
      </c>
      <c r="F64" s="27">
        <v>135</v>
      </c>
      <c r="G64" s="12">
        <v>115</v>
      </c>
      <c r="H64" s="11">
        <f t="shared" si="0"/>
        <v>270</v>
      </c>
      <c r="I64" s="10"/>
      <c r="J64" s="29">
        <v>2</v>
      </c>
      <c r="K64" s="9">
        <f t="shared" si="1"/>
        <v>270</v>
      </c>
    </row>
    <row r="65" s="17" customFormat="1" ht="67.5" outlineLevel="2" spans="1:11">
      <c r="A65" s="9">
        <v>10</v>
      </c>
      <c r="B65" s="24" t="s">
        <v>846</v>
      </c>
      <c r="C65" s="10" t="s">
        <v>847</v>
      </c>
      <c r="D65" s="9" t="s">
        <v>697</v>
      </c>
      <c r="E65" s="12">
        <v>2</v>
      </c>
      <c r="F65" s="27">
        <v>130</v>
      </c>
      <c r="G65" s="12">
        <v>110</v>
      </c>
      <c r="H65" s="11">
        <f t="shared" si="0"/>
        <v>260</v>
      </c>
      <c r="I65" s="10"/>
      <c r="J65" s="29">
        <v>2</v>
      </c>
      <c r="K65" s="9">
        <f t="shared" si="1"/>
        <v>260</v>
      </c>
    </row>
    <row r="66" s="17" customFormat="1" ht="67.5" outlineLevel="2" spans="1:11">
      <c r="A66" s="9">
        <v>11</v>
      </c>
      <c r="B66" s="24" t="s">
        <v>848</v>
      </c>
      <c r="C66" s="24" t="s">
        <v>849</v>
      </c>
      <c r="D66" s="25" t="s">
        <v>697</v>
      </c>
      <c r="E66" s="12">
        <v>12</v>
      </c>
      <c r="F66" s="12">
        <v>125</v>
      </c>
      <c r="G66" s="12">
        <v>78</v>
      </c>
      <c r="H66" s="11">
        <f t="shared" si="0"/>
        <v>1500</v>
      </c>
      <c r="I66" s="10"/>
      <c r="J66" s="29">
        <v>12</v>
      </c>
      <c r="K66" s="9">
        <f t="shared" si="1"/>
        <v>1500</v>
      </c>
    </row>
    <row r="67" s="17" customFormat="1" ht="101.25" outlineLevel="2" spans="1:253">
      <c r="A67" s="9">
        <v>12</v>
      </c>
      <c r="B67" s="10" t="s">
        <v>850</v>
      </c>
      <c r="C67" s="10" t="s">
        <v>851</v>
      </c>
      <c r="D67" s="9" t="s">
        <v>731</v>
      </c>
      <c r="E67" s="12">
        <f>(4.32+4.72)/4</f>
        <v>2.26</v>
      </c>
      <c r="F67" s="12">
        <v>59.5</v>
      </c>
      <c r="G67" s="12">
        <v>45</v>
      </c>
      <c r="H67" s="11">
        <f t="shared" si="0"/>
        <v>134.47</v>
      </c>
      <c r="I67" s="10"/>
      <c r="J67" s="9">
        <v>2.26</v>
      </c>
      <c r="K67" s="9">
        <f t="shared" si="1"/>
        <v>134.47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="17" customFormat="1" ht="292.5" outlineLevel="2" spans="1:253">
      <c r="A68" s="9">
        <v>13</v>
      </c>
      <c r="B68" s="24" t="s">
        <v>852</v>
      </c>
      <c r="C68" s="10" t="s">
        <v>853</v>
      </c>
      <c r="D68" s="25" t="s">
        <v>817</v>
      </c>
      <c r="E68" s="12">
        <v>4</v>
      </c>
      <c r="F68" s="12">
        <v>1400</v>
      </c>
      <c r="G68" s="12">
        <v>700</v>
      </c>
      <c r="H68" s="11">
        <f t="shared" si="0"/>
        <v>5600</v>
      </c>
      <c r="I68" s="10"/>
      <c r="J68" s="9">
        <v>4</v>
      </c>
      <c r="K68" s="9">
        <f t="shared" si="1"/>
        <v>5600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="17" customFormat="1" ht="78.75" outlineLevel="2" spans="1:253">
      <c r="A69" s="9">
        <v>14</v>
      </c>
      <c r="B69" s="24" t="s">
        <v>854</v>
      </c>
      <c r="C69" s="10" t="s">
        <v>855</v>
      </c>
      <c r="D69" s="25" t="s">
        <v>697</v>
      </c>
      <c r="E69" s="12">
        <v>2</v>
      </c>
      <c r="F69" s="12">
        <v>66</v>
      </c>
      <c r="G69" s="12">
        <v>53</v>
      </c>
      <c r="H69" s="11">
        <f t="shared" si="0"/>
        <v>132</v>
      </c>
      <c r="I69" s="10"/>
      <c r="J69" s="9">
        <v>2</v>
      </c>
      <c r="K69" s="9">
        <f t="shared" si="1"/>
        <v>132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="17" customFormat="1" ht="56.25" outlineLevel="2" spans="1:11">
      <c r="A70" s="9">
        <v>15</v>
      </c>
      <c r="B70" s="24" t="s">
        <v>856</v>
      </c>
      <c r="C70" s="24" t="s">
        <v>857</v>
      </c>
      <c r="D70" s="25" t="s">
        <v>697</v>
      </c>
      <c r="E70" s="12">
        <v>2</v>
      </c>
      <c r="F70" s="12">
        <v>80</v>
      </c>
      <c r="G70" s="12">
        <v>50</v>
      </c>
      <c r="H70" s="11">
        <f t="shared" ref="H70:H104" si="2">E70*F70</f>
        <v>160</v>
      </c>
      <c r="I70" s="10"/>
      <c r="J70" s="29">
        <v>2</v>
      </c>
      <c r="K70" s="9">
        <f t="shared" ref="K70:K104" si="3">J70*F70</f>
        <v>160</v>
      </c>
    </row>
    <row r="71" s="17" customFormat="1" outlineLevel="1" spans="1:253">
      <c r="A71" s="7" t="s">
        <v>858</v>
      </c>
      <c r="B71" s="26" t="s">
        <v>859</v>
      </c>
      <c r="C71" s="24"/>
      <c r="D71" s="25"/>
      <c r="E71" s="12"/>
      <c r="F71" s="12"/>
      <c r="G71" s="12"/>
      <c r="H71" s="11">
        <f t="shared" si="2"/>
        <v>0</v>
      </c>
      <c r="I71" s="10"/>
      <c r="J71" s="9"/>
      <c r="K71" s="9">
        <f t="shared" si="3"/>
        <v>0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="17" customFormat="1" ht="45" outlineLevel="2" spans="1:253">
      <c r="A72" s="9">
        <v>1</v>
      </c>
      <c r="B72" s="10" t="s">
        <v>796</v>
      </c>
      <c r="C72" s="10" t="s">
        <v>797</v>
      </c>
      <c r="D72" s="9" t="s">
        <v>646</v>
      </c>
      <c r="E72" s="12">
        <f>31.9*1*0.6</f>
        <v>19.14</v>
      </c>
      <c r="F72" s="12">
        <v>32</v>
      </c>
      <c r="G72" s="12"/>
      <c r="H72" s="11">
        <f t="shared" si="2"/>
        <v>612.48</v>
      </c>
      <c r="I72" s="10"/>
      <c r="J72" s="9">
        <v>4.5</v>
      </c>
      <c r="K72" s="9">
        <f t="shared" si="3"/>
        <v>144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</row>
    <row r="73" s="17" customFormat="1" ht="33.75" outlineLevel="2" spans="1:253">
      <c r="A73" s="9">
        <v>2</v>
      </c>
      <c r="B73" s="10" t="s">
        <v>798</v>
      </c>
      <c r="C73" s="10" t="s">
        <v>799</v>
      </c>
      <c r="D73" s="9" t="s">
        <v>646</v>
      </c>
      <c r="E73" s="12">
        <v>19.14</v>
      </c>
      <c r="F73" s="12">
        <v>11</v>
      </c>
      <c r="G73" s="12"/>
      <c r="H73" s="11">
        <f t="shared" si="2"/>
        <v>210.54</v>
      </c>
      <c r="I73" s="10"/>
      <c r="J73" s="9">
        <v>4.5</v>
      </c>
      <c r="K73" s="9">
        <f t="shared" si="3"/>
        <v>49.5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</row>
    <row r="74" s="17" customFormat="1" ht="101.25" outlineLevel="2" spans="1:253">
      <c r="A74" s="9">
        <v>3</v>
      </c>
      <c r="B74" s="10" t="s">
        <v>810</v>
      </c>
      <c r="C74" s="10" t="s">
        <v>860</v>
      </c>
      <c r="D74" s="9" t="s">
        <v>731</v>
      </c>
      <c r="E74" s="12">
        <f>(8.85+8.5)/4+1</f>
        <v>5.34</v>
      </c>
      <c r="F74" s="12">
        <v>82</v>
      </c>
      <c r="G74" s="12">
        <v>70</v>
      </c>
      <c r="H74" s="11">
        <f t="shared" si="2"/>
        <v>437.88</v>
      </c>
      <c r="I74" s="10"/>
      <c r="J74" s="9">
        <v>4.42</v>
      </c>
      <c r="K74" s="9">
        <f t="shared" si="3"/>
        <v>362.44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</row>
    <row r="75" s="17" customFormat="1" ht="101.25" outlineLevel="2" spans="1:253">
      <c r="A75" s="9">
        <v>4</v>
      </c>
      <c r="B75" s="10" t="s">
        <v>861</v>
      </c>
      <c r="C75" s="10" t="s">
        <v>862</v>
      </c>
      <c r="D75" s="9" t="s">
        <v>731</v>
      </c>
      <c r="E75" s="12">
        <f>53.12*2/4</f>
        <v>26.56</v>
      </c>
      <c r="F75" s="12">
        <v>75</v>
      </c>
      <c r="G75" s="12">
        <v>50</v>
      </c>
      <c r="H75" s="11">
        <f t="shared" si="2"/>
        <v>1992</v>
      </c>
      <c r="I75" s="10"/>
      <c r="J75" s="9">
        <v>26.57</v>
      </c>
      <c r="K75" s="9">
        <f t="shared" si="3"/>
        <v>1992.75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</row>
    <row r="76" s="17" customFormat="1" ht="90" outlineLevel="2" spans="1:253">
      <c r="A76" s="9">
        <v>5</v>
      </c>
      <c r="B76" s="10" t="s">
        <v>835</v>
      </c>
      <c r="C76" s="10" t="s">
        <v>836</v>
      </c>
      <c r="D76" s="9" t="s">
        <v>731</v>
      </c>
      <c r="E76" s="12">
        <f>(11.86+0.5)*2/4</f>
        <v>6.18</v>
      </c>
      <c r="F76" s="12">
        <v>59.5</v>
      </c>
      <c r="G76" s="12">
        <v>45</v>
      </c>
      <c r="H76" s="11">
        <f t="shared" si="2"/>
        <v>367.71</v>
      </c>
      <c r="I76" s="10"/>
      <c r="J76" s="9">
        <v>6.18</v>
      </c>
      <c r="K76" s="9">
        <f t="shared" si="3"/>
        <v>367.71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</row>
    <row r="77" s="17" customFormat="1" ht="90" outlineLevel="2" spans="1:11">
      <c r="A77" s="9">
        <v>6</v>
      </c>
      <c r="B77" s="10" t="s">
        <v>837</v>
      </c>
      <c r="C77" s="10" t="s">
        <v>838</v>
      </c>
      <c r="D77" s="9" t="s">
        <v>731</v>
      </c>
      <c r="E77" s="12">
        <f>14.82*2/4</f>
        <v>7.41</v>
      </c>
      <c r="F77" s="12">
        <v>59.5</v>
      </c>
      <c r="G77" s="12">
        <v>45</v>
      </c>
      <c r="H77" s="11">
        <f t="shared" si="2"/>
        <v>440.9</v>
      </c>
      <c r="I77" s="10"/>
      <c r="J77" s="29">
        <v>7.41</v>
      </c>
      <c r="K77" s="9">
        <f t="shared" si="3"/>
        <v>440.895</v>
      </c>
    </row>
    <row r="78" s="17" customFormat="1" ht="67.5" outlineLevel="2" spans="1:11">
      <c r="A78" s="9">
        <v>7</v>
      </c>
      <c r="B78" s="24" t="s">
        <v>844</v>
      </c>
      <c r="C78" s="10" t="s">
        <v>845</v>
      </c>
      <c r="D78" s="9" t="s">
        <v>697</v>
      </c>
      <c r="E78" s="12">
        <v>4</v>
      </c>
      <c r="F78" s="12">
        <v>135</v>
      </c>
      <c r="G78" s="12">
        <v>115</v>
      </c>
      <c r="H78" s="11">
        <f t="shared" si="2"/>
        <v>540</v>
      </c>
      <c r="I78" s="10"/>
      <c r="J78" s="29">
        <v>4</v>
      </c>
      <c r="K78" s="9">
        <f t="shared" si="3"/>
        <v>540</v>
      </c>
    </row>
    <row r="79" s="17" customFormat="1" ht="67.5" outlineLevel="2" spans="1:253">
      <c r="A79" s="9">
        <v>8</v>
      </c>
      <c r="B79" s="24" t="s">
        <v>846</v>
      </c>
      <c r="C79" s="10" t="s">
        <v>847</v>
      </c>
      <c r="D79" s="9" t="s">
        <v>697</v>
      </c>
      <c r="E79" s="12">
        <v>2</v>
      </c>
      <c r="F79" s="12">
        <v>130</v>
      </c>
      <c r="G79" s="12">
        <v>110</v>
      </c>
      <c r="H79" s="11">
        <f t="shared" si="2"/>
        <v>260</v>
      </c>
      <c r="I79" s="10"/>
      <c r="J79" s="9">
        <v>2</v>
      </c>
      <c r="K79" s="9">
        <f t="shared" si="3"/>
        <v>260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="17" customFormat="1" ht="90" outlineLevel="2" spans="1:253">
      <c r="A80" s="9">
        <v>9</v>
      </c>
      <c r="B80" s="10" t="s">
        <v>841</v>
      </c>
      <c r="C80" s="10" t="s">
        <v>863</v>
      </c>
      <c r="D80" s="9" t="s">
        <v>843</v>
      </c>
      <c r="E80" s="12">
        <v>2</v>
      </c>
      <c r="F80" s="12">
        <v>3400</v>
      </c>
      <c r="G80" s="12">
        <v>2000</v>
      </c>
      <c r="H80" s="11">
        <f t="shared" si="2"/>
        <v>6800</v>
      </c>
      <c r="I80" s="10"/>
      <c r="J80" s="9">
        <v>2</v>
      </c>
      <c r="K80" s="9">
        <f t="shared" si="3"/>
        <v>6800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</row>
    <row r="81" s="17" customFormat="1" ht="101.25" outlineLevel="2" spans="1:11">
      <c r="A81" s="9">
        <v>10</v>
      </c>
      <c r="B81" s="10" t="s">
        <v>850</v>
      </c>
      <c r="C81" s="10" t="s">
        <v>851</v>
      </c>
      <c r="D81" s="9" t="s">
        <v>731</v>
      </c>
      <c r="E81" s="12">
        <f>((4.31)*2+23.09)/4</f>
        <v>7.93</v>
      </c>
      <c r="F81" s="12">
        <v>59.5</v>
      </c>
      <c r="G81" s="12">
        <v>45</v>
      </c>
      <c r="H81" s="11">
        <f t="shared" si="2"/>
        <v>471.84</v>
      </c>
      <c r="I81" s="10"/>
      <c r="J81" s="29">
        <v>7.93</v>
      </c>
      <c r="K81" s="9">
        <f t="shared" si="3"/>
        <v>471.835</v>
      </c>
    </row>
    <row r="82" s="17" customFormat="1" ht="292.5" outlineLevel="2" spans="1:253">
      <c r="A82" s="9">
        <v>11</v>
      </c>
      <c r="B82" s="24" t="s">
        <v>852</v>
      </c>
      <c r="C82" s="10" t="s">
        <v>853</v>
      </c>
      <c r="D82" s="25" t="s">
        <v>817</v>
      </c>
      <c r="E82" s="12">
        <v>3</v>
      </c>
      <c r="F82" s="12">
        <v>1400</v>
      </c>
      <c r="G82" s="12">
        <v>700</v>
      </c>
      <c r="H82" s="11">
        <f t="shared" si="2"/>
        <v>4200</v>
      </c>
      <c r="I82" s="10"/>
      <c r="J82" s="9">
        <v>3</v>
      </c>
      <c r="K82" s="9">
        <f t="shared" si="3"/>
        <v>4200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</row>
    <row r="83" s="17" customFormat="1" ht="78.75" outlineLevel="2" spans="1:11">
      <c r="A83" s="9">
        <v>12</v>
      </c>
      <c r="B83" s="24" t="s">
        <v>854</v>
      </c>
      <c r="C83" s="10" t="s">
        <v>855</v>
      </c>
      <c r="D83" s="25" t="s">
        <v>697</v>
      </c>
      <c r="E83" s="12">
        <v>2</v>
      </c>
      <c r="F83" s="12">
        <v>66</v>
      </c>
      <c r="G83" s="12">
        <v>53</v>
      </c>
      <c r="H83" s="11">
        <f t="shared" si="2"/>
        <v>132</v>
      </c>
      <c r="I83" s="10"/>
      <c r="J83" s="29">
        <v>2</v>
      </c>
      <c r="K83" s="9">
        <f t="shared" si="3"/>
        <v>132</v>
      </c>
    </row>
    <row r="84" s="17" customFormat="1" ht="56.25" outlineLevel="2" spans="1:253">
      <c r="A84" s="9">
        <v>13</v>
      </c>
      <c r="B84" s="24" t="s">
        <v>856</v>
      </c>
      <c r="C84" s="24" t="s">
        <v>857</v>
      </c>
      <c r="D84" s="25" t="s">
        <v>697</v>
      </c>
      <c r="E84" s="12">
        <v>2</v>
      </c>
      <c r="F84" s="12">
        <v>80</v>
      </c>
      <c r="G84" s="12">
        <v>50</v>
      </c>
      <c r="H84" s="11">
        <f t="shared" si="2"/>
        <v>160</v>
      </c>
      <c r="I84" s="10"/>
      <c r="J84" s="9">
        <v>2</v>
      </c>
      <c r="K84" s="9">
        <f t="shared" si="3"/>
        <v>160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</row>
    <row r="85" s="17" customFormat="1" outlineLevel="1" spans="1:253">
      <c r="A85" s="7" t="s">
        <v>864</v>
      </c>
      <c r="B85" s="26" t="s">
        <v>865</v>
      </c>
      <c r="C85" s="24"/>
      <c r="D85" s="25"/>
      <c r="E85" s="12"/>
      <c r="F85" s="12"/>
      <c r="G85" s="12"/>
      <c r="H85" s="11">
        <f t="shared" si="2"/>
        <v>0</v>
      </c>
      <c r="I85" s="10"/>
      <c r="J85" s="9"/>
      <c r="K85" s="9">
        <f t="shared" si="3"/>
        <v>0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</row>
    <row r="86" s="17" customFormat="1" ht="101.25" outlineLevel="2" spans="1:11">
      <c r="A86" s="9">
        <v>1</v>
      </c>
      <c r="B86" s="10" t="s">
        <v>810</v>
      </c>
      <c r="C86" s="10" t="s">
        <v>866</v>
      </c>
      <c r="D86" s="9" t="s">
        <v>731</v>
      </c>
      <c r="E86" s="12">
        <f>6.02/4</f>
        <v>1.51</v>
      </c>
      <c r="F86" s="12">
        <v>6.2</v>
      </c>
      <c r="G86" s="12">
        <v>3.6</v>
      </c>
      <c r="H86" s="11">
        <f t="shared" si="2"/>
        <v>9.36</v>
      </c>
      <c r="I86" s="10"/>
      <c r="J86" s="29">
        <v>0.28</v>
      </c>
      <c r="K86" s="9">
        <f t="shared" si="3"/>
        <v>1.736</v>
      </c>
    </row>
    <row r="87" s="17" customFormat="1" ht="90" outlineLevel="2" spans="1:11">
      <c r="A87" s="9">
        <v>2</v>
      </c>
      <c r="B87" s="10" t="s">
        <v>835</v>
      </c>
      <c r="C87" s="10" t="s">
        <v>836</v>
      </c>
      <c r="D87" s="9" t="s">
        <v>731</v>
      </c>
      <c r="E87" s="12">
        <f>8.01/4</f>
        <v>2</v>
      </c>
      <c r="F87" s="12">
        <v>59.5</v>
      </c>
      <c r="G87" s="12">
        <v>45</v>
      </c>
      <c r="H87" s="11">
        <f t="shared" si="2"/>
        <v>119</v>
      </c>
      <c r="I87" s="10"/>
      <c r="J87" s="29">
        <v>0.36</v>
      </c>
      <c r="K87" s="9">
        <f t="shared" si="3"/>
        <v>21.42</v>
      </c>
    </row>
    <row r="88" s="17" customFormat="1" ht="67.5" outlineLevel="2" spans="1:253">
      <c r="A88" s="9">
        <v>3</v>
      </c>
      <c r="B88" s="24" t="s">
        <v>867</v>
      </c>
      <c r="C88" s="10" t="s">
        <v>868</v>
      </c>
      <c r="D88" s="25" t="s">
        <v>697</v>
      </c>
      <c r="E88" s="12">
        <v>1</v>
      </c>
      <c r="F88" s="12">
        <v>75</v>
      </c>
      <c r="G88" s="12">
        <v>60</v>
      </c>
      <c r="H88" s="11">
        <f t="shared" si="2"/>
        <v>75</v>
      </c>
      <c r="I88" s="10"/>
      <c r="J88" s="9">
        <v>1</v>
      </c>
      <c r="K88" s="9">
        <f t="shared" si="3"/>
        <v>75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</row>
    <row r="89" s="17" customFormat="1" ht="67.5" outlineLevel="2" spans="1:253">
      <c r="A89" s="9">
        <v>4</v>
      </c>
      <c r="B89" s="24" t="s">
        <v>848</v>
      </c>
      <c r="C89" s="24" t="s">
        <v>869</v>
      </c>
      <c r="D89" s="25" t="s">
        <v>697</v>
      </c>
      <c r="E89" s="12">
        <v>1</v>
      </c>
      <c r="F89" s="12">
        <v>63</v>
      </c>
      <c r="G89" s="12">
        <v>52</v>
      </c>
      <c r="H89" s="11">
        <f t="shared" si="2"/>
        <v>63</v>
      </c>
      <c r="I89" s="10"/>
      <c r="J89" s="9">
        <v>1</v>
      </c>
      <c r="K89" s="9">
        <f t="shared" si="3"/>
        <v>63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</row>
    <row r="90" s="17" customFormat="1" ht="101.25" outlineLevel="2" spans="1:11">
      <c r="A90" s="9">
        <v>5</v>
      </c>
      <c r="B90" s="24" t="s">
        <v>870</v>
      </c>
      <c r="C90" s="24" t="s">
        <v>871</v>
      </c>
      <c r="D90" s="25" t="s">
        <v>843</v>
      </c>
      <c r="E90" s="12">
        <v>1</v>
      </c>
      <c r="F90" s="12">
        <v>1200</v>
      </c>
      <c r="G90" s="12">
        <v>800</v>
      </c>
      <c r="H90" s="11">
        <f t="shared" si="2"/>
        <v>1200</v>
      </c>
      <c r="I90" s="10"/>
      <c r="J90" s="29">
        <v>1</v>
      </c>
      <c r="K90" s="9">
        <f t="shared" si="3"/>
        <v>1200</v>
      </c>
    </row>
    <row r="91" s="17" customFormat="1" ht="292.5" outlineLevel="2" spans="1:253">
      <c r="A91" s="9">
        <v>6</v>
      </c>
      <c r="B91" s="24" t="s">
        <v>852</v>
      </c>
      <c r="C91" s="10" t="s">
        <v>872</v>
      </c>
      <c r="D91" s="25" t="s">
        <v>817</v>
      </c>
      <c r="E91" s="12">
        <v>1</v>
      </c>
      <c r="F91" s="12">
        <v>1400</v>
      </c>
      <c r="G91" s="12">
        <v>700</v>
      </c>
      <c r="H91" s="11">
        <f t="shared" si="2"/>
        <v>1400</v>
      </c>
      <c r="I91" s="10"/>
      <c r="J91" s="9">
        <v>1</v>
      </c>
      <c r="K91" s="9">
        <f t="shared" si="3"/>
        <v>1400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</row>
    <row r="92" s="17" customFormat="1" outlineLevel="1" spans="1:11">
      <c r="A92" s="7" t="s">
        <v>873</v>
      </c>
      <c r="B92" s="26" t="s">
        <v>874</v>
      </c>
      <c r="C92" s="24"/>
      <c r="D92" s="25"/>
      <c r="E92" s="12"/>
      <c r="F92" s="12"/>
      <c r="G92" s="12"/>
      <c r="H92" s="11">
        <f t="shared" si="2"/>
        <v>0</v>
      </c>
      <c r="I92" s="10"/>
      <c r="J92" s="29"/>
      <c r="K92" s="9">
        <f t="shared" si="3"/>
        <v>0</v>
      </c>
    </row>
    <row r="93" s="17" customFormat="1" ht="45" outlineLevel="2" spans="1:253">
      <c r="A93" s="9">
        <v>1</v>
      </c>
      <c r="B93" s="10" t="s">
        <v>796</v>
      </c>
      <c r="C93" s="10" t="s">
        <v>797</v>
      </c>
      <c r="D93" s="9" t="s">
        <v>646</v>
      </c>
      <c r="E93" s="12">
        <f>9.14*0.5*0.5</f>
        <v>2.29</v>
      </c>
      <c r="F93" s="12">
        <v>32</v>
      </c>
      <c r="G93" s="12"/>
      <c r="H93" s="11">
        <f t="shared" si="2"/>
        <v>73.28</v>
      </c>
      <c r="I93" s="10"/>
      <c r="J93" s="9">
        <v>0</v>
      </c>
      <c r="K93" s="9">
        <f t="shared" si="3"/>
        <v>0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</row>
    <row r="94" s="17" customFormat="1" ht="33.75" outlineLevel="2" spans="1:253">
      <c r="A94" s="9">
        <v>2</v>
      </c>
      <c r="B94" s="10" t="s">
        <v>798</v>
      </c>
      <c r="C94" s="10" t="s">
        <v>799</v>
      </c>
      <c r="D94" s="9" t="s">
        <v>646</v>
      </c>
      <c r="E94" s="12">
        <v>2.29</v>
      </c>
      <c r="F94" s="12">
        <v>11</v>
      </c>
      <c r="G94" s="12"/>
      <c r="H94" s="11">
        <f t="shared" si="2"/>
        <v>25.19</v>
      </c>
      <c r="I94" s="10"/>
      <c r="J94" s="9">
        <v>0</v>
      </c>
      <c r="K94" s="9">
        <f t="shared" si="3"/>
        <v>0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</row>
    <row r="95" s="17" customFormat="1" ht="101.25" outlineLevel="2" spans="1:253">
      <c r="A95" s="9">
        <v>3</v>
      </c>
      <c r="B95" s="10" t="s">
        <v>810</v>
      </c>
      <c r="C95" s="10" t="s">
        <v>834</v>
      </c>
      <c r="D95" s="9" t="s">
        <v>731</v>
      </c>
      <c r="E95" s="12">
        <f>9.42/4+1</f>
        <v>3.36</v>
      </c>
      <c r="F95" s="12">
        <v>22</v>
      </c>
      <c r="G95" s="12">
        <v>19</v>
      </c>
      <c r="H95" s="11">
        <f t="shared" si="2"/>
        <v>73.92</v>
      </c>
      <c r="I95" s="10"/>
      <c r="J95" s="9">
        <v>0</v>
      </c>
      <c r="K95" s="9">
        <f t="shared" si="3"/>
        <v>0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</row>
    <row r="96" s="17" customFormat="1" ht="101.25" outlineLevel="2" spans="1:253">
      <c r="A96" s="9">
        <v>4</v>
      </c>
      <c r="B96" s="10" t="s">
        <v>861</v>
      </c>
      <c r="C96" s="10" t="s">
        <v>875</v>
      </c>
      <c r="D96" s="9" t="s">
        <v>731</v>
      </c>
      <c r="E96" s="12">
        <f>23.13/4</f>
        <v>5.78</v>
      </c>
      <c r="F96" s="12">
        <v>70</v>
      </c>
      <c r="G96" s="12">
        <v>40</v>
      </c>
      <c r="H96" s="11">
        <f t="shared" si="2"/>
        <v>404.6</v>
      </c>
      <c r="I96" s="10"/>
      <c r="J96" s="9">
        <v>0</v>
      </c>
      <c r="K96" s="9">
        <f t="shared" si="3"/>
        <v>0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</row>
    <row r="97" s="17" customFormat="1" ht="90" outlineLevel="2" spans="1:253">
      <c r="A97" s="9">
        <v>5</v>
      </c>
      <c r="B97" s="10" t="s">
        <v>835</v>
      </c>
      <c r="C97" s="10" t="s">
        <v>836</v>
      </c>
      <c r="D97" s="9" t="s">
        <v>731</v>
      </c>
      <c r="E97" s="12">
        <f>2.12/4</f>
        <v>0.53</v>
      </c>
      <c r="F97" s="12">
        <v>59.5</v>
      </c>
      <c r="G97" s="12">
        <v>45</v>
      </c>
      <c r="H97" s="11">
        <f t="shared" si="2"/>
        <v>31.54</v>
      </c>
      <c r="I97" s="10"/>
      <c r="J97" s="9">
        <v>0</v>
      </c>
      <c r="K97" s="9">
        <f t="shared" si="3"/>
        <v>0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</row>
    <row r="98" s="17" customFormat="1" ht="90" outlineLevel="2" spans="1:253">
      <c r="A98" s="9">
        <v>6</v>
      </c>
      <c r="B98" s="10" t="s">
        <v>837</v>
      </c>
      <c r="C98" s="10" t="s">
        <v>838</v>
      </c>
      <c r="D98" s="30" t="s">
        <v>731</v>
      </c>
      <c r="E98" s="31">
        <f>4.44/4</f>
        <v>1.11</v>
      </c>
      <c r="F98" s="12">
        <v>59.5</v>
      </c>
      <c r="G98" s="12">
        <v>45</v>
      </c>
      <c r="H98" s="11">
        <f t="shared" si="2"/>
        <v>66.05</v>
      </c>
      <c r="I98" s="10"/>
      <c r="J98" s="9">
        <v>0</v>
      </c>
      <c r="K98" s="9">
        <f t="shared" si="3"/>
        <v>0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</row>
    <row r="99" s="17" customFormat="1" ht="67.5" outlineLevel="2" spans="1:11">
      <c r="A99" s="9">
        <v>7</v>
      </c>
      <c r="B99" s="24" t="s">
        <v>844</v>
      </c>
      <c r="C99" s="10" t="s">
        <v>845</v>
      </c>
      <c r="D99" s="9" t="s">
        <v>697</v>
      </c>
      <c r="E99" s="12">
        <v>2</v>
      </c>
      <c r="F99" s="12">
        <v>135</v>
      </c>
      <c r="G99" s="12">
        <v>115</v>
      </c>
      <c r="H99" s="11">
        <f t="shared" si="2"/>
        <v>270</v>
      </c>
      <c r="I99" s="10"/>
      <c r="J99" s="29">
        <v>0</v>
      </c>
      <c r="K99" s="9">
        <f t="shared" si="3"/>
        <v>0</v>
      </c>
    </row>
    <row r="100" s="17" customFormat="1" ht="67.5" outlineLevel="2" spans="1:11">
      <c r="A100" s="9">
        <v>8</v>
      </c>
      <c r="B100" s="24" t="s">
        <v>846</v>
      </c>
      <c r="C100" s="10" t="s">
        <v>847</v>
      </c>
      <c r="D100" s="9" t="s">
        <v>697</v>
      </c>
      <c r="E100" s="12">
        <v>1</v>
      </c>
      <c r="F100" s="12">
        <v>130</v>
      </c>
      <c r="G100" s="12">
        <v>110</v>
      </c>
      <c r="H100" s="11">
        <f t="shared" si="2"/>
        <v>130</v>
      </c>
      <c r="I100" s="10"/>
      <c r="J100" s="29">
        <v>0</v>
      </c>
      <c r="K100" s="9">
        <f t="shared" si="3"/>
        <v>0</v>
      </c>
    </row>
    <row r="101" s="17" customFormat="1" ht="78.75" outlineLevel="2" spans="1:253">
      <c r="A101" s="9">
        <v>9</v>
      </c>
      <c r="B101" s="24" t="s">
        <v>841</v>
      </c>
      <c r="C101" s="24" t="s">
        <v>876</v>
      </c>
      <c r="D101" s="25" t="s">
        <v>843</v>
      </c>
      <c r="E101" s="12">
        <v>1</v>
      </c>
      <c r="F101" s="12">
        <v>2800</v>
      </c>
      <c r="G101" s="12">
        <v>1500</v>
      </c>
      <c r="H101" s="11">
        <f t="shared" si="2"/>
        <v>2800</v>
      </c>
      <c r="I101" s="10"/>
      <c r="J101" s="9">
        <v>0</v>
      </c>
      <c r="K101" s="9">
        <f t="shared" si="3"/>
        <v>0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</row>
    <row r="102" s="17" customFormat="1" ht="101.25" outlineLevel="2" spans="1:253">
      <c r="A102" s="9">
        <v>10</v>
      </c>
      <c r="B102" s="10" t="s">
        <v>850</v>
      </c>
      <c r="C102" s="10" t="s">
        <v>851</v>
      </c>
      <c r="D102" s="9" t="s">
        <v>731</v>
      </c>
      <c r="E102" s="12">
        <f>3.92/4</f>
        <v>0.98</v>
      </c>
      <c r="F102" s="12">
        <v>59.5</v>
      </c>
      <c r="G102" s="12">
        <v>45</v>
      </c>
      <c r="H102" s="11">
        <f t="shared" si="2"/>
        <v>58.31</v>
      </c>
      <c r="I102" s="10"/>
      <c r="J102" s="9">
        <v>0</v>
      </c>
      <c r="K102" s="9">
        <f t="shared" si="3"/>
        <v>0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</row>
    <row r="103" s="17" customFormat="1" ht="78.75" outlineLevel="2" spans="1:253">
      <c r="A103" s="9">
        <v>11</v>
      </c>
      <c r="B103" s="24" t="s">
        <v>854</v>
      </c>
      <c r="C103" s="10" t="s">
        <v>855</v>
      </c>
      <c r="D103" s="25" t="s">
        <v>697</v>
      </c>
      <c r="E103" s="12">
        <v>1</v>
      </c>
      <c r="F103" s="12">
        <v>66</v>
      </c>
      <c r="G103" s="12">
        <v>53</v>
      </c>
      <c r="H103" s="11">
        <f t="shared" si="2"/>
        <v>66</v>
      </c>
      <c r="I103" s="10"/>
      <c r="J103" s="9">
        <v>0</v>
      </c>
      <c r="K103" s="9">
        <f t="shared" si="3"/>
        <v>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</row>
    <row r="104" s="17" customFormat="1" ht="56.25" outlineLevel="2" spans="1:13">
      <c r="A104" s="9">
        <v>12</v>
      </c>
      <c r="B104" s="24" t="s">
        <v>856</v>
      </c>
      <c r="C104" s="24" t="s">
        <v>857</v>
      </c>
      <c r="D104" s="25" t="s">
        <v>697</v>
      </c>
      <c r="E104" s="12">
        <v>1</v>
      </c>
      <c r="F104" s="12">
        <v>80</v>
      </c>
      <c r="G104" s="12">
        <v>50</v>
      </c>
      <c r="H104" s="11">
        <f t="shared" si="2"/>
        <v>80</v>
      </c>
      <c r="I104" s="10"/>
      <c r="J104" s="29">
        <v>0</v>
      </c>
      <c r="K104" s="9">
        <f t="shared" si="3"/>
        <v>0</v>
      </c>
      <c r="L104" s="35"/>
      <c r="M104" s="35"/>
    </row>
    <row r="105" s="18" customFormat="1" ht="18" customHeight="1" spans="1:11">
      <c r="A105" s="13" t="s">
        <v>449</v>
      </c>
      <c r="B105" s="14" t="s">
        <v>647</v>
      </c>
      <c r="C105" s="14"/>
      <c r="D105" s="13"/>
      <c r="E105" s="8"/>
      <c r="F105" s="13"/>
      <c r="G105" s="13"/>
      <c r="H105" s="13">
        <f>SUM(H6:H104)</f>
        <v>288084.21</v>
      </c>
      <c r="I105" s="16"/>
      <c r="J105" s="32"/>
      <c r="K105" s="36">
        <f>SUM(K6:K104)</f>
        <v>228049.28</v>
      </c>
    </row>
    <row r="106" s="18" customFormat="1" ht="21" customHeight="1" spans="1:11">
      <c r="A106" s="32" t="s">
        <v>455</v>
      </c>
      <c r="B106" s="33" t="s">
        <v>877</v>
      </c>
      <c r="C106" s="33"/>
      <c r="D106" s="32"/>
      <c r="E106" s="34"/>
      <c r="F106" s="34"/>
      <c r="G106" s="34"/>
      <c r="H106" s="34"/>
      <c r="I106" s="33"/>
      <c r="J106" s="32"/>
      <c r="K106" s="32">
        <f>K105-H105</f>
        <v>-60034.93</v>
      </c>
    </row>
  </sheetData>
  <autoFilter ref="A2:I106">
    <extLst/>
  </autoFilter>
  <mergeCells count="11"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A1:K2"/>
  </mergeCells>
  <printOptions horizontalCentered="1"/>
  <pageMargins left="0.118055555555556" right="0.118055555555556" top="0.118055555555556" bottom="0.118055555555556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S18"/>
  <sheetViews>
    <sheetView zoomScaleSheetLayoutView="60" workbookViewId="0">
      <pane ySplit="4" topLeftCell="A13" activePane="bottomLeft" state="frozen"/>
      <selection/>
      <selection pane="bottomLeft" activeCell="A18" sqref="$A18:$XFD18"/>
    </sheetView>
  </sheetViews>
  <sheetFormatPr defaultColWidth="8.75" defaultRowHeight="14.25"/>
  <cols>
    <col min="1" max="1" width="5" style="4" customWidth="1"/>
    <col min="2" max="2" width="8.5" style="2" customWidth="1"/>
    <col min="3" max="3" width="32.125" style="2" customWidth="1"/>
    <col min="4" max="4" width="5.875" style="4" customWidth="1"/>
    <col min="5" max="5" width="8.5" style="5" customWidth="1"/>
    <col min="6" max="6" width="8.75" style="5" customWidth="1"/>
    <col min="7" max="7" width="9.625" style="5" customWidth="1"/>
    <col min="8" max="8" width="11.625" style="5" customWidth="1"/>
    <col min="9" max="9" width="8.625" style="2" customWidth="1"/>
    <col min="10" max="10" width="8.5" style="5" customWidth="1"/>
    <col min="11" max="11" width="11.625" style="5" customWidth="1"/>
    <col min="12" max="12" width="10.375" style="2"/>
    <col min="13" max="16384" width="8.75" style="2"/>
  </cols>
  <sheetData>
    <row r="1" s="1" customFormat="1" spans="1:11">
      <c r="A1" s="6" t="s">
        <v>878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spans="1:11">
      <c r="A3" s="7" t="s">
        <v>1</v>
      </c>
      <c r="B3" s="7" t="s">
        <v>343</v>
      </c>
      <c r="C3" s="7" t="s">
        <v>659</v>
      </c>
      <c r="D3" s="7" t="s">
        <v>520</v>
      </c>
      <c r="E3" s="8" t="s">
        <v>660</v>
      </c>
      <c r="F3" s="8" t="s">
        <v>661</v>
      </c>
      <c r="G3" s="8"/>
      <c r="H3" s="8" t="s">
        <v>757</v>
      </c>
      <c r="I3" s="7" t="s">
        <v>374</v>
      </c>
      <c r="J3" s="8" t="s">
        <v>758</v>
      </c>
      <c r="K3" s="8" t="s">
        <v>879</v>
      </c>
    </row>
    <row r="4" s="1" customFormat="1" ht="22.5" spans="1:11">
      <c r="A4" s="7"/>
      <c r="B4" s="7"/>
      <c r="C4" s="7"/>
      <c r="D4" s="7"/>
      <c r="E4" s="8"/>
      <c r="F4" s="8"/>
      <c r="G4" s="8" t="s">
        <v>760</v>
      </c>
      <c r="H4" s="8"/>
      <c r="I4" s="7"/>
      <c r="J4" s="8"/>
      <c r="K4" s="8"/>
    </row>
    <row r="5" ht="78.75" outlineLevel="1" spans="1:11">
      <c r="A5" s="9">
        <v>1</v>
      </c>
      <c r="B5" s="10" t="s">
        <v>880</v>
      </c>
      <c r="C5" s="10" t="s">
        <v>881</v>
      </c>
      <c r="D5" s="9" t="s">
        <v>731</v>
      </c>
      <c r="E5" s="9">
        <v>70.5</v>
      </c>
      <c r="F5" s="11">
        <v>88</v>
      </c>
      <c r="G5" s="11">
        <v>60</v>
      </c>
      <c r="H5" s="11">
        <f t="shared" ref="H5:H17" si="0">E5*F5</f>
        <v>6204</v>
      </c>
      <c r="I5" s="10"/>
      <c r="J5" s="9">
        <v>69</v>
      </c>
      <c r="K5" s="11">
        <f t="shared" ref="K5:K17" si="1">J5*F5</f>
        <v>6072</v>
      </c>
    </row>
    <row r="6" ht="22.5" outlineLevel="1" spans="1:11">
      <c r="A6" s="9">
        <v>2</v>
      </c>
      <c r="B6" s="10" t="s">
        <v>882</v>
      </c>
      <c r="C6" s="10" t="s">
        <v>883</v>
      </c>
      <c r="D6" s="9" t="s">
        <v>697</v>
      </c>
      <c r="E6" s="9">
        <v>4</v>
      </c>
      <c r="F6" s="11">
        <v>260</v>
      </c>
      <c r="G6" s="11">
        <v>200</v>
      </c>
      <c r="H6" s="11">
        <f t="shared" si="0"/>
        <v>1040</v>
      </c>
      <c r="I6" s="10"/>
      <c r="J6" s="9">
        <v>4</v>
      </c>
      <c r="K6" s="11">
        <f t="shared" si="1"/>
        <v>1040</v>
      </c>
    </row>
    <row r="7" ht="78.75" outlineLevel="1" spans="1:11">
      <c r="A7" s="9">
        <v>3</v>
      </c>
      <c r="B7" s="10" t="s">
        <v>884</v>
      </c>
      <c r="C7" s="10" t="s">
        <v>885</v>
      </c>
      <c r="D7" s="9" t="s">
        <v>731</v>
      </c>
      <c r="E7" s="9">
        <v>4.88</v>
      </c>
      <c r="F7" s="11">
        <v>105</v>
      </c>
      <c r="G7" s="11">
        <v>80</v>
      </c>
      <c r="H7" s="11">
        <f t="shared" si="0"/>
        <v>512.4</v>
      </c>
      <c r="I7" s="10"/>
      <c r="J7" s="9">
        <v>0</v>
      </c>
      <c r="K7" s="11">
        <f t="shared" si="1"/>
        <v>0</v>
      </c>
    </row>
    <row r="8" ht="78.75" outlineLevel="1" spans="1:11">
      <c r="A8" s="9">
        <v>4</v>
      </c>
      <c r="B8" s="10" t="s">
        <v>884</v>
      </c>
      <c r="C8" s="10" t="s">
        <v>886</v>
      </c>
      <c r="D8" s="9" t="s">
        <v>731</v>
      </c>
      <c r="E8" s="9">
        <f>97.76+4.79</f>
        <v>102.55</v>
      </c>
      <c r="F8" s="11">
        <v>88</v>
      </c>
      <c r="G8" s="11">
        <v>60</v>
      </c>
      <c r="H8" s="11">
        <f t="shared" si="0"/>
        <v>9024.4</v>
      </c>
      <c r="I8" s="10"/>
      <c r="J8" s="9">
        <v>110</v>
      </c>
      <c r="K8" s="11">
        <f t="shared" si="1"/>
        <v>9680</v>
      </c>
    </row>
    <row r="9" ht="78.75" outlineLevel="1" spans="1:11">
      <c r="A9" s="9">
        <v>5</v>
      </c>
      <c r="B9" s="10" t="s">
        <v>884</v>
      </c>
      <c r="C9" s="10" t="s">
        <v>887</v>
      </c>
      <c r="D9" s="9" t="s">
        <v>731</v>
      </c>
      <c r="E9" s="9">
        <v>39.43</v>
      </c>
      <c r="F9" s="11">
        <v>135</v>
      </c>
      <c r="G9" s="11">
        <v>100</v>
      </c>
      <c r="H9" s="11">
        <f t="shared" si="0"/>
        <v>5323.05</v>
      </c>
      <c r="I9" s="10"/>
      <c r="J9" s="9">
        <v>0</v>
      </c>
      <c r="K9" s="11">
        <f t="shared" si="1"/>
        <v>0</v>
      </c>
    </row>
    <row r="10" ht="78.75" outlineLevel="1" spans="1:11">
      <c r="A10" s="9">
        <v>6</v>
      </c>
      <c r="B10" s="10" t="s">
        <v>888</v>
      </c>
      <c r="C10" s="10" t="s">
        <v>889</v>
      </c>
      <c r="D10" s="9" t="s">
        <v>817</v>
      </c>
      <c r="E10" s="9">
        <v>4</v>
      </c>
      <c r="F10" s="11">
        <v>1280</v>
      </c>
      <c r="G10" s="11"/>
      <c r="H10" s="11">
        <f t="shared" si="0"/>
        <v>5120</v>
      </c>
      <c r="I10" s="10"/>
      <c r="J10" s="9">
        <v>4</v>
      </c>
      <c r="K10" s="11">
        <f t="shared" si="1"/>
        <v>5120</v>
      </c>
    </row>
    <row r="11" ht="78.75" outlineLevel="1" spans="1:11">
      <c r="A11" s="9">
        <v>7</v>
      </c>
      <c r="B11" s="10" t="s">
        <v>890</v>
      </c>
      <c r="C11" s="10" t="s">
        <v>891</v>
      </c>
      <c r="D11" s="9" t="s">
        <v>817</v>
      </c>
      <c r="E11" s="9">
        <v>10</v>
      </c>
      <c r="F11" s="11">
        <v>1280</v>
      </c>
      <c r="G11" s="11"/>
      <c r="H11" s="11">
        <f t="shared" si="0"/>
        <v>12800</v>
      </c>
      <c r="I11" s="10"/>
      <c r="J11" s="9">
        <v>9</v>
      </c>
      <c r="K11" s="11">
        <f t="shared" si="1"/>
        <v>11520</v>
      </c>
    </row>
    <row r="12" ht="67.5" outlineLevel="1" spans="1:11">
      <c r="A12" s="9">
        <v>8</v>
      </c>
      <c r="B12" s="10" t="s">
        <v>892</v>
      </c>
      <c r="C12" s="10" t="s">
        <v>893</v>
      </c>
      <c r="D12" s="9" t="s">
        <v>817</v>
      </c>
      <c r="E12" s="9">
        <v>1</v>
      </c>
      <c r="F12" s="11">
        <v>9800</v>
      </c>
      <c r="G12" s="11"/>
      <c r="H12" s="11">
        <f t="shared" si="0"/>
        <v>9800</v>
      </c>
      <c r="I12" s="10"/>
      <c r="J12" s="9">
        <v>1</v>
      </c>
      <c r="K12" s="11">
        <f t="shared" si="1"/>
        <v>9800</v>
      </c>
    </row>
    <row r="13" s="2" customFormat="1" ht="33.75" outlineLevel="1" spans="1:11">
      <c r="A13" s="9">
        <v>9</v>
      </c>
      <c r="B13" s="10" t="s">
        <v>894</v>
      </c>
      <c r="C13" s="10" t="s">
        <v>895</v>
      </c>
      <c r="D13" s="9" t="s">
        <v>697</v>
      </c>
      <c r="E13" s="9">
        <v>10</v>
      </c>
      <c r="F13" s="11">
        <v>110</v>
      </c>
      <c r="G13" s="11">
        <v>80</v>
      </c>
      <c r="H13" s="11">
        <f t="shared" si="0"/>
        <v>1100</v>
      </c>
      <c r="I13" s="10"/>
      <c r="J13" s="9">
        <v>10</v>
      </c>
      <c r="K13" s="11">
        <f t="shared" si="1"/>
        <v>1100</v>
      </c>
    </row>
    <row r="14" s="2" customFormat="1" ht="33.75" outlineLevel="1" spans="1:11">
      <c r="A14" s="9">
        <v>10</v>
      </c>
      <c r="B14" s="10" t="s">
        <v>896</v>
      </c>
      <c r="C14" s="10" t="s">
        <v>897</v>
      </c>
      <c r="D14" s="9" t="s">
        <v>697</v>
      </c>
      <c r="E14" s="9">
        <v>3</v>
      </c>
      <c r="F14" s="11">
        <v>110</v>
      </c>
      <c r="G14" s="11">
        <v>80</v>
      </c>
      <c r="H14" s="11">
        <f t="shared" si="0"/>
        <v>330</v>
      </c>
      <c r="I14" s="10"/>
      <c r="J14" s="9">
        <v>3</v>
      </c>
      <c r="K14" s="11">
        <f t="shared" si="1"/>
        <v>330</v>
      </c>
    </row>
    <row r="15" s="2" customFormat="1" ht="22.5" outlineLevel="1" spans="1:11">
      <c r="A15" s="9">
        <v>11</v>
      </c>
      <c r="B15" s="10" t="s">
        <v>898</v>
      </c>
      <c r="C15" s="10" t="s">
        <v>899</v>
      </c>
      <c r="D15" s="9" t="s">
        <v>697</v>
      </c>
      <c r="E15" s="9">
        <v>10</v>
      </c>
      <c r="F15" s="11">
        <v>260</v>
      </c>
      <c r="G15" s="11">
        <v>200</v>
      </c>
      <c r="H15" s="11">
        <f t="shared" si="0"/>
        <v>2600</v>
      </c>
      <c r="I15" s="10"/>
      <c r="J15" s="9">
        <v>9</v>
      </c>
      <c r="K15" s="11">
        <f t="shared" si="1"/>
        <v>2340</v>
      </c>
    </row>
    <row r="16" s="1" customFormat="1" ht="33.75" outlineLevel="2" spans="1:253">
      <c r="A16" s="9">
        <v>12</v>
      </c>
      <c r="B16" s="10" t="s">
        <v>796</v>
      </c>
      <c r="C16" s="10" t="s">
        <v>797</v>
      </c>
      <c r="D16" s="9" t="s">
        <v>646</v>
      </c>
      <c r="E16" s="12">
        <v>60.02</v>
      </c>
      <c r="F16" s="12">
        <v>32</v>
      </c>
      <c r="G16" s="12"/>
      <c r="H16" s="11">
        <f t="shared" si="0"/>
        <v>1920.64</v>
      </c>
      <c r="I16" s="10"/>
      <c r="J16" s="12">
        <v>193</v>
      </c>
      <c r="K16" s="11">
        <f t="shared" si="1"/>
        <v>6176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</row>
    <row r="17" s="1" customFormat="1" ht="22.5" outlineLevel="2" spans="1:253">
      <c r="A17" s="9">
        <v>13</v>
      </c>
      <c r="B17" s="10" t="s">
        <v>798</v>
      </c>
      <c r="C17" s="10" t="s">
        <v>799</v>
      </c>
      <c r="D17" s="9" t="s">
        <v>646</v>
      </c>
      <c r="E17" s="12">
        <v>60.02</v>
      </c>
      <c r="F17" s="12">
        <v>11</v>
      </c>
      <c r="G17" s="12"/>
      <c r="H17" s="11">
        <f t="shared" si="0"/>
        <v>660.22</v>
      </c>
      <c r="I17" s="10"/>
      <c r="J17" s="12">
        <v>160</v>
      </c>
      <c r="K17" s="11">
        <f t="shared" si="1"/>
        <v>1760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</row>
    <row r="18" s="3" customFormat="1" ht="27" customHeight="1" spans="1:11">
      <c r="A18" s="13"/>
      <c r="B18" s="14" t="s">
        <v>647</v>
      </c>
      <c r="C18" s="14"/>
      <c r="D18" s="13"/>
      <c r="E18" s="8"/>
      <c r="F18" s="13"/>
      <c r="G18" s="13"/>
      <c r="H18" s="13">
        <f>SUM(H5:H17)</f>
        <v>56434.71</v>
      </c>
      <c r="I18" s="16"/>
      <c r="J18" s="8"/>
      <c r="K18" s="13">
        <f>SUM(K5:K17)</f>
        <v>54938</v>
      </c>
    </row>
  </sheetData>
  <autoFilter ref="A2:I18">
    <extLst/>
  </autoFilter>
  <mergeCells count="11">
    <mergeCell ref="F3:G3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A1:K2"/>
  </mergeCells>
  <dataValidations count="1">
    <dataValidation type="list" allowBlank="1" showInputMessage="1" sqref="B5 B7 B8 B9">
      <formula1>"给水,排水,集水井排水,雨水,空调冷凝水,中水,废水,压力排污,燃气,洁具,空调水系统,采暖"</formula1>
    </dataValidation>
  </dataValidations>
  <printOptions horizontalCentered="1"/>
  <pageMargins left="0.118055555555556" right="0.118055555555556" top="0.118055555555556" bottom="0.118055555555556" header="0.298611111111111" footer="0.298611111111111"/>
  <pageSetup paperSize="9" scale="7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208" t="s">
        <v>205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</row>
    <row r="2" spans="1:29">
      <c r="A2" s="209" t="s">
        <v>1</v>
      </c>
      <c r="B2" s="209" t="s">
        <v>2</v>
      </c>
      <c r="C2" s="209" t="s">
        <v>3</v>
      </c>
      <c r="D2" s="209" t="s">
        <v>4</v>
      </c>
      <c r="E2" s="209" t="s">
        <v>5</v>
      </c>
      <c r="F2" s="209" t="s">
        <v>6</v>
      </c>
      <c r="G2" s="209" t="s">
        <v>7</v>
      </c>
      <c r="H2" s="209" t="s">
        <v>8</v>
      </c>
      <c r="I2" s="209" t="s">
        <v>9</v>
      </c>
      <c r="J2" s="209" t="s">
        <v>10</v>
      </c>
      <c r="K2" s="209" t="s">
        <v>11</v>
      </c>
      <c r="L2" s="209" t="s">
        <v>12</v>
      </c>
      <c r="M2" s="209" t="s">
        <v>13</v>
      </c>
      <c r="N2" s="209" t="s">
        <v>14</v>
      </c>
      <c r="O2" s="209" t="s">
        <v>15</v>
      </c>
      <c r="P2" s="209" t="s">
        <v>16</v>
      </c>
      <c r="Q2" s="209" t="s">
        <v>17</v>
      </c>
      <c r="R2" s="209" t="s">
        <v>18</v>
      </c>
      <c r="S2" s="209" t="s">
        <v>19</v>
      </c>
      <c r="T2" s="209" t="s">
        <v>20</v>
      </c>
      <c r="U2" s="209" t="s">
        <v>21</v>
      </c>
      <c r="V2" s="209" t="s">
        <v>22</v>
      </c>
      <c r="W2" s="209" t="s">
        <v>23</v>
      </c>
      <c r="X2" s="209" t="s">
        <v>24</v>
      </c>
      <c r="Y2" s="209" t="s">
        <v>25</v>
      </c>
      <c r="Z2" s="209" t="s">
        <v>26</v>
      </c>
      <c r="AA2" s="209" t="s">
        <v>27</v>
      </c>
      <c r="AB2" s="209" t="s">
        <v>28</v>
      </c>
      <c r="AC2" s="214" t="s">
        <v>206</v>
      </c>
    </row>
    <row r="3" spans="1:29">
      <c r="A3" s="209" t="s">
        <v>29</v>
      </c>
      <c r="B3" s="209" t="s">
        <v>38</v>
      </c>
      <c r="C3" s="209"/>
      <c r="D3" s="209"/>
      <c r="E3" s="209">
        <v>2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>
        <f t="shared" ref="AB3:AB66" si="0">SUM(E3:AA3)</f>
        <v>2</v>
      </c>
      <c r="AC3" s="214">
        <f t="shared" ref="AC3:AC34" si="1">C3*D3*AB3/1000000</f>
        <v>0</v>
      </c>
    </row>
    <row r="4" spans="1:29">
      <c r="A4" s="209" t="s">
        <v>31</v>
      </c>
      <c r="B4" s="209" t="s">
        <v>207</v>
      </c>
      <c r="C4" s="209"/>
      <c r="D4" s="209"/>
      <c r="E4" s="209">
        <v>3</v>
      </c>
      <c r="F4" s="209">
        <v>1</v>
      </c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>
        <f t="shared" si="0"/>
        <v>4</v>
      </c>
      <c r="AC4" s="214">
        <f t="shared" si="1"/>
        <v>0</v>
      </c>
    </row>
    <row r="5" spans="1:29">
      <c r="A5" s="209" t="s">
        <v>33</v>
      </c>
      <c r="B5" s="209" t="s">
        <v>124</v>
      </c>
      <c r="C5" s="209"/>
      <c r="D5" s="209"/>
      <c r="E5" s="209">
        <v>2</v>
      </c>
      <c r="F5" s="209">
        <v>3</v>
      </c>
      <c r="G5" s="209"/>
      <c r="H5" s="209">
        <v>3</v>
      </c>
      <c r="I5" s="209">
        <v>3</v>
      </c>
      <c r="J5" s="209">
        <v>3</v>
      </c>
      <c r="K5" s="209">
        <v>3</v>
      </c>
      <c r="L5" s="209">
        <v>3</v>
      </c>
      <c r="M5" s="209">
        <v>3</v>
      </c>
      <c r="N5" s="209">
        <v>3</v>
      </c>
      <c r="O5" s="209">
        <v>3</v>
      </c>
      <c r="P5" s="209">
        <v>3</v>
      </c>
      <c r="Q5" s="209">
        <v>3</v>
      </c>
      <c r="R5" s="209">
        <v>3</v>
      </c>
      <c r="S5" s="209">
        <v>3</v>
      </c>
      <c r="T5" s="209">
        <v>3</v>
      </c>
      <c r="U5" s="209">
        <v>3</v>
      </c>
      <c r="V5" s="209">
        <v>3</v>
      </c>
      <c r="W5" s="209">
        <v>3</v>
      </c>
      <c r="X5" s="209"/>
      <c r="Y5" s="209"/>
      <c r="Z5" s="209"/>
      <c r="AA5" s="209"/>
      <c r="AB5" s="209">
        <f t="shared" si="0"/>
        <v>53</v>
      </c>
      <c r="AC5" s="214">
        <f t="shared" si="1"/>
        <v>0</v>
      </c>
    </row>
    <row r="6" spans="1:29">
      <c r="A6" s="209" t="s">
        <v>35</v>
      </c>
      <c r="B6" s="209" t="s">
        <v>208</v>
      </c>
      <c r="C6" s="209"/>
      <c r="D6" s="209"/>
      <c r="E6" s="209">
        <v>3</v>
      </c>
      <c r="F6" s="209">
        <v>3</v>
      </c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>
        <f t="shared" si="0"/>
        <v>6</v>
      </c>
      <c r="AC6" s="214">
        <f t="shared" si="1"/>
        <v>0</v>
      </c>
    </row>
    <row r="7" spans="1:29">
      <c r="A7" s="209" t="s">
        <v>37</v>
      </c>
      <c r="B7" s="209" t="s">
        <v>86</v>
      </c>
      <c r="C7" s="209"/>
      <c r="D7" s="209"/>
      <c r="E7" s="209"/>
      <c r="F7" s="209">
        <v>1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>
        <f t="shared" si="0"/>
        <v>1</v>
      </c>
      <c r="AC7" s="214">
        <f t="shared" si="1"/>
        <v>0</v>
      </c>
    </row>
    <row r="8" spans="1:29">
      <c r="A8" s="209" t="s">
        <v>39</v>
      </c>
      <c r="B8" s="209" t="s">
        <v>48</v>
      </c>
      <c r="C8" s="209"/>
      <c r="D8" s="209"/>
      <c r="E8" s="209"/>
      <c r="F8" s="209">
        <v>2</v>
      </c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>
        <f t="shared" si="0"/>
        <v>2</v>
      </c>
      <c r="AC8" s="214">
        <f t="shared" si="1"/>
        <v>0</v>
      </c>
    </row>
    <row r="9" spans="1:29">
      <c r="A9" s="209" t="s">
        <v>41</v>
      </c>
      <c r="B9" s="209" t="s">
        <v>209</v>
      </c>
      <c r="C9" s="209"/>
      <c r="D9" s="209"/>
      <c r="E9" s="209"/>
      <c r="F9" s="209">
        <v>1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>
        <f t="shared" si="0"/>
        <v>1</v>
      </c>
      <c r="AC9" s="214">
        <f t="shared" si="1"/>
        <v>0</v>
      </c>
    </row>
    <row r="10" spans="1:29">
      <c r="A10" s="209" t="s">
        <v>43</v>
      </c>
      <c r="B10" s="209" t="s">
        <v>210</v>
      </c>
      <c r="C10" s="209"/>
      <c r="D10" s="209"/>
      <c r="E10" s="209"/>
      <c r="F10" s="209">
        <v>1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>
        <f t="shared" si="0"/>
        <v>1</v>
      </c>
      <c r="AC10" s="214">
        <f t="shared" si="1"/>
        <v>0</v>
      </c>
    </row>
    <row r="11" spans="1:29">
      <c r="A11" s="209" t="s">
        <v>45</v>
      </c>
      <c r="B11" s="209" t="s">
        <v>211</v>
      </c>
      <c r="C11" s="209"/>
      <c r="D11" s="209"/>
      <c r="E11" s="209"/>
      <c r="F11" s="209">
        <v>1</v>
      </c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>
        <f t="shared" si="0"/>
        <v>1</v>
      </c>
      <c r="AC11" s="214">
        <f t="shared" si="1"/>
        <v>0</v>
      </c>
    </row>
    <row r="12" spans="1:29">
      <c r="A12" s="209" t="s">
        <v>47</v>
      </c>
      <c r="B12" s="209" t="s">
        <v>212</v>
      </c>
      <c r="C12" s="209"/>
      <c r="D12" s="209"/>
      <c r="E12" s="209"/>
      <c r="F12" s="209">
        <v>1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>
        <f t="shared" si="0"/>
        <v>1</v>
      </c>
      <c r="AC12" s="214">
        <f t="shared" si="1"/>
        <v>0</v>
      </c>
    </row>
    <row r="13" spans="1:29">
      <c r="A13" s="209" t="s">
        <v>49</v>
      </c>
      <c r="B13" s="209" t="s">
        <v>213</v>
      </c>
      <c r="C13" s="209"/>
      <c r="D13" s="209"/>
      <c r="E13" s="209"/>
      <c r="F13" s="209">
        <v>1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>
        <f t="shared" si="0"/>
        <v>1</v>
      </c>
      <c r="AC13" s="214">
        <f t="shared" si="1"/>
        <v>0</v>
      </c>
    </row>
    <row r="14" spans="1:29">
      <c r="A14" s="209" t="s">
        <v>51</v>
      </c>
      <c r="B14" s="209" t="s">
        <v>214</v>
      </c>
      <c r="C14" s="209"/>
      <c r="D14" s="209"/>
      <c r="E14" s="209"/>
      <c r="F14" s="209">
        <v>2</v>
      </c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>
        <f t="shared" si="0"/>
        <v>2</v>
      </c>
      <c r="AC14" s="214">
        <f t="shared" si="1"/>
        <v>0</v>
      </c>
    </row>
    <row r="15" spans="1:29">
      <c r="A15" s="209" t="s">
        <v>53</v>
      </c>
      <c r="B15" s="209" t="s">
        <v>215</v>
      </c>
      <c r="C15" s="209"/>
      <c r="D15" s="209"/>
      <c r="E15" s="209"/>
      <c r="F15" s="209">
        <v>1</v>
      </c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>
        <f t="shared" si="0"/>
        <v>1</v>
      </c>
      <c r="AC15" s="214">
        <f t="shared" si="1"/>
        <v>0</v>
      </c>
    </row>
    <row r="16" spans="1:29">
      <c r="A16" s="209" t="s">
        <v>55</v>
      </c>
      <c r="B16" s="209" t="s">
        <v>44</v>
      </c>
      <c r="C16" s="209"/>
      <c r="D16" s="209"/>
      <c r="E16" s="209"/>
      <c r="F16" s="209">
        <v>1</v>
      </c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>
        <f t="shared" si="0"/>
        <v>1</v>
      </c>
      <c r="AC16" s="214">
        <f t="shared" si="1"/>
        <v>0</v>
      </c>
    </row>
    <row r="17" spans="1:29">
      <c r="A17" s="209" t="s">
        <v>57</v>
      </c>
      <c r="B17" s="209" t="s">
        <v>216</v>
      </c>
      <c r="C17" s="209"/>
      <c r="D17" s="209"/>
      <c r="E17" s="209"/>
      <c r="F17" s="209">
        <v>1</v>
      </c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>
        <f t="shared" si="0"/>
        <v>1</v>
      </c>
      <c r="AC17" s="214">
        <f t="shared" si="1"/>
        <v>0</v>
      </c>
    </row>
    <row r="18" spans="1:29">
      <c r="A18" s="209" t="s">
        <v>59</v>
      </c>
      <c r="B18" s="209" t="s">
        <v>217</v>
      </c>
      <c r="C18" s="209"/>
      <c r="D18" s="209"/>
      <c r="E18" s="209"/>
      <c r="F18" s="209">
        <v>1</v>
      </c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>
        <f t="shared" si="0"/>
        <v>1</v>
      </c>
      <c r="AC18" s="214">
        <f t="shared" si="1"/>
        <v>0</v>
      </c>
    </row>
    <row r="19" spans="1:29">
      <c r="A19" s="209" t="s">
        <v>61</v>
      </c>
      <c r="B19" s="209" t="s">
        <v>218</v>
      </c>
      <c r="C19" s="209"/>
      <c r="D19" s="209"/>
      <c r="E19" s="209"/>
      <c r="F19" s="209">
        <v>2</v>
      </c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>
        <f t="shared" si="0"/>
        <v>2</v>
      </c>
      <c r="AC19" s="214">
        <f t="shared" si="1"/>
        <v>0</v>
      </c>
    </row>
    <row r="20" spans="1:29">
      <c r="A20" s="209" t="s">
        <v>63</v>
      </c>
      <c r="B20" s="209" t="s">
        <v>219</v>
      </c>
      <c r="C20" s="209"/>
      <c r="D20" s="209"/>
      <c r="E20" s="209"/>
      <c r="F20" s="209">
        <v>1</v>
      </c>
      <c r="G20" s="209">
        <v>1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>
        <f t="shared" si="0"/>
        <v>2</v>
      </c>
      <c r="AC20" s="214">
        <f t="shared" si="1"/>
        <v>0</v>
      </c>
    </row>
    <row r="21" spans="1:29">
      <c r="A21" s="209" t="s">
        <v>65</v>
      </c>
      <c r="B21" s="209" t="s">
        <v>220</v>
      </c>
      <c r="C21" s="209"/>
      <c r="D21" s="209"/>
      <c r="E21" s="209"/>
      <c r="F21" s="209">
        <v>2</v>
      </c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>
        <f t="shared" si="0"/>
        <v>2</v>
      </c>
      <c r="AC21" s="214">
        <f t="shared" si="1"/>
        <v>0</v>
      </c>
    </row>
    <row r="22" spans="1:29">
      <c r="A22" s="209" t="s">
        <v>67</v>
      </c>
      <c r="B22" s="209" t="s">
        <v>204</v>
      </c>
      <c r="C22" s="209"/>
      <c r="D22" s="209"/>
      <c r="E22" s="209"/>
      <c r="F22" s="209">
        <v>2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>
        <f t="shared" si="0"/>
        <v>2</v>
      </c>
      <c r="AC22" s="214">
        <f t="shared" si="1"/>
        <v>0</v>
      </c>
    </row>
    <row r="23" spans="1:29">
      <c r="A23" s="209" t="s">
        <v>69</v>
      </c>
      <c r="B23" s="209" t="s">
        <v>221</v>
      </c>
      <c r="C23" s="209"/>
      <c r="D23" s="209"/>
      <c r="E23" s="209"/>
      <c r="F23" s="209">
        <v>3</v>
      </c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>
        <f t="shared" si="0"/>
        <v>3</v>
      </c>
      <c r="AC23" s="214">
        <f t="shared" si="1"/>
        <v>0</v>
      </c>
    </row>
    <row r="24" spans="1:29">
      <c r="A24" s="209" t="s">
        <v>71</v>
      </c>
      <c r="B24" s="209" t="s">
        <v>222</v>
      </c>
      <c r="C24" s="209"/>
      <c r="D24" s="209"/>
      <c r="E24" s="209"/>
      <c r="F24" s="209">
        <v>2</v>
      </c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>
        <f t="shared" si="0"/>
        <v>2</v>
      </c>
      <c r="AC24" s="214">
        <f t="shared" si="1"/>
        <v>0</v>
      </c>
    </row>
    <row r="25" spans="1:29">
      <c r="A25" s="209" t="s">
        <v>223</v>
      </c>
      <c r="B25" s="209" t="s">
        <v>224</v>
      </c>
      <c r="C25" s="209"/>
      <c r="D25" s="209"/>
      <c r="E25" s="209"/>
      <c r="F25" s="209">
        <v>2</v>
      </c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>
        <f t="shared" si="0"/>
        <v>2</v>
      </c>
      <c r="AC25" s="214">
        <f t="shared" si="1"/>
        <v>0</v>
      </c>
    </row>
    <row r="26" spans="1:29">
      <c r="A26" s="209" t="s">
        <v>73</v>
      </c>
      <c r="B26" s="209" t="s">
        <v>225</v>
      </c>
      <c r="C26" s="209"/>
      <c r="D26" s="209"/>
      <c r="E26" s="209"/>
      <c r="F26" s="209">
        <v>1</v>
      </c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>
        <f t="shared" si="0"/>
        <v>1</v>
      </c>
      <c r="AC26" s="214">
        <f t="shared" si="1"/>
        <v>0</v>
      </c>
    </row>
    <row r="27" spans="1:29">
      <c r="A27" s="209" t="s">
        <v>75</v>
      </c>
      <c r="B27" s="209" t="s">
        <v>226</v>
      </c>
      <c r="C27" s="209"/>
      <c r="D27" s="209"/>
      <c r="E27" s="209"/>
      <c r="F27" s="209">
        <v>1</v>
      </c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>
        <f t="shared" si="0"/>
        <v>1</v>
      </c>
      <c r="AC27" s="214">
        <f t="shared" si="1"/>
        <v>0</v>
      </c>
    </row>
    <row r="28" spans="1:29">
      <c r="A28" s="209" t="s">
        <v>77</v>
      </c>
      <c r="B28" s="209" t="s">
        <v>110</v>
      </c>
      <c r="C28" s="209"/>
      <c r="D28" s="209"/>
      <c r="E28" s="209"/>
      <c r="F28" s="209"/>
      <c r="G28" s="209">
        <v>1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>
        <f t="shared" si="0"/>
        <v>1</v>
      </c>
      <c r="AC28" s="214">
        <f t="shared" si="1"/>
        <v>0</v>
      </c>
    </row>
    <row r="29" spans="1:29">
      <c r="A29" s="209" t="s">
        <v>79</v>
      </c>
      <c r="B29" s="209" t="s">
        <v>90</v>
      </c>
      <c r="C29" s="209"/>
      <c r="D29" s="209"/>
      <c r="E29" s="209"/>
      <c r="F29" s="209"/>
      <c r="G29" s="209">
        <v>3</v>
      </c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>
        <f t="shared" si="0"/>
        <v>3</v>
      </c>
      <c r="AC29" s="214">
        <f t="shared" si="1"/>
        <v>0</v>
      </c>
    </row>
    <row r="30" spans="1:29">
      <c r="A30" s="209" t="s">
        <v>81</v>
      </c>
      <c r="B30" s="209" t="s">
        <v>88</v>
      </c>
      <c r="C30" s="209"/>
      <c r="D30" s="209"/>
      <c r="E30" s="209"/>
      <c r="F30" s="209"/>
      <c r="G30" s="209">
        <v>1</v>
      </c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>
        <f t="shared" si="0"/>
        <v>1</v>
      </c>
      <c r="AC30" s="214">
        <f t="shared" si="1"/>
        <v>0</v>
      </c>
    </row>
    <row r="31" spans="1:29">
      <c r="A31" s="209" t="s">
        <v>83</v>
      </c>
      <c r="B31" s="209" t="s">
        <v>122</v>
      </c>
      <c r="C31" s="209"/>
      <c r="D31" s="209"/>
      <c r="E31" s="209"/>
      <c r="F31" s="209"/>
      <c r="G31" s="209">
        <v>5</v>
      </c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>
        <f t="shared" si="0"/>
        <v>5</v>
      </c>
      <c r="AC31" s="214">
        <f t="shared" si="1"/>
        <v>0</v>
      </c>
    </row>
    <row r="32" spans="1:29">
      <c r="A32" s="209" t="s">
        <v>85</v>
      </c>
      <c r="B32" s="209" t="s">
        <v>227</v>
      </c>
      <c r="C32" s="209"/>
      <c r="D32" s="209"/>
      <c r="E32" s="209"/>
      <c r="F32" s="209"/>
      <c r="G32" s="209">
        <v>1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>
        <f t="shared" si="0"/>
        <v>1</v>
      </c>
      <c r="AC32" s="214">
        <f t="shared" si="1"/>
        <v>0</v>
      </c>
    </row>
    <row r="33" spans="1:29">
      <c r="A33" s="209" t="s">
        <v>87</v>
      </c>
      <c r="B33" s="209" t="s">
        <v>228</v>
      </c>
      <c r="C33" s="209"/>
      <c r="D33" s="209"/>
      <c r="E33" s="209"/>
      <c r="F33" s="209"/>
      <c r="G33" s="209">
        <v>1</v>
      </c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>
        <f t="shared" si="0"/>
        <v>1</v>
      </c>
      <c r="AC33" s="214">
        <f t="shared" si="1"/>
        <v>0</v>
      </c>
    </row>
    <row r="34" spans="1:29">
      <c r="A34" s="209" t="s">
        <v>89</v>
      </c>
      <c r="B34" s="209" t="s">
        <v>229</v>
      </c>
      <c r="C34" s="209"/>
      <c r="D34" s="209"/>
      <c r="E34" s="209"/>
      <c r="F34" s="209"/>
      <c r="G34" s="209">
        <v>1</v>
      </c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>
        <f t="shared" si="0"/>
        <v>1</v>
      </c>
      <c r="AC34" s="214">
        <f t="shared" si="1"/>
        <v>0</v>
      </c>
    </row>
    <row r="35" spans="1:29">
      <c r="A35" s="209" t="s">
        <v>91</v>
      </c>
      <c r="B35" s="209" t="s">
        <v>112</v>
      </c>
      <c r="C35" s="209"/>
      <c r="D35" s="209"/>
      <c r="E35" s="209"/>
      <c r="F35" s="209"/>
      <c r="G35" s="209">
        <v>1</v>
      </c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>
        <f t="shared" si="0"/>
        <v>1</v>
      </c>
      <c r="AC35" s="214">
        <f t="shared" ref="AC35:AC64" si="2">C35*D35*AB35/1000000</f>
        <v>0</v>
      </c>
    </row>
    <row r="36" spans="1:29">
      <c r="A36" s="209" t="s">
        <v>93</v>
      </c>
      <c r="B36" s="209" t="s">
        <v>139</v>
      </c>
      <c r="C36" s="209"/>
      <c r="D36" s="209"/>
      <c r="E36" s="209"/>
      <c r="F36" s="209"/>
      <c r="G36" s="209">
        <v>2</v>
      </c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>
        <f t="shared" si="0"/>
        <v>2</v>
      </c>
      <c r="AC36" s="214">
        <f t="shared" si="2"/>
        <v>0</v>
      </c>
    </row>
    <row r="37" spans="1:29">
      <c r="A37" s="209" t="s">
        <v>95</v>
      </c>
      <c r="B37" s="209" t="s">
        <v>230</v>
      </c>
      <c r="C37" s="209"/>
      <c r="D37" s="209"/>
      <c r="E37" s="209"/>
      <c r="F37" s="209"/>
      <c r="G37" s="209">
        <v>1</v>
      </c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>
        <f t="shared" si="0"/>
        <v>1</v>
      </c>
      <c r="AC37" s="214">
        <f t="shared" si="2"/>
        <v>0</v>
      </c>
    </row>
    <row r="38" spans="1:29">
      <c r="A38" s="209" t="s">
        <v>97</v>
      </c>
      <c r="B38" s="209" t="s">
        <v>231</v>
      </c>
      <c r="C38" s="209"/>
      <c r="D38" s="209"/>
      <c r="E38" s="209"/>
      <c r="F38" s="209"/>
      <c r="G38" s="209">
        <v>1</v>
      </c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>
        <f t="shared" si="0"/>
        <v>1</v>
      </c>
      <c r="AC38" s="214">
        <f t="shared" si="2"/>
        <v>0</v>
      </c>
    </row>
    <row r="39" spans="1:29">
      <c r="A39" s="209" t="s">
        <v>99</v>
      </c>
      <c r="B39" s="209" t="s">
        <v>232</v>
      </c>
      <c r="C39" s="209"/>
      <c r="D39" s="209"/>
      <c r="E39" s="209"/>
      <c r="F39" s="209"/>
      <c r="G39" s="209">
        <v>1</v>
      </c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>
        <f t="shared" si="0"/>
        <v>1</v>
      </c>
      <c r="AC39" s="214">
        <f t="shared" si="2"/>
        <v>0</v>
      </c>
    </row>
    <row r="40" spans="1:29">
      <c r="A40" s="209" t="s">
        <v>101</v>
      </c>
      <c r="B40" s="209" t="s">
        <v>233</v>
      </c>
      <c r="C40" s="209"/>
      <c r="D40" s="209"/>
      <c r="E40" s="209"/>
      <c r="F40" s="209"/>
      <c r="G40" s="209">
        <v>1</v>
      </c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>
        <f t="shared" si="0"/>
        <v>1</v>
      </c>
      <c r="AC40" s="214">
        <f t="shared" si="2"/>
        <v>0</v>
      </c>
    </row>
    <row r="41" spans="1:29">
      <c r="A41" s="209" t="s">
        <v>103</v>
      </c>
      <c r="B41" s="209" t="s">
        <v>234</v>
      </c>
      <c r="C41" s="209"/>
      <c r="D41" s="209"/>
      <c r="E41" s="209"/>
      <c r="F41" s="209"/>
      <c r="G41" s="209">
        <v>1</v>
      </c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>
        <f t="shared" si="0"/>
        <v>1</v>
      </c>
      <c r="AC41" s="214">
        <f t="shared" si="2"/>
        <v>0</v>
      </c>
    </row>
    <row r="42" spans="1:29">
      <c r="A42" s="209" t="s">
        <v>105</v>
      </c>
      <c r="B42" s="209" t="s">
        <v>235</v>
      </c>
      <c r="C42" s="209"/>
      <c r="D42" s="209"/>
      <c r="E42" s="209"/>
      <c r="F42" s="209"/>
      <c r="G42" s="209">
        <v>2</v>
      </c>
      <c r="H42" s="209">
        <v>4</v>
      </c>
      <c r="I42" s="209">
        <v>4</v>
      </c>
      <c r="J42" s="209">
        <v>4</v>
      </c>
      <c r="K42" s="209">
        <v>4</v>
      </c>
      <c r="L42" s="209">
        <v>4</v>
      </c>
      <c r="M42" s="209">
        <v>4</v>
      </c>
      <c r="N42" s="209">
        <v>4</v>
      </c>
      <c r="O42" s="209">
        <v>4</v>
      </c>
      <c r="P42" s="209">
        <v>4</v>
      </c>
      <c r="Q42" s="209">
        <v>4</v>
      </c>
      <c r="R42" s="209">
        <v>4</v>
      </c>
      <c r="S42" s="209">
        <v>4</v>
      </c>
      <c r="T42" s="209">
        <v>4</v>
      </c>
      <c r="U42" s="209">
        <v>4</v>
      </c>
      <c r="V42" s="209">
        <v>4</v>
      </c>
      <c r="W42" s="209">
        <v>4</v>
      </c>
      <c r="X42" s="209"/>
      <c r="Y42" s="209"/>
      <c r="Z42" s="209"/>
      <c r="AA42" s="209"/>
      <c r="AB42" s="209">
        <f t="shared" si="0"/>
        <v>66</v>
      </c>
      <c r="AC42" s="214">
        <f t="shared" si="2"/>
        <v>0</v>
      </c>
    </row>
    <row r="43" spans="1:29">
      <c r="A43" s="209" t="s">
        <v>107</v>
      </c>
      <c r="B43" s="209" t="s">
        <v>236</v>
      </c>
      <c r="C43" s="209"/>
      <c r="D43" s="209"/>
      <c r="E43" s="209"/>
      <c r="F43" s="209"/>
      <c r="G43" s="209">
        <v>2</v>
      </c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>
        <f t="shared" si="0"/>
        <v>2</v>
      </c>
      <c r="AC43" s="214">
        <f t="shared" si="2"/>
        <v>0</v>
      </c>
    </row>
    <row r="44" spans="1:29">
      <c r="A44" s="209" t="s">
        <v>109</v>
      </c>
      <c r="B44" s="209" t="s">
        <v>237</v>
      </c>
      <c r="C44" s="209"/>
      <c r="D44" s="209"/>
      <c r="E44" s="209"/>
      <c r="F44" s="209"/>
      <c r="G44" s="209">
        <v>2</v>
      </c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>
        <f t="shared" si="0"/>
        <v>2</v>
      </c>
      <c r="AC44" s="214">
        <f t="shared" si="2"/>
        <v>0</v>
      </c>
    </row>
    <row r="45" spans="1:29">
      <c r="A45" s="209" t="s">
        <v>111</v>
      </c>
      <c r="B45" s="209" t="s">
        <v>238</v>
      </c>
      <c r="C45" s="209"/>
      <c r="D45" s="209"/>
      <c r="E45" s="209"/>
      <c r="F45" s="209"/>
      <c r="G45" s="209">
        <v>2</v>
      </c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>
        <f t="shared" si="0"/>
        <v>2</v>
      </c>
      <c r="AC45" s="214">
        <f t="shared" si="2"/>
        <v>0</v>
      </c>
    </row>
    <row r="46" spans="1:29">
      <c r="A46" s="209" t="s">
        <v>113</v>
      </c>
      <c r="B46" s="209" t="s">
        <v>239</v>
      </c>
      <c r="C46" s="209"/>
      <c r="D46" s="209"/>
      <c r="E46" s="209"/>
      <c r="F46" s="209"/>
      <c r="G46" s="209">
        <v>1</v>
      </c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>
        <f t="shared" si="0"/>
        <v>1</v>
      </c>
      <c r="AC46" s="214">
        <f t="shared" si="2"/>
        <v>0</v>
      </c>
    </row>
    <row r="47" spans="1:29">
      <c r="A47" s="209" t="s">
        <v>115</v>
      </c>
      <c r="B47" s="209" t="s">
        <v>153</v>
      </c>
      <c r="C47" s="209"/>
      <c r="D47" s="209"/>
      <c r="E47" s="209"/>
      <c r="F47" s="209"/>
      <c r="G47" s="209">
        <v>2</v>
      </c>
      <c r="H47" s="209">
        <v>12</v>
      </c>
      <c r="I47" s="209">
        <v>12</v>
      </c>
      <c r="J47" s="209">
        <v>12</v>
      </c>
      <c r="K47" s="209">
        <v>12</v>
      </c>
      <c r="L47" s="209">
        <v>12</v>
      </c>
      <c r="M47" s="209">
        <v>12</v>
      </c>
      <c r="N47" s="209">
        <v>12</v>
      </c>
      <c r="O47" s="209">
        <v>12</v>
      </c>
      <c r="P47" s="209">
        <v>12</v>
      </c>
      <c r="Q47" s="209">
        <v>12</v>
      </c>
      <c r="R47" s="209">
        <v>12</v>
      </c>
      <c r="S47" s="209">
        <v>12</v>
      </c>
      <c r="T47" s="209">
        <v>12</v>
      </c>
      <c r="U47" s="209">
        <v>12</v>
      </c>
      <c r="V47" s="209">
        <v>12</v>
      </c>
      <c r="W47" s="209">
        <v>12</v>
      </c>
      <c r="X47" s="209"/>
      <c r="Y47" s="209"/>
      <c r="Z47" s="209"/>
      <c r="AA47" s="209"/>
      <c r="AB47" s="209">
        <f t="shared" si="0"/>
        <v>194</v>
      </c>
      <c r="AC47" s="214">
        <f t="shared" si="2"/>
        <v>0</v>
      </c>
    </row>
    <row r="48" s="213" customFormat="1" spans="1:30">
      <c r="A48" s="212" t="s">
        <v>117</v>
      </c>
      <c r="B48" s="212" t="s">
        <v>240</v>
      </c>
      <c r="C48" s="212"/>
      <c r="D48" s="212"/>
      <c r="E48" s="212"/>
      <c r="F48" s="212"/>
      <c r="G48" s="212">
        <v>2</v>
      </c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>
        <f t="shared" si="0"/>
        <v>2</v>
      </c>
      <c r="AC48" s="215">
        <f t="shared" si="2"/>
        <v>0</v>
      </c>
      <c r="AD48" s="213" t="s">
        <v>241</v>
      </c>
    </row>
    <row r="49" spans="1:29">
      <c r="A49" s="209" t="s">
        <v>119</v>
      </c>
      <c r="B49" s="209" t="s">
        <v>242</v>
      </c>
      <c r="C49" s="209"/>
      <c r="D49" s="209"/>
      <c r="E49" s="209"/>
      <c r="F49" s="209"/>
      <c r="G49" s="209">
        <v>2</v>
      </c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>
        <f t="shared" si="0"/>
        <v>2</v>
      </c>
      <c r="AC49" s="214">
        <f t="shared" si="2"/>
        <v>0</v>
      </c>
    </row>
    <row r="50" spans="1:29">
      <c r="A50" s="209" t="s">
        <v>121</v>
      </c>
      <c r="B50" s="209" t="s">
        <v>243</v>
      </c>
      <c r="C50" s="209"/>
      <c r="D50" s="209"/>
      <c r="E50" s="209"/>
      <c r="F50" s="209"/>
      <c r="G50" s="209">
        <v>2</v>
      </c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>
        <f t="shared" si="0"/>
        <v>2</v>
      </c>
      <c r="AC50" s="214">
        <f t="shared" si="2"/>
        <v>0</v>
      </c>
    </row>
    <row r="51" spans="1:29">
      <c r="A51" s="209" t="s">
        <v>123</v>
      </c>
      <c r="B51" s="209" t="s">
        <v>244</v>
      </c>
      <c r="C51" s="209"/>
      <c r="D51" s="209"/>
      <c r="E51" s="209"/>
      <c r="F51" s="209"/>
      <c r="G51" s="209">
        <v>1</v>
      </c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>
        <f t="shared" si="0"/>
        <v>1</v>
      </c>
      <c r="AC51" s="214">
        <f t="shared" si="2"/>
        <v>0</v>
      </c>
    </row>
    <row r="52" spans="1:29">
      <c r="A52" s="209" t="s">
        <v>125</v>
      </c>
      <c r="B52" s="209" t="s">
        <v>245</v>
      </c>
      <c r="C52" s="209"/>
      <c r="D52" s="209"/>
      <c r="E52" s="209"/>
      <c r="F52" s="209"/>
      <c r="G52" s="209">
        <v>3</v>
      </c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>
        <f t="shared" si="0"/>
        <v>3</v>
      </c>
      <c r="AC52" s="214">
        <f t="shared" si="2"/>
        <v>0</v>
      </c>
    </row>
    <row r="53" spans="1:29">
      <c r="A53" s="209" t="s">
        <v>127</v>
      </c>
      <c r="B53" s="209" t="s">
        <v>246</v>
      </c>
      <c r="C53" s="209"/>
      <c r="D53" s="209"/>
      <c r="E53" s="209"/>
      <c r="F53" s="209"/>
      <c r="G53" s="209">
        <v>2</v>
      </c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>
        <f t="shared" si="0"/>
        <v>2</v>
      </c>
      <c r="AC53" s="214">
        <f t="shared" si="2"/>
        <v>0</v>
      </c>
    </row>
    <row r="54" spans="1:29">
      <c r="A54" s="209" t="s">
        <v>129</v>
      </c>
      <c r="B54" s="209" t="s">
        <v>247</v>
      </c>
      <c r="C54" s="209"/>
      <c r="D54" s="209"/>
      <c r="E54" s="209"/>
      <c r="F54" s="209"/>
      <c r="G54" s="209">
        <v>2</v>
      </c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>
        <f t="shared" si="0"/>
        <v>2</v>
      </c>
      <c r="AC54" s="214">
        <f t="shared" si="2"/>
        <v>0</v>
      </c>
    </row>
    <row r="55" spans="1:29">
      <c r="A55" s="209" t="s">
        <v>131</v>
      </c>
      <c r="B55" s="210" t="s">
        <v>34</v>
      </c>
      <c r="C55" s="210"/>
      <c r="D55" s="210"/>
      <c r="E55" s="210"/>
      <c r="F55" s="210"/>
      <c r="G55" s="210">
        <v>3</v>
      </c>
      <c r="H55" s="210">
        <v>4</v>
      </c>
      <c r="I55" s="210">
        <v>4</v>
      </c>
      <c r="J55" s="210">
        <v>4</v>
      </c>
      <c r="K55" s="210">
        <v>4</v>
      </c>
      <c r="L55" s="210">
        <v>4</v>
      </c>
      <c r="M55" s="210">
        <v>4</v>
      </c>
      <c r="N55" s="210">
        <v>4</v>
      </c>
      <c r="O55" s="210">
        <v>4</v>
      </c>
      <c r="P55" s="210">
        <v>4</v>
      </c>
      <c r="Q55" s="210">
        <v>4</v>
      </c>
      <c r="R55" s="210">
        <v>4</v>
      </c>
      <c r="S55" s="210">
        <v>4</v>
      </c>
      <c r="T55" s="210">
        <v>4</v>
      </c>
      <c r="U55" s="210">
        <v>4</v>
      </c>
      <c r="V55" s="210">
        <v>4</v>
      </c>
      <c r="W55" s="210">
        <v>4</v>
      </c>
      <c r="X55" s="210"/>
      <c r="Y55" s="210"/>
      <c r="Z55" s="210"/>
      <c r="AA55" s="210"/>
      <c r="AB55" s="209">
        <f t="shared" si="0"/>
        <v>67</v>
      </c>
      <c r="AC55" s="216">
        <f t="shared" si="2"/>
        <v>0</v>
      </c>
    </row>
    <row r="56" spans="1:29">
      <c r="A56" s="209" t="s">
        <v>133</v>
      </c>
      <c r="B56" s="209" t="s">
        <v>248</v>
      </c>
      <c r="C56" s="209"/>
      <c r="D56" s="209"/>
      <c r="E56" s="209"/>
      <c r="F56" s="209"/>
      <c r="G56" s="209">
        <v>2</v>
      </c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>
        <f t="shared" si="0"/>
        <v>2</v>
      </c>
      <c r="AC56" s="214">
        <f t="shared" si="2"/>
        <v>0</v>
      </c>
    </row>
    <row r="57" spans="1:29">
      <c r="A57" s="209" t="s">
        <v>135</v>
      </c>
      <c r="B57" s="209" t="s">
        <v>249</v>
      </c>
      <c r="C57" s="209"/>
      <c r="D57" s="209"/>
      <c r="E57" s="209"/>
      <c r="F57" s="209"/>
      <c r="G57" s="209">
        <v>3</v>
      </c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>
        <f t="shared" si="0"/>
        <v>3</v>
      </c>
      <c r="AC57" s="214">
        <f t="shared" si="2"/>
        <v>0</v>
      </c>
    </row>
    <row r="58" spans="1:29">
      <c r="A58" s="209" t="s">
        <v>137</v>
      </c>
      <c r="B58" s="209" t="s">
        <v>92</v>
      </c>
      <c r="C58" s="209"/>
      <c r="D58" s="209"/>
      <c r="E58" s="209"/>
      <c r="F58" s="209"/>
      <c r="G58" s="209">
        <v>2</v>
      </c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>
        <f t="shared" si="0"/>
        <v>2</v>
      </c>
      <c r="AC58" s="214">
        <f t="shared" si="2"/>
        <v>0</v>
      </c>
    </row>
    <row r="59" spans="1:29">
      <c r="A59" s="209" t="s">
        <v>138</v>
      </c>
      <c r="B59" s="209" t="s">
        <v>250</v>
      </c>
      <c r="C59" s="209"/>
      <c r="D59" s="209"/>
      <c r="E59" s="209"/>
      <c r="F59" s="209"/>
      <c r="G59" s="209">
        <v>2</v>
      </c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>
        <f t="shared" si="0"/>
        <v>2</v>
      </c>
      <c r="AC59" s="214">
        <f t="shared" si="2"/>
        <v>0</v>
      </c>
    </row>
    <row r="60" spans="1:29">
      <c r="A60" s="209" t="s">
        <v>140</v>
      </c>
      <c r="B60" s="209" t="s">
        <v>102</v>
      </c>
      <c r="C60" s="209"/>
      <c r="D60" s="209"/>
      <c r="E60" s="209"/>
      <c r="F60" s="209"/>
      <c r="G60" s="209">
        <v>1</v>
      </c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>
        <f t="shared" si="0"/>
        <v>1</v>
      </c>
      <c r="AC60" s="214">
        <f t="shared" si="2"/>
        <v>0</v>
      </c>
    </row>
    <row r="61" spans="1:29">
      <c r="A61" s="209" t="s">
        <v>142</v>
      </c>
      <c r="B61" s="209" t="s">
        <v>251</v>
      </c>
      <c r="C61" s="209"/>
      <c r="D61" s="209"/>
      <c r="E61" s="209"/>
      <c r="F61" s="209"/>
      <c r="G61" s="209">
        <v>1</v>
      </c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>
        <f t="shared" si="0"/>
        <v>1</v>
      </c>
      <c r="AC61" s="214">
        <f t="shared" si="2"/>
        <v>0</v>
      </c>
    </row>
    <row r="62" spans="1:29">
      <c r="A62" s="209" t="s">
        <v>144</v>
      </c>
      <c r="B62" s="209" t="s">
        <v>252</v>
      </c>
      <c r="C62" s="209"/>
      <c r="D62" s="209"/>
      <c r="E62" s="209"/>
      <c r="F62" s="209"/>
      <c r="G62" s="209"/>
      <c r="H62" s="209">
        <v>2</v>
      </c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>
        <f t="shared" si="0"/>
        <v>2</v>
      </c>
      <c r="AC62" s="214">
        <f t="shared" si="2"/>
        <v>0</v>
      </c>
    </row>
    <row r="63" spans="1:29">
      <c r="A63" s="209" t="s">
        <v>146</v>
      </c>
      <c r="B63" s="209" t="s">
        <v>141</v>
      </c>
      <c r="C63" s="209"/>
      <c r="D63" s="209"/>
      <c r="E63" s="209"/>
      <c r="F63" s="209"/>
      <c r="G63" s="209"/>
      <c r="H63" s="209">
        <v>2</v>
      </c>
      <c r="I63" s="209">
        <v>2</v>
      </c>
      <c r="J63" s="209">
        <v>2</v>
      </c>
      <c r="K63" s="209">
        <v>2</v>
      </c>
      <c r="L63" s="209">
        <v>2</v>
      </c>
      <c r="M63" s="209">
        <v>2</v>
      </c>
      <c r="N63" s="209">
        <v>2</v>
      </c>
      <c r="O63" s="209">
        <v>2</v>
      </c>
      <c r="P63" s="209">
        <v>2</v>
      </c>
      <c r="Q63" s="209">
        <v>2</v>
      </c>
      <c r="R63" s="209">
        <v>2</v>
      </c>
      <c r="S63" s="209">
        <v>2</v>
      </c>
      <c r="T63" s="209">
        <v>2</v>
      </c>
      <c r="U63" s="209">
        <v>2</v>
      </c>
      <c r="V63" s="209">
        <v>2</v>
      </c>
      <c r="W63" s="209">
        <v>2</v>
      </c>
      <c r="X63" s="209"/>
      <c r="Y63" s="209"/>
      <c r="Z63" s="209"/>
      <c r="AA63" s="209"/>
      <c r="AB63" s="209">
        <f t="shared" si="0"/>
        <v>32</v>
      </c>
      <c r="AC63" s="214">
        <f t="shared" si="2"/>
        <v>0</v>
      </c>
    </row>
    <row r="64" spans="1:29">
      <c r="A64" s="209" t="s">
        <v>148</v>
      </c>
      <c r="B64" s="209" t="s">
        <v>253</v>
      </c>
      <c r="C64" s="209"/>
      <c r="D64" s="209"/>
      <c r="E64" s="209"/>
      <c r="F64" s="209"/>
      <c r="G64" s="209"/>
      <c r="H64" s="209">
        <v>6</v>
      </c>
      <c r="I64" s="209">
        <v>6</v>
      </c>
      <c r="J64" s="209">
        <v>6</v>
      </c>
      <c r="K64" s="209">
        <v>6</v>
      </c>
      <c r="L64" s="209">
        <v>6</v>
      </c>
      <c r="M64" s="209">
        <v>6</v>
      </c>
      <c r="N64" s="209">
        <v>6</v>
      </c>
      <c r="O64" s="209">
        <v>6</v>
      </c>
      <c r="P64" s="209">
        <v>6</v>
      </c>
      <c r="Q64" s="209">
        <v>6</v>
      </c>
      <c r="R64" s="209">
        <v>6</v>
      </c>
      <c r="S64" s="209">
        <v>6</v>
      </c>
      <c r="T64" s="209">
        <v>6</v>
      </c>
      <c r="U64" s="209">
        <v>6</v>
      </c>
      <c r="V64" s="209">
        <v>6</v>
      </c>
      <c r="W64" s="209">
        <v>6</v>
      </c>
      <c r="X64" s="209"/>
      <c r="Y64" s="209"/>
      <c r="Z64" s="209"/>
      <c r="AA64" s="209"/>
      <c r="AB64" s="209">
        <f t="shared" si="0"/>
        <v>96</v>
      </c>
      <c r="AC64" s="214">
        <f t="shared" si="2"/>
        <v>0</v>
      </c>
    </row>
    <row r="65" spans="1:29">
      <c r="A65" s="209" t="s">
        <v>150</v>
      </c>
      <c r="B65" s="209" t="s">
        <v>254</v>
      </c>
      <c r="C65" s="209"/>
      <c r="D65" s="209"/>
      <c r="E65" s="209"/>
      <c r="F65" s="209"/>
      <c r="G65" s="209"/>
      <c r="H65" s="209">
        <v>2</v>
      </c>
      <c r="I65" s="209">
        <v>2</v>
      </c>
      <c r="J65" s="209">
        <v>2</v>
      </c>
      <c r="K65" s="209">
        <v>2</v>
      </c>
      <c r="L65" s="209">
        <v>6</v>
      </c>
      <c r="M65" s="209">
        <v>6</v>
      </c>
      <c r="N65" s="209">
        <v>6</v>
      </c>
      <c r="O65" s="209">
        <v>6</v>
      </c>
      <c r="P65" s="209">
        <v>6</v>
      </c>
      <c r="Q65" s="209">
        <v>6</v>
      </c>
      <c r="R65" s="209">
        <v>6</v>
      </c>
      <c r="S65" s="209">
        <v>6</v>
      </c>
      <c r="T65" s="209">
        <v>6</v>
      </c>
      <c r="U65" s="209">
        <v>6</v>
      </c>
      <c r="V65" s="209">
        <v>6</v>
      </c>
      <c r="W65" s="209">
        <v>6</v>
      </c>
      <c r="X65" s="209"/>
      <c r="Y65" s="209"/>
      <c r="Z65" s="209"/>
      <c r="AA65" s="209"/>
      <c r="AB65" s="209">
        <f t="shared" si="0"/>
        <v>80</v>
      </c>
      <c r="AC65" s="214">
        <f t="shared" ref="AC65:AC84" si="3">C65*D65*AB65/1000000</f>
        <v>0</v>
      </c>
    </row>
    <row r="66" spans="1:29">
      <c r="A66" s="209" t="s">
        <v>152</v>
      </c>
      <c r="B66" s="209" t="s">
        <v>143</v>
      </c>
      <c r="C66" s="209"/>
      <c r="D66" s="209"/>
      <c r="E66" s="209"/>
      <c r="F66" s="209"/>
      <c r="G66" s="209"/>
      <c r="H66" s="209">
        <v>10</v>
      </c>
      <c r="I66" s="209">
        <v>10</v>
      </c>
      <c r="J66" s="209">
        <v>10</v>
      </c>
      <c r="K66" s="209">
        <v>10</v>
      </c>
      <c r="L66" s="209">
        <v>9</v>
      </c>
      <c r="M66" s="209">
        <v>9</v>
      </c>
      <c r="N66" s="209">
        <v>9</v>
      </c>
      <c r="O66" s="209">
        <v>9</v>
      </c>
      <c r="P66" s="209">
        <v>9</v>
      </c>
      <c r="Q66" s="209">
        <v>9</v>
      </c>
      <c r="R66" s="209">
        <v>9</v>
      </c>
      <c r="S66" s="209">
        <v>9</v>
      </c>
      <c r="T66" s="209">
        <v>9</v>
      </c>
      <c r="U66" s="209">
        <v>9</v>
      </c>
      <c r="V66" s="209">
        <v>9</v>
      </c>
      <c r="W66" s="209">
        <v>9</v>
      </c>
      <c r="X66" s="209"/>
      <c r="Y66" s="209"/>
      <c r="Z66" s="209"/>
      <c r="AA66" s="209"/>
      <c r="AB66" s="209">
        <f t="shared" si="0"/>
        <v>148</v>
      </c>
      <c r="AC66" s="214">
        <f t="shared" si="3"/>
        <v>0</v>
      </c>
    </row>
    <row r="67" spans="1:29">
      <c r="A67" s="209" t="s">
        <v>154</v>
      </c>
      <c r="B67" s="209" t="s">
        <v>145</v>
      </c>
      <c r="C67" s="209"/>
      <c r="D67" s="209"/>
      <c r="E67" s="209"/>
      <c r="F67" s="209"/>
      <c r="G67" s="209"/>
      <c r="H67" s="209">
        <v>6</v>
      </c>
      <c r="I67" s="209">
        <v>6</v>
      </c>
      <c r="J67" s="209">
        <v>6</v>
      </c>
      <c r="K67" s="209">
        <v>6</v>
      </c>
      <c r="L67" s="209">
        <v>6</v>
      </c>
      <c r="M67" s="209">
        <v>6</v>
      </c>
      <c r="N67" s="209">
        <v>6</v>
      </c>
      <c r="O67" s="209">
        <v>6</v>
      </c>
      <c r="P67" s="209">
        <v>6</v>
      </c>
      <c r="Q67" s="209">
        <v>6</v>
      </c>
      <c r="R67" s="209">
        <v>6</v>
      </c>
      <c r="S67" s="209">
        <v>6</v>
      </c>
      <c r="T67" s="209">
        <v>6</v>
      </c>
      <c r="U67" s="209">
        <v>6</v>
      </c>
      <c r="V67" s="209">
        <v>6</v>
      </c>
      <c r="W67" s="209">
        <v>6</v>
      </c>
      <c r="X67" s="209"/>
      <c r="Y67" s="209"/>
      <c r="Z67" s="209"/>
      <c r="AA67" s="209"/>
      <c r="AB67" s="209">
        <f t="shared" ref="AB67:AB86" si="4">SUM(E67:AA67)</f>
        <v>96</v>
      </c>
      <c r="AC67" s="214">
        <f t="shared" si="3"/>
        <v>0</v>
      </c>
    </row>
    <row r="68" spans="1:29">
      <c r="A68" s="209" t="s">
        <v>156</v>
      </c>
      <c r="B68" s="209" t="s">
        <v>151</v>
      </c>
      <c r="C68" s="209"/>
      <c r="D68" s="209"/>
      <c r="E68" s="209"/>
      <c r="F68" s="209"/>
      <c r="G68" s="209"/>
      <c r="H68" s="209">
        <v>6</v>
      </c>
      <c r="I68" s="209">
        <v>6</v>
      </c>
      <c r="J68" s="209">
        <v>6</v>
      </c>
      <c r="K68" s="209">
        <v>6</v>
      </c>
      <c r="L68" s="209">
        <v>6</v>
      </c>
      <c r="M68" s="209">
        <v>6</v>
      </c>
      <c r="N68" s="209">
        <v>6</v>
      </c>
      <c r="O68" s="209">
        <v>6</v>
      </c>
      <c r="P68" s="209">
        <v>6</v>
      </c>
      <c r="Q68" s="209">
        <v>6</v>
      </c>
      <c r="R68" s="209">
        <v>6</v>
      </c>
      <c r="S68" s="209">
        <v>6</v>
      </c>
      <c r="T68" s="209">
        <v>6</v>
      </c>
      <c r="U68" s="209">
        <v>6</v>
      </c>
      <c r="V68" s="209">
        <v>6</v>
      </c>
      <c r="W68" s="209">
        <v>6</v>
      </c>
      <c r="X68" s="209"/>
      <c r="Y68" s="209"/>
      <c r="Z68" s="209"/>
      <c r="AA68" s="209"/>
      <c r="AB68" s="209">
        <f t="shared" si="4"/>
        <v>96</v>
      </c>
      <c r="AC68" s="214">
        <f t="shared" si="3"/>
        <v>0</v>
      </c>
    </row>
    <row r="69" spans="1:29">
      <c r="A69" s="209" t="s">
        <v>158</v>
      </c>
      <c r="B69" s="209" t="s">
        <v>255</v>
      </c>
      <c r="C69" s="209"/>
      <c r="D69" s="209"/>
      <c r="E69" s="209"/>
      <c r="F69" s="209"/>
      <c r="G69" s="209"/>
      <c r="H69" s="209">
        <v>3</v>
      </c>
      <c r="I69" s="209">
        <v>4</v>
      </c>
      <c r="J69" s="209">
        <v>4</v>
      </c>
      <c r="K69" s="209">
        <v>4</v>
      </c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>
        <f t="shared" si="4"/>
        <v>15</v>
      </c>
      <c r="AC69" s="214">
        <f t="shared" si="3"/>
        <v>0</v>
      </c>
    </row>
    <row r="70" spans="1:29">
      <c r="A70" s="209" t="s">
        <v>160</v>
      </c>
      <c r="B70" s="209" t="s">
        <v>256</v>
      </c>
      <c r="C70" s="209"/>
      <c r="D70" s="209"/>
      <c r="E70" s="209"/>
      <c r="F70" s="209"/>
      <c r="G70" s="209"/>
      <c r="H70" s="209">
        <v>2</v>
      </c>
      <c r="I70" s="209">
        <v>2</v>
      </c>
      <c r="J70" s="209">
        <v>2</v>
      </c>
      <c r="K70" s="209">
        <v>2</v>
      </c>
      <c r="L70" s="209">
        <v>2</v>
      </c>
      <c r="M70" s="209">
        <v>2</v>
      </c>
      <c r="N70" s="209">
        <v>2</v>
      </c>
      <c r="O70" s="209">
        <v>2</v>
      </c>
      <c r="P70" s="209">
        <v>2</v>
      </c>
      <c r="Q70" s="209">
        <v>2</v>
      </c>
      <c r="R70" s="209">
        <v>2</v>
      </c>
      <c r="S70" s="209">
        <v>2</v>
      </c>
      <c r="T70" s="209">
        <v>2</v>
      </c>
      <c r="U70" s="209">
        <v>2</v>
      </c>
      <c r="V70" s="209">
        <v>2</v>
      </c>
      <c r="W70" s="209">
        <v>2</v>
      </c>
      <c r="X70" s="209"/>
      <c r="Y70" s="209"/>
      <c r="Z70" s="209"/>
      <c r="AA70" s="209"/>
      <c r="AB70" s="209">
        <f t="shared" si="4"/>
        <v>32</v>
      </c>
      <c r="AC70" s="214">
        <f t="shared" si="3"/>
        <v>0</v>
      </c>
    </row>
    <row r="71" spans="1:29">
      <c r="A71" s="209" t="s">
        <v>162</v>
      </c>
      <c r="B71" s="209" t="s">
        <v>257</v>
      </c>
      <c r="C71" s="209"/>
      <c r="D71" s="209"/>
      <c r="E71" s="209"/>
      <c r="F71" s="209"/>
      <c r="G71" s="209"/>
      <c r="H71" s="209">
        <v>2</v>
      </c>
      <c r="I71" s="209">
        <v>2</v>
      </c>
      <c r="J71" s="209">
        <v>2</v>
      </c>
      <c r="K71" s="209">
        <v>2</v>
      </c>
      <c r="L71" s="209">
        <v>2</v>
      </c>
      <c r="M71" s="209">
        <v>2</v>
      </c>
      <c r="N71" s="209">
        <v>2</v>
      </c>
      <c r="O71" s="209">
        <v>2</v>
      </c>
      <c r="P71" s="209">
        <v>2</v>
      </c>
      <c r="Q71" s="209">
        <v>2</v>
      </c>
      <c r="R71" s="209">
        <v>2</v>
      </c>
      <c r="S71" s="209">
        <v>2</v>
      </c>
      <c r="T71" s="209">
        <v>2</v>
      </c>
      <c r="U71" s="209">
        <v>2</v>
      </c>
      <c r="V71" s="209">
        <v>2</v>
      </c>
      <c r="W71" s="209">
        <v>2</v>
      </c>
      <c r="X71" s="209"/>
      <c r="Y71" s="209"/>
      <c r="Z71" s="209"/>
      <c r="AA71" s="209"/>
      <c r="AB71" s="209">
        <f t="shared" si="4"/>
        <v>32</v>
      </c>
      <c r="AC71" s="214">
        <f t="shared" si="3"/>
        <v>0</v>
      </c>
    </row>
    <row r="72" spans="1:29">
      <c r="A72" s="209" t="s">
        <v>164</v>
      </c>
      <c r="B72" s="209" t="s">
        <v>258</v>
      </c>
      <c r="C72" s="209"/>
      <c r="D72" s="209"/>
      <c r="E72" s="209"/>
      <c r="F72" s="209"/>
      <c r="G72" s="209"/>
      <c r="H72" s="209">
        <v>2</v>
      </c>
      <c r="I72" s="209">
        <v>2</v>
      </c>
      <c r="J72" s="209">
        <v>2</v>
      </c>
      <c r="K72" s="209">
        <v>2</v>
      </c>
      <c r="L72" s="209">
        <v>2</v>
      </c>
      <c r="M72" s="209">
        <v>2</v>
      </c>
      <c r="N72" s="209">
        <v>2</v>
      </c>
      <c r="O72" s="209">
        <v>2</v>
      </c>
      <c r="P72" s="209">
        <v>2</v>
      </c>
      <c r="Q72" s="209">
        <v>2</v>
      </c>
      <c r="R72" s="209">
        <v>2</v>
      </c>
      <c r="S72" s="209">
        <v>2</v>
      </c>
      <c r="T72" s="209">
        <v>2</v>
      </c>
      <c r="U72" s="209">
        <v>2</v>
      </c>
      <c r="V72" s="209">
        <v>2</v>
      </c>
      <c r="W72" s="209">
        <v>2</v>
      </c>
      <c r="X72" s="209"/>
      <c r="Y72" s="209"/>
      <c r="Z72" s="209"/>
      <c r="AA72" s="209"/>
      <c r="AB72" s="209">
        <f t="shared" si="4"/>
        <v>32</v>
      </c>
      <c r="AC72" s="214">
        <f t="shared" si="3"/>
        <v>0</v>
      </c>
    </row>
    <row r="73" spans="1:29">
      <c r="A73" s="209" t="s">
        <v>166</v>
      </c>
      <c r="B73" s="209" t="s">
        <v>259</v>
      </c>
      <c r="C73" s="209"/>
      <c r="D73" s="209"/>
      <c r="E73" s="209"/>
      <c r="F73" s="209"/>
      <c r="G73" s="209"/>
      <c r="H73" s="209">
        <v>3</v>
      </c>
      <c r="I73" s="209">
        <v>3</v>
      </c>
      <c r="J73" s="209">
        <v>3</v>
      </c>
      <c r="K73" s="209">
        <v>3</v>
      </c>
      <c r="L73" s="209">
        <v>3</v>
      </c>
      <c r="M73" s="209">
        <v>3</v>
      </c>
      <c r="N73" s="209">
        <v>3</v>
      </c>
      <c r="O73" s="209">
        <v>3</v>
      </c>
      <c r="P73" s="209">
        <v>3</v>
      </c>
      <c r="Q73" s="209">
        <v>3</v>
      </c>
      <c r="R73" s="209">
        <v>3</v>
      </c>
      <c r="S73" s="209">
        <v>3</v>
      </c>
      <c r="T73" s="209">
        <v>3</v>
      </c>
      <c r="U73" s="209">
        <v>3</v>
      </c>
      <c r="V73" s="209">
        <v>3</v>
      </c>
      <c r="W73" s="209">
        <v>3</v>
      </c>
      <c r="X73" s="209"/>
      <c r="Y73" s="209"/>
      <c r="Z73" s="209"/>
      <c r="AA73" s="209"/>
      <c r="AB73" s="209">
        <f t="shared" si="4"/>
        <v>48</v>
      </c>
      <c r="AC73" s="214">
        <f t="shared" si="3"/>
        <v>0</v>
      </c>
    </row>
    <row r="74" spans="1:29">
      <c r="A74" s="209" t="s">
        <v>168</v>
      </c>
      <c r="B74" s="209" t="s">
        <v>260</v>
      </c>
      <c r="C74" s="209"/>
      <c r="D74" s="209"/>
      <c r="E74" s="209"/>
      <c r="F74" s="209"/>
      <c r="G74" s="209"/>
      <c r="H74" s="209">
        <v>3</v>
      </c>
      <c r="I74" s="209">
        <v>2</v>
      </c>
      <c r="J74" s="209">
        <v>2</v>
      </c>
      <c r="K74" s="209">
        <v>2</v>
      </c>
      <c r="L74" s="209">
        <v>6</v>
      </c>
      <c r="M74" s="209">
        <v>6</v>
      </c>
      <c r="N74" s="209">
        <v>6</v>
      </c>
      <c r="O74" s="209">
        <v>6</v>
      </c>
      <c r="P74" s="209">
        <v>6</v>
      </c>
      <c r="Q74" s="209">
        <v>6</v>
      </c>
      <c r="R74" s="209">
        <v>6</v>
      </c>
      <c r="S74" s="209">
        <v>6</v>
      </c>
      <c r="T74" s="209">
        <v>6</v>
      </c>
      <c r="U74" s="209">
        <v>6</v>
      </c>
      <c r="V74" s="209">
        <v>6</v>
      </c>
      <c r="W74" s="209">
        <v>6</v>
      </c>
      <c r="X74" s="209"/>
      <c r="Y74" s="209"/>
      <c r="Z74" s="209"/>
      <c r="AA74" s="209"/>
      <c r="AB74" s="209">
        <f t="shared" si="4"/>
        <v>81</v>
      </c>
      <c r="AC74" s="214">
        <f t="shared" si="3"/>
        <v>0</v>
      </c>
    </row>
    <row r="75" spans="1:29">
      <c r="A75" s="209" t="s">
        <v>170</v>
      </c>
      <c r="B75" s="209" t="s">
        <v>261</v>
      </c>
      <c r="C75" s="209"/>
      <c r="D75" s="209"/>
      <c r="E75" s="209"/>
      <c r="F75" s="209"/>
      <c r="G75" s="209"/>
      <c r="H75" s="209">
        <v>4</v>
      </c>
      <c r="I75" s="209">
        <v>4</v>
      </c>
      <c r="J75" s="209">
        <v>4</v>
      </c>
      <c r="K75" s="209">
        <v>4</v>
      </c>
      <c r="L75" s="209">
        <v>4</v>
      </c>
      <c r="M75" s="209">
        <v>4</v>
      </c>
      <c r="N75" s="209">
        <v>4</v>
      </c>
      <c r="O75" s="209">
        <v>4</v>
      </c>
      <c r="P75" s="209">
        <v>4</v>
      </c>
      <c r="Q75" s="209">
        <v>4</v>
      </c>
      <c r="R75" s="209">
        <v>4</v>
      </c>
      <c r="S75" s="209">
        <v>4</v>
      </c>
      <c r="T75" s="209">
        <v>4</v>
      </c>
      <c r="U75" s="209">
        <v>4</v>
      </c>
      <c r="V75" s="209">
        <v>4</v>
      </c>
      <c r="W75" s="209">
        <v>4</v>
      </c>
      <c r="X75" s="209"/>
      <c r="Y75" s="209"/>
      <c r="Z75" s="209"/>
      <c r="AA75" s="209"/>
      <c r="AB75" s="209">
        <f t="shared" si="4"/>
        <v>64</v>
      </c>
      <c r="AC75" s="214">
        <f t="shared" si="3"/>
        <v>0</v>
      </c>
    </row>
    <row r="76" spans="1:29">
      <c r="A76" s="209" t="s">
        <v>172</v>
      </c>
      <c r="B76" s="209" t="s">
        <v>179</v>
      </c>
      <c r="C76" s="209"/>
      <c r="D76" s="209"/>
      <c r="E76" s="209"/>
      <c r="F76" s="209"/>
      <c r="G76" s="209"/>
      <c r="H76" s="209"/>
      <c r="I76" s="209">
        <v>2</v>
      </c>
      <c r="J76" s="209">
        <v>2</v>
      </c>
      <c r="K76" s="209">
        <v>2</v>
      </c>
      <c r="L76" s="209">
        <v>2</v>
      </c>
      <c r="M76" s="209">
        <v>2</v>
      </c>
      <c r="N76" s="209">
        <v>2</v>
      </c>
      <c r="O76" s="209">
        <v>2</v>
      </c>
      <c r="P76" s="209">
        <v>2</v>
      </c>
      <c r="Q76" s="209">
        <v>2</v>
      </c>
      <c r="R76" s="209">
        <v>2</v>
      </c>
      <c r="S76" s="209">
        <v>2</v>
      </c>
      <c r="T76" s="209">
        <v>2</v>
      </c>
      <c r="U76" s="209">
        <v>2</v>
      </c>
      <c r="V76" s="209">
        <v>2</v>
      </c>
      <c r="W76" s="209">
        <v>2</v>
      </c>
      <c r="X76" s="209"/>
      <c r="Y76" s="209"/>
      <c r="Z76" s="209"/>
      <c r="AA76" s="209"/>
      <c r="AB76" s="209">
        <f t="shared" si="4"/>
        <v>30</v>
      </c>
      <c r="AC76" s="214">
        <f t="shared" si="3"/>
        <v>0</v>
      </c>
    </row>
    <row r="77" spans="1:29">
      <c r="A77" s="209" t="s">
        <v>174</v>
      </c>
      <c r="B77" s="209" t="s">
        <v>262</v>
      </c>
      <c r="C77" s="209"/>
      <c r="D77" s="209"/>
      <c r="E77" s="209"/>
      <c r="F77" s="209"/>
      <c r="G77" s="209"/>
      <c r="H77" s="209"/>
      <c r="I77" s="209">
        <v>4</v>
      </c>
      <c r="J77" s="209">
        <v>4</v>
      </c>
      <c r="K77" s="209">
        <v>4</v>
      </c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>
        <f t="shared" si="4"/>
        <v>12</v>
      </c>
      <c r="AC77" s="214">
        <f t="shared" si="3"/>
        <v>0</v>
      </c>
    </row>
    <row r="78" spans="1:29">
      <c r="A78" s="209" t="s">
        <v>176</v>
      </c>
      <c r="B78" s="209" t="s">
        <v>147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>
        <v>1</v>
      </c>
      <c r="M78" s="209">
        <v>1</v>
      </c>
      <c r="N78" s="209">
        <v>1</v>
      </c>
      <c r="O78" s="209">
        <v>1</v>
      </c>
      <c r="P78" s="209">
        <v>1</v>
      </c>
      <c r="Q78" s="209">
        <v>1</v>
      </c>
      <c r="R78" s="209">
        <v>1</v>
      </c>
      <c r="S78" s="209">
        <v>1</v>
      </c>
      <c r="T78" s="209">
        <v>1</v>
      </c>
      <c r="U78" s="209">
        <v>1</v>
      </c>
      <c r="V78" s="209">
        <v>1</v>
      </c>
      <c r="W78" s="209">
        <v>1</v>
      </c>
      <c r="X78" s="209"/>
      <c r="Y78" s="209"/>
      <c r="Z78" s="209"/>
      <c r="AA78" s="209"/>
      <c r="AB78" s="209">
        <f t="shared" si="4"/>
        <v>12</v>
      </c>
      <c r="AC78" s="214">
        <f t="shared" si="3"/>
        <v>0</v>
      </c>
    </row>
    <row r="79" spans="1:29">
      <c r="A79" s="209" t="s">
        <v>178</v>
      </c>
      <c r="B79" s="209" t="s">
        <v>191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>
        <v>6</v>
      </c>
      <c r="AB79" s="209">
        <f t="shared" si="4"/>
        <v>6</v>
      </c>
      <c r="AC79" s="214">
        <f t="shared" si="3"/>
        <v>0</v>
      </c>
    </row>
    <row r="80" spans="1:29">
      <c r="A80" s="209" t="s">
        <v>180</v>
      </c>
      <c r="B80" s="209" t="s">
        <v>263</v>
      </c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>
        <v>3</v>
      </c>
      <c r="AB80" s="209">
        <f t="shared" si="4"/>
        <v>3</v>
      </c>
      <c r="AC80" s="214">
        <f t="shared" si="3"/>
        <v>0</v>
      </c>
    </row>
    <row r="81" spans="1:29">
      <c r="A81" s="209" t="s">
        <v>182</v>
      </c>
      <c r="B81" s="209" t="s">
        <v>264</v>
      </c>
      <c r="C81" s="209"/>
      <c r="D81" s="209"/>
      <c r="E81" s="209"/>
      <c r="F81" s="209"/>
      <c r="G81" s="209">
        <v>3</v>
      </c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>
        <f t="shared" si="4"/>
        <v>3</v>
      </c>
      <c r="AC81" s="214">
        <f t="shared" si="3"/>
        <v>0</v>
      </c>
    </row>
    <row r="82" spans="1:29">
      <c r="A82" s="209" t="s">
        <v>184</v>
      </c>
      <c r="B82" s="209" t="s">
        <v>265</v>
      </c>
      <c r="C82" s="209"/>
      <c r="D82" s="209"/>
      <c r="E82" s="209"/>
      <c r="F82" s="209">
        <v>1</v>
      </c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>
        <f t="shared" si="4"/>
        <v>1</v>
      </c>
      <c r="AC82" s="214">
        <f t="shared" si="3"/>
        <v>0</v>
      </c>
    </row>
    <row r="83" spans="1:29">
      <c r="A83" s="209" t="s">
        <v>186</v>
      </c>
      <c r="B83" s="209" t="s">
        <v>266</v>
      </c>
      <c r="C83" s="209"/>
      <c r="D83" s="209"/>
      <c r="E83" s="209"/>
      <c r="F83" s="209"/>
      <c r="G83" s="209">
        <v>2</v>
      </c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>
        <f t="shared" si="4"/>
        <v>2</v>
      </c>
      <c r="AC83" s="209">
        <f t="shared" si="3"/>
        <v>0</v>
      </c>
    </row>
    <row r="84" spans="1:29">
      <c r="A84" s="209" t="s">
        <v>188</v>
      </c>
      <c r="B84" s="209" t="s">
        <v>267</v>
      </c>
      <c r="C84" s="209"/>
      <c r="D84" s="209"/>
      <c r="E84" s="209"/>
      <c r="F84" s="209"/>
      <c r="G84" s="209">
        <v>2</v>
      </c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>
        <f t="shared" si="4"/>
        <v>2</v>
      </c>
      <c r="AC84" s="209">
        <f t="shared" si="3"/>
        <v>0</v>
      </c>
    </row>
    <row r="85" spans="1:29">
      <c r="A85" s="209" t="s">
        <v>190</v>
      </c>
      <c r="B85" s="209" t="s">
        <v>268</v>
      </c>
      <c r="C85" s="209"/>
      <c r="D85" s="209"/>
      <c r="E85" s="209"/>
      <c r="F85" s="209">
        <v>9</v>
      </c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>
        <f t="shared" si="4"/>
        <v>9</v>
      </c>
      <c r="AC85" s="209"/>
    </row>
    <row r="86" spans="1:29">
      <c r="A86" s="209" t="s">
        <v>192</v>
      </c>
      <c r="B86" s="209" t="s">
        <v>269</v>
      </c>
      <c r="C86" s="209"/>
      <c r="D86" s="209"/>
      <c r="E86" s="209"/>
      <c r="F86" s="209">
        <v>5</v>
      </c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>
        <f t="shared" si="4"/>
        <v>5</v>
      </c>
      <c r="AC86" s="209"/>
    </row>
    <row r="87" spans="28:28">
      <c r="AB87" s="217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208" t="s">
        <v>270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</row>
    <row r="2" spans="1:29">
      <c r="A2" s="209" t="s">
        <v>1</v>
      </c>
      <c r="B2" s="209" t="s">
        <v>2</v>
      </c>
      <c r="C2" s="209" t="s">
        <v>3</v>
      </c>
      <c r="D2" s="209" t="s">
        <v>4</v>
      </c>
      <c r="E2" s="209" t="s">
        <v>5</v>
      </c>
      <c r="F2" s="209" t="s">
        <v>6</v>
      </c>
      <c r="G2" s="209" t="s">
        <v>7</v>
      </c>
      <c r="H2" s="209" t="s">
        <v>8</v>
      </c>
      <c r="I2" s="209" t="s">
        <v>9</v>
      </c>
      <c r="J2" s="209" t="s">
        <v>10</v>
      </c>
      <c r="K2" s="209" t="s">
        <v>11</v>
      </c>
      <c r="L2" s="209" t="s">
        <v>12</v>
      </c>
      <c r="M2" s="209" t="s">
        <v>13</v>
      </c>
      <c r="N2" s="209" t="s">
        <v>14</v>
      </c>
      <c r="O2" s="209" t="s">
        <v>15</v>
      </c>
      <c r="P2" s="209" t="s">
        <v>16</v>
      </c>
      <c r="Q2" s="209" t="s">
        <v>17</v>
      </c>
      <c r="R2" s="209" t="s">
        <v>18</v>
      </c>
      <c r="S2" s="209" t="s">
        <v>19</v>
      </c>
      <c r="T2" s="209" t="s">
        <v>20</v>
      </c>
      <c r="U2" s="209" t="s">
        <v>21</v>
      </c>
      <c r="V2" s="209" t="s">
        <v>22</v>
      </c>
      <c r="W2" s="209" t="s">
        <v>23</v>
      </c>
      <c r="X2" s="209" t="s">
        <v>24</v>
      </c>
      <c r="Y2" s="209" t="s">
        <v>25</v>
      </c>
      <c r="Z2" s="209" t="s">
        <v>26</v>
      </c>
      <c r="AA2" s="209" t="s">
        <v>27</v>
      </c>
      <c r="AB2" s="209" t="s">
        <v>28</v>
      </c>
      <c r="AC2" s="209" t="s">
        <v>206</v>
      </c>
    </row>
    <row r="3" spans="1:29">
      <c r="A3" s="209" t="s">
        <v>29</v>
      </c>
      <c r="B3" s="209" t="s">
        <v>271</v>
      </c>
      <c r="C3" s="209">
        <v>900</v>
      </c>
      <c r="D3" s="209">
        <v>2200</v>
      </c>
      <c r="E3" s="209">
        <v>1</v>
      </c>
      <c r="F3" s="211">
        <v>1</v>
      </c>
      <c r="G3" s="209"/>
      <c r="H3" s="209">
        <v>1</v>
      </c>
      <c r="I3" s="209">
        <v>1</v>
      </c>
      <c r="J3" s="209">
        <v>1</v>
      </c>
      <c r="K3" s="209">
        <v>1</v>
      </c>
      <c r="L3" s="209">
        <v>1</v>
      </c>
      <c r="M3" s="209">
        <v>1</v>
      </c>
      <c r="N3" s="209">
        <v>1</v>
      </c>
      <c r="O3" s="209">
        <v>1</v>
      </c>
      <c r="P3" s="209">
        <v>1</v>
      </c>
      <c r="Q3" s="209">
        <v>1</v>
      </c>
      <c r="R3" s="209">
        <v>1</v>
      </c>
      <c r="S3" s="209">
        <v>1</v>
      </c>
      <c r="T3" s="209">
        <v>1</v>
      </c>
      <c r="U3" s="209">
        <v>1</v>
      </c>
      <c r="V3" s="209">
        <v>1</v>
      </c>
      <c r="W3" s="209">
        <v>1</v>
      </c>
      <c r="X3" s="209">
        <v>1</v>
      </c>
      <c r="Y3" s="209">
        <v>1</v>
      </c>
      <c r="Z3" s="209">
        <v>1</v>
      </c>
      <c r="AA3" s="209"/>
      <c r="AB3" s="209">
        <f>SUM(E3:AA3)</f>
        <v>21</v>
      </c>
      <c r="AC3" s="209"/>
    </row>
    <row r="4" spans="1:29">
      <c r="A4" s="209" t="s">
        <v>31</v>
      </c>
      <c r="B4" s="209" t="s">
        <v>40</v>
      </c>
      <c r="C4" s="209">
        <v>900</v>
      </c>
      <c r="D4" s="209">
        <v>1200</v>
      </c>
      <c r="E4" s="209">
        <v>2</v>
      </c>
      <c r="F4" s="211">
        <v>2</v>
      </c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>
        <f t="shared" ref="AB4:AB61" si="0">SUM(E4:AA4)</f>
        <v>4</v>
      </c>
      <c r="AC4" s="209"/>
    </row>
    <row r="5" spans="1:29">
      <c r="A5" s="209" t="s">
        <v>33</v>
      </c>
      <c r="B5" s="209" t="s">
        <v>272</v>
      </c>
      <c r="C5" s="209">
        <v>1600</v>
      </c>
      <c r="D5" s="209">
        <v>1500</v>
      </c>
      <c r="E5" s="209">
        <v>1</v>
      </c>
      <c r="F5" s="211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>
        <f t="shared" si="0"/>
        <v>1</v>
      </c>
      <c r="AC5" s="209"/>
    </row>
    <row r="6" spans="1:29">
      <c r="A6" s="209" t="s">
        <v>35</v>
      </c>
      <c r="B6" s="209" t="s">
        <v>273</v>
      </c>
      <c r="C6" s="209">
        <v>1700</v>
      </c>
      <c r="D6" s="209">
        <v>2000</v>
      </c>
      <c r="E6" s="209">
        <v>1</v>
      </c>
      <c r="F6" s="211">
        <v>1</v>
      </c>
      <c r="G6" s="209"/>
      <c r="H6" s="209">
        <v>1</v>
      </c>
      <c r="I6" s="209">
        <v>1</v>
      </c>
      <c r="J6" s="209">
        <v>1</v>
      </c>
      <c r="K6" s="209">
        <v>1</v>
      </c>
      <c r="L6" s="209">
        <v>1</v>
      </c>
      <c r="M6" s="209">
        <v>1</v>
      </c>
      <c r="N6" s="209">
        <v>1</v>
      </c>
      <c r="O6" s="209">
        <v>1</v>
      </c>
      <c r="P6" s="209">
        <v>1</v>
      </c>
      <c r="Q6" s="209">
        <v>1</v>
      </c>
      <c r="R6" s="209">
        <v>1</v>
      </c>
      <c r="S6" s="209">
        <v>1</v>
      </c>
      <c r="T6" s="209">
        <v>1</v>
      </c>
      <c r="U6" s="209">
        <v>1</v>
      </c>
      <c r="V6" s="209">
        <v>1</v>
      </c>
      <c r="W6" s="209">
        <v>1</v>
      </c>
      <c r="X6" s="209">
        <v>1</v>
      </c>
      <c r="Y6" s="209">
        <v>1</v>
      </c>
      <c r="Z6" s="209">
        <v>1</v>
      </c>
      <c r="AA6" s="209"/>
      <c r="AB6" s="209">
        <f t="shared" si="0"/>
        <v>21</v>
      </c>
      <c r="AC6" s="209"/>
    </row>
    <row r="7" spans="1:29">
      <c r="A7" s="209" t="s">
        <v>37</v>
      </c>
      <c r="B7" s="209" t="s">
        <v>274</v>
      </c>
      <c r="C7" s="209">
        <v>3100</v>
      </c>
      <c r="D7" s="209">
        <v>2100</v>
      </c>
      <c r="E7" s="209"/>
      <c r="F7" s="209">
        <v>3</v>
      </c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>
        <f t="shared" si="0"/>
        <v>3</v>
      </c>
      <c r="AC7" s="209"/>
    </row>
    <row r="8" spans="1:29">
      <c r="A8" s="209" t="s">
        <v>39</v>
      </c>
      <c r="B8" s="212" t="s">
        <v>268</v>
      </c>
      <c r="C8" s="209">
        <v>1500</v>
      </c>
      <c r="D8" s="209">
        <v>2400</v>
      </c>
      <c r="E8" s="209"/>
      <c r="F8" s="209">
        <v>4</v>
      </c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>
        <f t="shared" si="0"/>
        <v>4</v>
      </c>
      <c r="AC8" s="209"/>
    </row>
    <row r="9" spans="1:29">
      <c r="A9" s="209" t="s">
        <v>41</v>
      </c>
      <c r="B9" s="209" t="s">
        <v>275</v>
      </c>
      <c r="C9" s="209"/>
      <c r="D9" s="209"/>
      <c r="E9" s="209"/>
      <c r="F9" s="209">
        <v>1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>
        <f t="shared" si="0"/>
        <v>1</v>
      </c>
      <c r="AC9" s="209"/>
    </row>
    <row r="10" spans="1:29">
      <c r="A10" s="209" t="s">
        <v>43</v>
      </c>
      <c r="B10" s="209" t="s">
        <v>276</v>
      </c>
      <c r="C10" s="209"/>
      <c r="D10" s="209"/>
      <c r="E10" s="209"/>
      <c r="F10" s="209">
        <v>1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>
        <f t="shared" si="0"/>
        <v>1</v>
      </c>
      <c r="AC10" s="209"/>
    </row>
    <row r="11" spans="1:29">
      <c r="A11" s="209" t="s">
        <v>45</v>
      </c>
      <c r="B11" s="209" t="s">
        <v>70</v>
      </c>
      <c r="C11" s="209"/>
      <c r="D11" s="209"/>
      <c r="E11" s="209"/>
      <c r="F11" s="209">
        <v>5</v>
      </c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>
        <f t="shared" si="0"/>
        <v>5</v>
      </c>
      <c r="AC11" s="209"/>
    </row>
    <row r="12" spans="1:29">
      <c r="A12" s="209" t="s">
        <v>47</v>
      </c>
      <c r="B12" s="209" t="s">
        <v>277</v>
      </c>
      <c r="C12" s="209"/>
      <c r="D12" s="209"/>
      <c r="E12" s="209"/>
      <c r="F12" s="209">
        <v>2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>
        <f t="shared" si="0"/>
        <v>2</v>
      </c>
      <c r="AC12" s="209"/>
    </row>
    <row r="13" spans="1:29">
      <c r="A13" s="209" t="s">
        <v>49</v>
      </c>
      <c r="B13" s="209" t="s">
        <v>278</v>
      </c>
      <c r="C13" s="209"/>
      <c r="D13" s="209"/>
      <c r="E13" s="209"/>
      <c r="F13" s="209">
        <v>1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>
        <f t="shared" si="0"/>
        <v>1</v>
      </c>
      <c r="AC13" s="209"/>
    </row>
    <row r="14" spans="1:29">
      <c r="A14" s="209" t="s">
        <v>51</v>
      </c>
      <c r="B14" s="209" t="s">
        <v>279</v>
      </c>
      <c r="C14" s="209"/>
      <c r="D14" s="209"/>
      <c r="E14" s="209"/>
      <c r="F14" s="209">
        <v>1</v>
      </c>
      <c r="G14" s="209"/>
      <c r="H14" s="209"/>
      <c r="I14" s="209"/>
      <c r="J14" s="209">
        <v>1</v>
      </c>
      <c r="K14" s="209">
        <v>1</v>
      </c>
      <c r="L14" s="209">
        <v>1</v>
      </c>
      <c r="M14" s="209">
        <v>1</v>
      </c>
      <c r="N14" s="209">
        <v>1</v>
      </c>
      <c r="O14" s="209">
        <v>1</v>
      </c>
      <c r="P14" s="209">
        <v>1</v>
      </c>
      <c r="Q14" s="209">
        <v>1</v>
      </c>
      <c r="R14" s="209">
        <v>1</v>
      </c>
      <c r="S14" s="209">
        <v>1</v>
      </c>
      <c r="T14" s="209">
        <v>1</v>
      </c>
      <c r="U14" s="209">
        <v>1</v>
      </c>
      <c r="V14" s="209">
        <v>1</v>
      </c>
      <c r="W14" s="209">
        <v>1</v>
      </c>
      <c r="X14" s="209">
        <v>1</v>
      </c>
      <c r="Y14" s="209">
        <v>1</v>
      </c>
      <c r="Z14" s="209">
        <v>1</v>
      </c>
      <c r="AA14" s="209"/>
      <c r="AB14" s="209">
        <f t="shared" si="0"/>
        <v>18</v>
      </c>
      <c r="AC14" s="209"/>
    </row>
    <row r="15" spans="1:29">
      <c r="A15" s="209" t="s">
        <v>53</v>
      </c>
      <c r="B15" s="209" t="s">
        <v>280</v>
      </c>
      <c r="C15" s="209"/>
      <c r="D15" s="209"/>
      <c r="E15" s="209"/>
      <c r="F15" s="209"/>
      <c r="G15" s="209">
        <v>3</v>
      </c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>
        <f t="shared" si="0"/>
        <v>3</v>
      </c>
      <c r="AC15" s="209"/>
    </row>
    <row r="16" spans="1:29">
      <c r="A16" s="209" t="s">
        <v>55</v>
      </c>
      <c r="B16" s="209" t="s">
        <v>281</v>
      </c>
      <c r="C16" s="209"/>
      <c r="D16" s="209"/>
      <c r="E16" s="209"/>
      <c r="F16" s="209"/>
      <c r="G16" s="209">
        <v>2</v>
      </c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>
        <f t="shared" si="0"/>
        <v>2</v>
      </c>
      <c r="AC16" s="209"/>
    </row>
    <row r="17" spans="1:29">
      <c r="A17" s="209" t="s">
        <v>57</v>
      </c>
      <c r="B17" s="209" t="s">
        <v>151</v>
      </c>
      <c r="C17" s="209"/>
      <c r="D17" s="209"/>
      <c r="E17" s="209"/>
      <c r="F17" s="209"/>
      <c r="G17" s="209">
        <v>3</v>
      </c>
      <c r="H17" s="209">
        <v>4</v>
      </c>
      <c r="I17" s="209">
        <v>4</v>
      </c>
      <c r="J17" s="209">
        <v>4</v>
      </c>
      <c r="K17" s="209">
        <v>4</v>
      </c>
      <c r="L17" s="209">
        <v>4</v>
      </c>
      <c r="M17" s="209">
        <v>4</v>
      </c>
      <c r="N17" s="209">
        <v>4</v>
      </c>
      <c r="O17" s="209">
        <v>4</v>
      </c>
      <c r="P17" s="209">
        <v>4</v>
      </c>
      <c r="Q17" s="209">
        <v>4</v>
      </c>
      <c r="R17" s="209">
        <v>4</v>
      </c>
      <c r="S17" s="209">
        <v>4</v>
      </c>
      <c r="T17" s="209">
        <v>4</v>
      </c>
      <c r="U17" s="209">
        <v>4</v>
      </c>
      <c r="V17" s="209">
        <v>4</v>
      </c>
      <c r="W17" s="209">
        <v>4</v>
      </c>
      <c r="X17" s="209">
        <v>4</v>
      </c>
      <c r="Y17" s="209">
        <v>4</v>
      </c>
      <c r="Z17" s="209">
        <v>4</v>
      </c>
      <c r="AA17" s="209"/>
      <c r="AB17" s="209">
        <f t="shared" si="0"/>
        <v>79</v>
      </c>
      <c r="AC17" s="209"/>
    </row>
    <row r="18" spans="1:29">
      <c r="A18" s="209" t="s">
        <v>59</v>
      </c>
      <c r="B18" s="209" t="s">
        <v>282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>
        <f t="shared" si="0"/>
        <v>0</v>
      </c>
      <c r="AC18" s="209"/>
    </row>
    <row r="19" spans="1:29">
      <c r="A19" s="209" t="s">
        <v>61</v>
      </c>
      <c r="B19" s="209" t="s">
        <v>235</v>
      </c>
      <c r="C19" s="209"/>
      <c r="D19" s="209"/>
      <c r="E19" s="209"/>
      <c r="F19" s="209"/>
      <c r="G19" s="209">
        <v>5</v>
      </c>
      <c r="H19" s="209">
        <v>6</v>
      </c>
      <c r="I19" s="209">
        <v>6</v>
      </c>
      <c r="J19" s="209">
        <v>6</v>
      </c>
      <c r="K19" s="209">
        <v>6</v>
      </c>
      <c r="L19" s="209">
        <v>6</v>
      </c>
      <c r="M19" s="209">
        <v>6</v>
      </c>
      <c r="N19" s="209">
        <v>6</v>
      </c>
      <c r="O19" s="209">
        <v>6</v>
      </c>
      <c r="P19" s="209">
        <v>6</v>
      </c>
      <c r="Q19" s="209">
        <v>6</v>
      </c>
      <c r="R19" s="209">
        <v>6</v>
      </c>
      <c r="S19" s="209">
        <v>6</v>
      </c>
      <c r="T19" s="209">
        <v>6</v>
      </c>
      <c r="U19" s="209">
        <v>6</v>
      </c>
      <c r="V19" s="209">
        <v>6</v>
      </c>
      <c r="W19" s="209">
        <v>6</v>
      </c>
      <c r="X19" s="209">
        <v>6</v>
      </c>
      <c r="Y19" s="209">
        <v>6</v>
      </c>
      <c r="Z19" s="209">
        <v>6</v>
      </c>
      <c r="AA19" s="209"/>
      <c r="AB19" s="209">
        <f t="shared" si="0"/>
        <v>119</v>
      </c>
      <c r="AC19" s="209"/>
    </row>
    <row r="20" spans="1:29">
      <c r="A20" s="209" t="s">
        <v>63</v>
      </c>
      <c r="B20" s="209" t="s">
        <v>283</v>
      </c>
      <c r="C20" s="209"/>
      <c r="D20" s="209"/>
      <c r="E20" s="209"/>
      <c r="F20" s="209"/>
      <c r="G20" s="209">
        <v>1</v>
      </c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>
        <f t="shared" si="0"/>
        <v>1</v>
      </c>
      <c r="AC20" s="209"/>
    </row>
    <row r="21" spans="1:29">
      <c r="A21" s="209" t="s">
        <v>65</v>
      </c>
      <c r="B21" s="209" t="s">
        <v>153</v>
      </c>
      <c r="C21" s="209"/>
      <c r="D21" s="209"/>
      <c r="E21" s="209"/>
      <c r="F21" s="209"/>
      <c r="G21" s="209">
        <v>2</v>
      </c>
      <c r="H21" s="209">
        <v>4</v>
      </c>
      <c r="I21" s="209">
        <v>4</v>
      </c>
      <c r="J21" s="209">
        <v>4</v>
      </c>
      <c r="K21" s="209">
        <v>4</v>
      </c>
      <c r="L21" s="209">
        <v>4</v>
      </c>
      <c r="M21" s="209">
        <v>4</v>
      </c>
      <c r="N21" s="209">
        <v>4</v>
      </c>
      <c r="O21" s="209">
        <v>4</v>
      </c>
      <c r="P21" s="209">
        <v>4</v>
      </c>
      <c r="Q21" s="209">
        <v>4</v>
      </c>
      <c r="R21" s="209">
        <v>4</v>
      </c>
      <c r="S21" s="209">
        <v>4</v>
      </c>
      <c r="T21" s="209">
        <v>4</v>
      </c>
      <c r="U21" s="209">
        <v>4</v>
      </c>
      <c r="V21" s="209">
        <v>4</v>
      </c>
      <c r="W21" s="209">
        <v>4</v>
      </c>
      <c r="X21" s="209">
        <v>4</v>
      </c>
      <c r="Y21" s="209">
        <v>4</v>
      </c>
      <c r="Z21" s="209">
        <v>4</v>
      </c>
      <c r="AA21" s="209"/>
      <c r="AB21" s="209">
        <f t="shared" si="0"/>
        <v>78</v>
      </c>
      <c r="AC21" s="209"/>
    </row>
    <row r="22" spans="1:29">
      <c r="A22" s="209" t="s">
        <v>67</v>
      </c>
      <c r="B22" s="209" t="s">
        <v>284</v>
      </c>
      <c r="C22" s="209"/>
      <c r="D22" s="209"/>
      <c r="E22" s="209"/>
      <c r="F22" s="209"/>
      <c r="G22" s="209">
        <v>1</v>
      </c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>
        <f t="shared" si="0"/>
        <v>1</v>
      </c>
      <c r="AC22" s="209"/>
    </row>
    <row r="23" spans="1:29">
      <c r="A23" s="209" t="s">
        <v>69</v>
      </c>
      <c r="B23" s="209" t="s">
        <v>285</v>
      </c>
      <c r="C23" s="209"/>
      <c r="D23" s="209"/>
      <c r="E23" s="209"/>
      <c r="F23" s="209"/>
      <c r="G23" s="209">
        <v>1</v>
      </c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>
        <f t="shared" si="0"/>
        <v>1</v>
      </c>
      <c r="AC23" s="209"/>
    </row>
    <row r="24" spans="1:29">
      <c r="A24" s="209" t="s">
        <v>71</v>
      </c>
      <c r="B24" s="209" t="s">
        <v>286</v>
      </c>
      <c r="C24" s="209"/>
      <c r="D24" s="209"/>
      <c r="E24" s="209"/>
      <c r="F24" s="209"/>
      <c r="G24" s="209">
        <v>2</v>
      </c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>
        <f t="shared" si="0"/>
        <v>2</v>
      </c>
      <c r="AC24" s="209"/>
    </row>
    <row r="25" spans="1:29">
      <c r="A25" s="209" t="s">
        <v>223</v>
      </c>
      <c r="B25" s="209" t="s">
        <v>287</v>
      </c>
      <c r="C25" s="209"/>
      <c r="D25" s="209"/>
      <c r="E25" s="209"/>
      <c r="F25" s="209"/>
      <c r="G25" s="209">
        <v>2</v>
      </c>
      <c r="H25" s="209">
        <v>2</v>
      </c>
      <c r="I25" s="209">
        <v>2</v>
      </c>
      <c r="J25" s="209">
        <v>2</v>
      </c>
      <c r="K25" s="209">
        <v>2</v>
      </c>
      <c r="L25" s="209">
        <v>2</v>
      </c>
      <c r="M25" s="209">
        <v>2</v>
      </c>
      <c r="N25" s="209">
        <v>2</v>
      </c>
      <c r="O25" s="209">
        <v>2</v>
      </c>
      <c r="P25" s="209">
        <v>2</v>
      </c>
      <c r="Q25" s="209">
        <v>2</v>
      </c>
      <c r="R25" s="209">
        <v>2</v>
      </c>
      <c r="S25" s="209">
        <v>2</v>
      </c>
      <c r="T25" s="209">
        <v>2</v>
      </c>
      <c r="U25" s="209">
        <v>2</v>
      </c>
      <c r="V25" s="209">
        <v>2</v>
      </c>
      <c r="W25" s="209">
        <v>2</v>
      </c>
      <c r="X25" s="209">
        <v>2</v>
      </c>
      <c r="Y25" s="209"/>
      <c r="Z25" s="209">
        <v>2</v>
      </c>
      <c r="AA25" s="209"/>
      <c r="AB25" s="209">
        <f t="shared" si="0"/>
        <v>38</v>
      </c>
      <c r="AC25" s="209"/>
    </row>
    <row r="26" spans="1:29">
      <c r="A26" s="209" t="s">
        <v>73</v>
      </c>
      <c r="B26" s="209" t="s">
        <v>288</v>
      </c>
      <c r="C26" s="209"/>
      <c r="D26" s="209"/>
      <c r="E26" s="209"/>
      <c r="F26" s="209"/>
      <c r="G26" s="209">
        <v>2</v>
      </c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>
        <f t="shared" si="0"/>
        <v>2</v>
      </c>
      <c r="AC26" s="209"/>
    </row>
    <row r="27" spans="1:29">
      <c r="A27" s="209" t="s">
        <v>75</v>
      </c>
      <c r="B27" s="209" t="s">
        <v>289</v>
      </c>
      <c r="C27" s="209"/>
      <c r="D27" s="209"/>
      <c r="E27" s="209"/>
      <c r="F27" s="209"/>
      <c r="G27" s="209">
        <v>1</v>
      </c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>
        <f t="shared" si="0"/>
        <v>1</v>
      </c>
      <c r="AC27" s="209"/>
    </row>
    <row r="28" spans="1:29">
      <c r="A28" s="209" t="s">
        <v>77</v>
      </c>
      <c r="B28" s="209" t="s">
        <v>290</v>
      </c>
      <c r="C28" s="209"/>
      <c r="D28" s="209"/>
      <c r="E28" s="209"/>
      <c r="F28" s="209"/>
      <c r="G28" s="209">
        <v>1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>
        <f t="shared" si="0"/>
        <v>1</v>
      </c>
      <c r="AC28" s="209"/>
    </row>
    <row r="29" spans="1:29">
      <c r="A29" s="209" t="s">
        <v>79</v>
      </c>
      <c r="B29" s="209" t="s">
        <v>252</v>
      </c>
      <c r="C29" s="209"/>
      <c r="D29" s="209"/>
      <c r="E29" s="209"/>
      <c r="F29" s="209"/>
      <c r="G29" s="209">
        <v>1</v>
      </c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>
        <f t="shared" si="0"/>
        <v>1</v>
      </c>
      <c r="AC29" s="209"/>
    </row>
    <row r="30" spans="1:29">
      <c r="A30" s="209" t="s">
        <v>81</v>
      </c>
      <c r="B30" s="209" t="s">
        <v>291</v>
      </c>
      <c r="C30" s="209"/>
      <c r="D30" s="209"/>
      <c r="E30" s="209"/>
      <c r="F30" s="209"/>
      <c r="G30" s="209">
        <v>2</v>
      </c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>
        <f t="shared" si="0"/>
        <v>2</v>
      </c>
      <c r="AC30" s="209"/>
    </row>
    <row r="31" spans="1:29">
      <c r="A31" s="209" t="s">
        <v>83</v>
      </c>
      <c r="B31" s="209" t="s">
        <v>292</v>
      </c>
      <c r="C31" s="209"/>
      <c r="D31" s="209"/>
      <c r="E31" s="209"/>
      <c r="F31" s="209"/>
      <c r="G31" s="209">
        <v>1</v>
      </c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>
        <f t="shared" si="0"/>
        <v>1</v>
      </c>
      <c r="AC31" s="209"/>
    </row>
    <row r="32" spans="1:29">
      <c r="A32" s="209" t="s">
        <v>85</v>
      </c>
      <c r="B32" s="209" t="s">
        <v>293</v>
      </c>
      <c r="C32" s="209"/>
      <c r="D32" s="209"/>
      <c r="E32" s="209"/>
      <c r="F32" s="209"/>
      <c r="G32" s="209">
        <v>1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>
        <f t="shared" si="0"/>
        <v>1</v>
      </c>
      <c r="AC32" s="209"/>
    </row>
    <row r="33" spans="1:29">
      <c r="A33" s="209" t="s">
        <v>87</v>
      </c>
      <c r="B33" s="209" t="s">
        <v>294</v>
      </c>
      <c r="C33" s="209"/>
      <c r="D33" s="209"/>
      <c r="E33" s="209"/>
      <c r="F33" s="209"/>
      <c r="G33" s="209">
        <v>2</v>
      </c>
      <c r="H33" s="209">
        <v>2</v>
      </c>
      <c r="I33" s="209">
        <v>2</v>
      </c>
      <c r="J33" s="209">
        <v>2</v>
      </c>
      <c r="K33" s="209">
        <v>2</v>
      </c>
      <c r="L33" s="209">
        <v>2</v>
      </c>
      <c r="M33" s="209">
        <v>2</v>
      </c>
      <c r="N33" s="209">
        <v>2</v>
      </c>
      <c r="O33" s="209">
        <v>2</v>
      </c>
      <c r="P33" s="209">
        <v>2</v>
      </c>
      <c r="Q33" s="209">
        <v>2</v>
      </c>
      <c r="R33" s="209">
        <v>2</v>
      </c>
      <c r="S33" s="209">
        <v>2</v>
      </c>
      <c r="T33" s="209">
        <v>2</v>
      </c>
      <c r="U33" s="209">
        <v>2</v>
      </c>
      <c r="V33" s="209">
        <v>2</v>
      </c>
      <c r="W33" s="209">
        <v>2</v>
      </c>
      <c r="X33" s="209">
        <v>2</v>
      </c>
      <c r="Y33" s="209"/>
      <c r="Z33" s="209">
        <v>2</v>
      </c>
      <c r="AA33" s="209"/>
      <c r="AB33" s="209">
        <f t="shared" si="0"/>
        <v>38</v>
      </c>
      <c r="AC33" s="209"/>
    </row>
    <row r="34" spans="1:29">
      <c r="A34" s="209" t="s">
        <v>89</v>
      </c>
      <c r="B34" s="209" t="s">
        <v>161</v>
      </c>
      <c r="C34" s="209"/>
      <c r="D34" s="209"/>
      <c r="E34" s="209"/>
      <c r="F34" s="209"/>
      <c r="G34" s="209">
        <v>2</v>
      </c>
      <c r="H34" s="209">
        <v>2</v>
      </c>
      <c r="I34" s="209">
        <v>2</v>
      </c>
      <c r="J34" s="209">
        <v>2</v>
      </c>
      <c r="K34" s="209">
        <v>2</v>
      </c>
      <c r="L34" s="209">
        <v>2</v>
      </c>
      <c r="M34" s="209">
        <v>2</v>
      </c>
      <c r="N34" s="209">
        <v>2</v>
      </c>
      <c r="O34" s="209">
        <v>2</v>
      </c>
      <c r="P34" s="209">
        <v>2</v>
      </c>
      <c r="Q34" s="209">
        <v>2</v>
      </c>
      <c r="R34" s="209">
        <v>2</v>
      </c>
      <c r="S34" s="209">
        <v>2</v>
      </c>
      <c r="T34" s="209">
        <v>2</v>
      </c>
      <c r="U34" s="209">
        <v>2</v>
      </c>
      <c r="V34" s="209">
        <v>2</v>
      </c>
      <c r="W34" s="209">
        <v>2</v>
      </c>
      <c r="X34" s="209">
        <v>2</v>
      </c>
      <c r="Y34" s="209"/>
      <c r="Z34" s="209">
        <v>2</v>
      </c>
      <c r="AA34" s="209"/>
      <c r="AB34" s="209">
        <f t="shared" si="0"/>
        <v>38</v>
      </c>
      <c r="AC34" s="209"/>
    </row>
    <row r="35" spans="1:29">
      <c r="A35" s="209" t="s">
        <v>91</v>
      </c>
      <c r="B35" s="209" t="s">
        <v>175</v>
      </c>
      <c r="C35" s="209"/>
      <c r="D35" s="209"/>
      <c r="E35" s="209"/>
      <c r="F35" s="209"/>
      <c r="G35" s="209"/>
      <c r="H35" s="209">
        <v>2</v>
      </c>
      <c r="I35" s="209">
        <v>2</v>
      </c>
      <c r="J35" s="209">
        <v>2</v>
      </c>
      <c r="K35" s="209">
        <v>2</v>
      </c>
      <c r="L35" s="209">
        <v>2</v>
      </c>
      <c r="M35" s="209">
        <v>2</v>
      </c>
      <c r="N35" s="209">
        <v>2</v>
      </c>
      <c r="O35" s="209">
        <v>2</v>
      </c>
      <c r="P35" s="209">
        <v>2</v>
      </c>
      <c r="Q35" s="209">
        <v>2</v>
      </c>
      <c r="R35" s="209">
        <v>2</v>
      </c>
      <c r="S35" s="209">
        <v>2</v>
      </c>
      <c r="T35" s="209">
        <v>2</v>
      </c>
      <c r="U35" s="209">
        <v>2</v>
      </c>
      <c r="V35" s="209">
        <v>2</v>
      </c>
      <c r="W35" s="209">
        <v>2</v>
      </c>
      <c r="X35" s="209">
        <v>2</v>
      </c>
      <c r="Y35" s="209">
        <v>2</v>
      </c>
      <c r="Z35" s="209">
        <v>2</v>
      </c>
      <c r="AA35" s="209"/>
      <c r="AB35" s="209">
        <f t="shared" si="0"/>
        <v>38</v>
      </c>
      <c r="AC35" s="209"/>
    </row>
    <row r="36" spans="1:29">
      <c r="A36" s="209" t="s">
        <v>93</v>
      </c>
      <c r="B36" s="209" t="s">
        <v>295</v>
      </c>
      <c r="C36" s="209"/>
      <c r="D36" s="209"/>
      <c r="E36" s="209"/>
      <c r="F36" s="209"/>
      <c r="G36" s="209">
        <v>1</v>
      </c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>
        <f t="shared" si="0"/>
        <v>1</v>
      </c>
      <c r="AC36" s="209"/>
    </row>
    <row r="37" spans="1:29">
      <c r="A37" s="209" t="s">
        <v>95</v>
      </c>
      <c r="B37" s="209" t="s">
        <v>296</v>
      </c>
      <c r="C37" s="209"/>
      <c r="D37" s="209"/>
      <c r="E37" s="209"/>
      <c r="F37" s="209"/>
      <c r="G37" s="209">
        <v>1</v>
      </c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>
        <f t="shared" si="0"/>
        <v>1</v>
      </c>
      <c r="AC37" s="209"/>
    </row>
    <row r="38" spans="1:29">
      <c r="A38" s="209" t="s">
        <v>97</v>
      </c>
      <c r="B38" s="209" t="s">
        <v>297</v>
      </c>
      <c r="C38" s="209"/>
      <c r="D38" s="209"/>
      <c r="E38" s="209"/>
      <c r="F38" s="209"/>
      <c r="G38" s="209">
        <v>1</v>
      </c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>
        <f t="shared" si="0"/>
        <v>1</v>
      </c>
      <c r="AC38" s="209"/>
    </row>
    <row r="39" spans="1:29">
      <c r="A39" s="209" t="s">
        <v>99</v>
      </c>
      <c r="B39" s="209" t="s">
        <v>298</v>
      </c>
      <c r="C39" s="209"/>
      <c r="D39" s="209"/>
      <c r="E39" s="209"/>
      <c r="F39" s="209"/>
      <c r="G39" s="209">
        <v>1</v>
      </c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>
        <f t="shared" si="0"/>
        <v>1</v>
      </c>
      <c r="AC39" s="209"/>
    </row>
    <row r="40" spans="1:29">
      <c r="A40" s="209" t="s">
        <v>101</v>
      </c>
      <c r="B40" s="209" t="s">
        <v>169</v>
      </c>
      <c r="C40" s="209"/>
      <c r="D40" s="209"/>
      <c r="E40" s="209"/>
      <c r="F40" s="209"/>
      <c r="G40" s="209">
        <v>1</v>
      </c>
      <c r="H40" s="209">
        <v>2</v>
      </c>
      <c r="I40" s="209">
        <v>2</v>
      </c>
      <c r="J40" s="209">
        <v>2</v>
      </c>
      <c r="K40" s="209">
        <v>2</v>
      </c>
      <c r="L40" s="209">
        <v>2</v>
      </c>
      <c r="M40" s="209">
        <v>2</v>
      </c>
      <c r="N40" s="209">
        <v>2</v>
      </c>
      <c r="O40" s="209">
        <v>2</v>
      </c>
      <c r="P40" s="209">
        <v>2</v>
      </c>
      <c r="Q40" s="209">
        <v>2</v>
      </c>
      <c r="R40" s="209">
        <v>2</v>
      </c>
      <c r="S40" s="209">
        <v>2</v>
      </c>
      <c r="T40" s="209">
        <v>2</v>
      </c>
      <c r="U40" s="209">
        <v>2</v>
      </c>
      <c r="V40" s="209">
        <v>2</v>
      </c>
      <c r="W40" s="209">
        <v>2</v>
      </c>
      <c r="X40" s="209">
        <v>2</v>
      </c>
      <c r="Y40" s="209">
        <v>2</v>
      </c>
      <c r="Z40" s="209">
        <v>2</v>
      </c>
      <c r="AA40" s="209"/>
      <c r="AB40" s="209">
        <f t="shared" si="0"/>
        <v>39</v>
      </c>
      <c r="AC40" s="209"/>
    </row>
    <row r="41" spans="1:29">
      <c r="A41" s="209" t="s">
        <v>103</v>
      </c>
      <c r="B41" s="209" t="s">
        <v>299</v>
      </c>
      <c r="C41" s="209"/>
      <c r="D41" s="209"/>
      <c r="E41" s="209"/>
      <c r="F41" s="209"/>
      <c r="G41" s="209">
        <v>1</v>
      </c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>
        <f t="shared" si="0"/>
        <v>1</v>
      </c>
      <c r="AC41" s="209"/>
    </row>
    <row r="42" spans="1:29">
      <c r="A42" s="209" t="s">
        <v>105</v>
      </c>
      <c r="B42" s="209" t="s">
        <v>141</v>
      </c>
      <c r="C42" s="209"/>
      <c r="D42" s="209"/>
      <c r="E42" s="209"/>
      <c r="F42" s="209"/>
      <c r="G42" s="209">
        <v>1</v>
      </c>
      <c r="H42" s="209">
        <v>2</v>
      </c>
      <c r="I42" s="209">
        <v>2</v>
      </c>
      <c r="J42" s="209">
        <v>2</v>
      </c>
      <c r="K42" s="209">
        <v>2</v>
      </c>
      <c r="L42" s="209">
        <v>2</v>
      </c>
      <c r="M42" s="209">
        <v>2</v>
      </c>
      <c r="N42" s="209">
        <v>2</v>
      </c>
      <c r="O42" s="209">
        <v>2</v>
      </c>
      <c r="P42" s="209">
        <v>2</v>
      </c>
      <c r="Q42" s="209">
        <v>2</v>
      </c>
      <c r="R42" s="209">
        <v>2</v>
      </c>
      <c r="S42" s="209">
        <v>2</v>
      </c>
      <c r="T42" s="209">
        <v>2</v>
      </c>
      <c r="U42" s="209">
        <v>2</v>
      </c>
      <c r="V42" s="209">
        <v>2</v>
      </c>
      <c r="W42" s="209">
        <v>2</v>
      </c>
      <c r="X42" s="209">
        <v>2</v>
      </c>
      <c r="Y42" s="209">
        <v>2</v>
      </c>
      <c r="Z42" s="209">
        <v>2</v>
      </c>
      <c r="AA42" s="209"/>
      <c r="AB42" s="209">
        <f t="shared" si="0"/>
        <v>39</v>
      </c>
      <c r="AC42" s="209"/>
    </row>
    <row r="43" spans="1:29">
      <c r="A43" s="209" t="s">
        <v>107</v>
      </c>
      <c r="B43" s="209" t="s">
        <v>143</v>
      </c>
      <c r="C43" s="209"/>
      <c r="D43" s="209"/>
      <c r="E43" s="209"/>
      <c r="F43" s="209"/>
      <c r="G43" s="209">
        <v>1</v>
      </c>
      <c r="H43" s="209">
        <v>2</v>
      </c>
      <c r="I43" s="209">
        <v>2</v>
      </c>
      <c r="J43" s="209">
        <v>2</v>
      </c>
      <c r="K43" s="209">
        <v>2</v>
      </c>
      <c r="L43" s="209">
        <v>2</v>
      </c>
      <c r="M43" s="209">
        <v>2</v>
      </c>
      <c r="N43" s="209">
        <v>2</v>
      </c>
      <c r="O43" s="209">
        <v>2</v>
      </c>
      <c r="P43" s="209">
        <v>2</v>
      </c>
      <c r="Q43" s="209">
        <v>2</v>
      </c>
      <c r="R43" s="209">
        <v>2</v>
      </c>
      <c r="S43" s="209">
        <v>2</v>
      </c>
      <c r="T43" s="209">
        <v>2</v>
      </c>
      <c r="U43" s="209">
        <v>2</v>
      </c>
      <c r="V43" s="209">
        <v>2</v>
      </c>
      <c r="W43" s="209">
        <v>2</v>
      </c>
      <c r="X43" s="209">
        <v>2</v>
      </c>
      <c r="Y43" s="209">
        <v>2</v>
      </c>
      <c r="Z43" s="209">
        <v>2</v>
      </c>
      <c r="AA43" s="209"/>
      <c r="AB43" s="209">
        <f t="shared" si="0"/>
        <v>39</v>
      </c>
      <c r="AC43" s="209"/>
    </row>
    <row r="44" spans="1:29">
      <c r="A44" s="209" t="s">
        <v>109</v>
      </c>
      <c r="B44" s="209" t="s">
        <v>147</v>
      </c>
      <c r="C44" s="209"/>
      <c r="D44" s="209"/>
      <c r="E44" s="209"/>
      <c r="F44" s="209"/>
      <c r="G44" s="209"/>
      <c r="H44" s="209">
        <v>3</v>
      </c>
      <c r="I44" s="209">
        <v>3</v>
      </c>
      <c r="J44" s="209">
        <v>3</v>
      </c>
      <c r="K44" s="209">
        <v>3</v>
      </c>
      <c r="L44" s="209">
        <v>3</v>
      </c>
      <c r="M44" s="209">
        <v>3</v>
      </c>
      <c r="N44" s="209">
        <v>3</v>
      </c>
      <c r="O44" s="209">
        <v>3</v>
      </c>
      <c r="P44" s="209">
        <v>3</v>
      </c>
      <c r="Q44" s="209">
        <v>3</v>
      </c>
      <c r="R44" s="209">
        <v>3</v>
      </c>
      <c r="S44" s="209">
        <v>3</v>
      </c>
      <c r="T44" s="209">
        <v>3</v>
      </c>
      <c r="U44" s="209">
        <v>3</v>
      </c>
      <c r="V44" s="209">
        <v>3</v>
      </c>
      <c r="W44" s="209">
        <v>3</v>
      </c>
      <c r="X44" s="209">
        <v>3</v>
      </c>
      <c r="Y44" s="209">
        <v>3</v>
      </c>
      <c r="Z44" s="209">
        <v>3</v>
      </c>
      <c r="AA44" s="209"/>
      <c r="AB44" s="209">
        <f t="shared" si="0"/>
        <v>57</v>
      </c>
      <c r="AC44" s="209"/>
    </row>
    <row r="45" spans="1:29">
      <c r="A45" s="209" t="s">
        <v>111</v>
      </c>
      <c r="B45" s="209" t="s">
        <v>157</v>
      </c>
      <c r="C45" s="209"/>
      <c r="D45" s="209"/>
      <c r="E45" s="209"/>
      <c r="F45" s="209"/>
      <c r="G45" s="209">
        <v>1</v>
      </c>
      <c r="H45" s="209">
        <v>2</v>
      </c>
      <c r="I45" s="209">
        <v>2</v>
      </c>
      <c r="J45" s="209">
        <v>2</v>
      </c>
      <c r="K45" s="209">
        <v>2</v>
      </c>
      <c r="L45" s="209">
        <v>2</v>
      </c>
      <c r="M45" s="209">
        <v>2</v>
      </c>
      <c r="N45" s="209">
        <v>2</v>
      </c>
      <c r="O45" s="209">
        <v>2</v>
      </c>
      <c r="P45" s="209">
        <v>2</v>
      </c>
      <c r="Q45" s="209">
        <v>2</v>
      </c>
      <c r="R45" s="209">
        <v>2</v>
      </c>
      <c r="S45" s="209">
        <v>2</v>
      </c>
      <c r="T45" s="209">
        <v>2</v>
      </c>
      <c r="U45" s="209">
        <v>2</v>
      </c>
      <c r="V45" s="209">
        <v>2</v>
      </c>
      <c r="W45" s="209">
        <v>2</v>
      </c>
      <c r="X45" s="209">
        <v>2</v>
      </c>
      <c r="Y45" s="209">
        <v>2</v>
      </c>
      <c r="Z45" s="209">
        <v>2</v>
      </c>
      <c r="AA45" s="209"/>
      <c r="AB45" s="209">
        <f t="shared" si="0"/>
        <v>39</v>
      </c>
      <c r="AC45" s="209"/>
    </row>
    <row r="46" spans="1:29">
      <c r="A46" s="209" t="s">
        <v>113</v>
      </c>
      <c r="B46" s="209" t="s">
        <v>159</v>
      </c>
      <c r="C46" s="209"/>
      <c r="D46" s="209"/>
      <c r="E46" s="209"/>
      <c r="F46" s="209"/>
      <c r="G46" s="209"/>
      <c r="H46" s="209">
        <v>1</v>
      </c>
      <c r="I46" s="209">
        <v>1</v>
      </c>
      <c r="J46" s="209">
        <v>1</v>
      </c>
      <c r="K46" s="209">
        <v>1</v>
      </c>
      <c r="L46" s="209">
        <v>1</v>
      </c>
      <c r="M46" s="209">
        <v>1</v>
      </c>
      <c r="N46" s="209">
        <v>1</v>
      </c>
      <c r="O46" s="209">
        <v>1</v>
      </c>
      <c r="P46" s="209">
        <v>1</v>
      </c>
      <c r="Q46" s="209">
        <v>1</v>
      </c>
      <c r="R46" s="209">
        <v>1</v>
      </c>
      <c r="S46" s="209">
        <v>1</v>
      </c>
      <c r="T46" s="209">
        <v>1</v>
      </c>
      <c r="U46" s="209">
        <v>1</v>
      </c>
      <c r="V46" s="209">
        <v>1</v>
      </c>
      <c r="W46" s="209">
        <v>1</v>
      </c>
      <c r="X46" s="209">
        <v>1</v>
      </c>
      <c r="Y46" s="209">
        <v>1</v>
      </c>
      <c r="Z46" s="209">
        <v>1</v>
      </c>
      <c r="AA46" s="209"/>
      <c r="AB46" s="209">
        <f t="shared" si="0"/>
        <v>19</v>
      </c>
      <c r="AC46" s="209"/>
    </row>
    <row r="47" spans="1:29">
      <c r="A47" s="209" t="s">
        <v>115</v>
      </c>
      <c r="B47" s="209" t="s">
        <v>300</v>
      </c>
      <c r="C47" s="209"/>
      <c r="D47" s="209"/>
      <c r="E47" s="209"/>
      <c r="F47" s="209"/>
      <c r="G47" s="209"/>
      <c r="H47" s="209">
        <v>2</v>
      </c>
      <c r="I47" s="209">
        <v>2</v>
      </c>
      <c r="J47" s="209">
        <v>2</v>
      </c>
      <c r="K47" s="209">
        <v>2</v>
      </c>
      <c r="L47" s="209">
        <v>2</v>
      </c>
      <c r="M47" s="209">
        <v>2</v>
      </c>
      <c r="N47" s="209">
        <v>2</v>
      </c>
      <c r="O47" s="209">
        <v>2</v>
      </c>
      <c r="P47" s="209">
        <v>2</v>
      </c>
      <c r="Q47" s="209">
        <v>2</v>
      </c>
      <c r="R47" s="209">
        <v>2</v>
      </c>
      <c r="S47" s="209">
        <v>2</v>
      </c>
      <c r="T47" s="209">
        <v>2</v>
      </c>
      <c r="U47" s="209">
        <v>2</v>
      </c>
      <c r="V47" s="209">
        <v>2</v>
      </c>
      <c r="W47" s="209">
        <v>2</v>
      </c>
      <c r="X47" s="209">
        <v>2</v>
      </c>
      <c r="Y47" s="209">
        <v>2</v>
      </c>
      <c r="Z47" s="209">
        <v>2</v>
      </c>
      <c r="AA47" s="209"/>
      <c r="AB47" s="209">
        <f t="shared" si="0"/>
        <v>38</v>
      </c>
      <c r="AC47" s="209"/>
    </row>
    <row r="48" spans="1:29">
      <c r="A48" s="209" t="s">
        <v>117</v>
      </c>
      <c r="B48" s="209" t="s">
        <v>163</v>
      </c>
      <c r="C48" s="209"/>
      <c r="D48" s="209"/>
      <c r="E48" s="209"/>
      <c r="F48" s="209"/>
      <c r="G48" s="209"/>
      <c r="H48" s="209">
        <v>2</v>
      </c>
      <c r="I48" s="209">
        <v>2</v>
      </c>
      <c r="J48" s="209">
        <v>2</v>
      </c>
      <c r="K48" s="209">
        <v>2</v>
      </c>
      <c r="L48" s="209">
        <v>2</v>
      </c>
      <c r="M48" s="209">
        <v>2</v>
      </c>
      <c r="N48" s="209">
        <v>2</v>
      </c>
      <c r="O48" s="209">
        <v>2</v>
      </c>
      <c r="P48" s="209">
        <v>2</v>
      </c>
      <c r="Q48" s="209">
        <v>2</v>
      </c>
      <c r="R48" s="209">
        <v>2</v>
      </c>
      <c r="S48" s="209">
        <v>2</v>
      </c>
      <c r="T48" s="209">
        <v>2</v>
      </c>
      <c r="U48" s="209">
        <v>2</v>
      </c>
      <c r="V48" s="209">
        <v>2</v>
      </c>
      <c r="W48" s="209">
        <v>2</v>
      </c>
      <c r="X48" s="209">
        <v>2</v>
      </c>
      <c r="Y48" s="209">
        <v>2</v>
      </c>
      <c r="Z48" s="209">
        <v>2</v>
      </c>
      <c r="AA48" s="209"/>
      <c r="AB48" s="209">
        <f t="shared" si="0"/>
        <v>38</v>
      </c>
      <c r="AC48" s="209"/>
    </row>
    <row r="49" spans="1:29">
      <c r="A49" s="209" t="s">
        <v>119</v>
      </c>
      <c r="B49" s="209" t="s">
        <v>179</v>
      </c>
      <c r="C49" s="209"/>
      <c r="D49" s="209"/>
      <c r="E49" s="209"/>
      <c r="F49" s="209"/>
      <c r="G49" s="209"/>
      <c r="H49" s="209">
        <v>2</v>
      </c>
      <c r="I49" s="209">
        <v>1</v>
      </c>
      <c r="J49" s="209">
        <v>2</v>
      </c>
      <c r="K49" s="209">
        <v>2</v>
      </c>
      <c r="L49" s="209">
        <v>2</v>
      </c>
      <c r="M49" s="209">
        <v>1</v>
      </c>
      <c r="N49" s="209">
        <v>2</v>
      </c>
      <c r="O49" s="209">
        <v>2</v>
      </c>
      <c r="P49" s="209">
        <v>2</v>
      </c>
      <c r="Q49" s="209">
        <v>2</v>
      </c>
      <c r="R49" s="209">
        <v>2</v>
      </c>
      <c r="S49" s="209">
        <v>2</v>
      </c>
      <c r="T49" s="209">
        <v>2</v>
      </c>
      <c r="U49" s="209">
        <v>2</v>
      </c>
      <c r="V49" s="209">
        <v>2</v>
      </c>
      <c r="W49" s="209">
        <v>2</v>
      </c>
      <c r="X49" s="209">
        <v>2</v>
      </c>
      <c r="Y49" s="209">
        <v>2</v>
      </c>
      <c r="Z49" s="209">
        <v>2</v>
      </c>
      <c r="AA49" s="209"/>
      <c r="AB49" s="209">
        <f t="shared" si="0"/>
        <v>36</v>
      </c>
      <c r="AC49" s="209"/>
    </row>
    <row r="50" spans="1:29">
      <c r="A50" s="209" t="s">
        <v>121</v>
      </c>
      <c r="B50" s="209" t="s">
        <v>301</v>
      </c>
      <c r="C50" s="209"/>
      <c r="D50" s="209"/>
      <c r="E50" s="209"/>
      <c r="F50" s="209"/>
      <c r="G50" s="209"/>
      <c r="H50" s="209">
        <v>1</v>
      </c>
      <c r="I50" s="209">
        <v>1</v>
      </c>
      <c r="J50" s="209">
        <v>1</v>
      </c>
      <c r="K50" s="209">
        <v>1</v>
      </c>
      <c r="L50" s="209">
        <v>1</v>
      </c>
      <c r="M50" s="209">
        <v>1</v>
      </c>
      <c r="N50" s="209">
        <v>1</v>
      </c>
      <c r="O50" s="209">
        <v>1</v>
      </c>
      <c r="P50" s="209">
        <v>1</v>
      </c>
      <c r="Q50" s="209">
        <v>1</v>
      </c>
      <c r="R50" s="209">
        <v>1</v>
      </c>
      <c r="S50" s="209">
        <v>1</v>
      </c>
      <c r="T50" s="209">
        <v>1</v>
      </c>
      <c r="U50" s="209">
        <v>1</v>
      </c>
      <c r="V50" s="209">
        <v>1</v>
      </c>
      <c r="W50" s="209">
        <v>1</v>
      </c>
      <c r="X50" s="209">
        <v>1</v>
      </c>
      <c r="Y50" s="209">
        <v>1</v>
      </c>
      <c r="Z50" s="209">
        <v>1</v>
      </c>
      <c r="AA50" s="209">
        <v>2</v>
      </c>
      <c r="AB50" s="209">
        <f t="shared" si="0"/>
        <v>21</v>
      </c>
      <c r="AC50" s="209"/>
    </row>
    <row r="51" spans="1:29">
      <c r="A51" s="209" t="s">
        <v>123</v>
      </c>
      <c r="B51" s="209" t="s">
        <v>145</v>
      </c>
      <c r="C51" s="209"/>
      <c r="D51" s="209"/>
      <c r="E51" s="209"/>
      <c r="F51" s="209"/>
      <c r="G51" s="209"/>
      <c r="H51" s="209">
        <v>4</v>
      </c>
      <c r="I51" s="209">
        <v>4</v>
      </c>
      <c r="J51" s="209">
        <v>4</v>
      </c>
      <c r="K51" s="209">
        <v>4</v>
      </c>
      <c r="L51" s="209">
        <v>4</v>
      </c>
      <c r="M51" s="209">
        <v>4</v>
      </c>
      <c r="N51" s="209">
        <v>4</v>
      </c>
      <c r="O51" s="209">
        <v>4</v>
      </c>
      <c r="P51" s="209">
        <v>4</v>
      </c>
      <c r="Q51" s="209">
        <v>4</v>
      </c>
      <c r="R51" s="209">
        <v>4</v>
      </c>
      <c r="S51" s="209">
        <v>4</v>
      </c>
      <c r="T51" s="209">
        <v>4</v>
      </c>
      <c r="U51" s="209">
        <v>4</v>
      </c>
      <c r="V51" s="209">
        <v>4</v>
      </c>
      <c r="W51" s="209">
        <v>4</v>
      </c>
      <c r="X51" s="209">
        <v>4</v>
      </c>
      <c r="Y51" s="209">
        <v>4</v>
      </c>
      <c r="Z51" s="209">
        <v>4</v>
      </c>
      <c r="AA51" s="209"/>
      <c r="AB51" s="209">
        <f t="shared" si="0"/>
        <v>76</v>
      </c>
      <c r="AC51" s="209"/>
    </row>
    <row r="52" spans="1:29">
      <c r="A52" s="209" t="s">
        <v>125</v>
      </c>
      <c r="B52" s="209" t="s">
        <v>302</v>
      </c>
      <c r="C52" s="209"/>
      <c r="D52" s="209"/>
      <c r="E52" s="209"/>
      <c r="F52" s="209"/>
      <c r="G52" s="209"/>
      <c r="H52" s="209"/>
      <c r="I52" s="209">
        <v>1</v>
      </c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>
        <v>1</v>
      </c>
      <c r="Z52" s="209"/>
      <c r="AA52" s="209"/>
      <c r="AB52" s="209">
        <f t="shared" si="0"/>
        <v>2</v>
      </c>
      <c r="AC52" s="209"/>
    </row>
    <row r="53" spans="1:29">
      <c r="A53" s="209" t="s">
        <v>127</v>
      </c>
      <c r="B53" s="209" t="s">
        <v>303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>
        <v>2</v>
      </c>
      <c r="Z53" s="209"/>
      <c r="AA53" s="209"/>
      <c r="AB53" s="209">
        <f t="shared" si="0"/>
        <v>2</v>
      </c>
      <c r="AC53" s="209"/>
    </row>
    <row r="54" spans="1:29">
      <c r="A54" s="209" t="s">
        <v>129</v>
      </c>
      <c r="B54" s="209" t="s">
        <v>304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>
        <v>2</v>
      </c>
      <c r="Z54" s="209"/>
      <c r="AA54" s="209"/>
      <c r="AB54" s="209">
        <f t="shared" si="0"/>
        <v>2</v>
      </c>
      <c r="AC54" s="209"/>
    </row>
    <row r="55" spans="1:29">
      <c r="A55" s="209" t="s">
        <v>131</v>
      </c>
      <c r="B55" s="209" t="s">
        <v>305</v>
      </c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>
        <v>2</v>
      </c>
      <c r="Z55" s="209"/>
      <c r="AA55" s="209"/>
      <c r="AB55" s="209">
        <f t="shared" si="0"/>
        <v>2</v>
      </c>
      <c r="AC55" s="209"/>
    </row>
    <row r="56" spans="1:29">
      <c r="A56" s="209" t="s">
        <v>133</v>
      </c>
      <c r="B56" s="209" t="s">
        <v>191</v>
      </c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>
        <v>3</v>
      </c>
      <c r="AB56" s="209">
        <f t="shared" si="0"/>
        <v>3</v>
      </c>
      <c r="AC56" s="209"/>
    </row>
    <row r="57" spans="1:28">
      <c r="A57" s="209" t="s">
        <v>135</v>
      </c>
      <c r="B57" s="209" t="s">
        <v>306</v>
      </c>
      <c r="F57">
        <v>1</v>
      </c>
      <c r="AB57" s="209">
        <f t="shared" si="0"/>
        <v>1</v>
      </c>
    </row>
    <row r="58" spans="1:28">
      <c r="A58" s="209" t="s">
        <v>137</v>
      </c>
      <c r="B58" s="209" t="s">
        <v>307</v>
      </c>
      <c r="G58">
        <v>2</v>
      </c>
      <c r="AB58" s="209">
        <f t="shared" si="0"/>
        <v>2</v>
      </c>
    </row>
    <row r="59" spans="28:28">
      <c r="AB59" s="209">
        <f t="shared" si="0"/>
        <v>0</v>
      </c>
    </row>
    <row r="60" spans="28:28">
      <c r="AB60" s="209">
        <f t="shared" si="0"/>
        <v>0</v>
      </c>
    </row>
    <row r="61" spans="28:28">
      <c r="AB61" s="209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213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208" t="s">
        <v>308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</row>
    <row r="2" spans="1:29">
      <c r="A2" s="209" t="s">
        <v>1</v>
      </c>
      <c r="B2" s="209" t="s">
        <v>2</v>
      </c>
      <c r="C2" s="209" t="s">
        <v>3</v>
      </c>
      <c r="D2" s="209" t="s">
        <v>4</v>
      </c>
      <c r="E2" s="209" t="s">
        <v>5</v>
      </c>
      <c r="F2" s="209" t="s">
        <v>6</v>
      </c>
      <c r="G2" s="209" t="s">
        <v>7</v>
      </c>
      <c r="H2" s="209" t="s">
        <v>8</v>
      </c>
      <c r="I2" s="209" t="s">
        <v>9</v>
      </c>
      <c r="J2" s="209" t="s">
        <v>10</v>
      </c>
      <c r="K2" s="209" t="s">
        <v>11</v>
      </c>
      <c r="L2" s="209" t="s">
        <v>12</v>
      </c>
      <c r="M2" s="209" t="s">
        <v>13</v>
      </c>
      <c r="N2" s="209" t="s">
        <v>14</v>
      </c>
      <c r="O2" s="209" t="s">
        <v>15</v>
      </c>
      <c r="P2" s="209" t="s">
        <v>16</v>
      </c>
      <c r="Q2" s="209" t="s">
        <v>17</v>
      </c>
      <c r="R2" s="209" t="s">
        <v>18</v>
      </c>
      <c r="S2" s="209" t="s">
        <v>19</v>
      </c>
      <c r="T2" s="209" t="s">
        <v>20</v>
      </c>
      <c r="U2" s="209" t="s">
        <v>21</v>
      </c>
      <c r="V2" s="209" t="s">
        <v>22</v>
      </c>
      <c r="W2" s="209" t="s">
        <v>23</v>
      </c>
      <c r="X2" s="209" t="s">
        <v>24</v>
      </c>
      <c r="Y2" s="209" t="s">
        <v>25</v>
      </c>
      <c r="Z2" s="209" t="s">
        <v>26</v>
      </c>
      <c r="AA2" s="209" t="s">
        <v>27</v>
      </c>
      <c r="AB2" s="209" t="s">
        <v>28</v>
      </c>
      <c r="AC2" s="209" t="s">
        <v>206</v>
      </c>
    </row>
    <row r="3" spans="1:29">
      <c r="A3" s="209" t="s">
        <v>29</v>
      </c>
      <c r="B3" s="209" t="s">
        <v>309</v>
      </c>
      <c r="C3" s="209"/>
      <c r="D3" s="209"/>
      <c r="E3" s="209">
        <v>2</v>
      </c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>
        <f t="shared" ref="AB3:AB30" si="0">SUM(E3:AA3)</f>
        <v>2</v>
      </c>
      <c r="AC3" s="209">
        <f>C3*D3*AB3/1000000</f>
        <v>0</v>
      </c>
    </row>
    <row r="4" spans="1:29">
      <c r="A4" s="209" t="s">
        <v>31</v>
      </c>
      <c r="B4" s="209" t="s">
        <v>310</v>
      </c>
      <c r="C4" s="209"/>
      <c r="D4" s="209"/>
      <c r="E4" s="209"/>
      <c r="F4" s="209">
        <v>1</v>
      </c>
      <c r="G4" s="209">
        <v>1</v>
      </c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>
        <f t="shared" si="0"/>
        <v>2</v>
      </c>
      <c r="AC4" s="209">
        <f t="shared" ref="AC4:AC52" si="1">C4*D4*AB4/1000000</f>
        <v>0</v>
      </c>
    </row>
    <row r="5" spans="1:29">
      <c r="A5" s="209" t="s">
        <v>33</v>
      </c>
      <c r="B5" s="209" t="s">
        <v>311</v>
      </c>
      <c r="C5" s="209"/>
      <c r="D5" s="209"/>
      <c r="E5" s="209"/>
      <c r="F5" s="209">
        <v>1</v>
      </c>
      <c r="G5" s="209">
        <v>1</v>
      </c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>
        <f t="shared" si="0"/>
        <v>2</v>
      </c>
      <c r="AC5" s="209">
        <f t="shared" si="1"/>
        <v>0</v>
      </c>
    </row>
    <row r="6" spans="1:29">
      <c r="A6" s="209" t="s">
        <v>35</v>
      </c>
      <c r="B6" s="209" t="s">
        <v>312</v>
      </c>
      <c r="C6" s="209"/>
      <c r="D6" s="209"/>
      <c r="E6" s="209"/>
      <c r="F6" s="209">
        <v>1</v>
      </c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>
        <f t="shared" si="0"/>
        <v>1</v>
      </c>
      <c r="AC6" s="209">
        <f t="shared" si="1"/>
        <v>0</v>
      </c>
    </row>
    <row r="7" spans="1:29">
      <c r="A7" s="209" t="s">
        <v>37</v>
      </c>
      <c r="B7" s="209" t="s">
        <v>313</v>
      </c>
      <c r="C7" s="209"/>
      <c r="D7" s="209"/>
      <c r="E7" s="209"/>
      <c r="F7" s="209">
        <v>2</v>
      </c>
      <c r="G7" s="209">
        <v>2</v>
      </c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>
        <f t="shared" si="0"/>
        <v>4</v>
      </c>
      <c r="AC7" s="209">
        <f t="shared" si="1"/>
        <v>0</v>
      </c>
    </row>
    <row r="8" spans="1:29">
      <c r="A8" s="209" t="s">
        <v>39</v>
      </c>
      <c r="B8" s="209" t="s">
        <v>314</v>
      </c>
      <c r="C8" s="209"/>
      <c r="D8" s="209"/>
      <c r="E8" s="209"/>
      <c r="F8" s="209">
        <v>1</v>
      </c>
      <c r="G8" s="209">
        <v>1</v>
      </c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>
        <f t="shared" si="0"/>
        <v>2</v>
      </c>
      <c r="AC8" s="209">
        <f t="shared" si="1"/>
        <v>0</v>
      </c>
    </row>
    <row r="9" spans="1:29">
      <c r="A9" s="209" t="s">
        <v>41</v>
      </c>
      <c r="B9" s="209" t="s">
        <v>315</v>
      </c>
      <c r="C9" s="209"/>
      <c r="D9" s="209"/>
      <c r="E9" s="209"/>
      <c r="F9" s="209">
        <v>1</v>
      </c>
      <c r="G9" s="209">
        <v>1</v>
      </c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>
        <f t="shared" si="0"/>
        <v>2</v>
      </c>
      <c r="AC9" s="209">
        <f t="shared" si="1"/>
        <v>0</v>
      </c>
    </row>
    <row r="10" spans="1:29">
      <c r="A10" s="209" t="s">
        <v>43</v>
      </c>
      <c r="B10" s="209" t="s">
        <v>316</v>
      </c>
      <c r="C10" s="209"/>
      <c r="D10" s="209"/>
      <c r="E10" s="209"/>
      <c r="F10" s="209">
        <v>1</v>
      </c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>
        <f t="shared" si="0"/>
        <v>1</v>
      </c>
      <c r="AC10" s="209">
        <f t="shared" si="1"/>
        <v>0</v>
      </c>
    </row>
    <row r="11" spans="1:29">
      <c r="A11" s="209" t="s">
        <v>45</v>
      </c>
      <c r="B11" s="209" t="s">
        <v>40</v>
      </c>
      <c r="C11" s="209"/>
      <c r="D11" s="209"/>
      <c r="E11" s="209"/>
      <c r="F11" s="209">
        <v>2</v>
      </c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>
        <f t="shared" si="0"/>
        <v>2</v>
      </c>
      <c r="AC11" s="209">
        <f t="shared" si="1"/>
        <v>0</v>
      </c>
    </row>
    <row r="12" spans="1:29">
      <c r="A12" s="209" t="s">
        <v>47</v>
      </c>
      <c r="B12" s="209" t="s">
        <v>317</v>
      </c>
      <c r="C12" s="209"/>
      <c r="D12" s="209"/>
      <c r="E12" s="209"/>
      <c r="F12" s="209">
        <v>1</v>
      </c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>
        <f t="shared" si="0"/>
        <v>1</v>
      </c>
      <c r="AC12" s="209">
        <f t="shared" si="1"/>
        <v>0</v>
      </c>
    </row>
    <row r="13" spans="1:29">
      <c r="A13" s="209" t="s">
        <v>49</v>
      </c>
      <c r="B13" s="209" t="s">
        <v>70</v>
      </c>
      <c r="C13" s="209"/>
      <c r="D13" s="209"/>
      <c r="E13" s="209"/>
      <c r="F13" s="209">
        <v>6</v>
      </c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>
        <f t="shared" si="0"/>
        <v>6</v>
      </c>
      <c r="AC13" s="209">
        <f t="shared" si="1"/>
        <v>0</v>
      </c>
    </row>
    <row r="14" spans="1:29">
      <c r="A14" s="209" t="s">
        <v>51</v>
      </c>
      <c r="B14" s="209" t="s">
        <v>318</v>
      </c>
      <c r="C14" s="209"/>
      <c r="D14" s="209"/>
      <c r="E14" s="209"/>
      <c r="F14" s="209">
        <v>4</v>
      </c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>
        <f t="shared" si="0"/>
        <v>4</v>
      </c>
      <c r="AC14" s="209">
        <f t="shared" si="1"/>
        <v>0</v>
      </c>
    </row>
    <row r="15" spans="1:29">
      <c r="A15" s="209" t="s">
        <v>53</v>
      </c>
      <c r="B15" s="209" t="s">
        <v>319</v>
      </c>
      <c r="C15" s="209"/>
      <c r="D15" s="209"/>
      <c r="E15" s="209"/>
      <c r="F15" s="209">
        <v>5</v>
      </c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>
        <f t="shared" si="0"/>
        <v>5</v>
      </c>
      <c r="AC15" s="209">
        <f t="shared" si="1"/>
        <v>0</v>
      </c>
    </row>
    <row r="16" spans="1:29">
      <c r="A16" s="209" t="s">
        <v>55</v>
      </c>
      <c r="B16" s="209" t="s">
        <v>320</v>
      </c>
      <c r="C16" s="209"/>
      <c r="D16" s="209"/>
      <c r="E16" s="209"/>
      <c r="F16" s="209">
        <v>5</v>
      </c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>
        <f t="shared" si="0"/>
        <v>5</v>
      </c>
      <c r="AC16" s="209">
        <f t="shared" si="1"/>
        <v>0</v>
      </c>
    </row>
    <row r="17" spans="1:29">
      <c r="A17" s="209" t="s">
        <v>57</v>
      </c>
      <c r="B17" s="209" t="s">
        <v>321</v>
      </c>
      <c r="C17" s="209"/>
      <c r="D17" s="209"/>
      <c r="E17" s="209"/>
      <c r="F17" s="209">
        <v>1</v>
      </c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>
        <f t="shared" si="0"/>
        <v>1</v>
      </c>
      <c r="AC17" s="209">
        <f t="shared" si="1"/>
        <v>0</v>
      </c>
    </row>
    <row r="18" spans="1:29">
      <c r="A18" s="209" t="s">
        <v>59</v>
      </c>
      <c r="B18" s="209" t="s">
        <v>322</v>
      </c>
      <c r="C18" s="209"/>
      <c r="D18" s="209"/>
      <c r="E18" s="209"/>
      <c r="F18" s="209">
        <v>2</v>
      </c>
      <c r="G18" s="209">
        <v>2</v>
      </c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>
        <f t="shared" si="0"/>
        <v>4</v>
      </c>
      <c r="AC18" s="209">
        <f t="shared" si="1"/>
        <v>0</v>
      </c>
    </row>
    <row r="19" spans="1:29">
      <c r="A19" s="209" t="s">
        <v>61</v>
      </c>
      <c r="B19" s="209" t="s">
        <v>323</v>
      </c>
      <c r="C19" s="209"/>
      <c r="D19" s="209"/>
      <c r="E19" s="209"/>
      <c r="F19" s="209">
        <v>6</v>
      </c>
      <c r="G19" s="209">
        <v>6</v>
      </c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>
        <f t="shared" si="0"/>
        <v>12</v>
      </c>
      <c r="AC19" s="209">
        <f t="shared" si="1"/>
        <v>0</v>
      </c>
    </row>
    <row r="20" spans="1:29">
      <c r="A20" s="209" t="s">
        <v>63</v>
      </c>
      <c r="B20" s="209" t="s">
        <v>324</v>
      </c>
      <c r="C20" s="209"/>
      <c r="D20" s="209"/>
      <c r="E20" s="209"/>
      <c r="F20" s="209">
        <v>1</v>
      </c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>
        <f t="shared" si="0"/>
        <v>1</v>
      </c>
      <c r="AC20" s="209">
        <f t="shared" si="1"/>
        <v>0</v>
      </c>
    </row>
    <row r="21" spans="1:29">
      <c r="A21" s="209" t="s">
        <v>65</v>
      </c>
      <c r="B21" s="209" t="s">
        <v>325</v>
      </c>
      <c r="C21" s="209"/>
      <c r="D21" s="209"/>
      <c r="E21" s="209"/>
      <c r="F21" s="209">
        <v>8</v>
      </c>
      <c r="G21" s="209">
        <v>9</v>
      </c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>
        <f t="shared" si="0"/>
        <v>17</v>
      </c>
      <c r="AC21" s="209">
        <f t="shared" si="1"/>
        <v>0</v>
      </c>
    </row>
    <row r="22" spans="1:29">
      <c r="A22" s="209" t="s">
        <v>67</v>
      </c>
      <c r="B22" s="209" t="s">
        <v>326</v>
      </c>
      <c r="C22" s="209"/>
      <c r="D22" s="209"/>
      <c r="E22" s="209"/>
      <c r="F22" s="209">
        <v>1</v>
      </c>
      <c r="G22" s="209">
        <v>2</v>
      </c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>
        <f t="shared" si="0"/>
        <v>3</v>
      </c>
      <c r="AC22" s="209">
        <f t="shared" si="1"/>
        <v>0</v>
      </c>
    </row>
    <row r="23" spans="1:29">
      <c r="A23" s="209" t="s">
        <v>69</v>
      </c>
      <c r="B23" s="209" t="s">
        <v>327</v>
      </c>
      <c r="C23" s="209"/>
      <c r="D23" s="209"/>
      <c r="E23" s="209"/>
      <c r="F23" s="209">
        <v>3</v>
      </c>
      <c r="G23" s="209">
        <v>4</v>
      </c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>
        <f t="shared" si="0"/>
        <v>7</v>
      </c>
      <c r="AC23" s="209">
        <f t="shared" si="1"/>
        <v>0</v>
      </c>
    </row>
    <row r="24" spans="1:29">
      <c r="A24" s="209" t="s">
        <v>71</v>
      </c>
      <c r="B24" s="209" t="s">
        <v>328</v>
      </c>
      <c r="C24" s="209"/>
      <c r="D24" s="209"/>
      <c r="E24" s="209"/>
      <c r="F24" s="209">
        <v>3</v>
      </c>
      <c r="G24" s="209">
        <v>3</v>
      </c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>
        <f t="shared" si="0"/>
        <v>6</v>
      </c>
      <c r="AC24" s="209">
        <f t="shared" si="1"/>
        <v>0</v>
      </c>
    </row>
    <row r="25" spans="1:29">
      <c r="A25" s="209" t="s">
        <v>223</v>
      </c>
      <c r="B25" s="209" t="s">
        <v>329</v>
      </c>
      <c r="C25" s="209"/>
      <c r="D25" s="209"/>
      <c r="E25" s="209"/>
      <c r="F25" s="209">
        <v>1</v>
      </c>
      <c r="G25" s="209">
        <v>1</v>
      </c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>
        <f t="shared" si="0"/>
        <v>2</v>
      </c>
      <c r="AC25" s="209">
        <f t="shared" si="1"/>
        <v>0</v>
      </c>
    </row>
    <row r="26" spans="1:29">
      <c r="A26" s="209" t="s">
        <v>73</v>
      </c>
      <c r="B26" s="209" t="s">
        <v>330</v>
      </c>
      <c r="C26" s="209"/>
      <c r="D26" s="209"/>
      <c r="E26" s="209"/>
      <c r="F26" s="209">
        <v>1</v>
      </c>
      <c r="G26" s="209">
        <v>1</v>
      </c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>
        <f t="shared" si="0"/>
        <v>2</v>
      </c>
      <c r="AC26" s="209">
        <f t="shared" si="1"/>
        <v>0</v>
      </c>
    </row>
    <row r="27" spans="1:29">
      <c r="A27" s="209" t="s">
        <v>75</v>
      </c>
      <c r="B27" s="209" t="s">
        <v>331</v>
      </c>
      <c r="C27" s="209"/>
      <c r="D27" s="209"/>
      <c r="E27" s="209"/>
      <c r="F27" s="209">
        <v>1</v>
      </c>
      <c r="G27" s="209">
        <v>1</v>
      </c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>
        <f t="shared" si="0"/>
        <v>2</v>
      </c>
      <c r="AC27" s="209">
        <f t="shared" si="1"/>
        <v>0</v>
      </c>
    </row>
    <row r="28" spans="1:29">
      <c r="A28" s="209" t="s">
        <v>77</v>
      </c>
      <c r="B28" s="209" t="s">
        <v>332</v>
      </c>
      <c r="C28" s="209"/>
      <c r="D28" s="209"/>
      <c r="E28" s="209"/>
      <c r="F28" s="209"/>
      <c r="G28" s="209">
        <v>1</v>
      </c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>
        <f t="shared" si="0"/>
        <v>1</v>
      </c>
      <c r="AC28" s="209">
        <f t="shared" si="1"/>
        <v>0</v>
      </c>
    </row>
    <row r="29" spans="1:29">
      <c r="A29" s="209" t="s">
        <v>79</v>
      </c>
      <c r="B29" s="209" t="s">
        <v>157</v>
      </c>
      <c r="C29" s="209"/>
      <c r="D29" s="209"/>
      <c r="E29" s="209"/>
      <c r="F29" s="209"/>
      <c r="G29" s="209">
        <v>1</v>
      </c>
      <c r="H29" s="209">
        <v>2</v>
      </c>
      <c r="I29" s="209">
        <v>2</v>
      </c>
      <c r="J29" s="209">
        <v>2</v>
      </c>
      <c r="K29" s="209">
        <v>2</v>
      </c>
      <c r="L29" s="209">
        <v>2</v>
      </c>
      <c r="M29" s="209">
        <v>2</v>
      </c>
      <c r="N29" s="209">
        <v>2</v>
      </c>
      <c r="O29" s="209">
        <v>2</v>
      </c>
      <c r="P29" s="209">
        <v>2</v>
      </c>
      <c r="Q29" s="209">
        <v>2</v>
      </c>
      <c r="R29" s="209">
        <v>2</v>
      </c>
      <c r="S29" s="209">
        <v>2</v>
      </c>
      <c r="T29" s="209">
        <v>2</v>
      </c>
      <c r="U29" s="209">
        <v>2</v>
      </c>
      <c r="V29" s="209">
        <v>2</v>
      </c>
      <c r="W29" s="209">
        <v>2</v>
      </c>
      <c r="X29" s="209"/>
      <c r="Y29" s="209">
        <v>2</v>
      </c>
      <c r="Z29" s="209">
        <v>2</v>
      </c>
      <c r="AA29" s="209"/>
      <c r="AB29" s="209">
        <f t="shared" si="0"/>
        <v>37</v>
      </c>
      <c r="AC29" s="209">
        <f t="shared" si="1"/>
        <v>0</v>
      </c>
    </row>
    <row r="30" spans="1:29">
      <c r="A30" s="209" t="s">
        <v>81</v>
      </c>
      <c r="B30" s="209" t="s">
        <v>291</v>
      </c>
      <c r="C30" s="209"/>
      <c r="D30" s="209"/>
      <c r="E30" s="209"/>
      <c r="F30" s="209"/>
      <c r="G30" s="209">
        <v>2</v>
      </c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>
        <f t="shared" si="0"/>
        <v>2</v>
      </c>
      <c r="AC30" s="209">
        <f t="shared" si="1"/>
        <v>0</v>
      </c>
    </row>
    <row r="31" spans="1:29">
      <c r="A31" s="209" t="s">
        <v>83</v>
      </c>
      <c r="B31" s="209" t="s">
        <v>280</v>
      </c>
      <c r="C31" s="209"/>
      <c r="D31" s="209"/>
      <c r="E31" s="209"/>
      <c r="F31" s="209"/>
      <c r="G31" s="209">
        <v>2</v>
      </c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>
        <f t="shared" ref="AB31:AB52" si="2">SUM(E31:AA31)</f>
        <v>2</v>
      </c>
      <c r="AC31" s="209">
        <f t="shared" si="1"/>
        <v>0</v>
      </c>
    </row>
    <row r="32" spans="1:29">
      <c r="A32" s="209" t="s">
        <v>85</v>
      </c>
      <c r="B32" s="209" t="s">
        <v>333</v>
      </c>
      <c r="C32" s="209"/>
      <c r="D32" s="209"/>
      <c r="E32" s="209"/>
      <c r="F32" s="209"/>
      <c r="G32" s="209">
        <v>1</v>
      </c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>
        <f t="shared" si="2"/>
        <v>1</v>
      </c>
      <c r="AC32" s="209">
        <f t="shared" si="1"/>
        <v>0</v>
      </c>
    </row>
    <row r="33" spans="1:29">
      <c r="A33" s="209" t="s">
        <v>87</v>
      </c>
      <c r="B33" s="209" t="s">
        <v>235</v>
      </c>
      <c r="C33" s="209"/>
      <c r="D33" s="209"/>
      <c r="E33" s="209"/>
      <c r="F33" s="209"/>
      <c r="G33" s="209">
        <v>3</v>
      </c>
      <c r="H33" s="209">
        <v>6</v>
      </c>
      <c r="I33" s="209">
        <v>6</v>
      </c>
      <c r="J33" s="209">
        <v>6</v>
      </c>
      <c r="K33" s="209">
        <v>6</v>
      </c>
      <c r="L33" s="209">
        <v>6</v>
      </c>
      <c r="M33" s="209">
        <v>6</v>
      </c>
      <c r="N33" s="209">
        <v>6</v>
      </c>
      <c r="O33" s="209">
        <v>6</v>
      </c>
      <c r="P33" s="209">
        <v>6</v>
      </c>
      <c r="Q33" s="209">
        <v>6</v>
      </c>
      <c r="R33" s="209">
        <v>6</v>
      </c>
      <c r="S33" s="209">
        <v>6</v>
      </c>
      <c r="T33" s="209">
        <v>6</v>
      </c>
      <c r="U33" s="209">
        <v>6</v>
      </c>
      <c r="V33" s="209">
        <v>6</v>
      </c>
      <c r="W33" s="209">
        <v>6</v>
      </c>
      <c r="X33" s="209">
        <v>6</v>
      </c>
      <c r="Y33" s="209">
        <v>6</v>
      </c>
      <c r="Z33" s="209">
        <v>6</v>
      </c>
      <c r="AA33" s="209"/>
      <c r="AB33" s="209">
        <f t="shared" si="2"/>
        <v>117</v>
      </c>
      <c r="AC33" s="209">
        <f t="shared" si="1"/>
        <v>0</v>
      </c>
    </row>
    <row r="34" spans="1:29">
      <c r="A34" s="209" t="s">
        <v>89</v>
      </c>
      <c r="B34" s="209" t="s">
        <v>151</v>
      </c>
      <c r="C34" s="209"/>
      <c r="D34" s="209"/>
      <c r="E34" s="209"/>
      <c r="F34" s="209"/>
      <c r="G34" s="209">
        <v>2</v>
      </c>
      <c r="H34" s="209">
        <v>4</v>
      </c>
      <c r="I34" s="209">
        <v>4</v>
      </c>
      <c r="J34" s="209">
        <v>4</v>
      </c>
      <c r="K34" s="209">
        <v>4</v>
      </c>
      <c r="L34" s="209">
        <v>4</v>
      </c>
      <c r="M34" s="209">
        <v>4</v>
      </c>
      <c r="N34" s="209">
        <v>4</v>
      </c>
      <c r="O34" s="209">
        <v>4</v>
      </c>
      <c r="P34" s="209">
        <v>4</v>
      </c>
      <c r="Q34" s="209">
        <v>4</v>
      </c>
      <c r="R34" s="209">
        <v>4</v>
      </c>
      <c r="S34" s="209">
        <v>4</v>
      </c>
      <c r="T34" s="209">
        <v>4</v>
      </c>
      <c r="U34" s="209">
        <v>4</v>
      </c>
      <c r="V34" s="209">
        <v>4</v>
      </c>
      <c r="W34" s="209">
        <v>4</v>
      </c>
      <c r="X34" s="209">
        <v>4</v>
      </c>
      <c r="Y34" s="209">
        <v>4</v>
      </c>
      <c r="Z34" s="209">
        <v>4</v>
      </c>
      <c r="AA34" s="209"/>
      <c r="AB34" s="209">
        <f t="shared" si="2"/>
        <v>78</v>
      </c>
      <c r="AC34" s="209">
        <f t="shared" si="1"/>
        <v>0</v>
      </c>
    </row>
    <row r="35" spans="1:29">
      <c r="A35" s="209" t="s">
        <v>91</v>
      </c>
      <c r="B35" s="209" t="s">
        <v>334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>
        <f t="shared" si="2"/>
        <v>0</v>
      </c>
      <c r="AC35" s="209">
        <f t="shared" si="1"/>
        <v>0</v>
      </c>
    </row>
    <row r="36" spans="1:29">
      <c r="A36" s="209" t="s">
        <v>93</v>
      </c>
      <c r="B36" s="209" t="s">
        <v>283</v>
      </c>
      <c r="C36" s="209"/>
      <c r="D36" s="209"/>
      <c r="E36" s="209"/>
      <c r="F36" s="209"/>
      <c r="G36" s="209">
        <v>1</v>
      </c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>
        <f t="shared" si="2"/>
        <v>1</v>
      </c>
      <c r="AC36" s="209">
        <f t="shared" si="1"/>
        <v>0</v>
      </c>
    </row>
    <row r="37" spans="1:29">
      <c r="A37" s="209" t="s">
        <v>95</v>
      </c>
      <c r="B37" s="209" t="s">
        <v>284</v>
      </c>
      <c r="C37" s="209"/>
      <c r="D37" s="209"/>
      <c r="E37" s="209"/>
      <c r="F37" s="209"/>
      <c r="G37" s="209">
        <v>1</v>
      </c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>
        <f t="shared" si="2"/>
        <v>1</v>
      </c>
      <c r="AC37" s="209">
        <f t="shared" si="1"/>
        <v>0</v>
      </c>
    </row>
    <row r="38" spans="1:29">
      <c r="A38" s="209" t="s">
        <v>97</v>
      </c>
      <c r="B38" s="209" t="s">
        <v>285</v>
      </c>
      <c r="C38" s="209"/>
      <c r="D38" s="209"/>
      <c r="E38" s="209"/>
      <c r="F38" s="209"/>
      <c r="G38" s="209">
        <v>1</v>
      </c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>
        <f t="shared" si="2"/>
        <v>1</v>
      </c>
      <c r="AC38" s="209">
        <f t="shared" si="1"/>
        <v>0</v>
      </c>
    </row>
    <row r="39" spans="1:29">
      <c r="A39" s="209" t="s">
        <v>99</v>
      </c>
      <c r="B39" s="209" t="s">
        <v>286</v>
      </c>
      <c r="C39" s="209"/>
      <c r="D39" s="209"/>
      <c r="E39" s="209"/>
      <c r="F39" s="209"/>
      <c r="G39" s="209">
        <v>1</v>
      </c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>
        <f t="shared" si="2"/>
        <v>1</v>
      </c>
      <c r="AC39" s="209">
        <f t="shared" si="1"/>
        <v>0</v>
      </c>
    </row>
    <row r="40" spans="1:29">
      <c r="A40" s="209" t="s">
        <v>101</v>
      </c>
      <c r="B40" s="209" t="s">
        <v>181</v>
      </c>
      <c r="C40" s="209"/>
      <c r="D40" s="209"/>
      <c r="E40" s="209"/>
      <c r="F40" s="209"/>
      <c r="G40" s="209">
        <v>1</v>
      </c>
      <c r="H40" s="209">
        <v>1</v>
      </c>
      <c r="I40" s="209">
        <v>2</v>
      </c>
      <c r="J40" s="209">
        <v>2</v>
      </c>
      <c r="K40" s="209">
        <v>2</v>
      </c>
      <c r="L40" s="209">
        <v>2</v>
      </c>
      <c r="M40" s="209">
        <v>2</v>
      </c>
      <c r="N40" s="209">
        <v>2</v>
      </c>
      <c r="O40" s="209">
        <v>2</v>
      </c>
      <c r="P40" s="209">
        <v>2</v>
      </c>
      <c r="Q40" s="209">
        <v>2</v>
      </c>
      <c r="R40" s="209">
        <v>2</v>
      </c>
      <c r="S40" s="209">
        <v>2</v>
      </c>
      <c r="T40" s="209">
        <v>2</v>
      </c>
      <c r="U40" s="209">
        <v>2</v>
      </c>
      <c r="V40" s="209">
        <v>2</v>
      </c>
      <c r="W40" s="209">
        <v>2</v>
      </c>
      <c r="X40" s="209">
        <v>2</v>
      </c>
      <c r="Y40" s="209">
        <v>2</v>
      </c>
      <c r="Z40" s="209">
        <v>0</v>
      </c>
      <c r="AA40" s="209"/>
      <c r="AB40" s="209">
        <f t="shared" si="2"/>
        <v>36</v>
      </c>
      <c r="AC40" s="209">
        <f t="shared" si="1"/>
        <v>0</v>
      </c>
    </row>
    <row r="41" spans="1:29">
      <c r="A41" s="209" t="s">
        <v>103</v>
      </c>
      <c r="B41" s="209" t="s">
        <v>163</v>
      </c>
      <c r="C41" s="209"/>
      <c r="D41" s="209"/>
      <c r="E41" s="209"/>
      <c r="F41" s="209"/>
      <c r="G41" s="209">
        <v>1</v>
      </c>
      <c r="H41" s="209">
        <v>2</v>
      </c>
      <c r="I41" s="209">
        <v>2</v>
      </c>
      <c r="J41" s="209">
        <v>2</v>
      </c>
      <c r="K41" s="209">
        <v>2</v>
      </c>
      <c r="L41" s="209">
        <v>2</v>
      </c>
      <c r="M41" s="209">
        <v>2</v>
      </c>
      <c r="N41" s="209">
        <v>2</v>
      </c>
      <c r="O41" s="209">
        <v>2</v>
      </c>
      <c r="P41" s="209">
        <v>2</v>
      </c>
      <c r="Q41" s="209">
        <v>2</v>
      </c>
      <c r="R41" s="209">
        <v>2</v>
      </c>
      <c r="S41" s="209">
        <v>2</v>
      </c>
      <c r="T41" s="209">
        <v>2</v>
      </c>
      <c r="U41" s="209">
        <v>2</v>
      </c>
      <c r="V41" s="209">
        <v>2</v>
      </c>
      <c r="W41" s="209">
        <v>2</v>
      </c>
      <c r="X41" s="209">
        <v>2</v>
      </c>
      <c r="Y41" s="209">
        <v>2</v>
      </c>
      <c r="Z41" s="209">
        <v>2</v>
      </c>
      <c r="AA41" s="209"/>
      <c r="AB41" s="209">
        <f t="shared" si="2"/>
        <v>39</v>
      </c>
      <c r="AC41" s="209">
        <f t="shared" si="1"/>
        <v>0</v>
      </c>
    </row>
    <row r="42" spans="1:29">
      <c r="A42" s="209" t="s">
        <v>105</v>
      </c>
      <c r="B42" s="209" t="s">
        <v>289</v>
      </c>
      <c r="C42" s="209"/>
      <c r="D42" s="209"/>
      <c r="E42" s="209"/>
      <c r="F42" s="209"/>
      <c r="G42" s="209">
        <v>1</v>
      </c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>
        <f t="shared" si="2"/>
        <v>1</v>
      </c>
      <c r="AC42" s="209">
        <f t="shared" si="1"/>
        <v>0</v>
      </c>
    </row>
    <row r="43" spans="1:29">
      <c r="A43" s="209" t="s">
        <v>107</v>
      </c>
      <c r="B43" s="209" t="s">
        <v>290</v>
      </c>
      <c r="C43" s="209"/>
      <c r="D43" s="209"/>
      <c r="E43" s="209"/>
      <c r="F43" s="209"/>
      <c r="G43" s="209">
        <v>1</v>
      </c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>
        <f t="shared" si="2"/>
        <v>1</v>
      </c>
      <c r="AC43" s="209">
        <f t="shared" si="1"/>
        <v>0</v>
      </c>
    </row>
    <row r="44" spans="1:29">
      <c r="A44" s="209" t="s">
        <v>109</v>
      </c>
      <c r="B44" s="209" t="s">
        <v>252</v>
      </c>
      <c r="C44" s="209"/>
      <c r="D44" s="209"/>
      <c r="E44" s="209"/>
      <c r="F44" s="209"/>
      <c r="G44" s="209">
        <v>1</v>
      </c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>
        <f t="shared" si="2"/>
        <v>1</v>
      </c>
      <c r="AC44" s="209">
        <f t="shared" si="1"/>
        <v>0</v>
      </c>
    </row>
    <row r="45" spans="1:29">
      <c r="A45" s="209" t="s">
        <v>111</v>
      </c>
      <c r="B45" s="209" t="s">
        <v>292</v>
      </c>
      <c r="C45" s="209"/>
      <c r="D45" s="209"/>
      <c r="E45" s="209"/>
      <c r="F45" s="209"/>
      <c r="G45" s="209">
        <v>1</v>
      </c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>
        <f t="shared" si="2"/>
        <v>1</v>
      </c>
      <c r="AC45" s="209">
        <f t="shared" si="1"/>
        <v>0</v>
      </c>
    </row>
    <row r="46" spans="1:29">
      <c r="A46" s="209" t="s">
        <v>113</v>
      </c>
      <c r="B46" s="209" t="s">
        <v>293</v>
      </c>
      <c r="C46" s="209"/>
      <c r="D46" s="209"/>
      <c r="E46" s="209"/>
      <c r="F46" s="209"/>
      <c r="G46" s="209">
        <v>1</v>
      </c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>
        <f t="shared" si="2"/>
        <v>1</v>
      </c>
      <c r="AC46" s="209">
        <f t="shared" si="1"/>
        <v>0</v>
      </c>
    </row>
    <row r="47" spans="1:29">
      <c r="A47" s="209" t="s">
        <v>115</v>
      </c>
      <c r="B47" s="209" t="s">
        <v>177</v>
      </c>
      <c r="C47" s="209"/>
      <c r="D47" s="209"/>
      <c r="E47" s="209"/>
      <c r="F47" s="209"/>
      <c r="G47" s="209">
        <v>1</v>
      </c>
      <c r="H47" s="209">
        <v>1</v>
      </c>
      <c r="I47" s="209">
        <v>2</v>
      </c>
      <c r="J47" s="209">
        <v>2</v>
      </c>
      <c r="K47" s="209">
        <v>2</v>
      </c>
      <c r="L47" s="209">
        <v>2</v>
      </c>
      <c r="M47" s="209">
        <v>2</v>
      </c>
      <c r="N47" s="209">
        <v>2</v>
      </c>
      <c r="O47" s="209">
        <v>2</v>
      </c>
      <c r="P47" s="209">
        <v>2</v>
      </c>
      <c r="Q47" s="209">
        <v>2</v>
      </c>
      <c r="R47" s="209">
        <v>2</v>
      </c>
      <c r="S47" s="209">
        <v>2</v>
      </c>
      <c r="T47" s="209">
        <v>2</v>
      </c>
      <c r="U47" s="209">
        <v>2</v>
      </c>
      <c r="V47" s="209">
        <v>2</v>
      </c>
      <c r="W47" s="209">
        <v>2</v>
      </c>
      <c r="X47" s="209">
        <v>2</v>
      </c>
      <c r="Y47" s="209">
        <v>2</v>
      </c>
      <c r="Z47" s="209"/>
      <c r="AA47" s="209"/>
      <c r="AB47" s="209">
        <f t="shared" si="2"/>
        <v>36</v>
      </c>
      <c r="AC47" s="209">
        <f t="shared" si="1"/>
        <v>0</v>
      </c>
    </row>
    <row r="48" spans="1:29">
      <c r="A48" s="209" t="s">
        <v>117</v>
      </c>
      <c r="B48" s="209" t="s">
        <v>335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>
        <f t="shared" si="2"/>
        <v>0</v>
      </c>
      <c r="AC48" s="209">
        <f t="shared" si="1"/>
        <v>0</v>
      </c>
    </row>
    <row r="49" spans="1:29">
      <c r="A49" s="209" t="s">
        <v>119</v>
      </c>
      <c r="B49" s="209" t="s">
        <v>295</v>
      </c>
      <c r="C49" s="209"/>
      <c r="D49" s="209"/>
      <c r="E49" s="209"/>
      <c r="F49" s="209"/>
      <c r="G49" s="209">
        <v>1</v>
      </c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>
        <f t="shared" si="2"/>
        <v>1</v>
      </c>
      <c r="AC49" s="209">
        <f t="shared" si="1"/>
        <v>0</v>
      </c>
    </row>
    <row r="50" spans="1:29">
      <c r="A50" s="209" t="s">
        <v>121</v>
      </c>
      <c r="B50" s="209" t="s">
        <v>271</v>
      </c>
      <c r="C50" s="209"/>
      <c r="D50" s="209"/>
      <c r="E50" s="209"/>
      <c r="F50" s="209"/>
      <c r="G50" s="209">
        <v>1</v>
      </c>
      <c r="H50" s="209">
        <v>1</v>
      </c>
      <c r="I50" s="209">
        <v>1</v>
      </c>
      <c r="J50" s="209">
        <v>1</v>
      </c>
      <c r="K50" s="209">
        <v>1</v>
      </c>
      <c r="L50" s="209">
        <v>1</v>
      </c>
      <c r="M50" s="209">
        <v>1</v>
      </c>
      <c r="N50" s="209">
        <v>1</v>
      </c>
      <c r="O50" s="209">
        <v>1</v>
      </c>
      <c r="P50" s="209">
        <v>1</v>
      </c>
      <c r="Q50" s="209">
        <v>1</v>
      </c>
      <c r="R50" s="209">
        <v>1</v>
      </c>
      <c r="S50" s="209">
        <v>1</v>
      </c>
      <c r="T50" s="209">
        <v>1</v>
      </c>
      <c r="U50" s="209">
        <v>1</v>
      </c>
      <c r="V50" s="209">
        <v>1</v>
      </c>
      <c r="W50" s="209">
        <v>1</v>
      </c>
      <c r="X50" s="209">
        <v>1</v>
      </c>
      <c r="Y50" s="209">
        <v>1</v>
      </c>
      <c r="Z50" s="209">
        <v>1</v>
      </c>
      <c r="AA50" s="209"/>
      <c r="AB50" s="209">
        <f t="shared" si="2"/>
        <v>20</v>
      </c>
      <c r="AC50" s="209">
        <f t="shared" si="1"/>
        <v>0</v>
      </c>
    </row>
    <row r="51" spans="1:29">
      <c r="A51" s="209" t="s">
        <v>123</v>
      </c>
      <c r="B51" s="210" t="s">
        <v>336</v>
      </c>
      <c r="C51" s="210"/>
      <c r="D51" s="210"/>
      <c r="E51" s="210"/>
      <c r="F51" s="210"/>
      <c r="G51" s="210">
        <v>1</v>
      </c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>
        <f t="shared" si="2"/>
        <v>1</v>
      </c>
      <c r="AC51" s="210">
        <f t="shared" si="1"/>
        <v>0</v>
      </c>
    </row>
    <row r="52" spans="1:30">
      <c r="A52" s="209" t="s">
        <v>125</v>
      </c>
      <c r="B52" s="209" t="s">
        <v>337</v>
      </c>
      <c r="C52" s="209"/>
      <c r="D52" s="209"/>
      <c r="E52" s="209"/>
      <c r="F52" s="209"/>
      <c r="G52" s="209">
        <v>1</v>
      </c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>
        <f t="shared" si="2"/>
        <v>1</v>
      </c>
      <c r="AC52" s="209">
        <f t="shared" si="1"/>
        <v>0</v>
      </c>
      <c r="AD52" s="209"/>
    </row>
    <row r="53" spans="1:30">
      <c r="A53" s="209" t="s">
        <v>127</v>
      </c>
      <c r="B53" s="209" t="s">
        <v>145</v>
      </c>
      <c r="C53" s="209"/>
      <c r="D53" s="209"/>
      <c r="E53" s="209"/>
      <c r="F53" s="209"/>
      <c r="G53" s="209"/>
      <c r="H53" s="209">
        <v>4</v>
      </c>
      <c r="I53" s="209">
        <v>4</v>
      </c>
      <c r="J53" s="209">
        <v>4</v>
      </c>
      <c r="K53" s="209">
        <v>4</v>
      </c>
      <c r="L53" s="209">
        <v>4</v>
      </c>
      <c r="M53" s="209">
        <v>4</v>
      </c>
      <c r="N53" s="209">
        <v>4</v>
      </c>
      <c r="O53" s="209">
        <v>4</v>
      </c>
      <c r="P53" s="209">
        <v>4</v>
      </c>
      <c r="Q53" s="209">
        <v>4</v>
      </c>
      <c r="R53" s="209">
        <v>4</v>
      </c>
      <c r="S53" s="209">
        <v>4</v>
      </c>
      <c r="T53" s="209">
        <v>4</v>
      </c>
      <c r="U53" s="209">
        <v>4</v>
      </c>
      <c r="V53" s="209">
        <v>4</v>
      </c>
      <c r="W53" s="209">
        <v>4</v>
      </c>
      <c r="X53" s="209">
        <v>4</v>
      </c>
      <c r="Y53" s="209">
        <v>4</v>
      </c>
      <c r="Z53" s="209">
        <v>4</v>
      </c>
      <c r="AA53" s="209"/>
      <c r="AB53" s="209">
        <f t="shared" ref="AB53:AB72" si="3">SUM(E53:AA53)</f>
        <v>76</v>
      </c>
      <c r="AC53" s="209">
        <f t="shared" ref="AC53:AC73" si="4">C53*D53*AB53/1000000</f>
        <v>0</v>
      </c>
      <c r="AD53" s="209"/>
    </row>
    <row r="54" spans="1:30">
      <c r="A54" s="209" t="s">
        <v>129</v>
      </c>
      <c r="B54" s="209" t="s">
        <v>147</v>
      </c>
      <c r="C54" s="209"/>
      <c r="D54" s="209"/>
      <c r="E54" s="209"/>
      <c r="F54" s="209"/>
      <c r="G54" s="209"/>
      <c r="H54" s="209">
        <v>3</v>
      </c>
      <c r="I54" s="209">
        <v>3</v>
      </c>
      <c r="J54" s="209">
        <v>3</v>
      </c>
      <c r="K54" s="209">
        <v>3</v>
      </c>
      <c r="L54" s="209">
        <v>3</v>
      </c>
      <c r="M54" s="209">
        <v>3</v>
      </c>
      <c r="N54" s="209">
        <v>3</v>
      </c>
      <c r="O54" s="209">
        <v>3</v>
      </c>
      <c r="P54" s="209">
        <v>3</v>
      </c>
      <c r="Q54" s="209">
        <v>3</v>
      </c>
      <c r="R54" s="209">
        <v>3</v>
      </c>
      <c r="S54" s="209">
        <v>3</v>
      </c>
      <c r="T54" s="209">
        <v>3</v>
      </c>
      <c r="U54" s="209">
        <v>3</v>
      </c>
      <c r="V54" s="209">
        <v>3</v>
      </c>
      <c r="W54" s="209">
        <v>3</v>
      </c>
      <c r="X54" s="209">
        <v>3</v>
      </c>
      <c r="Y54" s="209">
        <v>3</v>
      </c>
      <c r="Z54" s="209">
        <v>3</v>
      </c>
      <c r="AA54" s="209"/>
      <c r="AB54" s="209">
        <f t="shared" si="3"/>
        <v>57</v>
      </c>
      <c r="AC54" s="209">
        <f t="shared" si="4"/>
        <v>0</v>
      </c>
      <c r="AD54" s="209"/>
    </row>
    <row r="55" spans="1:30">
      <c r="A55" s="209" t="s">
        <v>131</v>
      </c>
      <c r="B55" s="209" t="s">
        <v>153</v>
      </c>
      <c r="C55" s="209"/>
      <c r="D55" s="209"/>
      <c r="E55" s="209"/>
      <c r="F55" s="209"/>
      <c r="G55" s="209">
        <v>1</v>
      </c>
      <c r="H55" s="209">
        <v>4</v>
      </c>
      <c r="I55" s="209">
        <v>4</v>
      </c>
      <c r="J55" s="209">
        <v>4</v>
      </c>
      <c r="K55" s="209">
        <v>4</v>
      </c>
      <c r="L55" s="209">
        <v>4</v>
      </c>
      <c r="M55" s="209">
        <v>4</v>
      </c>
      <c r="N55" s="209">
        <v>4</v>
      </c>
      <c r="O55" s="209">
        <v>4</v>
      </c>
      <c r="P55" s="209">
        <v>4</v>
      </c>
      <c r="Q55" s="209">
        <v>4</v>
      </c>
      <c r="R55" s="209">
        <v>4</v>
      </c>
      <c r="S55" s="209">
        <v>4</v>
      </c>
      <c r="T55" s="209">
        <v>4</v>
      </c>
      <c r="U55" s="209">
        <v>4</v>
      </c>
      <c r="V55" s="209">
        <v>4</v>
      </c>
      <c r="W55" s="209">
        <v>4</v>
      </c>
      <c r="X55" s="209">
        <v>4</v>
      </c>
      <c r="Y55" s="209">
        <v>4</v>
      </c>
      <c r="Z55" s="209">
        <v>4</v>
      </c>
      <c r="AA55" s="209"/>
      <c r="AB55" s="209">
        <f t="shared" si="3"/>
        <v>77</v>
      </c>
      <c r="AC55" s="209">
        <f t="shared" si="4"/>
        <v>0</v>
      </c>
      <c r="AD55" s="209"/>
    </row>
    <row r="56" spans="1:30">
      <c r="A56" s="209" t="s">
        <v>133</v>
      </c>
      <c r="B56" s="209" t="s">
        <v>159</v>
      </c>
      <c r="C56" s="209"/>
      <c r="D56" s="209"/>
      <c r="E56" s="209"/>
      <c r="F56" s="209"/>
      <c r="G56" s="209"/>
      <c r="H56" s="209">
        <v>1</v>
      </c>
      <c r="I56" s="209">
        <v>1</v>
      </c>
      <c r="J56" s="209">
        <v>1</v>
      </c>
      <c r="K56" s="209">
        <v>1</v>
      </c>
      <c r="L56" s="209">
        <v>1</v>
      </c>
      <c r="M56" s="209">
        <v>1</v>
      </c>
      <c r="N56" s="209">
        <v>1</v>
      </c>
      <c r="O56" s="209">
        <v>1</v>
      </c>
      <c r="P56" s="209">
        <v>1</v>
      </c>
      <c r="Q56" s="209">
        <v>1</v>
      </c>
      <c r="R56" s="209">
        <v>1</v>
      </c>
      <c r="S56" s="209">
        <v>1</v>
      </c>
      <c r="T56" s="209">
        <v>1</v>
      </c>
      <c r="U56" s="209">
        <v>1</v>
      </c>
      <c r="V56" s="209">
        <v>1</v>
      </c>
      <c r="W56" s="209">
        <v>1</v>
      </c>
      <c r="X56" s="209">
        <v>1</v>
      </c>
      <c r="Y56" s="209">
        <v>1</v>
      </c>
      <c r="Z56" s="209">
        <v>1</v>
      </c>
      <c r="AA56" s="209"/>
      <c r="AB56" s="209">
        <f t="shared" si="3"/>
        <v>19</v>
      </c>
      <c r="AC56" s="209">
        <f t="shared" si="4"/>
        <v>0</v>
      </c>
      <c r="AD56" s="209"/>
    </row>
    <row r="57" spans="1:30">
      <c r="A57" s="209" t="s">
        <v>135</v>
      </c>
      <c r="B57" s="209" t="s">
        <v>300</v>
      </c>
      <c r="C57" s="209"/>
      <c r="D57" s="209"/>
      <c r="E57" s="209"/>
      <c r="F57" s="209"/>
      <c r="G57" s="209"/>
      <c r="H57" s="209">
        <v>2</v>
      </c>
      <c r="I57" s="209">
        <v>2</v>
      </c>
      <c r="J57" s="209">
        <v>2</v>
      </c>
      <c r="K57" s="209">
        <v>2</v>
      </c>
      <c r="L57" s="209">
        <v>2</v>
      </c>
      <c r="M57" s="209">
        <v>2</v>
      </c>
      <c r="N57" s="209">
        <v>2</v>
      </c>
      <c r="O57" s="209">
        <v>2</v>
      </c>
      <c r="P57" s="209">
        <v>2</v>
      </c>
      <c r="Q57" s="209">
        <v>2</v>
      </c>
      <c r="R57" s="209">
        <v>2</v>
      </c>
      <c r="S57" s="209">
        <v>2</v>
      </c>
      <c r="T57" s="209">
        <v>2</v>
      </c>
      <c r="U57" s="209">
        <v>2</v>
      </c>
      <c r="V57" s="209">
        <v>2</v>
      </c>
      <c r="W57" s="209">
        <v>2</v>
      </c>
      <c r="X57" s="209">
        <v>2</v>
      </c>
      <c r="Y57" s="209">
        <v>2</v>
      </c>
      <c r="Z57" s="209">
        <v>2</v>
      </c>
      <c r="AA57" s="209"/>
      <c r="AB57" s="209">
        <f t="shared" si="3"/>
        <v>38</v>
      </c>
      <c r="AC57" s="209">
        <f t="shared" si="4"/>
        <v>0</v>
      </c>
      <c r="AD57" s="209"/>
    </row>
    <row r="58" spans="1:30">
      <c r="A58" s="209" t="s">
        <v>137</v>
      </c>
      <c r="B58" s="209" t="s">
        <v>302</v>
      </c>
      <c r="C58" s="209"/>
      <c r="D58" s="209"/>
      <c r="E58" s="209"/>
      <c r="F58" s="209"/>
      <c r="G58" s="209"/>
      <c r="H58" s="209"/>
      <c r="I58" s="209">
        <v>1</v>
      </c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>
        <v>2</v>
      </c>
      <c r="Z58" s="209"/>
      <c r="AA58" s="209"/>
      <c r="AB58" s="209">
        <f t="shared" si="3"/>
        <v>3</v>
      </c>
      <c r="AC58" s="209">
        <f t="shared" si="4"/>
        <v>0</v>
      </c>
      <c r="AD58" s="209"/>
    </row>
    <row r="59" spans="1:30">
      <c r="A59" s="209" t="s">
        <v>138</v>
      </c>
      <c r="B59" s="209" t="s">
        <v>143</v>
      </c>
      <c r="C59" s="209"/>
      <c r="D59" s="209"/>
      <c r="E59" s="209"/>
      <c r="F59" s="209"/>
      <c r="G59" s="209"/>
      <c r="H59" s="209">
        <v>2</v>
      </c>
      <c r="I59" s="209">
        <v>2</v>
      </c>
      <c r="J59" s="209">
        <v>2</v>
      </c>
      <c r="K59" s="209">
        <v>2</v>
      </c>
      <c r="L59" s="209">
        <v>2</v>
      </c>
      <c r="M59" s="209">
        <v>2</v>
      </c>
      <c r="N59" s="209">
        <v>2</v>
      </c>
      <c r="O59" s="209">
        <v>2</v>
      </c>
      <c r="P59" s="209">
        <v>2</v>
      </c>
      <c r="Q59" s="209">
        <v>2</v>
      </c>
      <c r="R59" s="209">
        <v>2</v>
      </c>
      <c r="S59" s="209">
        <v>2</v>
      </c>
      <c r="T59" s="209">
        <v>2</v>
      </c>
      <c r="U59" s="209">
        <v>2</v>
      </c>
      <c r="V59" s="209">
        <v>2</v>
      </c>
      <c r="W59" s="209">
        <v>2</v>
      </c>
      <c r="X59" s="209">
        <v>2</v>
      </c>
      <c r="Y59" s="209">
        <v>2</v>
      </c>
      <c r="Z59" s="209">
        <v>2</v>
      </c>
      <c r="AA59" s="209"/>
      <c r="AB59" s="209">
        <f t="shared" si="3"/>
        <v>38</v>
      </c>
      <c r="AC59" s="209">
        <f t="shared" si="4"/>
        <v>0</v>
      </c>
      <c r="AD59" s="209"/>
    </row>
    <row r="60" spans="1:30">
      <c r="A60" s="209" t="s">
        <v>140</v>
      </c>
      <c r="B60" s="209" t="s">
        <v>141</v>
      </c>
      <c r="C60" s="209"/>
      <c r="D60" s="209"/>
      <c r="E60" s="209"/>
      <c r="F60" s="209"/>
      <c r="G60" s="209"/>
      <c r="H60" s="209">
        <v>2</v>
      </c>
      <c r="I60" s="209">
        <v>2</v>
      </c>
      <c r="J60" s="209">
        <v>2</v>
      </c>
      <c r="K60" s="209">
        <v>2</v>
      </c>
      <c r="L60" s="209">
        <v>2</v>
      </c>
      <c r="M60" s="209">
        <v>2</v>
      </c>
      <c r="N60" s="209">
        <v>2</v>
      </c>
      <c r="O60" s="209">
        <v>2</v>
      </c>
      <c r="P60" s="209">
        <v>2</v>
      </c>
      <c r="Q60" s="209">
        <v>2</v>
      </c>
      <c r="R60" s="209">
        <v>2</v>
      </c>
      <c r="S60" s="209">
        <v>2</v>
      </c>
      <c r="T60" s="209">
        <v>2</v>
      </c>
      <c r="U60" s="209">
        <v>2</v>
      </c>
      <c r="V60" s="209">
        <v>2</v>
      </c>
      <c r="W60" s="209">
        <v>2</v>
      </c>
      <c r="X60" s="209">
        <v>2</v>
      </c>
      <c r="Y60" s="209">
        <v>2</v>
      </c>
      <c r="Z60" s="209">
        <v>2</v>
      </c>
      <c r="AA60" s="209"/>
      <c r="AB60" s="209">
        <f t="shared" si="3"/>
        <v>38</v>
      </c>
      <c r="AC60" s="209">
        <f t="shared" si="4"/>
        <v>0</v>
      </c>
      <c r="AD60" s="209"/>
    </row>
    <row r="61" spans="1:30">
      <c r="A61" s="209" t="s">
        <v>142</v>
      </c>
      <c r="B61" s="209" t="s">
        <v>179</v>
      </c>
      <c r="C61" s="209"/>
      <c r="D61" s="209"/>
      <c r="E61" s="209"/>
      <c r="F61" s="209"/>
      <c r="G61" s="209"/>
      <c r="H61" s="209">
        <v>1</v>
      </c>
      <c r="I61" s="209">
        <v>1</v>
      </c>
      <c r="J61" s="209">
        <v>2</v>
      </c>
      <c r="K61" s="209">
        <v>2</v>
      </c>
      <c r="L61" s="209">
        <v>2</v>
      </c>
      <c r="M61" s="209">
        <v>2</v>
      </c>
      <c r="N61" s="209">
        <v>2</v>
      </c>
      <c r="O61" s="209">
        <v>2</v>
      </c>
      <c r="P61" s="209">
        <v>2</v>
      </c>
      <c r="Q61" s="209">
        <v>2</v>
      </c>
      <c r="R61" s="209">
        <v>2</v>
      </c>
      <c r="S61" s="209">
        <v>2</v>
      </c>
      <c r="T61" s="209">
        <v>2</v>
      </c>
      <c r="U61" s="209">
        <v>2</v>
      </c>
      <c r="V61" s="209">
        <v>2</v>
      </c>
      <c r="W61" s="209">
        <v>2</v>
      </c>
      <c r="X61" s="209">
        <v>2</v>
      </c>
      <c r="Y61" s="209">
        <v>2</v>
      </c>
      <c r="Z61" s="209"/>
      <c r="AA61" s="209"/>
      <c r="AB61" s="209">
        <f t="shared" si="3"/>
        <v>34</v>
      </c>
      <c r="AC61" s="209">
        <f t="shared" si="4"/>
        <v>0</v>
      </c>
      <c r="AD61" s="209"/>
    </row>
    <row r="62" spans="1:30">
      <c r="A62" s="209" t="s">
        <v>144</v>
      </c>
      <c r="B62" s="209" t="s">
        <v>169</v>
      </c>
      <c r="C62" s="209"/>
      <c r="D62" s="209"/>
      <c r="E62" s="209"/>
      <c r="F62" s="209"/>
      <c r="G62" s="209"/>
      <c r="H62" s="209">
        <v>2</v>
      </c>
      <c r="I62" s="209">
        <v>2</v>
      </c>
      <c r="J62" s="209">
        <v>2</v>
      </c>
      <c r="K62" s="209">
        <v>2</v>
      </c>
      <c r="L62" s="209">
        <v>2</v>
      </c>
      <c r="M62" s="209">
        <v>2</v>
      </c>
      <c r="N62" s="209">
        <v>2</v>
      </c>
      <c r="O62" s="209">
        <v>2</v>
      </c>
      <c r="P62" s="209">
        <v>2</v>
      </c>
      <c r="Q62" s="209">
        <v>2</v>
      </c>
      <c r="R62" s="209">
        <v>2</v>
      </c>
      <c r="S62" s="209">
        <v>2</v>
      </c>
      <c r="T62" s="209">
        <v>2</v>
      </c>
      <c r="U62" s="209">
        <v>2</v>
      </c>
      <c r="V62" s="209">
        <v>2</v>
      </c>
      <c r="W62" s="209">
        <v>2</v>
      </c>
      <c r="X62" s="209">
        <v>2</v>
      </c>
      <c r="Y62" s="209">
        <v>2</v>
      </c>
      <c r="Z62" s="209">
        <v>2</v>
      </c>
      <c r="AA62" s="209"/>
      <c r="AB62" s="209">
        <f t="shared" si="3"/>
        <v>38</v>
      </c>
      <c r="AC62" s="209">
        <f t="shared" si="4"/>
        <v>0</v>
      </c>
      <c r="AD62" s="209"/>
    </row>
    <row r="63" spans="1:30">
      <c r="A63" s="209" t="s">
        <v>146</v>
      </c>
      <c r="B63" s="209" t="s">
        <v>161</v>
      </c>
      <c r="C63" s="209"/>
      <c r="D63" s="209"/>
      <c r="E63" s="209"/>
      <c r="F63" s="209"/>
      <c r="G63" s="209"/>
      <c r="H63" s="209">
        <v>2</v>
      </c>
      <c r="I63" s="209">
        <v>2</v>
      </c>
      <c r="J63" s="209">
        <v>2</v>
      </c>
      <c r="K63" s="209">
        <v>2</v>
      </c>
      <c r="L63" s="209">
        <v>2</v>
      </c>
      <c r="M63" s="209">
        <v>2</v>
      </c>
      <c r="N63" s="209">
        <v>2</v>
      </c>
      <c r="O63" s="209">
        <v>2</v>
      </c>
      <c r="P63" s="209">
        <v>2</v>
      </c>
      <c r="Q63" s="209">
        <v>2</v>
      </c>
      <c r="R63" s="209">
        <v>2</v>
      </c>
      <c r="S63" s="209">
        <v>2</v>
      </c>
      <c r="T63" s="209">
        <v>2</v>
      </c>
      <c r="U63" s="209">
        <v>2</v>
      </c>
      <c r="V63" s="209">
        <v>2</v>
      </c>
      <c r="W63" s="209">
        <v>2</v>
      </c>
      <c r="X63" s="209">
        <v>2</v>
      </c>
      <c r="Y63" s="209">
        <v>2</v>
      </c>
      <c r="Z63" s="209"/>
      <c r="AA63" s="209"/>
      <c r="AB63" s="209">
        <f t="shared" si="3"/>
        <v>36</v>
      </c>
      <c r="AC63" s="209">
        <f t="shared" si="4"/>
        <v>0</v>
      </c>
      <c r="AD63" s="209"/>
    </row>
    <row r="64" spans="1:30">
      <c r="A64" s="209" t="s">
        <v>148</v>
      </c>
      <c r="B64" s="209" t="s">
        <v>338</v>
      </c>
      <c r="C64" s="209"/>
      <c r="D64" s="209"/>
      <c r="E64" s="209"/>
      <c r="F64" s="209"/>
      <c r="G64" s="209"/>
      <c r="H64" s="209">
        <v>1</v>
      </c>
      <c r="I64" s="209">
        <v>1</v>
      </c>
      <c r="J64" s="209">
        <v>1</v>
      </c>
      <c r="K64" s="209">
        <v>1</v>
      </c>
      <c r="L64" s="209">
        <v>1</v>
      </c>
      <c r="M64" s="209">
        <v>1</v>
      </c>
      <c r="N64" s="209">
        <v>1</v>
      </c>
      <c r="O64" s="209">
        <v>1</v>
      </c>
      <c r="P64" s="209">
        <v>1</v>
      </c>
      <c r="Q64" s="209">
        <v>1</v>
      </c>
      <c r="R64" s="209">
        <v>1</v>
      </c>
      <c r="S64" s="209">
        <v>1</v>
      </c>
      <c r="T64" s="209">
        <v>1</v>
      </c>
      <c r="U64" s="209">
        <v>1</v>
      </c>
      <c r="V64" s="209">
        <v>1</v>
      </c>
      <c r="W64" s="209">
        <v>1</v>
      </c>
      <c r="X64" s="209">
        <v>1</v>
      </c>
      <c r="Y64" s="209">
        <v>1</v>
      </c>
      <c r="Z64" s="209">
        <v>1</v>
      </c>
      <c r="AA64" s="209">
        <v>1</v>
      </c>
      <c r="AB64" s="209">
        <f t="shared" si="3"/>
        <v>20</v>
      </c>
      <c r="AC64" s="209">
        <f t="shared" si="4"/>
        <v>0</v>
      </c>
      <c r="AD64" s="209"/>
    </row>
    <row r="65" spans="1:30">
      <c r="A65" s="209" t="s">
        <v>150</v>
      </c>
      <c r="B65" s="209" t="s">
        <v>301</v>
      </c>
      <c r="C65" s="209"/>
      <c r="D65" s="209"/>
      <c r="E65" s="209"/>
      <c r="F65" s="209"/>
      <c r="G65" s="209"/>
      <c r="H65" s="209">
        <v>1</v>
      </c>
      <c r="I65" s="209">
        <v>1</v>
      </c>
      <c r="J65" s="209">
        <v>1</v>
      </c>
      <c r="K65" s="209">
        <v>1</v>
      </c>
      <c r="L65" s="209">
        <v>1</v>
      </c>
      <c r="M65" s="209">
        <v>1</v>
      </c>
      <c r="N65" s="209">
        <v>1</v>
      </c>
      <c r="O65" s="209">
        <v>1</v>
      </c>
      <c r="P65" s="209">
        <v>1</v>
      </c>
      <c r="Q65" s="209">
        <v>1</v>
      </c>
      <c r="R65" s="209">
        <v>1</v>
      </c>
      <c r="S65" s="209">
        <v>1</v>
      </c>
      <c r="T65" s="209">
        <v>1</v>
      </c>
      <c r="U65" s="209">
        <v>1</v>
      </c>
      <c r="V65" s="209">
        <v>1</v>
      </c>
      <c r="W65" s="209">
        <v>1</v>
      </c>
      <c r="X65" s="209">
        <v>1</v>
      </c>
      <c r="Y65" s="209">
        <v>1</v>
      </c>
      <c r="Z65" s="209">
        <v>1</v>
      </c>
      <c r="AA65" s="209">
        <v>1</v>
      </c>
      <c r="AB65" s="209">
        <f t="shared" si="3"/>
        <v>20</v>
      </c>
      <c r="AC65" s="209">
        <f t="shared" si="4"/>
        <v>0</v>
      </c>
      <c r="AD65" s="209"/>
    </row>
    <row r="66" spans="1:30">
      <c r="A66" s="209" t="s">
        <v>152</v>
      </c>
      <c r="B66" s="209" t="s">
        <v>339</v>
      </c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>
        <v>2</v>
      </c>
      <c r="Y66" s="209"/>
      <c r="Z66" s="209"/>
      <c r="AA66" s="209"/>
      <c r="AB66" s="209">
        <f t="shared" si="3"/>
        <v>2</v>
      </c>
      <c r="AC66" s="209">
        <f t="shared" si="4"/>
        <v>0</v>
      </c>
      <c r="AD66" s="209"/>
    </row>
    <row r="67" spans="1:30">
      <c r="A67" s="209" t="s">
        <v>154</v>
      </c>
      <c r="B67" s="209" t="s">
        <v>175</v>
      </c>
      <c r="C67" s="209"/>
      <c r="D67" s="209"/>
      <c r="E67" s="209"/>
      <c r="F67" s="209"/>
      <c r="G67" s="209"/>
      <c r="H67" s="209">
        <v>1</v>
      </c>
      <c r="I67" s="209">
        <v>1</v>
      </c>
      <c r="J67" s="209">
        <v>1</v>
      </c>
      <c r="K67" s="209">
        <v>1</v>
      </c>
      <c r="L67" s="209">
        <v>1</v>
      </c>
      <c r="M67" s="209">
        <v>1</v>
      </c>
      <c r="N67" s="209">
        <v>1</v>
      </c>
      <c r="O67" s="209">
        <v>1</v>
      </c>
      <c r="P67" s="209">
        <v>1</v>
      </c>
      <c r="Q67" s="209">
        <v>1</v>
      </c>
      <c r="R67" s="209">
        <v>1</v>
      </c>
      <c r="S67" s="209">
        <v>1</v>
      </c>
      <c r="T67" s="209">
        <v>1</v>
      </c>
      <c r="U67" s="209">
        <v>1</v>
      </c>
      <c r="V67" s="209">
        <v>1</v>
      </c>
      <c r="W67" s="209">
        <v>1</v>
      </c>
      <c r="X67" s="209">
        <v>1</v>
      </c>
      <c r="Y67" s="209">
        <v>1</v>
      </c>
      <c r="Z67" s="209">
        <v>1</v>
      </c>
      <c r="AA67" s="209"/>
      <c r="AB67" s="209">
        <f t="shared" si="3"/>
        <v>19</v>
      </c>
      <c r="AC67" s="209">
        <f t="shared" si="4"/>
        <v>0</v>
      </c>
      <c r="AD67" s="209"/>
    </row>
    <row r="68" spans="1:30">
      <c r="A68" s="209" t="s">
        <v>156</v>
      </c>
      <c r="B68" s="209" t="s">
        <v>340</v>
      </c>
      <c r="C68" s="209"/>
      <c r="D68" s="209"/>
      <c r="E68" s="209"/>
      <c r="F68" s="209"/>
      <c r="G68" s="209"/>
      <c r="H68" s="209">
        <v>1</v>
      </c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>
        <v>2</v>
      </c>
      <c r="AA68" s="209"/>
      <c r="AB68" s="209">
        <f t="shared" si="3"/>
        <v>3</v>
      </c>
      <c r="AC68" s="209">
        <f t="shared" si="4"/>
        <v>0</v>
      </c>
      <c r="AD68" s="209"/>
    </row>
    <row r="69" spans="1:30">
      <c r="A69" s="209" t="s">
        <v>158</v>
      </c>
      <c r="B69" s="209" t="s">
        <v>299</v>
      </c>
      <c r="C69" s="209"/>
      <c r="D69" s="209"/>
      <c r="E69" s="209"/>
      <c r="F69" s="209"/>
      <c r="G69" s="209"/>
      <c r="H69" s="209">
        <v>1</v>
      </c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>
        <f t="shared" si="3"/>
        <v>1</v>
      </c>
      <c r="AC69" s="209">
        <f t="shared" si="4"/>
        <v>0</v>
      </c>
      <c r="AD69" s="209"/>
    </row>
    <row r="70" spans="1:30">
      <c r="A70" s="209" t="s">
        <v>160</v>
      </c>
      <c r="B70" s="209" t="s">
        <v>341</v>
      </c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>
        <v>2</v>
      </c>
      <c r="Z70" s="209"/>
      <c r="AA70" s="209"/>
      <c r="AB70" s="209">
        <f t="shared" si="3"/>
        <v>2</v>
      </c>
      <c r="AC70" s="209">
        <f t="shared" si="4"/>
        <v>0</v>
      </c>
      <c r="AD70" s="209"/>
    </row>
    <row r="71" spans="1:30">
      <c r="A71" s="209" t="s">
        <v>162</v>
      </c>
      <c r="B71" s="209" t="s">
        <v>305</v>
      </c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>
        <v>2</v>
      </c>
      <c r="Z71" s="209"/>
      <c r="AA71" s="209"/>
      <c r="AB71" s="209">
        <f t="shared" si="3"/>
        <v>2</v>
      </c>
      <c r="AC71" s="209">
        <f t="shared" si="4"/>
        <v>0</v>
      </c>
      <c r="AD71" s="209"/>
    </row>
    <row r="72" spans="1:30">
      <c r="A72" s="209" t="s">
        <v>164</v>
      </c>
      <c r="B72" s="209" t="s">
        <v>191</v>
      </c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>
        <v>3</v>
      </c>
      <c r="AB72" s="209">
        <f t="shared" si="3"/>
        <v>3</v>
      </c>
      <c r="AC72" s="209">
        <f t="shared" si="4"/>
        <v>0</v>
      </c>
      <c r="AD72" s="209"/>
    </row>
    <row r="73" spans="1:29">
      <c r="A73" s="209"/>
      <c r="AB73" s="209"/>
      <c r="AC73" s="209">
        <f t="shared" si="4"/>
        <v>0</v>
      </c>
    </row>
    <row r="74" spans="1:1">
      <c r="A74" s="209"/>
    </row>
    <row r="75" spans="1:28">
      <c r="A75" s="209"/>
      <c r="AB75">
        <f>SUM(AB3:AB74)</f>
        <v>1003</v>
      </c>
    </row>
    <row r="76" spans="1:1">
      <c r="A76" s="209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B6" sqref="B6:D6"/>
    </sheetView>
  </sheetViews>
  <sheetFormatPr defaultColWidth="9" defaultRowHeight="14.25" outlineLevelCol="6"/>
  <cols>
    <col min="1" max="1" width="21" style="2" customWidth="1"/>
    <col min="2" max="2" width="28.125" style="2" customWidth="1"/>
    <col min="3" max="3" width="13.625" style="2" customWidth="1"/>
    <col min="4" max="4" width="26.5" style="2" customWidth="1"/>
    <col min="5" max="5" width="17.125" style="2" hidden="1" customWidth="1"/>
    <col min="6" max="6" width="10.5" style="2" hidden="1" customWidth="1"/>
    <col min="7" max="7" width="24.375" style="2" customWidth="1"/>
    <col min="8" max="8" width="9" style="2"/>
    <col min="9" max="9" width="10.375" style="2"/>
    <col min="10" max="16384" width="9" style="2"/>
  </cols>
  <sheetData>
    <row r="1" ht="67" customHeight="1" spans="1:4">
      <c r="A1" s="190" t="s">
        <v>342</v>
      </c>
      <c r="B1" s="152"/>
      <c r="C1" s="152"/>
      <c r="D1" s="152"/>
    </row>
    <row r="2" ht="45" customHeight="1" spans="1:4">
      <c r="A2" s="191" t="s">
        <v>343</v>
      </c>
      <c r="B2" s="192" t="s">
        <v>344</v>
      </c>
      <c r="C2" s="193" t="s">
        <v>345</v>
      </c>
      <c r="D2" s="194" t="s">
        <v>346</v>
      </c>
    </row>
    <row r="3" ht="43" customHeight="1" spans="1:6">
      <c r="A3" s="195" t="s">
        <v>347</v>
      </c>
      <c r="B3" s="156" t="s">
        <v>348</v>
      </c>
      <c r="C3" s="155" t="s">
        <v>349</v>
      </c>
      <c r="D3" s="196" t="s">
        <v>350</v>
      </c>
      <c r="E3" s="4">
        <f>1471675.7+305937.46</f>
        <v>1777613.16</v>
      </c>
      <c r="F3" s="2">
        <f>E7-E3</f>
        <v>548710.06</v>
      </c>
    </row>
    <row r="4" ht="43" customHeight="1" spans="1:4">
      <c r="A4" s="195" t="s">
        <v>351</v>
      </c>
      <c r="B4" s="197" t="s">
        <v>352</v>
      </c>
      <c r="C4" s="197"/>
      <c r="D4" s="198"/>
    </row>
    <row r="5" ht="36" customHeight="1" spans="1:7">
      <c r="A5" s="195" t="s">
        <v>353</v>
      </c>
      <c r="B5" s="199" t="s">
        <v>354</v>
      </c>
      <c r="C5" s="156" t="s">
        <v>355</v>
      </c>
      <c r="D5" s="200">
        <f>'3工程结算汇总表'!E15</f>
        <v>2760000</v>
      </c>
      <c r="E5" s="4">
        <f>604470.32+598480.54</f>
        <v>1202950.86</v>
      </c>
      <c r="G5"/>
    </row>
    <row r="6" ht="33" customHeight="1" spans="1:5">
      <c r="A6" s="195" t="s">
        <v>356</v>
      </c>
      <c r="B6" s="201" t="s">
        <v>357</v>
      </c>
      <c r="C6" s="201"/>
      <c r="D6" s="202"/>
      <c r="E6" s="4">
        <v>1123372.36</v>
      </c>
    </row>
    <row r="7" ht="37" customHeight="1" spans="1:5">
      <c r="A7" s="195" t="s">
        <v>358</v>
      </c>
      <c r="B7" s="201" t="s">
        <v>359</v>
      </c>
      <c r="C7" s="201"/>
      <c r="D7" s="202"/>
      <c r="E7" s="4">
        <f>SUM(E5:E6)</f>
        <v>2326323.22</v>
      </c>
    </row>
    <row r="8" ht="37" customHeight="1" spans="1:4">
      <c r="A8" s="195" t="s">
        <v>360</v>
      </c>
      <c r="B8" s="203" t="s">
        <v>361</v>
      </c>
      <c r="C8" s="201"/>
      <c r="D8" s="202"/>
    </row>
    <row r="9" ht="37" customHeight="1" spans="1:4">
      <c r="A9" s="195" t="s">
        <v>362</v>
      </c>
      <c r="B9" s="201" t="s">
        <v>357</v>
      </c>
      <c r="C9" s="201"/>
      <c r="D9" s="202"/>
    </row>
    <row r="10" ht="37" customHeight="1" spans="1:4">
      <c r="A10" s="195" t="s">
        <v>363</v>
      </c>
      <c r="B10" s="201" t="s">
        <v>357</v>
      </c>
      <c r="C10" s="201"/>
      <c r="D10" s="202"/>
    </row>
    <row r="11" ht="37" customHeight="1" spans="1:4">
      <c r="A11" s="195" t="s">
        <v>364</v>
      </c>
      <c r="B11" s="201" t="s">
        <v>357</v>
      </c>
      <c r="C11" s="201"/>
      <c r="D11" s="202"/>
    </row>
    <row r="12" ht="37" customHeight="1" spans="1:4">
      <c r="A12" s="195" t="s">
        <v>365</v>
      </c>
      <c r="B12" s="201" t="s">
        <v>357</v>
      </c>
      <c r="C12" s="201"/>
      <c r="D12" s="202"/>
    </row>
    <row r="13" ht="37" customHeight="1" spans="1:4">
      <c r="A13" s="195" t="s">
        <v>366</v>
      </c>
      <c r="B13" s="201" t="s">
        <v>357</v>
      </c>
      <c r="C13" s="201"/>
      <c r="D13" s="202"/>
    </row>
    <row r="14" ht="37" customHeight="1" spans="1:4">
      <c r="A14" s="204" t="s">
        <v>367</v>
      </c>
      <c r="B14" s="205" t="s">
        <v>357</v>
      </c>
      <c r="C14" s="205"/>
      <c r="D14" s="206"/>
    </row>
    <row r="15" ht="30" customHeight="1" spans="1:1">
      <c r="A15" s="207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3" workbookViewId="0">
      <selection activeCell="A3" sqref="A3:A20"/>
    </sheetView>
  </sheetViews>
  <sheetFormatPr defaultColWidth="9" defaultRowHeight="14.25"/>
  <cols>
    <col min="1" max="1" width="6.5" style="164" customWidth="1"/>
    <col min="2" max="2" width="43.2" style="151" customWidth="1"/>
    <col min="3" max="3" width="9" style="164" customWidth="1"/>
    <col min="4" max="4" width="12.125" style="164" customWidth="1"/>
    <col min="5" max="5" width="8.125" style="164" customWidth="1"/>
    <col min="6" max="6" width="8.625" style="165" customWidth="1"/>
    <col min="7" max="7" width="12.875" style="102" customWidth="1"/>
    <col min="8" max="8" width="8.875" style="103" customWidth="1"/>
    <col min="9" max="12" width="9" style="151" customWidth="1"/>
    <col min="13" max="16384" width="9" style="2"/>
  </cols>
  <sheetData>
    <row r="1" ht="45" customHeight="1" spans="1:9">
      <c r="A1" s="166" t="s">
        <v>369</v>
      </c>
      <c r="B1" s="166"/>
      <c r="C1" s="166"/>
      <c r="D1" s="166"/>
      <c r="E1" s="166"/>
      <c r="F1" s="166"/>
      <c r="G1" s="167"/>
      <c r="H1" s="168"/>
      <c r="I1" s="96"/>
    </row>
    <row r="2" ht="31" customHeight="1" spans="1:6">
      <c r="A2" s="169" t="s">
        <v>1</v>
      </c>
      <c r="B2" s="170" t="s">
        <v>370</v>
      </c>
      <c r="C2" s="170" t="s">
        <v>371</v>
      </c>
      <c r="D2" s="170" t="s">
        <v>372</v>
      </c>
      <c r="E2" s="170" t="s">
        <v>373</v>
      </c>
      <c r="F2" s="171" t="s">
        <v>374</v>
      </c>
    </row>
    <row r="3" s="75" customFormat="1" ht="27" customHeight="1" spans="1:12">
      <c r="A3" s="172">
        <v>1</v>
      </c>
      <c r="B3" s="173" t="s">
        <v>375</v>
      </c>
      <c r="C3" s="174" t="s">
        <v>376</v>
      </c>
      <c r="D3" s="174" t="s">
        <v>377</v>
      </c>
      <c r="E3" s="175" t="s">
        <v>378</v>
      </c>
      <c r="F3" s="176"/>
      <c r="G3" s="102"/>
      <c r="H3" s="103" t="s">
        <v>379</v>
      </c>
      <c r="I3" s="103"/>
      <c r="J3" s="103"/>
      <c r="K3" s="103"/>
      <c r="L3" s="103"/>
    </row>
    <row r="4" s="75" customFormat="1" ht="27" customHeight="1" spans="1:12">
      <c r="A4" s="172">
        <v>2</v>
      </c>
      <c r="B4" s="173" t="s">
        <v>380</v>
      </c>
      <c r="C4" s="174" t="s">
        <v>376</v>
      </c>
      <c r="D4" s="174" t="s">
        <v>381</v>
      </c>
      <c r="E4" s="175" t="s">
        <v>378</v>
      </c>
      <c r="F4" s="176"/>
      <c r="G4" s="102"/>
      <c r="H4" s="103"/>
      <c r="I4" s="103"/>
      <c r="J4" s="103"/>
      <c r="K4" s="103"/>
      <c r="L4" s="103"/>
    </row>
    <row r="5" s="75" customFormat="1" ht="27" customHeight="1" spans="1:12">
      <c r="A5" s="172">
        <v>3</v>
      </c>
      <c r="B5" s="173" t="s">
        <v>382</v>
      </c>
      <c r="C5" s="174" t="s">
        <v>376</v>
      </c>
      <c r="D5" s="174" t="s">
        <v>383</v>
      </c>
      <c r="E5" s="175" t="s">
        <v>378</v>
      </c>
      <c r="F5" s="176"/>
      <c r="G5" s="102"/>
      <c r="H5" s="103" t="s">
        <v>384</v>
      </c>
      <c r="I5" s="103"/>
      <c r="J5" s="103"/>
      <c r="K5" s="103"/>
      <c r="L5" s="103"/>
    </row>
    <row r="6" ht="27" customHeight="1" spans="1:6">
      <c r="A6" s="172">
        <v>4</v>
      </c>
      <c r="B6" s="173" t="s">
        <v>385</v>
      </c>
      <c r="C6" s="174" t="s">
        <v>376</v>
      </c>
      <c r="D6" s="174" t="s">
        <v>386</v>
      </c>
      <c r="E6" s="174" t="s">
        <v>378</v>
      </c>
      <c r="F6" s="177"/>
    </row>
    <row r="7" ht="27" customHeight="1" spans="1:6">
      <c r="A7" s="172">
        <v>5</v>
      </c>
      <c r="B7" s="173" t="s">
        <v>387</v>
      </c>
      <c r="C7" s="174" t="s">
        <v>388</v>
      </c>
      <c r="D7" s="174" t="s">
        <v>389</v>
      </c>
      <c r="E7" s="175" t="s">
        <v>378</v>
      </c>
      <c r="F7" s="177"/>
    </row>
    <row r="8" ht="27" customHeight="1" spans="1:7">
      <c r="A8" s="172">
        <v>6</v>
      </c>
      <c r="B8" s="173" t="s">
        <v>390</v>
      </c>
      <c r="C8" s="174" t="s">
        <v>391</v>
      </c>
      <c r="D8" s="174" t="s">
        <v>392</v>
      </c>
      <c r="E8" s="175" t="s">
        <v>393</v>
      </c>
      <c r="F8" s="176"/>
      <c r="G8" s="102">
        <f>27-7+1</f>
        <v>21</v>
      </c>
    </row>
    <row r="9" ht="27" customHeight="1" spans="1:6">
      <c r="A9" s="172">
        <v>7</v>
      </c>
      <c r="B9" s="173" t="s">
        <v>394</v>
      </c>
      <c r="C9" s="174" t="s">
        <v>376</v>
      </c>
      <c r="D9" s="174" t="s">
        <v>395</v>
      </c>
      <c r="E9" s="175" t="s">
        <v>378</v>
      </c>
      <c r="F9" s="176"/>
    </row>
    <row r="10" ht="27" customHeight="1" spans="1:6">
      <c r="A10" s="172">
        <v>8</v>
      </c>
      <c r="B10" s="173" t="s">
        <v>396</v>
      </c>
      <c r="C10" s="174" t="s">
        <v>376</v>
      </c>
      <c r="D10" s="174" t="s">
        <v>397</v>
      </c>
      <c r="E10" s="175" t="s">
        <v>378</v>
      </c>
      <c r="F10" s="176"/>
    </row>
    <row r="11" ht="27" customHeight="1" spans="1:7">
      <c r="A11" s="172">
        <v>9</v>
      </c>
      <c r="B11" s="173" t="s">
        <v>398</v>
      </c>
      <c r="C11" s="174" t="s">
        <v>399</v>
      </c>
      <c r="D11" s="174" t="s">
        <v>400</v>
      </c>
      <c r="E11" s="174" t="s">
        <v>378</v>
      </c>
      <c r="F11" s="176"/>
      <c r="G11" s="102">
        <f>37-30+1</f>
        <v>8</v>
      </c>
    </row>
    <row r="12" ht="27" customHeight="1" spans="1:6">
      <c r="A12" s="172">
        <v>10</v>
      </c>
      <c r="B12" s="173" t="s">
        <v>401</v>
      </c>
      <c r="C12" s="174" t="s">
        <v>376</v>
      </c>
      <c r="D12" s="174" t="s">
        <v>402</v>
      </c>
      <c r="E12" s="175" t="s">
        <v>378</v>
      </c>
      <c r="F12" s="176"/>
    </row>
    <row r="13" ht="27" customHeight="1" spans="1:6">
      <c r="A13" s="172">
        <v>11</v>
      </c>
      <c r="B13" s="173" t="s">
        <v>403</v>
      </c>
      <c r="C13" s="174" t="s">
        <v>388</v>
      </c>
      <c r="D13" s="174" t="s">
        <v>404</v>
      </c>
      <c r="E13" s="175" t="s">
        <v>378</v>
      </c>
      <c r="F13" s="176"/>
    </row>
    <row r="14" ht="27" customHeight="1" spans="1:6">
      <c r="A14" s="172">
        <v>12</v>
      </c>
      <c r="B14" s="178" t="s">
        <v>405</v>
      </c>
      <c r="C14" s="174" t="s">
        <v>388</v>
      </c>
      <c r="D14" s="174" t="s">
        <v>406</v>
      </c>
      <c r="E14" s="174" t="s">
        <v>378</v>
      </c>
      <c r="F14" s="176"/>
    </row>
    <row r="15" ht="31" customHeight="1" spans="1:7">
      <c r="A15" s="172">
        <v>13</v>
      </c>
      <c r="B15" s="178" t="s">
        <v>407</v>
      </c>
      <c r="C15" s="174" t="s">
        <v>408</v>
      </c>
      <c r="D15" s="174" t="s">
        <v>409</v>
      </c>
      <c r="E15" s="174" t="s">
        <v>410</v>
      </c>
      <c r="F15" s="176"/>
      <c r="G15" s="102">
        <f>93-43+1</f>
        <v>51</v>
      </c>
    </row>
    <row r="16" customFormat="1" ht="31" customHeight="1" spans="1:12">
      <c r="A16" s="172">
        <v>14</v>
      </c>
      <c r="B16" s="173" t="s">
        <v>411</v>
      </c>
      <c r="C16" s="174" t="s">
        <v>388</v>
      </c>
      <c r="D16" s="179" t="s">
        <v>412</v>
      </c>
      <c r="E16" s="174" t="s">
        <v>410</v>
      </c>
      <c r="F16" s="176"/>
      <c r="G16" s="102"/>
      <c r="H16" s="103"/>
      <c r="I16" s="151"/>
      <c r="J16" s="151"/>
      <c r="K16" s="151"/>
      <c r="L16" s="151"/>
    </row>
    <row r="17" s="1" customFormat="1" ht="50" customHeight="1" spans="1:12">
      <c r="A17" s="172">
        <v>15</v>
      </c>
      <c r="B17" s="173" t="s">
        <v>413</v>
      </c>
      <c r="C17" s="174" t="s">
        <v>414</v>
      </c>
      <c r="D17" s="174" t="s">
        <v>415</v>
      </c>
      <c r="E17" s="174" t="s">
        <v>378</v>
      </c>
      <c r="F17" s="180"/>
      <c r="G17" s="102">
        <f>194-96+1</f>
        <v>99</v>
      </c>
      <c r="H17" s="103"/>
      <c r="I17" s="77"/>
      <c r="J17" s="77"/>
      <c r="K17" s="77"/>
      <c r="L17" s="77"/>
    </row>
    <row r="18" s="163" customFormat="1" ht="29" customHeight="1" spans="1:12">
      <c r="A18" s="172">
        <v>16</v>
      </c>
      <c r="B18" s="173" t="s">
        <v>416</v>
      </c>
      <c r="C18" s="174" t="s">
        <v>417</v>
      </c>
      <c r="D18" s="174" t="s">
        <v>418</v>
      </c>
      <c r="E18" s="174" t="s">
        <v>410</v>
      </c>
      <c r="F18" s="180"/>
      <c r="G18" s="102">
        <f>198-195+1</f>
        <v>4</v>
      </c>
      <c r="H18" s="103"/>
      <c r="I18" s="77"/>
      <c r="J18" s="77"/>
      <c r="K18" s="77"/>
      <c r="L18" s="77"/>
    </row>
    <row r="19" s="163" customFormat="1" ht="27" customHeight="1" spans="1:12">
      <c r="A19" s="172">
        <v>17</v>
      </c>
      <c r="B19" s="173" t="s">
        <v>419</v>
      </c>
      <c r="C19" s="181" t="s">
        <v>420</v>
      </c>
      <c r="D19" s="179" t="s">
        <v>421</v>
      </c>
      <c r="E19" s="182" t="s">
        <v>378</v>
      </c>
      <c r="F19" s="180"/>
      <c r="G19" s="102">
        <f>234-199+1</f>
        <v>36</v>
      </c>
      <c r="H19" s="103"/>
      <c r="I19" s="77"/>
      <c r="J19" s="77"/>
      <c r="K19" s="77"/>
      <c r="L19" s="77"/>
    </row>
    <row r="20" ht="27" customHeight="1" spans="1:6">
      <c r="A20" s="172">
        <v>18</v>
      </c>
      <c r="B20" s="173" t="s">
        <v>422</v>
      </c>
      <c r="C20" s="181" t="s">
        <v>423</v>
      </c>
      <c r="D20" s="183"/>
      <c r="E20" s="182" t="s">
        <v>424</v>
      </c>
      <c r="F20" s="180"/>
    </row>
    <row r="21" spans="1:6">
      <c r="A21" s="184" t="s">
        <v>425</v>
      </c>
      <c r="B21" s="185"/>
      <c r="C21" s="185" t="s">
        <v>426</v>
      </c>
      <c r="D21" s="185"/>
      <c r="E21" s="185"/>
      <c r="F21" s="186"/>
    </row>
    <row r="22" spans="1:6">
      <c r="A22" s="184"/>
      <c r="B22" s="185"/>
      <c r="C22" s="185"/>
      <c r="D22" s="185"/>
      <c r="E22" s="185"/>
      <c r="F22" s="186"/>
    </row>
    <row r="23" spans="1:6">
      <c r="A23" s="184"/>
      <c r="B23" s="185"/>
      <c r="C23" s="185"/>
      <c r="D23" s="185"/>
      <c r="E23" s="185"/>
      <c r="F23" s="186"/>
    </row>
    <row r="24" spans="1:6">
      <c r="A24" s="184"/>
      <c r="B24" s="185"/>
      <c r="C24" s="185"/>
      <c r="D24" s="185"/>
      <c r="E24" s="185"/>
      <c r="F24" s="186"/>
    </row>
    <row r="25" ht="6" customHeight="1" spans="1:6">
      <c r="A25" s="184"/>
      <c r="B25" s="185"/>
      <c r="C25" s="185"/>
      <c r="D25" s="185"/>
      <c r="E25" s="185"/>
      <c r="F25" s="186"/>
    </row>
    <row r="26" ht="15" spans="1:6">
      <c r="A26" s="187"/>
      <c r="B26" s="188"/>
      <c r="C26" s="188"/>
      <c r="D26" s="188"/>
      <c r="E26" s="188"/>
      <c r="F26" s="189"/>
    </row>
  </sheetData>
  <mergeCells count="4">
    <mergeCell ref="A1:F1"/>
    <mergeCell ref="C20:D20"/>
    <mergeCell ref="A21:B26"/>
    <mergeCell ref="C21:F26"/>
  </mergeCells>
  <printOptions horizontalCentered="1"/>
  <pageMargins left="0.39" right="0.39" top="0.156944444444444" bottom="0.39" header="0.432638888888889" footer="0.51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5" workbookViewId="0">
      <selection activeCell="A2" sqref="A2:G2"/>
    </sheetView>
  </sheetViews>
  <sheetFormatPr defaultColWidth="9" defaultRowHeight="14.25"/>
  <cols>
    <col min="1" max="4" width="9" style="2"/>
    <col min="5" max="5" width="10.625" style="2" customWidth="1"/>
    <col min="6" max="6" width="12.625" style="2" customWidth="1"/>
    <col min="7" max="7" width="14" style="2" customWidth="1"/>
    <col min="8" max="16384" width="9" style="2"/>
  </cols>
  <sheetData>
    <row r="1" ht="44.25" customHeight="1" spans="1:7">
      <c r="A1" s="152" t="s">
        <v>427</v>
      </c>
      <c r="B1" s="152"/>
      <c r="C1" s="152"/>
      <c r="D1" s="152"/>
      <c r="E1" s="152"/>
      <c r="F1" s="152"/>
      <c r="G1" s="152"/>
    </row>
    <row r="2" s="1" customFormat="1" ht="25.5" customHeight="1" spans="1:1">
      <c r="A2" s="1" t="s">
        <v>428</v>
      </c>
    </row>
    <row r="3" s="1" customFormat="1" ht="33" customHeight="1" spans="1:7">
      <c r="A3" s="153" t="s">
        <v>429</v>
      </c>
      <c r="B3" s="154"/>
      <c r="C3" s="154"/>
      <c r="D3" s="154"/>
      <c r="E3" s="154"/>
      <c r="F3" s="154"/>
      <c r="G3" s="154"/>
    </row>
    <row r="4" s="1" customFormat="1" ht="24" customHeight="1" spans="1:7">
      <c r="A4" s="154" t="s">
        <v>430</v>
      </c>
      <c r="B4" s="154"/>
      <c r="C4" s="154"/>
      <c r="D4" s="154"/>
      <c r="E4" s="154"/>
      <c r="F4" s="154"/>
      <c r="G4" s="154"/>
    </row>
    <row r="5" s="1" customFormat="1" ht="21" customHeight="1" spans="1:7">
      <c r="A5" s="154" t="s">
        <v>431</v>
      </c>
      <c r="B5" s="154"/>
      <c r="C5" s="154"/>
      <c r="D5" s="154"/>
      <c r="E5" s="154"/>
      <c r="F5" s="154"/>
      <c r="G5" s="154"/>
    </row>
    <row r="6" s="1" customFormat="1" ht="30" customHeight="1" spans="1:7">
      <c r="A6" s="155" t="s">
        <v>1</v>
      </c>
      <c r="B6" s="156" t="s">
        <v>343</v>
      </c>
      <c r="C6" s="156"/>
      <c r="D6" s="156"/>
      <c r="E6" s="155" t="s">
        <v>432</v>
      </c>
      <c r="F6" s="155" t="s">
        <v>433</v>
      </c>
      <c r="G6" s="155" t="s">
        <v>434</v>
      </c>
    </row>
    <row r="7" s="1" customFormat="1" ht="21" customHeight="1" spans="1:7">
      <c r="A7" s="155" t="s">
        <v>435</v>
      </c>
      <c r="B7" s="156" t="s">
        <v>436</v>
      </c>
      <c r="C7" s="156"/>
      <c r="D7" s="156"/>
      <c r="E7" s="156"/>
      <c r="F7" s="156"/>
      <c r="G7" s="157">
        <f>SUM(G8:G11)</f>
        <v>2760385.69</v>
      </c>
    </row>
    <row r="8" s="1" customFormat="1" ht="21" customHeight="1" spans="1:7">
      <c r="A8" s="155">
        <v>1.1</v>
      </c>
      <c r="B8" s="156" t="s">
        <v>437</v>
      </c>
      <c r="C8" s="156"/>
      <c r="D8" s="156"/>
      <c r="E8" s="156"/>
      <c r="F8" s="156"/>
      <c r="G8" s="157">
        <f>'4结算明细汇总表'!C3</f>
        <v>2882752.58</v>
      </c>
    </row>
    <row r="9" s="1" customFormat="1" ht="21" customHeight="1" spans="1:7">
      <c r="A9" s="155">
        <v>1.2</v>
      </c>
      <c r="B9" s="156" t="s">
        <v>438</v>
      </c>
      <c r="C9" s="156"/>
      <c r="D9" s="156"/>
      <c r="E9" s="156"/>
      <c r="F9" s="156"/>
      <c r="G9" s="157">
        <f>'4结算明细汇总表'!C10</f>
        <v>-397307.49</v>
      </c>
    </row>
    <row r="10" s="1" customFormat="1" ht="21" customHeight="1" spans="1:7">
      <c r="A10" s="155">
        <v>1.3</v>
      </c>
      <c r="B10" s="156" t="s">
        <v>439</v>
      </c>
      <c r="C10" s="156"/>
      <c r="D10" s="156"/>
      <c r="E10" s="156"/>
      <c r="F10" s="156"/>
      <c r="G10" s="157">
        <f>'4结算明细汇总表'!C13</f>
        <v>274940.6</v>
      </c>
    </row>
    <row r="11" s="1" customFormat="1" ht="21" customHeight="1" spans="1:7">
      <c r="A11" s="155">
        <v>1.4</v>
      </c>
      <c r="B11" s="156" t="s">
        <v>440</v>
      </c>
      <c r="C11" s="156"/>
      <c r="D11" s="156"/>
      <c r="E11" s="156"/>
      <c r="F11" s="156"/>
      <c r="G11" s="157">
        <v>0</v>
      </c>
    </row>
    <row r="12" s="1" customFormat="1" ht="21" customHeight="1" spans="1:7">
      <c r="A12" s="155" t="s">
        <v>441</v>
      </c>
      <c r="B12" s="156" t="s">
        <v>442</v>
      </c>
      <c r="C12" s="156"/>
      <c r="D12" s="156"/>
      <c r="E12" s="156"/>
      <c r="F12" s="156"/>
      <c r="G12" s="157">
        <f>SUM(G13:G14)</f>
        <v>-385.69</v>
      </c>
    </row>
    <row r="13" s="1" customFormat="1" ht="21" customHeight="1" spans="1:7">
      <c r="A13" s="155">
        <v>2.1</v>
      </c>
      <c r="B13" s="156" t="s">
        <v>443</v>
      </c>
      <c r="C13" s="156"/>
      <c r="D13" s="156"/>
      <c r="E13" s="156"/>
      <c r="F13" s="156"/>
      <c r="G13" s="157">
        <v>0</v>
      </c>
    </row>
    <row r="14" s="1" customFormat="1" ht="21" customHeight="1" spans="1:7">
      <c r="A14" s="155">
        <v>2.2</v>
      </c>
      <c r="B14" s="156" t="s">
        <v>444</v>
      </c>
      <c r="C14" s="156"/>
      <c r="D14" s="156"/>
      <c r="E14" s="156"/>
      <c r="F14" s="156"/>
      <c r="G14" s="157">
        <f>'4结算明细汇总表'!E32</f>
        <v>-385.69</v>
      </c>
    </row>
    <row r="15" s="1" customFormat="1" ht="19" customHeight="1" spans="1:7">
      <c r="A15" s="155" t="s">
        <v>445</v>
      </c>
      <c r="B15" s="156" t="s">
        <v>446</v>
      </c>
      <c r="C15" s="156"/>
      <c r="D15" s="156" t="s">
        <v>447</v>
      </c>
      <c r="E15" s="158">
        <f>G7+G12</f>
        <v>2760000</v>
      </c>
      <c r="F15" s="158"/>
      <c r="G15" s="158"/>
    </row>
    <row r="16" s="1" customFormat="1" ht="19" customHeight="1" spans="1:7">
      <c r="A16" s="155"/>
      <c r="B16" s="156"/>
      <c r="C16" s="156"/>
      <c r="D16" s="156" t="s">
        <v>448</v>
      </c>
      <c r="E16" s="159">
        <f>E15</f>
        <v>2760000</v>
      </c>
      <c r="F16" s="159"/>
      <c r="G16" s="159"/>
    </row>
    <row r="17" s="1" customFormat="1" ht="20" customHeight="1" spans="1:7">
      <c r="A17" s="155" t="s">
        <v>449</v>
      </c>
      <c r="B17" s="156" t="s">
        <v>450</v>
      </c>
      <c r="C17" s="156"/>
      <c r="D17" s="156"/>
      <c r="E17" s="160">
        <v>0</v>
      </c>
      <c r="F17" s="160"/>
      <c r="G17" s="160"/>
    </row>
    <row r="18" s="1" customFormat="1" ht="20" customHeight="1" spans="1:7">
      <c r="A18" s="155">
        <v>4.1</v>
      </c>
      <c r="B18" s="156" t="s">
        <v>451</v>
      </c>
      <c r="C18" s="156"/>
      <c r="D18" s="156"/>
      <c r="E18" s="160">
        <v>0</v>
      </c>
      <c r="F18" s="160"/>
      <c r="G18" s="160"/>
    </row>
    <row r="19" s="1" customFormat="1" ht="20" customHeight="1" spans="1:7">
      <c r="A19" s="155">
        <v>4.2</v>
      </c>
      <c r="B19" s="156" t="s">
        <v>452</v>
      </c>
      <c r="C19" s="156"/>
      <c r="D19" s="156"/>
      <c r="E19" s="160">
        <v>0</v>
      </c>
      <c r="F19" s="160"/>
      <c r="G19" s="160"/>
    </row>
    <row r="20" s="1" customFormat="1" ht="17" customHeight="1" spans="1:7">
      <c r="A20" s="155" t="s">
        <v>453</v>
      </c>
      <c r="B20" s="156" t="s">
        <v>454</v>
      </c>
      <c r="C20" s="156"/>
      <c r="D20" s="156"/>
      <c r="E20" s="160"/>
      <c r="F20" s="160"/>
      <c r="G20" s="160"/>
    </row>
    <row r="21" s="1" customFormat="1" ht="20" customHeight="1" spans="1:7">
      <c r="A21" s="155" t="s">
        <v>455</v>
      </c>
      <c r="B21" s="156" t="s">
        <v>456</v>
      </c>
      <c r="C21" s="156"/>
      <c r="D21" s="156"/>
      <c r="E21" s="160">
        <v>0</v>
      </c>
      <c r="F21" s="160"/>
      <c r="G21" s="160"/>
    </row>
    <row r="22" s="1" customFormat="1" ht="20" customHeight="1" spans="1:7">
      <c r="A22" s="155">
        <v>5.1</v>
      </c>
      <c r="B22" s="156" t="s">
        <v>457</v>
      </c>
      <c r="C22" s="156"/>
      <c r="D22" s="156"/>
      <c r="E22" s="160">
        <v>0</v>
      </c>
      <c r="F22" s="160"/>
      <c r="G22" s="160"/>
    </row>
    <row r="23" s="1" customFormat="1" ht="20" customHeight="1" spans="1:7">
      <c r="A23" s="155">
        <v>5.2</v>
      </c>
      <c r="B23" s="156" t="s">
        <v>458</v>
      </c>
      <c r="C23" s="156"/>
      <c r="D23" s="156"/>
      <c r="E23" s="160">
        <v>0</v>
      </c>
      <c r="F23" s="160"/>
      <c r="G23" s="160"/>
    </row>
    <row r="24" s="1" customFormat="1" ht="18" customHeight="1" spans="1:7">
      <c r="A24" s="155" t="s">
        <v>459</v>
      </c>
      <c r="B24" s="156" t="s">
        <v>460</v>
      </c>
      <c r="C24" s="156" t="s">
        <v>447</v>
      </c>
      <c r="D24" s="156"/>
      <c r="E24" s="158">
        <f>E15</f>
        <v>2760000</v>
      </c>
      <c r="F24" s="158"/>
      <c r="G24" s="158"/>
    </row>
    <row r="25" s="1" customFormat="1" ht="18" customHeight="1" spans="1:11">
      <c r="A25" s="155"/>
      <c r="B25" s="156"/>
      <c r="C25" s="156" t="s">
        <v>448</v>
      </c>
      <c r="D25" s="156"/>
      <c r="E25" s="159">
        <f>E16</f>
        <v>2760000</v>
      </c>
      <c r="F25" s="159"/>
      <c r="G25" s="159"/>
      <c r="I25" s="1">
        <f>290*10000</f>
        <v>2900000</v>
      </c>
      <c r="J25" s="1">
        <f>I25-E15</f>
        <v>140000</v>
      </c>
      <c r="K25" s="1">
        <f>I25*5%</f>
        <v>145000</v>
      </c>
    </row>
    <row r="26" s="1" customFormat="1" ht="18" customHeight="1" spans="1:7">
      <c r="A26" s="155" t="s">
        <v>461</v>
      </c>
      <c r="B26" s="156" t="s">
        <v>462</v>
      </c>
      <c r="C26" s="156" t="s">
        <v>447</v>
      </c>
      <c r="D26" s="156"/>
      <c r="E26" s="158">
        <f>E15</f>
        <v>2760000</v>
      </c>
      <c r="F26" s="158"/>
      <c r="G26" s="158"/>
    </row>
    <row r="27" s="1" customFormat="1" ht="18" customHeight="1" spans="1:7">
      <c r="A27" s="155"/>
      <c r="B27" s="156"/>
      <c r="C27" s="156" t="s">
        <v>448</v>
      </c>
      <c r="D27" s="156"/>
      <c r="E27" s="159">
        <f>E16</f>
        <v>2760000</v>
      </c>
      <c r="F27" s="159"/>
      <c r="G27" s="159"/>
    </row>
    <row r="28" spans="1:7">
      <c r="A28" s="161"/>
      <c r="B28" s="161"/>
      <c r="C28" s="161"/>
      <c r="D28" s="161"/>
      <c r="E28" s="161"/>
      <c r="F28" s="161"/>
      <c r="G28" s="161"/>
    </row>
    <row r="29" spans="1:7">
      <c r="A29" s="145" t="s">
        <v>463</v>
      </c>
      <c r="B29" s="145"/>
      <c r="C29" s="145"/>
      <c r="D29" s="145"/>
      <c r="E29" s="145"/>
      <c r="F29" s="145"/>
      <c r="G29" s="145"/>
    </row>
    <row r="30" spans="1:1">
      <c r="A30" s="146"/>
    </row>
    <row r="31" spans="1:1">
      <c r="A31" s="146"/>
    </row>
    <row r="32" spans="1:7">
      <c r="A32" s="145" t="s">
        <v>464</v>
      </c>
      <c r="B32" s="145"/>
      <c r="C32" s="145"/>
      <c r="D32" s="145"/>
      <c r="E32" s="145"/>
      <c r="F32" s="145"/>
      <c r="G32" s="145"/>
    </row>
    <row r="33" spans="1:1">
      <c r="A33" s="146"/>
    </row>
    <row r="34" ht="27" customHeight="1" spans="1:7">
      <c r="A34" s="162" t="s">
        <v>465</v>
      </c>
      <c r="B34" s="162"/>
      <c r="C34" s="162"/>
      <c r="D34" s="162"/>
      <c r="E34" s="162"/>
      <c r="F34" s="162"/>
      <c r="G34" s="162"/>
    </row>
  </sheetData>
  <mergeCells count="50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D18" sqref="D18"/>
    </sheetView>
  </sheetViews>
  <sheetFormatPr defaultColWidth="9" defaultRowHeight="13.5"/>
  <cols>
    <col min="1" max="1" width="8.25" style="108" customWidth="1"/>
    <col min="2" max="2" width="33.375" style="108" customWidth="1"/>
    <col min="3" max="3" width="20.2166666666667" style="108" customWidth="1"/>
    <col min="4" max="4" width="25.625" style="108" customWidth="1"/>
    <col min="5" max="5" width="20.125" style="108" customWidth="1"/>
    <col min="6" max="6" width="14.125" style="108"/>
    <col min="7" max="7" width="12.625" style="108"/>
    <col min="8" max="8" width="15" style="108" customWidth="1"/>
    <col min="9" max="9" width="14.875" style="110"/>
    <col min="10" max="10" width="14.125" style="111"/>
    <col min="11" max="11" width="18" style="110" customWidth="1"/>
    <col min="12" max="12" width="11.5" style="111"/>
    <col min="13" max="13" width="14.875" style="112" customWidth="1"/>
    <col min="14" max="16383" width="9" style="108"/>
  </cols>
  <sheetData>
    <row r="1" ht="40" customHeight="1" spans="1:4">
      <c r="A1" s="113" t="s">
        <v>466</v>
      </c>
      <c r="B1" s="114"/>
      <c r="C1" s="115"/>
      <c r="D1" s="114"/>
    </row>
    <row r="2" ht="22" customHeight="1" spans="1:4">
      <c r="A2" s="116" t="s">
        <v>1</v>
      </c>
      <c r="B2" s="117" t="s">
        <v>343</v>
      </c>
      <c r="C2" s="118" t="s">
        <v>467</v>
      </c>
      <c r="D2" s="119" t="s">
        <v>374</v>
      </c>
    </row>
    <row r="3" ht="30" customHeight="1" spans="1:4">
      <c r="A3" s="120" t="s">
        <v>435</v>
      </c>
      <c r="B3" s="121" t="s">
        <v>437</v>
      </c>
      <c r="C3" s="122">
        <f>C4</f>
        <v>2882752.58</v>
      </c>
      <c r="D3" s="123" t="s">
        <v>468</v>
      </c>
    </row>
    <row r="4" s="104" customFormat="1" ht="30" customHeight="1" spans="1:14">
      <c r="A4" s="120">
        <v>1</v>
      </c>
      <c r="B4" s="121" t="s">
        <v>469</v>
      </c>
      <c r="C4" s="122">
        <f>SUM(C5:C9)</f>
        <v>2882752.58</v>
      </c>
      <c r="D4" s="124"/>
      <c r="G4" s="108"/>
      <c r="H4" s="108"/>
      <c r="I4" s="108"/>
      <c r="J4" s="108"/>
      <c r="K4" s="108"/>
      <c r="L4" s="108"/>
      <c r="M4" s="108"/>
      <c r="N4" s="108"/>
    </row>
    <row r="5" s="104" customFormat="1" ht="28" customHeight="1" spans="1:14">
      <c r="A5" s="125">
        <v>1.1</v>
      </c>
      <c r="B5" s="48" t="s">
        <v>470</v>
      </c>
      <c r="C5" s="126">
        <f>'苗木-以实结算'!G89</f>
        <v>569470.6</v>
      </c>
      <c r="D5" s="127" t="s">
        <v>471</v>
      </c>
      <c r="E5" s="104">
        <v>610448.45</v>
      </c>
      <c r="F5" s="104">
        <f>C5-E5</f>
        <v>-40977.85</v>
      </c>
      <c r="G5" s="108"/>
      <c r="H5" s="108"/>
      <c r="I5" s="108"/>
      <c r="J5" s="108"/>
      <c r="K5" s="108"/>
      <c r="L5" s="108"/>
      <c r="M5" s="108"/>
      <c r="N5" s="108"/>
    </row>
    <row r="6" customFormat="1" ht="28" customHeight="1" spans="1:14">
      <c r="A6" s="125">
        <v>1.2</v>
      </c>
      <c r="B6" s="48" t="s">
        <v>472</v>
      </c>
      <c r="C6" s="126">
        <v>1919049.97</v>
      </c>
      <c r="D6" s="127" t="s">
        <v>473</v>
      </c>
      <c r="G6" s="108"/>
      <c r="H6" s="108"/>
      <c r="I6" s="108"/>
      <c r="J6" s="108"/>
      <c r="K6" s="108"/>
      <c r="L6" s="108"/>
      <c r="M6" s="108"/>
      <c r="N6" s="108"/>
    </row>
    <row r="7" customFormat="1" ht="28" customHeight="1" spans="1:14">
      <c r="A7" s="125">
        <v>1.3</v>
      </c>
      <c r="B7" s="48" t="s">
        <v>474</v>
      </c>
      <c r="C7" s="126">
        <v>288083.46</v>
      </c>
      <c r="D7" s="127" t="s">
        <v>473</v>
      </c>
      <c r="G7" s="108"/>
      <c r="H7" s="108"/>
      <c r="I7" s="108"/>
      <c r="J7" s="108"/>
      <c r="K7" s="108"/>
      <c r="L7" s="108"/>
      <c r="M7" s="108"/>
      <c r="N7" s="108"/>
    </row>
    <row r="8" customFormat="1" ht="28" customHeight="1" spans="1:14">
      <c r="A8" s="125">
        <v>1.4</v>
      </c>
      <c r="B8" s="48" t="s">
        <v>475</v>
      </c>
      <c r="C8" s="126">
        <v>51210.55</v>
      </c>
      <c r="D8" s="127" t="s">
        <v>473</v>
      </c>
      <c r="F8" t="s">
        <v>476</v>
      </c>
      <c r="G8" s="108"/>
      <c r="H8" s="108"/>
      <c r="I8" s="108"/>
      <c r="J8" s="108"/>
      <c r="K8" s="108"/>
      <c r="L8" s="108"/>
      <c r="M8" s="108"/>
      <c r="N8" s="108"/>
    </row>
    <row r="9" customFormat="1" ht="28" customHeight="1" spans="1:14">
      <c r="A9" s="125">
        <v>1.5</v>
      </c>
      <c r="B9" s="128" t="s">
        <v>477</v>
      </c>
      <c r="C9" s="126">
        <f>'雨污水系统-以实结算'!K18</f>
        <v>54938</v>
      </c>
      <c r="D9" s="127" t="s">
        <v>471</v>
      </c>
      <c r="E9">
        <v>56434.71</v>
      </c>
      <c r="F9">
        <f>E5+C6+C7+C8+E9</f>
        <v>2925227.14</v>
      </c>
      <c r="G9" s="108"/>
      <c r="H9" s="108"/>
      <c r="I9" s="108"/>
      <c r="J9" s="108"/>
      <c r="K9" s="108"/>
      <c r="L9" s="108"/>
      <c r="M9" s="108"/>
      <c r="N9" s="108"/>
    </row>
    <row r="10" s="105" customFormat="1" ht="27" customHeight="1" spans="1:14">
      <c r="A10" s="120" t="s">
        <v>441</v>
      </c>
      <c r="B10" s="129" t="s">
        <v>438</v>
      </c>
      <c r="C10" s="122">
        <f>C11+C12</f>
        <v>-397307.49</v>
      </c>
      <c r="D10" s="123" t="s">
        <v>468</v>
      </c>
      <c r="G10" s="108"/>
      <c r="H10" s="111"/>
      <c r="I10" s="111"/>
      <c r="J10" s="111"/>
      <c r="K10" s="111"/>
      <c r="L10" s="111"/>
      <c r="M10" s="111"/>
      <c r="N10" s="108"/>
    </row>
    <row r="11" s="106" customFormat="1" ht="26" customHeight="1" spans="1:14">
      <c r="A11" s="130">
        <v>1</v>
      </c>
      <c r="B11" s="131" t="s">
        <v>478</v>
      </c>
      <c r="C11" s="126">
        <f>'土建-设计变更项'!H62</f>
        <v>-337272.56</v>
      </c>
      <c r="D11" s="132"/>
      <c r="G11" s="108"/>
      <c r="H11" s="111"/>
      <c r="I11" s="111"/>
      <c r="J11" s="111"/>
      <c r="K11" s="111"/>
      <c r="L11" s="111"/>
      <c r="M11" s="111"/>
      <c r="N11" s="108"/>
    </row>
    <row r="12" s="106" customFormat="1" ht="25" customHeight="1" spans="1:14">
      <c r="A12" s="130">
        <v>2</v>
      </c>
      <c r="B12" s="131" t="s">
        <v>474</v>
      </c>
      <c r="C12" s="126">
        <f>'安装类-设计变更项'!K106</f>
        <v>-60034.93</v>
      </c>
      <c r="D12" s="132"/>
      <c r="G12" s="108"/>
      <c r="H12" s="111"/>
      <c r="I12" s="111"/>
      <c r="J12" s="111"/>
      <c r="K12" s="111"/>
      <c r="L12" s="111"/>
      <c r="M12" s="111"/>
      <c r="N12" s="108"/>
    </row>
    <row r="13" s="107" customFormat="1" ht="29" customHeight="1" spans="1:13">
      <c r="A13" s="120" t="s">
        <v>445</v>
      </c>
      <c r="B13" s="129" t="s">
        <v>439</v>
      </c>
      <c r="C13" s="133">
        <f>SUM(C14:C30)</f>
        <v>274940.6</v>
      </c>
      <c r="D13" s="134" t="s">
        <v>479</v>
      </c>
      <c r="E13" s="107">
        <f>284357.32-12016.72+2600</f>
        <v>274940.6</v>
      </c>
      <c r="F13" s="107">
        <v>274940.6</v>
      </c>
      <c r="H13" s="111" t="s">
        <v>480</v>
      </c>
      <c r="I13" s="111">
        <v>2879352.67</v>
      </c>
      <c r="J13" s="111"/>
      <c r="K13" s="111"/>
      <c r="L13" s="111"/>
      <c r="M13" s="111"/>
    </row>
    <row r="14" s="108" customFormat="1" ht="39" customHeight="1" spans="1:13">
      <c r="A14" s="135">
        <v>1</v>
      </c>
      <c r="B14" s="136" t="s">
        <v>481</v>
      </c>
      <c r="C14" s="51">
        <v>-1530</v>
      </c>
      <c r="D14" s="137" t="s">
        <v>482</v>
      </c>
      <c r="E14" s="107"/>
      <c r="H14" s="111" t="s">
        <v>476</v>
      </c>
      <c r="I14" s="111">
        <v>2925227.15</v>
      </c>
      <c r="J14" s="111">
        <f>I14-I13</f>
        <v>45874.48</v>
      </c>
      <c r="K14" s="111">
        <v>45874.48</v>
      </c>
      <c r="L14" s="111"/>
      <c r="M14" s="111"/>
    </row>
    <row r="15" s="108" customFormat="1" ht="52" customHeight="1" spans="1:13">
      <c r="A15" s="135">
        <v>2</v>
      </c>
      <c r="B15" s="136" t="s">
        <v>483</v>
      </c>
      <c r="C15" s="51">
        <v>19700</v>
      </c>
      <c r="D15" s="137" t="s">
        <v>484</v>
      </c>
      <c r="E15" s="107"/>
      <c r="H15" s="111" t="s">
        <v>485</v>
      </c>
      <c r="I15" s="111">
        <f>C13</f>
        <v>274940.6</v>
      </c>
      <c r="J15" s="111"/>
      <c r="K15" s="111">
        <f>I13-I14-I15</f>
        <v>-320815.08</v>
      </c>
      <c r="L15" s="111">
        <v>-320815.08</v>
      </c>
      <c r="M15" s="111"/>
    </row>
    <row r="16" s="108" customFormat="1" ht="39" customHeight="1" spans="1:13">
      <c r="A16" s="135">
        <v>3</v>
      </c>
      <c r="B16" s="136" t="s">
        <v>486</v>
      </c>
      <c r="C16" s="51">
        <v>5500</v>
      </c>
      <c r="D16" s="137" t="s">
        <v>487</v>
      </c>
      <c r="E16" s="107"/>
      <c r="H16" s="111"/>
      <c r="I16" s="111">
        <f>I13-I14-I15</f>
        <v>-320815.08</v>
      </c>
      <c r="J16" s="111"/>
      <c r="K16" s="111"/>
      <c r="L16" s="111"/>
      <c r="M16" s="111"/>
    </row>
    <row r="17" s="108" customFormat="1" ht="65" customHeight="1" spans="1:13">
      <c r="A17" s="135">
        <v>4</v>
      </c>
      <c r="B17" s="136" t="s">
        <v>488</v>
      </c>
      <c r="C17" s="51">
        <v>741</v>
      </c>
      <c r="D17" s="137" t="s">
        <v>489</v>
      </c>
      <c r="E17" s="107"/>
      <c r="H17" s="111"/>
      <c r="I17" s="111"/>
      <c r="J17" s="111"/>
      <c r="K17" s="111"/>
      <c r="L17" s="111"/>
      <c r="M17" s="111"/>
    </row>
    <row r="18" s="108" customFormat="1" ht="39" customHeight="1" spans="1:13">
      <c r="A18" s="135">
        <v>5</v>
      </c>
      <c r="B18" s="136" t="s">
        <v>490</v>
      </c>
      <c r="C18" s="51">
        <v>923.9</v>
      </c>
      <c r="D18" s="137" t="s">
        <v>491</v>
      </c>
      <c r="E18" s="107"/>
      <c r="I18" s="110"/>
      <c r="J18" s="111"/>
      <c r="K18" s="110"/>
      <c r="L18" s="111"/>
      <c r="M18" s="112"/>
    </row>
    <row r="19" s="108" customFormat="1" ht="33" customHeight="1" spans="1:13">
      <c r="A19" s="135">
        <v>6</v>
      </c>
      <c r="B19" s="136" t="s">
        <v>492</v>
      </c>
      <c r="C19" s="51">
        <v>400</v>
      </c>
      <c r="D19" s="137" t="s">
        <v>493</v>
      </c>
      <c r="E19" s="107"/>
      <c r="F19" s="138"/>
      <c r="G19" s="139"/>
      <c r="H19" s="138"/>
      <c r="I19" s="110"/>
      <c r="J19" s="111"/>
      <c r="K19" s="110"/>
      <c r="L19" s="111"/>
      <c r="M19" s="112"/>
    </row>
    <row r="20" s="109" customFormat="1" ht="49" customHeight="1" spans="1:13">
      <c r="A20" s="135">
        <v>7</v>
      </c>
      <c r="B20" s="136" t="s">
        <v>494</v>
      </c>
      <c r="C20" s="51">
        <v>21000</v>
      </c>
      <c r="D20" s="137" t="s">
        <v>495</v>
      </c>
      <c r="E20" s="107"/>
      <c r="F20" s="138"/>
      <c r="G20" s="139"/>
      <c r="H20" s="138"/>
      <c r="I20" s="110"/>
      <c r="J20" s="111"/>
      <c r="K20" s="110"/>
      <c r="L20" s="111"/>
      <c r="M20" s="112"/>
    </row>
    <row r="21" s="109" customFormat="1" ht="41" customHeight="1" spans="1:13">
      <c r="A21" s="135">
        <v>8</v>
      </c>
      <c r="B21" s="136" t="s">
        <v>496</v>
      </c>
      <c r="C21" s="51">
        <v>2600</v>
      </c>
      <c r="D21" s="137" t="s">
        <v>497</v>
      </c>
      <c r="E21" s="107"/>
      <c r="F21" s="138"/>
      <c r="G21" s="139"/>
      <c r="H21" s="138"/>
      <c r="I21" s="110"/>
      <c r="J21" s="111"/>
      <c r="K21" s="110"/>
      <c r="L21" s="111"/>
      <c r="M21" s="112"/>
    </row>
    <row r="22" s="109" customFormat="1" ht="37" customHeight="1" spans="1:13">
      <c r="A22" s="135">
        <v>9</v>
      </c>
      <c r="B22" s="136" t="s">
        <v>498</v>
      </c>
      <c r="C22" s="51">
        <v>134450</v>
      </c>
      <c r="D22" s="137" t="s">
        <v>499</v>
      </c>
      <c r="E22" s="107"/>
      <c r="F22" s="138"/>
      <c r="G22" s="139"/>
      <c r="H22" s="138"/>
      <c r="I22" s="110"/>
      <c r="J22" s="111"/>
      <c r="K22" s="110"/>
      <c r="L22" s="111"/>
      <c r="M22" s="112"/>
    </row>
    <row r="23" s="109" customFormat="1" ht="35" customHeight="1" spans="1:13">
      <c r="A23" s="135">
        <v>10</v>
      </c>
      <c r="B23" s="136" t="s">
        <v>500</v>
      </c>
      <c r="C23" s="51">
        <v>29400</v>
      </c>
      <c r="D23" s="137" t="s">
        <v>501</v>
      </c>
      <c r="E23" s="107"/>
      <c r="F23" s="138"/>
      <c r="G23" s="139"/>
      <c r="H23" s="138"/>
      <c r="I23" s="110"/>
      <c r="J23" s="111"/>
      <c r="K23" s="110"/>
      <c r="L23" s="111"/>
      <c r="M23" s="112"/>
    </row>
    <row r="24" s="109" customFormat="1" ht="52" customHeight="1" spans="1:13">
      <c r="A24" s="135">
        <v>11</v>
      </c>
      <c r="B24" s="136" t="s">
        <v>502</v>
      </c>
      <c r="C24" s="51">
        <v>16500</v>
      </c>
      <c r="D24" s="137" t="s">
        <v>503</v>
      </c>
      <c r="E24" s="107"/>
      <c r="F24" s="138"/>
      <c r="G24" s="139"/>
      <c r="H24" s="138"/>
      <c r="I24" s="110"/>
      <c r="J24" s="111"/>
      <c r="K24" s="110"/>
      <c r="L24" s="111"/>
      <c r="M24" s="112"/>
    </row>
    <row r="25" s="109" customFormat="1" ht="106" customHeight="1" spans="1:13">
      <c r="A25" s="135">
        <v>12</v>
      </c>
      <c r="B25" s="136" t="s">
        <v>504</v>
      </c>
      <c r="C25" s="51">
        <v>26700</v>
      </c>
      <c r="D25" s="137" t="s">
        <v>505</v>
      </c>
      <c r="E25" s="107"/>
      <c r="F25" s="138"/>
      <c r="G25" s="139"/>
      <c r="H25" s="138"/>
      <c r="I25" s="110"/>
      <c r="J25" s="111"/>
      <c r="K25" s="110"/>
      <c r="L25" s="111"/>
      <c r="M25" s="112"/>
    </row>
    <row r="26" s="109" customFormat="1" ht="63" customHeight="1" spans="1:13">
      <c r="A26" s="135">
        <v>13</v>
      </c>
      <c r="B26" s="136" t="s">
        <v>506</v>
      </c>
      <c r="C26" s="51">
        <v>3255</v>
      </c>
      <c r="D26" s="137" t="s">
        <v>507</v>
      </c>
      <c r="E26" s="107"/>
      <c r="F26" s="138"/>
      <c r="G26" s="139"/>
      <c r="H26" s="138"/>
      <c r="I26" s="110"/>
      <c r="J26" s="111"/>
      <c r="K26" s="110"/>
      <c r="L26" s="111"/>
      <c r="M26" s="112"/>
    </row>
    <row r="27" s="109" customFormat="1" ht="113" customHeight="1" spans="1:13">
      <c r="A27" s="135">
        <v>14</v>
      </c>
      <c r="B27" s="136" t="s">
        <v>508</v>
      </c>
      <c r="C27" s="51">
        <v>1300</v>
      </c>
      <c r="D27" s="137" t="s">
        <v>509</v>
      </c>
      <c r="E27" s="107"/>
      <c r="F27" s="138"/>
      <c r="G27" s="139"/>
      <c r="H27" s="138"/>
      <c r="I27" s="110"/>
      <c r="J27" s="111"/>
      <c r="K27" s="110"/>
      <c r="L27" s="111"/>
      <c r="M27" s="112"/>
    </row>
    <row r="28" s="109" customFormat="1" ht="52" customHeight="1" spans="1:13">
      <c r="A28" s="135">
        <v>15</v>
      </c>
      <c r="B28" s="136" t="s">
        <v>510</v>
      </c>
      <c r="C28" s="51">
        <v>7646.2</v>
      </c>
      <c r="D28" s="137" t="s">
        <v>511</v>
      </c>
      <c r="E28" s="107"/>
      <c r="F28" s="138"/>
      <c r="G28" s="139"/>
      <c r="H28" s="138"/>
      <c r="I28" s="110"/>
      <c r="J28" s="111"/>
      <c r="K28" s="110"/>
      <c r="L28" s="111"/>
      <c r="M28" s="112"/>
    </row>
    <row r="29" s="109" customFormat="1" ht="52" customHeight="1" spans="1:13">
      <c r="A29" s="135">
        <v>16</v>
      </c>
      <c r="B29" s="136" t="s">
        <v>512</v>
      </c>
      <c r="C29" s="51">
        <v>1864.5</v>
      </c>
      <c r="D29" s="137" t="s">
        <v>513</v>
      </c>
      <c r="E29" s="107"/>
      <c r="F29" s="138"/>
      <c r="G29" s="139"/>
      <c r="H29" s="138"/>
      <c r="I29" s="110"/>
      <c r="J29" s="111"/>
      <c r="K29" s="110"/>
      <c r="L29" s="111"/>
      <c r="M29" s="112"/>
    </row>
    <row r="30" s="109" customFormat="1" ht="33" customHeight="1" spans="1:13">
      <c r="A30" s="135">
        <v>17</v>
      </c>
      <c r="B30" s="136" t="s">
        <v>514</v>
      </c>
      <c r="C30" s="51">
        <v>4490</v>
      </c>
      <c r="D30" s="137" t="s">
        <v>515</v>
      </c>
      <c r="E30" s="107"/>
      <c r="F30" s="138"/>
      <c r="G30" s="139"/>
      <c r="H30" s="138"/>
      <c r="I30" s="110"/>
      <c r="J30" s="111"/>
      <c r="K30" s="110"/>
      <c r="L30" s="111"/>
      <c r="M30" s="112"/>
    </row>
    <row r="31" ht="34" customHeight="1" spans="1:8">
      <c r="A31" s="120" t="s">
        <v>449</v>
      </c>
      <c r="B31" s="129" t="s">
        <v>516</v>
      </c>
      <c r="C31" s="133">
        <f>C3+C10+C13</f>
        <v>2760385.69</v>
      </c>
      <c r="D31" s="140"/>
      <c r="F31" s="111"/>
      <c r="G31" s="111"/>
      <c r="H31" s="111"/>
    </row>
    <row r="32" s="108" customFormat="1" ht="34" customHeight="1" spans="1:13">
      <c r="A32" s="141" t="s">
        <v>455</v>
      </c>
      <c r="B32" s="142" t="s">
        <v>517</v>
      </c>
      <c r="C32" s="143">
        <v>2760000</v>
      </c>
      <c r="D32" s="144" t="s">
        <v>518</v>
      </c>
      <c r="E32" s="111">
        <f>C32-C31</f>
        <v>-385.69</v>
      </c>
      <c r="I32" s="110"/>
      <c r="J32" s="111"/>
      <c r="K32" s="110"/>
      <c r="L32" s="111"/>
      <c r="M32" s="112"/>
    </row>
    <row r="33" s="2" customFormat="1" ht="23" customHeight="1" spans="1:13">
      <c r="A33" s="145" t="s">
        <v>463</v>
      </c>
      <c r="B33" s="145"/>
      <c r="C33" s="145"/>
      <c r="D33" s="145"/>
      <c r="I33" s="149"/>
      <c r="J33" s="150"/>
      <c r="K33" s="149"/>
      <c r="L33" s="150"/>
      <c r="M33" s="151"/>
    </row>
    <row r="34" s="2" customFormat="1" ht="14.25" spans="1:13">
      <c r="A34" s="146"/>
      <c r="I34" s="149"/>
      <c r="J34" s="150"/>
      <c r="K34" s="149"/>
      <c r="L34" s="150"/>
      <c r="M34" s="151"/>
    </row>
    <row r="35" s="2" customFormat="1" ht="14.25" spans="1:13">
      <c r="A35" s="146"/>
      <c r="I35" s="149"/>
      <c r="J35" s="150"/>
      <c r="K35" s="149"/>
      <c r="L35" s="150"/>
      <c r="M35" s="151"/>
    </row>
    <row r="36" s="2" customFormat="1" ht="14.25" spans="1:13">
      <c r="A36" s="145" t="s">
        <v>464</v>
      </c>
      <c r="B36" s="145"/>
      <c r="C36" s="145"/>
      <c r="D36" s="145"/>
      <c r="I36" s="149"/>
      <c r="J36" s="150"/>
      <c r="K36" s="149"/>
      <c r="L36" s="150"/>
      <c r="M36" s="151"/>
    </row>
    <row r="37" s="2" customFormat="1" ht="14.25" spans="1:13">
      <c r="A37" s="146"/>
      <c r="I37" s="149"/>
      <c r="J37" s="150"/>
      <c r="K37" s="149"/>
      <c r="L37" s="150"/>
      <c r="M37" s="151"/>
    </row>
    <row r="38" ht="14.25" spans="1:4">
      <c r="A38" s="147"/>
      <c r="B38" s="147"/>
      <c r="C38" s="148"/>
      <c r="D38" s="147"/>
    </row>
  </sheetData>
  <mergeCells count="3">
    <mergeCell ref="A1:D1"/>
    <mergeCell ref="A33:D33"/>
    <mergeCell ref="A36:D36"/>
  </mergeCells>
  <printOptions horizontalCentered="1"/>
  <pageMargins left="0.118055555555556" right="0.118055555555556" top="0.0784722222222222" bottom="0.156944444444444" header="0.298611111111111" footer="0.0388888888888889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workbookViewId="0">
      <pane xSplit="5" ySplit="4" topLeftCell="F5" activePane="bottomRight" state="frozen"/>
      <selection/>
      <selection pane="topRight"/>
      <selection pane="bottomLeft"/>
      <selection pane="bottomRight" activeCell="A1" sqref="A1:P1"/>
    </sheetView>
  </sheetViews>
  <sheetFormatPr defaultColWidth="9" defaultRowHeight="14.25"/>
  <cols>
    <col min="1" max="1" width="6.08333333333333" style="1" customWidth="1"/>
    <col min="2" max="2" width="14.2666666666667" style="1" customWidth="1"/>
    <col min="3" max="3" width="6.33333333333333" style="1" customWidth="1"/>
    <col min="4" max="4" width="7.64166666666667" style="1" customWidth="1"/>
    <col min="5" max="5" width="8.80833333333333" style="1" customWidth="1"/>
    <col min="6" max="6" width="14.625" style="1" customWidth="1"/>
    <col min="7" max="7" width="11.5" style="76" customWidth="1"/>
    <col min="8" max="8" width="11.125" style="1" customWidth="1"/>
    <col min="9" max="9" width="11.25" style="1" customWidth="1"/>
    <col min="10" max="10" width="11.375" style="1" customWidth="1"/>
    <col min="11" max="11" width="14.6083333333333" style="1" customWidth="1"/>
    <col min="12" max="14" width="9" style="1"/>
    <col min="15" max="15" width="10.4833333333333" style="1" customWidth="1"/>
    <col min="16" max="16" width="21" style="77" customWidth="1"/>
    <col min="17" max="17" width="23.825" style="1" customWidth="1"/>
    <col min="18" max="16384" width="9" style="1"/>
  </cols>
  <sheetData>
    <row r="1" s="70" customFormat="1" ht="25.5" spans="1:16">
      <c r="A1" s="78" t="s">
        <v>519</v>
      </c>
      <c r="B1" s="78"/>
      <c r="C1" s="78"/>
      <c r="D1" s="78"/>
      <c r="E1" s="78"/>
      <c r="F1" s="78"/>
      <c r="G1" s="79"/>
      <c r="H1" s="78"/>
      <c r="I1" s="78"/>
      <c r="J1" s="78"/>
      <c r="K1" s="78"/>
      <c r="L1" s="78"/>
      <c r="M1" s="78"/>
      <c r="N1" s="78"/>
      <c r="O1" s="78"/>
      <c r="P1" s="78"/>
    </row>
    <row r="2" s="71" customFormat="1" ht="13.5" spans="1:16">
      <c r="A2" s="41" t="s">
        <v>1</v>
      </c>
      <c r="B2" s="41" t="s">
        <v>370</v>
      </c>
      <c r="C2" s="41" t="s">
        <v>520</v>
      </c>
      <c r="D2" s="43" t="s">
        <v>521</v>
      </c>
      <c r="E2" s="43"/>
      <c r="F2" s="43" t="s">
        <v>522</v>
      </c>
      <c r="G2" s="42" t="s">
        <v>523</v>
      </c>
      <c r="H2" s="41" t="s">
        <v>524</v>
      </c>
      <c r="I2" s="41"/>
      <c r="J2" s="41"/>
      <c r="K2" s="41"/>
      <c r="L2" s="41" t="s">
        <v>525</v>
      </c>
      <c r="M2" s="41"/>
      <c r="N2" s="41"/>
      <c r="O2" s="41"/>
      <c r="P2" s="41" t="s">
        <v>374</v>
      </c>
    </row>
    <row r="3" s="71" customFormat="1" ht="27" spans="1:16">
      <c r="A3" s="41"/>
      <c r="B3" s="41"/>
      <c r="C3" s="41"/>
      <c r="D3" s="80" t="s">
        <v>526</v>
      </c>
      <c r="E3" s="80" t="s">
        <v>527</v>
      </c>
      <c r="F3" s="43"/>
      <c r="G3" s="42"/>
      <c r="H3" s="41" t="s">
        <v>528</v>
      </c>
      <c r="I3" s="41" t="s">
        <v>529</v>
      </c>
      <c r="J3" s="41" t="s">
        <v>530</v>
      </c>
      <c r="K3" s="41" t="s">
        <v>374</v>
      </c>
      <c r="L3" s="41" t="s">
        <v>531</v>
      </c>
      <c r="M3" s="41" t="s">
        <v>532</v>
      </c>
      <c r="N3" s="41" t="s">
        <v>533</v>
      </c>
      <c r="O3" s="41" t="s">
        <v>534</v>
      </c>
      <c r="P3" s="41"/>
    </row>
    <row r="4" s="71" customFormat="1" ht="13.5" spans="1:16">
      <c r="A4" s="41" t="s">
        <v>435</v>
      </c>
      <c r="B4" s="41" t="s">
        <v>535</v>
      </c>
      <c r="C4" s="41"/>
      <c r="D4" s="41"/>
      <c r="E4" s="43"/>
      <c r="F4" s="43"/>
      <c r="G4" s="42"/>
      <c r="H4" s="41"/>
      <c r="I4" s="41"/>
      <c r="J4" s="41"/>
      <c r="K4" s="41"/>
      <c r="L4" s="41"/>
      <c r="M4" s="41"/>
      <c r="N4" s="41"/>
      <c r="O4" s="41"/>
      <c r="P4" s="41"/>
    </row>
    <row r="5" s="72" customFormat="1" ht="24" outlineLevel="1" spans="1:16">
      <c r="A5" s="81">
        <v>1</v>
      </c>
      <c r="B5" s="81" t="s">
        <v>536</v>
      </c>
      <c r="C5" s="81" t="s">
        <v>537</v>
      </c>
      <c r="D5" s="81">
        <f>E5</f>
        <v>4</v>
      </c>
      <c r="E5" s="82">
        <v>4</v>
      </c>
      <c r="F5" s="83">
        <v>12150</v>
      </c>
      <c r="G5" s="57">
        <f>E5*F5</f>
        <v>48600</v>
      </c>
      <c r="H5" s="84" t="s">
        <v>538</v>
      </c>
      <c r="I5" s="84" t="s">
        <v>538</v>
      </c>
      <c r="J5" s="84" t="s">
        <v>538</v>
      </c>
      <c r="K5" s="84"/>
      <c r="L5" s="84" t="s">
        <v>539</v>
      </c>
      <c r="M5" s="89">
        <v>7.5</v>
      </c>
      <c r="N5" s="89">
        <v>5</v>
      </c>
      <c r="O5" s="57">
        <v>2</v>
      </c>
      <c r="P5" s="90" t="s">
        <v>540</v>
      </c>
    </row>
    <row r="6" s="72" customFormat="1" ht="24" outlineLevel="1" spans="1:16">
      <c r="A6" s="81">
        <v>2</v>
      </c>
      <c r="B6" s="81" t="s">
        <v>541</v>
      </c>
      <c r="C6" s="81" t="s">
        <v>537</v>
      </c>
      <c r="D6" s="81">
        <f>SUM(E6:E7)</f>
        <v>2</v>
      </c>
      <c r="E6" s="82">
        <v>1</v>
      </c>
      <c r="F6" s="83">
        <f>9500*85%*(0.2+0.3+4/5*0.5)</f>
        <v>7267.5</v>
      </c>
      <c r="G6" s="57">
        <f t="shared" ref="G6:G37" si="0">E6*F6</f>
        <v>7267.5</v>
      </c>
      <c r="H6" s="84" t="s">
        <v>538</v>
      </c>
      <c r="I6" s="84" t="s">
        <v>538</v>
      </c>
      <c r="J6" s="89">
        <v>4</v>
      </c>
      <c r="K6" s="91"/>
      <c r="L6" s="84" t="s">
        <v>542</v>
      </c>
      <c r="M6" s="84" t="s">
        <v>543</v>
      </c>
      <c r="N6" s="84" t="s">
        <v>544</v>
      </c>
      <c r="O6" s="84">
        <v>1.8</v>
      </c>
      <c r="P6" s="90" t="s">
        <v>540</v>
      </c>
    </row>
    <row r="7" s="72" customFormat="1" ht="24" outlineLevel="1" spans="1:16">
      <c r="A7" s="81"/>
      <c r="B7" s="81" t="s">
        <v>541</v>
      </c>
      <c r="C7" s="81" t="s">
        <v>537</v>
      </c>
      <c r="D7" s="81"/>
      <c r="E7" s="82">
        <v>1</v>
      </c>
      <c r="F7" s="83">
        <f>9500*85%*(0.2+0.3+4/5*0.5)</f>
        <v>7267.5</v>
      </c>
      <c r="G7" s="57">
        <f t="shared" si="0"/>
        <v>7267.5</v>
      </c>
      <c r="H7" s="84" t="s">
        <v>538</v>
      </c>
      <c r="I7" s="84" t="s">
        <v>538</v>
      </c>
      <c r="J7" s="89">
        <v>4</v>
      </c>
      <c r="K7" s="91"/>
      <c r="L7" s="84"/>
      <c r="M7" s="84"/>
      <c r="N7" s="84"/>
      <c r="O7" s="84"/>
      <c r="P7" s="90" t="s">
        <v>540</v>
      </c>
    </row>
    <row r="8" s="72" customFormat="1" ht="24" outlineLevel="1" spans="1:16">
      <c r="A8" s="81">
        <v>3</v>
      </c>
      <c r="B8" s="81" t="s">
        <v>545</v>
      </c>
      <c r="C8" s="81" t="s">
        <v>537</v>
      </c>
      <c r="D8" s="81">
        <f>SUM(E8:E10)</f>
        <v>5</v>
      </c>
      <c r="E8" s="82">
        <v>3</v>
      </c>
      <c r="F8" s="83">
        <v>16500</v>
      </c>
      <c r="G8" s="57">
        <f t="shared" si="0"/>
        <v>49500</v>
      </c>
      <c r="H8" s="84" t="s">
        <v>538</v>
      </c>
      <c r="I8" s="84" t="s">
        <v>538</v>
      </c>
      <c r="J8" s="84" t="s">
        <v>538</v>
      </c>
      <c r="K8" s="84"/>
      <c r="L8" s="84" t="s">
        <v>546</v>
      </c>
      <c r="M8" s="84">
        <v>7.5</v>
      </c>
      <c r="N8" s="84">
        <v>5</v>
      </c>
      <c r="O8" s="84"/>
      <c r="P8" s="84" t="s">
        <v>547</v>
      </c>
    </row>
    <row r="9" s="72" customFormat="1" ht="24" outlineLevel="1" spans="1:16">
      <c r="A9" s="81"/>
      <c r="B9" s="81" t="s">
        <v>545</v>
      </c>
      <c r="C9" s="81" t="s">
        <v>537</v>
      </c>
      <c r="D9" s="81"/>
      <c r="E9" s="82">
        <v>1</v>
      </c>
      <c r="F9" s="83">
        <v>16500</v>
      </c>
      <c r="G9" s="57">
        <f t="shared" si="0"/>
        <v>16500</v>
      </c>
      <c r="H9" s="84" t="s">
        <v>538</v>
      </c>
      <c r="I9" s="84" t="s">
        <v>538</v>
      </c>
      <c r="J9" s="84" t="s">
        <v>538</v>
      </c>
      <c r="K9" s="84"/>
      <c r="L9" s="84"/>
      <c r="M9" s="84"/>
      <c r="N9" s="84"/>
      <c r="O9" s="84"/>
      <c r="P9" s="84"/>
    </row>
    <row r="10" s="72" customFormat="1" ht="60" outlineLevel="1" spans="1:16">
      <c r="A10" s="81"/>
      <c r="B10" s="81" t="s">
        <v>545</v>
      </c>
      <c r="C10" s="81" t="s">
        <v>537</v>
      </c>
      <c r="D10" s="81"/>
      <c r="E10" s="82">
        <v>1</v>
      </c>
      <c r="F10" s="83">
        <f>16500</f>
        <v>16500</v>
      </c>
      <c r="G10" s="57">
        <f t="shared" si="0"/>
        <v>16500</v>
      </c>
      <c r="H10" s="84" t="s">
        <v>538</v>
      </c>
      <c r="I10" s="89">
        <v>6</v>
      </c>
      <c r="J10" s="84" t="s">
        <v>538</v>
      </c>
      <c r="K10" s="84" t="s">
        <v>548</v>
      </c>
      <c r="L10" s="84"/>
      <c r="M10" s="84"/>
      <c r="N10" s="84"/>
      <c r="O10" s="84"/>
      <c r="P10" s="84"/>
    </row>
    <row r="11" s="72" customFormat="1" ht="24" outlineLevel="1" spans="1:16">
      <c r="A11" s="81">
        <v>4</v>
      </c>
      <c r="B11" s="81" t="s">
        <v>549</v>
      </c>
      <c r="C11" s="81" t="s">
        <v>537</v>
      </c>
      <c r="D11" s="81">
        <f>SUM(E11:E12)</f>
        <v>2</v>
      </c>
      <c r="E11" s="82">
        <v>1</v>
      </c>
      <c r="F11" s="83">
        <v>2800</v>
      </c>
      <c r="G11" s="57">
        <f t="shared" si="0"/>
        <v>2800</v>
      </c>
      <c r="H11" s="84" t="s">
        <v>538</v>
      </c>
      <c r="I11" s="84" t="s">
        <v>538</v>
      </c>
      <c r="J11" s="84" t="s">
        <v>538</v>
      </c>
      <c r="K11" s="84"/>
      <c r="L11" s="89"/>
      <c r="M11" s="89">
        <v>4.5</v>
      </c>
      <c r="N11" s="89">
        <v>4.5</v>
      </c>
      <c r="O11" s="81"/>
      <c r="P11" s="81" t="s">
        <v>550</v>
      </c>
    </row>
    <row r="12" s="72" customFormat="1" ht="24" outlineLevel="1" spans="1:16">
      <c r="A12" s="81"/>
      <c r="B12" s="81" t="s">
        <v>549</v>
      </c>
      <c r="C12" s="81" t="s">
        <v>537</v>
      </c>
      <c r="D12" s="81"/>
      <c r="E12" s="82">
        <v>1</v>
      </c>
      <c r="F12" s="83">
        <f>2800*85%*(0.2+4/4.5*0.3+0.5)</f>
        <v>2300.67</v>
      </c>
      <c r="G12" s="57">
        <f t="shared" si="0"/>
        <v>2300.67</v>
      </c>
      <c r="H12" s="84"/>
      <c r="I12" s="89">
        <v>4</v>
      </c>
      <c r="J12" s="84" t="s">
        <v>538</v>
      </c>
      <c r="K12" s="84"/>
      <c r="L12" s="89"/>
      <c r="M12" s="89"/>
      <c r="N12" s="89"/>
      <c r="O12" s="81"/>
      <c r="P12" s="81"/>
    </row>
    <row r="13" s="72" customFormat="1" ht="24" outlineLevel="1" spans="1:16">
      <c r="A13" s="81">
        <v>5</v>
      </c>
      <c r="B13" s="81" t="s">
        <v>551</v>
      </c>
      <c r="C13" s="81" t="s">
        <v>537</v>
      </c>
      <c r="D13" s="81">
        <f t="shared" ref="D13:D18" si="1">E13</f>
        <v>2</v>
      </c>
      <c r="E13" s="82">
        <v>2</v>
      </c>
      <c r="F13" s="83">
        <v>68000</v>
      </c>
      <c r="G13" s="57">
        <f t="shared" si="0"/>
        <v>136000</v>
      </c>
      <c r="H13" s="84" t="s">
        <v>538</v>
      </c>
      <c r="I13" s="84" t="s">
        <v>538</v>
      </c>
      <c r="J13" s="84" t="s">
        <v>538</v>
      </c>
      <c r="K13" s="84"/>
      <c r="L13" s="84" t="s">
        <v>552</v>
      </c>
      <c r="M13" s="89">
        <v>4.5</v>
      </c>
      <c r="N13" s="89">
        <v>4</v>
      </c>
      <c r="O13" s="81"/>
      <c r="P13" s="81" t="s">
        <v>553</v>
      </c>
    </row>
    <row r="14" s="72" customFormat="1" ht="24" outlineLevel="1" spans="1:16">
      <c r="A14" s="81">
        <v>6</v>
      </c>
      <c r="B14" s="81" t="s">
        <v>554</v>
      </c>
      <c r="C14" s="81" t="s">
        <v>537</v>
      </c>
      <c r="D14" s="81">
        <f t="shared" si="1"/>
        <v>1</v>
      </c>
      <c r="E14" s="82">
        <v>1</v>
      </c>
      <c r="F14" s="83">
        <f>1800*85%*(13/15*0.2+0.3+3.3/4.5*0.5)</f>
        <v>1285.2</v>
      </c>
      <c r="G14" s="57">
        <f t="shared" si="0"/>
        <v>1285.2</v>
      </c>
      <c r="H14" s="85">
        <v>13</v>
      </c>
      <c r="I14" s="84" t="s">
        <v>538</v>
      </c>
      <c r="J14" s="89">
        <v>3.3</v>
      </c>
      <c r="K14" s="89"/>
      <c r="L14" s="84" t="s">
        <v>555</v>
      </c>
      <c r="M14" s="89">
        <v>4.5</v>
      </c>
      <c r="N14" s="89">
        <v>4.5</v>
      </c>
      <c r="O14" s="81" t="s">
        <v>556</v>
      </c>
      <c r="P14" s="85" t="s">
        <v>557</v>
      </c>
    </row>
    <row r="15" s="72" customFormat="1" ht="24" outlineLevel="1" spans="1:16">
      <c r="A15" s="81">
        <v>7</v>
      </c>
      <c r="B15" s="81" t="s">
        <v>558</v>
      </c>
      <c r="C15" s="81" t="s">
        <v>537</v>
      </c>
      <c r="D15" s="81">
        <f t="shared" si="1"/>
        <v>2</v>
      </c>
      <c r="E15" s="82">
        <v>2</v>
      </c>
      <c r="F15" s="83">
        <v>3000</v>
      </c>
      <c r="G15" s="57">
        <f t="shared" si="0"/>
        <v>6000</v>
      </c>
      <c r="H15" s="84" t="s">
        <v>538</v>
      </c>
      <c r="I15" s="84" t="s">
        <v>538</v>
      </c>
      <c r="J15" s="84" t="s">
        <v>538</v>
      </c>
      <c r="K15" s="84"/>
      <c r="L15" s="82" t="s">
        <v>559</v>
      </c>
      <c r="M15" s="89">
        <v>4.5</v>
      </c>
      <c r="N15" s="89">
        <v>3.5</v>
      </c>
      <c r="O15" s="81" t="s">
        <v>560</v>
      </c>
      <c r="P15" s="90" t="s">
        <v>550</v>
      </c>
    </row>
    <row r="16" s="72" customFormat="1" ht="24" outlineLevel="1" spans="1:16">
      <c r="A16" s="81">
        <v>8</v>
      </c>
      <c r="B16" s="81" t="s">
        <v>561</v>
      </c>
      <c r="C16" s="81" t="s">
        <v>537</v>
      </c>
      <c r="D16" s="81">
        <f t="shared" si="1"/>
        <v>0</v>
      </c>
      <c r="E16" s="82">
        <v>0</v>
      </c>
      <c r="F16" s="83">
        <v>2800</v>
      </c>
      <c r="G16" s="57">
        <f t="shared" si="0"/>
        <v>0</v>
      </c>
      <c r="H16" s="82"/>
      <c r="I16" s="89">
        <v>3.5</v>
      </c>
      <c r="J16" s="89">
        <v>3.5</v>
      </c>
      <c r="K16" s="89"/>
      <c r="L16" s="82"/>
      <c r="M16" s="89">
        <v>3.5</v>
      </c>
      <c r="N16" s="89">
        <v>3.5</v>
      </c>
      <c r="O16" s="81"/>
      <c r="P16" s="85" t="s">
        <v>562</v>
      </c>
    </row>
    <row r="17" s="72" customFormat="1" ht="24" outlineLevel="1" spans="1:16">
      <c r="A17" s="81">
        <v>9</v>
      </c>
      <c r="B17" s="81" t="s">
        <v>563</v>
      </c>
      <c r="C17" s="81" t="s">
        <v>537</v>
      </c>
      <c r="D17" s="81">
        <f t="shared" si="1"/>
        <v>0</v>
      </c>
      <c r="E17" s="82">
        <v>0</v>
      </c>
      <c r="F17" s="83">
        <v>1850</v>
      </c>
      <c r="G17" s="57">
        <f t="shared" si="0"/>
        <v>0</v>
      </c>
      <c r="H17" s="82"/>
      <c r="I17" s="89">
        <v>2.5</v>
      </c>
      <c r="J17" s="89">
        <v>2.5</v>
      </c>
      <c r="K17" s="89"/>
      <c r="L17" s="82"/>
      <c r="M17" s="89">
        <v>2.5</v>
      </c>
      <c r="N17" s="89">
        <v>2.5</v>
      </c>
      <c r="O17" s="81"/>
      <c r="P17" s="85" t="s">
        <v>562</v>
      </c>
    </row>
    <row r="18" s="72" customFormat="1" ht="24" outlineLevel="1" spans="1:16">
      <c r="A18" s="81">
        <v>10</v>
      </c>
      <c r="B18" s="81" t="s">
        <v>564</v>
      </c>
      <c r="C18" s="81" t="s">
        <v>537</v>
      </c>
      <c r="D18" s="81">
        <f t="shared" si="1"/>
        <v>2</v>
      </c>
      <c r="E18" s="82">
        <v>2</v>
      </c>
      <c r="F18" s="83">
        <v>1500</v>
      </c>
      <c r="G18" s="57">
        <f t="shared" si="0"/>
        <v>3000</v>
      </c>
      <c r="H18" s="84" t="s">
        <v>538</v>
      </c>
      <c r="I18" s="84" t="s">
        <v>538</v>
      </c>
      <c r="J18" s="84" t="s">
        <v>538</v>
      </c>
      <c r="K18" s="84"/>
      <c r="L18" s="82" t="s">
        <v>565</v>
      </c>
      <c r="M18" s="89">
        <v>3.5</v>
      </c>
      <c r="N18" s="89">
        <v>3</v>
      </c>
      <c r="O18" s="81" t="s">
        <v>566</v>
      </c>
      <c r="P18" s="85" t="s">
        <v>567</v>
      </c>
    </row>
    <row r="19" s="72" customFormat="1" ht="24" outlineLevel="1" spans="1:16">
      <c r="A19" s="81">
        <v>11</v>
      </c>
      <c r="B19" s="81" t="s">
        <v>568</v>
      </c>
      <c r="C19" s="81" t="s">
        <v>537</v>
      </c>
      <c r="D19" s="81">
        <f>SUM(E19:E20)</f>
        <v>3</v>
      </c>
      <c r="E19" s="82">
        <v>2</v>
      </c>
      <c r="F19" s="83">
        <v>2800</v>
      </c>
      <c r="G19" s="57">
        <f t="shared" si="0"/>
        <v>5600</v>
      </c>
      <c r="H19" s="84" t="s">
        <v>538</v>
      </c>
      <c r="I19" s="84" t="s">
        <v>538</v>
      </c>
      <c r="J19" s="84" t="s">
        <v>538</v>
      </c>
      <c r="K19" s="84"/>
      <c r="L19" s="82" t="s">
        <v>555</v>
      </c>
      <c r="M19" s="82">
        <v>4.5</v>
      </c>
      <c r="N19" s="82">
        <v>4</v>
      </c>
      <c r="O19" s="82" t="s">
        <v>569</v>
      </c>
      <c r="P19" s="85" t="s">
        <v>557</v>
      </c>
    </row>
    <row r="20" s="72" customFormat="1" ht="24" outlineLevel="1" spans="1:16">
      <c r="A20" s="81"/>
      <c r="B20" s="81" t="s">
        <v>568</v>
      </c>
      <c r="C20" s="81" t="s">
        <v>537</v>
      </c>
      <c r="D20" s="81"/>
      <c r="E20" s="82">
        <v>1</v>
      </c>
      <c r="F20" s="83">
        <f>2800*85%*(0.2+0.3+3.6/4*0.5)</f>
        <v>2261</v>
      </c>
      <c r="G20" s="57">
        <f t="shared" si="0"/>
        <v>2261</v>
      </c>
      <c r="H20" s="84" t="s">
        <v>538</v>
      </c>
      <c r="I20" s="84" t="s">
        <v>538</v>
      </c>
      <c r="J20" s="89">
        <v>3.6</v>
      </c>
      <c r="K20" s="89"/>
      <c r="L20" s="82"/>
      <c r="M20" s="82"/>
      <c r="N20" s="82"/>
      <c r="O20" s="82"/>
      <c r="P20" s="85"/>
    </row>
    <row r="21" s="72" customFormat="1" ht="36" outlineLevel="1" spans="1:16">
      <c r="A21" s="81">
        <v>12</v>
      </c>
      <c r="B21" s="81" t="s">
        <v>570</v>
      </c>
      <c r="C21" s="81" t="s">
        <v>537</v>
      </c>
      <c r="D21" s="81">
        <f t="shared" ref="D21:D25" si="2">E21</f>
        <v>0</v>
      </c>
      <c r="E21" s="82">
        <v>0</v>
      </c>
      <c r="F21" s="83">
        <v>5800</v>
      </c>
      <c r="G21" s="57">
        <f t="shared" si="0"/>
        <v>0</v>
      </c>
      <c r="H21" s="84" t="s">
        <v>538</v>
      </c>
      <c r="I21" s="84" t="s">
        <v>538</v>
      </c>
      <c r="J21" s="84" t="s">
        <v>538</v>
      </c>
      <c r="K21" s="84"/>
      <c r="L21" s="82" t="s">
        <v>571</v>
      </c>
      <c r="M21" s="89">
        <v>4</v>
      </c>
      <c r="N21" s="89">
        <v>4</v>
      </c>
      <c r="O21" s="81" t="s">
        <v>566</v>
      </c>
      <c r="P21" s="90" t="s">
        <v>572</v>
      </c>
    </row>
    <row r="22" s="72" customFormat="1" ht="24" outlineLevel="1" spans="1:16">
      <c r="A22" s="81">
        <v>13</v>
      </c>
      <c r="B22" s="81" t="s">
        <v>573</v>
      </c>
      <c r="C22" s="81" t="s">
        <v>537</v>
      </c>
      <c r="D22" s="81">
        <f t="shared" si="2"/>
        <v>2</v>
      </c>
      <c r="E22" s="82">
        <v>2</v>
      </c>
      <c r="F22" s="83">
        <v>1500</v>
      </c>
      <c r="G22" s="57">
        <f t="shared" si="0"/>
        <v>3000</v>
      </c>
      <c r="H22" s="84" t="s">
        <v>538</v>
      </c>
      <c r="I22" s="84" t="s">
        <v>538</v>
      </c>
      <c r="J22" s="84" t="s">
        <v>538</v>
      </c>
      <c r="K22" s="84"/>
      <c r="L22" s="82" t="s">
        <v>574</v>
      </c>
      <c r="M22" s="82" t="s">
        <v>575</v>
      </c>
      <c r="N22" s="82" t="s">
        <v>576</v>
      </c>
      <c r="O22" s="82" t="s">
        <v>577</v>
      </c>
      <c r="P22" s="85" t="s">
        <v>578</v>
      </c>
    </row>
    <row r="23" s="72" customFormat="1" ht="12" outlineLevel="1" spans="1:16">
      <c r="A23" s="81"/>
      <c r="B23" s="81" t="s">
        <v>573</v>
      </c>
      <c r="C23" s="81" t="s">
        <v>537</v>
      </c>
      <c r="D23" s="81">
        <f t="shared" si="2"/>
        <v>2</v>
      </c>
      <c r="E23" s="82">
        <v>2</v>
      </c>
      <c r="F23" s="83">
        <v>1500</v>
      </c>
      <c r="G23" s="57">
        <f t="shared" si="0"/>
        <v>3000</v>
      </c>
      <c r="H23" s="84"/>
      <c r="I23" s="84"/>
      <c r="J23" s="84"/>
      <c r="K23" s="84" t="s">
        <v>579</v>
      </c>
      <c r="L23" s="82"/>
      <c r="M23" s="82"/>
      <c r="N23" s="82"/>
      <c r="O23" s="82"/>
      <c r="P23" s="85"/>
    </row>
    <row r="24" s="72" customFormat="1" ht="36" outlineLevel="1" spans="1:17">
      <c r="A24" s="81">
        <v>14</v>
      </c>
      <c r="B24" s="81" t="s">
        <v>580</v>
      </c>
      <c r="C24" s="81" t="s">
        <v>537</v>
      </c>
      <c r="D24" s="81">
        <f t="shared" si="2"/>
        <v>2</v>
      </c>
      <c r="E24" s="82">
        <v>2</v>
      </c>
      <c r="F24" s="83">
        <v>5750</v>
      </c>
      <c r="G24" s="57">
        <f t="shared" si="0"/>
        <v>11500</v>
      </c>
      <c r="H24" s="84" t="s">
        <v>538</v>
      </c>
      <c r="I24" s="84" t="s">
        <v>538</v>
      </c>
      <c r="J24" s="84" t="s">
        <v>538</v>
      </c>
      <c r="K24" s="84"/>
      <c r="L24" s="82" t="s">
        <v>555</v>
      </c>
      <c r="M24" s="89">
        <v>3</v>
      </c>
      <c r="N24" s="89">
        <v>3</v>
      </c>
      <c r="O24" s="81" t="s">
        <v>581</v>
      </c>
      <c r="P24" s="90" t="s">
        <v>572</v>
      </c>
      <c r="Q24" s="72" t="s">
        <v>582</v>
      </c>
    </row>
    <row r="25" s="72" customFormat="1" ht="24" outlineLevel="1" spans="1:16">
      <c r="A25" s="81">
        <v>15</v>
      </c>
      <c r="B25" s="81" t="s">
        <v>583</v>
      </c>
      <c r="C25" s="81" t="s">
        <v>537</v>
      </c>
      <c r="D25" s="81">
        <f t="shared" si="2"/>
        <v>1</v>
      </c>
      <c r="E25" s="82">
        <v>1</v>
      </c>
      <c r="F25" s="83">
        <v>1800</v>
      </c>
      <c r="G25" s="57">
        <f t="shared" si="0"/>
        <v>1800</v>
      </c>
      <c r="H25" s="84" t="s">
        <v>538</v>
      </c>
      <c r="I25" s="84" t="s">
        <v>538</v>
      </c>
      <c r="J25" s="84" t="s">
        <v>538</v>
      </c>
      <c r="K25" s="84"/>
      <c r="L25" s="82" t="s">
        <v>584</v>
      </c>
      <c r="M25" s="89">
        <v>2.8</v>
      </c>
      <c r="N25" s="89">
        <v>2.8</v>
      </c>
      <c r="O25" s="81"/>
      <c r="P25" s="90" t="s">
        <v>585</v>
      </c>
    </row>
    <row r="26" s="72" customFormat="1" ht="24" outlineLevel="1" spans="1:16">
      <c r="A26" s="81">
        <v>16</v>
      </c>
      <c r="B26" s="81" t="s">
        <v>586</v>
      </c>
      <c r="C26" s="81" t="s">
        <v>537</v>
      </c>
      <c r="D26" s="81">
        <f>SUM(E26:E27)</f>
        <v>2</v>
      </c>
      <c r="E26" s="82">
        <v>1</v>
      </c>
      <c r="F26" s="83">
        <v>900</v>
      </c>
      <c r="G26" s="57">
        <f t="shared" si="0"/>
        <v>900</v>
      </c>
      <c r="H26" s="84" t="s">
        <v>538</v>
      </c>
      <c r="I26" s="84" t="s">
        <v>538</v>
      </c>
      <c r="J26" s="84" t="s">
        <v>538</v>
      </c>
      <c r="K26" s="84" t="s">
        <v>587</v>
      </c>
      <c r="L26" s="82" t="s">
        <v>574</v>
      </c>
      <c r="M26" s="82">
        <v>2.5</v>
      </c>
      <c r="N26" s="82">
        <v>1.5</v>
      </c>
      <c r="O26" s="82" t="s">
        <v>566</v>
      </c>
      <c r="P26" s="85" t="s">
        <v>557</v>
      </c>
    </row>
    <row r="27" s="72" customFormat="1" ht="24" outlineLevel="1" spans="1:16">
      <c r="A27" s="81"/>
      <c r="B27" s="81" t="s">
        <v>586</v>
      </c>
      <c r="C27" s="81" t="s">
        <v>537</v>
      </c>
      <c r="D27" s="81"/>
      <c r="E27" s="82">
        <v>1</v>
      </c>
      <c r="F27" s="83">
        <f>900*85%*(7/10*0.2+0.3+0.5)</f>
        <v>719.1</v>
      </c>
      <c r="G27" s="57">
        <f t="shared" si="0"/>
        <v>719.1</v>
      </c>
      <c r="H27" s="82">
        <v>7</v>
      </c>
      <c r="I27" s="84" t="s">
        <v>538</v>
      </c>
      <c r="J27" s="84" t="s">
        <v>538</v>
      </c>
      <c r="K27" s="84" t="s">
        <v>587</v>
      </c>
      <c r="L27" s="82"/>
      <c r="M27" s="82"/>
      <c r="N27" s="82"/>
      <c r="O27" s="82"/>
      <c r="P27" s="85"/>
    </row>
    <row r="28" s="72" customFormat="1" ht="24" outlineLevel="1" spans="1:17">
      <c r="A28" s="81">
        <v>17</v>
      </c>
      <c r="B28" s="81" t="s">
        <v>588</v>
      </c>
      <c r="C28" s="81" t="s">
        <v>537</v>
      </c>
      <c r="D28" s="81">
        <f>SUM(E28:E28)</f>
        <v>1</v>
      </c>
      <c r="E28" s="82">
        <v>1</v>
      </c>
      <c r="F28" s="83">
        <f>1300*85%*(5/10*0.2+0.3+2/2.5*0.5)</f>
        <v>884</v>
      </c>
      <c r="G28" s="57">
        <f t="shared" si="0"/>
        <v>884</v>
      </c>
      <c r="H28" s="82">
        <v>5</v>
      </c>
      <c r="I28" s="84" t="s">
        <v>538</v>
      </c>
      <c r="J28" s="89">
        <v>2</v>
      </c>
      <c r="K28" s="89"/>
      <c r="L28" s="82" t="s">
        <v>574</v>
      </c>
      <c r="M28" s="82">
        <v>2.5</v>
      </c>
      <c r="N28" s="82">
        <v>2.5</v>
      </c>
      <c r="O28" s="82" t="s">
        <v>589</v>
      </c>
      <c r="P28" s="85" t="s">
        <v>578</v>
      </c>
      <c r="Q28" s="72" t="s">
        <v>590</v>
      </c>
    </row>
    <row r="29" s="72" customFormat="1" ht="24" outlineLevel="1" spans="1:16">
      <c r="A29" s="81">
        <v>18</v>
      </c>
      <c r="B29" s="81" t="s">
        <v>591</v>
      </c>
      <c r="C29" s="81" t="s">
        <v>537</v>
      </c>
      <c r="D29" s="81">
        <f>E29</f>
        <v>0</v>
      </c>
      <c r="E29" s="82">
        <v>0</v>
      </c>
      <c r="F29" s="83">
        <v>46000</v>
      </c>
      <c r="G29" s="57">
        <f t="shared" si="0"/>
        <v>0</v>
      </c>
      <c r="H29" s="82"/>
      <c r="I29" s="82"/>
      <c r="J29" s="89"/>
      <c r="K29" s="89"/>
      <c r="L29" s="82"/>
      <c r="M29" s="82" t="s">
        <v>592</v>
      </c>
      <c r="N29" s="89" t="s">
        <v>593</v>
      </c>
      <c r="O29" s="81"/>
      <c r="P29" s="81" t="s">
        <v>553</v>
      </c>
    </row>
    <row r="30" s="72" customFormat="1" ht="24" outlineLevel="1" spans="1:16">
      <c r="A30" s="81">
        <v>19</v>
      </c>
      <c r="B30" s="81" t="s">
        <v>594</v>
      </c>
      <c r="C30" s="81" t="s">
        <v>537</v>
      </c>
      <c r="D30" s="81">
        <f>SUM(E30:E32)</f>
        <v>3</v>
      </c>
      <c r="E30" s="82">
        <v>1</v>
      </c>
      <c r="F30" s="83">
        <f>28000*85%*(0.2+0.3+1.6/2*0.5)</f>
        <v>21420</v>
      </c>
      <c r="G30" s="57">
        <f t="shared" si="0"/>
        <v>21420</v>
      </c>
      <c r="H30" s="82"/>
      <c r="I30" s="84" t="s">
        <v>538</v>
      </c>
      <c r="J30" s="89">
        <v>1.6</v>
      </c>
      <c r="K30" s="84"/>
      <c r="L30" s="89"/>
      <c r="M30" s="89">
        <v>1.5</v>
      </c>
      <c r="N30" s="89">
        <v>2</v>
      </c>
      <c r="O30" s="89"/>
      <c r="P30" s="81" t="s">
        <v>553</v>
      </c>
    </row>
    <row r="31" s="72" customFormat="1" ht="24" outlineLevel="1" spans="1:16">
      <c r="A31" s="81"/>
      <c r="B31" s="81" t="s">
        <v>594</v>
      </c>
      <c r="C31" s="81" t="s">
        <v>537</v>
      </c>
      <c r="D31" s="81"/>
      <c r="E31" s="82">
        <v>1</v>
      </c>
      <c r="F31" s="83">
        <f>28000*85%*(0.2+1.3/1.5*0.3+0.5)</f>
        <v>22848</v>
      </c>
      <c r="G31" s="57">
        <f t="shared" si="0"/>
        <v>22848</v>
      </c>
      <c r="H31" s="82"/>
      <c r="I31" s="89">
        <v>1.3</v>
      </c>
      <c r="J31" s="84" t="s">
        <v>538</v>
      </c>
      <c r="K31" s="84"/>
      <c r="L31" s="89"/>
      <c r="M31" s="89"/>
      <c r="N31" s="89"/>
      <c r="O31" s="89"/>
      <c r="P31" s="81"/>
    </row>
    <row r="32" s="72" customFormat="1" ht="24" outlineLevel="1" spans="1:16">
      <c r="A32" s="81"/>
      <c r="B32" s="81" t="s">
        <v>594</v>
      </c>
      <c r="C32" s="81" t="s">
        <v>537</v>
      </c>
      <c r="D32" s="81"/>
      <c r="E32" s="82">
        <v>1</v>
      </c>
      <c r="F32" s="83">
        <f>28000*85%*(0.2+1.4/1.5*0.3+0.5)</f>
        <v>23324</v>
      </c>
      <c r="G32" s="57">
        <f t="shared" si="0"/>
        <v>23324</v>
      </c>
      <c r="H32" s="82"/>
      <c r="I32" s="89">
        <v>1.4</v>
      </c>
      <c r="J32" s="84" t="s">
        <v>538</v>
      </c>
      <c r="K32" s="84"/>
      <c r="L32" s="89"/>
      <c r="M32" s="89"/>
      <c r="N32" s="89"/>
      <c r="O32" s="89"/>
      <c r="P32" s="81"/>
    </row>
    <row r="33" s="72" customFormat="1" ht="24" outlineLevel="1" spans="1:17">
      <c r="A33" s="81">
        <v>20</v>
      </c>
      <c r="B33" s="81" t="s">
        <v>595</v>
      </c>
      <c r="C33" s="81" t="s">
        <v>537</v>
      </c>
      <c r="D33" s="81">
        <f>E33</f>
        <v>6</v>
      </c>
      <c r="E33" s="82">
        <v>6</v>
      </c>
      <c r="F33" s="83">
        <v>300</v>
      </c>
      <c r="G33" s="57">
        <f t="shared" si="0"/>
        <v>1800</v>
      </c>
      <c r="H33" s="82"/>
      <c r="I33" s="84" t="s">
        <v>538</v>
      </c>
      <c r="J33" s="84" t="s">
        <v>538</v>
      </c>
      <c r="K33" s="84"/>
      <c r="L33" s="82"/>
      <c r="M33" s="89">
        <v>1.5</v>
      </c>
      <c r="N33" s="89">
        <v>1.5</v>
      </c>
      <c r="O33" s="81"/>
      <c r="P33" s="85" t="s">
        <v>596</v>
      </c>
      <c r="Q33" s="72" t="s">
        <v>597</v>
      </c>
    </row>
    <row r="34" s="70" customFormat="1" ht="27" spans="1:16">
      <c r="A34" s="41" t="s">
        <v>441</v>
      </c>
      <c r="B34" s="41" t="s">
        <v>598</v>
      </c>
      <c r="C34" s="86"/>
      <c r="D34" s="86"/>
      <c r="E34" s="87"/>
      <c r="F34" s="83"/>
      <c r="G34" s="57">
        <f t="shared" si="0"/>
        <v>0</v>
      </c>
      <c r="H34" s="41" t="s">
        <v>531</v>
      </c>
      <c r="I34" s="41" t="s">
        <v>599</v>
      </c>
      <c r="J34" s="41" t="s">
        <v>600</v>
      </c>
      <c r="K34" s="41"/>
      <c r="L34" s="41" t="s">
        <v>531</v>
      </c>
      <c r="M34" s="41" t="s">
        <v>599</v>
      </c>
      <c r="N34" s="41" t="s">
        <v>600</v>
      </c>
      <c r="O34" s="41" t="s">
        <v>601</v>
      </c>
      <c r="P34" s="86"/>
    </row>
    <row r="35" s="72" customFormat="1" ht="24" outlineLevel="1" spans="1:16">
      <c r="A35" s="81">
        <v>1</v>
      </c>
      <c r="B35" s="81" t="s">
        <v>602</v>
      </c>
      <c r="C35" s="81" t="s">
        <v>537</v>
      </c>
      <c r="D35" s="81">
        <f>SUM(E35:E48)</f>
        <v>17</v>
      </c>
      <c r="E35" s="82">
        <v>3</v>
      </c>
      <c r="F35" s="83">
        <v>800</v>
      </c>
      <c r="G35" s="57">
        <f t="shared" si="0"/>
        <v>2400</v>
      </c>
      <c r="H35" s="88"/>
      <c r="I35" s="84" t="s">
        <v>538</v>
      </c>
      <c r="J35" s="84" t="s">
        <v>538</v>
      </c>
      <c r="K35" s="84"/>
      <c r="L35" s="88"/>
      <c r="M35" s="82">
        <v>180</v>
      </c>
      <c r="N35" s="82">
        <v>200</v>
      </c>
      <c r="O35" s="82"/>
      <c r="P35" s="85" t="s">
        <v>603</v>
      </c>
    </row>
    <row r="36" s="72" customFormat="1" ht="12" outlineLevel="1" spans="1:16">
      <c r="A36" s="81"/>
      <c r="B36" s="81" t="s">
        <v>602</v>
      </c>
      <c r="C36" s="81" t="s">
        <v>537</v>
      </c>
      <c r="D36" s="81"/>
      <c r="E36" s="82">
        <v>1</v>
      </c>
      <c r="F36" s="83">
        <f>800*85%*(0.2+1.4/1.8*0.3+1.4/2*0.5)</f>
        <v>532.67</v>
      </c>
      <c r="G36" s="57">
        <f t="shared" si="0"/>
        <v>532.67</v>
      </c>
      <c r="H36" s="88"/>
      <c r="I36" s="82">
        <v>140</v>
      </c>
      <c r="J36" s="82">
        <v>140</v>
      </c>
      <c r="K36" s="82"/>
      <c r="L36" s="88"/>
      <c r="M36" s="82"/>
      <c r="N36" s="82"/>
      <c r="O36" s="82"/>
      <c r="P36" s="85"/>
    </row>
    <row r="37" s="72" customFormat="1" ht="24" outlineLevel="1" spans="1:16">
      <c r="A37" s="81"/>
      <c r="B37" s="81" t="s">
        <v>602</v>
      </c>
      <c r="C37" s="81" t="s">
        <v>537</v>
      </c>
      <c r="D37" s="81"/>
      <c r="E37" s="82">
        <v>1</v>
      </c>
      <c r="F37" s="83">
        <f>800*85%*(0.2+0.3+1.8/2*0.5)</f>
        <v>646</v>
      </c>
      <c r="G37" s="57">
        <f t="shared" si="0"/>
        <v>646</v>
      </c>
      <c r="H37" s="88"/>
      <c r="I37" s="84" t="s">
        <v>538</v>
      </c>
      <c r="J37" s="82">
        <v>180</v>
      </c>
      <c r="K37" s="82"/>
      <c r="L37" s="88"/>
      <c r="M37" s="82"/>
      <c r="N37" s="82"/>
      <c r="O37" s="82"/>
      <c r="P37" s="85"/>
    </row>
    <row r="38" s="72" customFormat="1" ht="24" outlineLevel="1" spans="1:16">
      <c r="A38" s="81"/>
      <c r="B38" s="81" t="s">
        <v>602</v>
      </c>
      <c r="C38" s="81" t="s">
        <v>537</v>
      </c>
      <c r="D38" s="81"/>
      <c r="E38" s="82">
        <v>1</v>
      </c>
      <c r="F38" s="83">
        <f>800*85%*(0.2+1.6/1.8*0.3+0.5)</f>
        <v>657.33</v>
      </c>
      <c r="G38" s="57">
        <f t="shared" ref="G38:G69" si="3">E38*F38</f>
        <v>657.33</v>
      </c>
      <c r="H38" s="88"/>
      <c r="I38" s="82">
        <v>160</v>
      </c>
      <c r="J38" s="84" t="s">
        <v>538</v>
      </c>
      <c r="K38" s="84"/>
      <c r="L38" s="88"/>
      <c r="M38" s="82"/>
      <c r="N38" s="82"/>
      <c r="O38" s="82"/>
      <c r="P38" s="85"/>
    </row>
    <row r="39" s="72" customFormat="1" ht="12" outlineLevel="1" spans="1:16">
      <c r="A39" s="81"/>
      <c r="B39" s="81" t="s">
        <v>602</v>
      </c>
      <c r="C39" s="81" t="s">
        <v>537</v>
      </c>
      <c r="D39" s="81"/>
      <c r="E39" s="82">
        <v>1</v>
      </c>
      <c r="F39" s="83">
        <f>800*85%*(0.2+1.35/1.8*0.3+1.3/2*0.5)</f>
        <v>510</v>
      </c>
      <c r="G39" s="57">
        <f t="shared" si="3"/>
        <v>510</v>
      </c>
      <c r="H39" s="88"/>
      <c r="I39" s="82">
        <v>135</v>
      </c>
      <c r="J39" s="82">
        <v>130</v>
      </c>
      <c r="K39" s="82"/>
      <c r="L39" s="88"/>
      <c r="M39" s="82"/>
      <c r="N39" s="82"/>
      <c r="O39" s="82"/>
      <c r="P39" s="85"/>
    </row>
    <row r="40" s="72" customFormat="1" ht="12" outlineLevel="1" spans="1:16">
      <c r="A40" s="81"/>
      <c r="B40" s="81" t="s">
        <v>602</v>
      </c>
      <c r="C40" s="81" t="s">
        <v>537</v>
      </c>
      <c r="D40" s="81"/>
      <c r="E40" s="82">
        <v>1</v>
      </c>
      <c r="F40" s="83">
        <f>800*85%*(0.2+1.3/1.8*0.3+1.3/2*0.5)</f>
        <v>504.33</v>
      </c>
      <c r="G40" s="57">
        <f t="shared" si="3"/>
        <v>504.33</v>
      </c>
      <c r="H40" s="88"/>
      <c r="I40" s="82">
        <v>130</v>
      </c>
      <c r="J40" s="82">
        <v>130</v>
      </c>
      <c r="K40" s="82"/>
      <c r="L40" s="88"/>
      <c r="M40" s="82"/>
      <c r="N40" s="82"/>
      <c r="O40" s="82"/>
      <c r="P40" s="85"/>
    </row>
    <row r="41" s="72" customFormat="1" ht="12" outlineLevel="1" spans="1:16">
      <c r="A41" s="81"/>
      <c r="B41" s="81" t="s">
        <v>602</v>
      </c>
      <c r="C41" s="81" t="s">
        <v>537</v>
      </c>
      <c r="D41" s="81"/>
      <c r="E41" s="82">
        <v>1</v>
      </c>
      <c r="F41" s="83">
        <f>800*85%*(0.2+1.4/1.8*0.3+1.9/2*0.5)</f>
        <v>617.67</v>
      </c>
      <c r="G41" s="57">
        <f t="shared" si="3"/>
        <v>617.67</v>
      </c>
      <c r="H41" s="88"/>
      <c r="I41" s="82">
        <v>140</v>
      </c>
      <c r="J41" s="82">
        <v>190</v>
      </c>
      <c r="K41" s="82"/>
      <c r="L41" s="88"/>
      <c r="M41" s="82"/>
      <c r="N41" s="82"/>
      <c r="O41" s="82"/>
      <c r="P41" s="85"/>
    </row>
    <row r="42" s="72" customFormat="1" ht="24" outlineLevel="1" spans="1:16">
      <c r="A42" s="81"/>
      <c r="B42" s="81" t="s">
        <v>602</v>
      </c>
      <c r="C42" s="81" t="s">
        <v>537</v>
      </c>
      <c r="D42" s="81"/>
      <c r="E42" s="82">
        <v>1</v>
      </c>
      <c r="F42" s="83">
        <f>800*85%*(0.2+0.3+1.8/2*0.5)</f>
        <v>646</v>
      </c>
      <c r="G42" s="57">
        <f t="shared" si="3"/>
        <v>646</v>
      </c>
      <c r="H42" s="88"/>
      <c r="I42" s="84" t="s">
        <v>538</v>
      </c>
      <c r="J42" s="82">
        <v>180</v>
      </c>
      <c r="K42" s="82"/>
      <c r="L42" s="88"/>
      <c r="M42" s="82"/>
      <c r="N42" s="82"/>
      <c r="O42" s="82"/>
      <c r="P42" s="85"/>
    </row>
    <row r="43" s="72" customFormat="1" ht="12" outlineLevel="1" spans="1:16">
      <c r="A43" s="81"/>
      <c r="B43" s="81" t="s">
        <v>602</v>
      </c>
      <c r="C43" s="81" t="s">
        <v>537</v>
      </c>
      <c r="D43" s="81"/>
      <c r="E43" s="82">
        <v>1</v>
      </c>
      <c r="F43" s="83">
        <f>800*85%*(0.2+1.6/1.8*0.3+1.9/2*0.5)</f>
        <v>640.33</v>
      </c>
      <c r="G43" s="57">
        <f t="shared" si="3"/>
        <v>640.33</v>
      </c>
      <c r="H43" s="88"/>
      <c r="I43" s="82">
        <v>160</v>
      </c>
      <c r="J43" s="82">
        <v>190</v>
      </c>
      <c r="K43" s="82"/>
      <c r="L43" s="88"/>
      <c r="M43" s="82"/>
      <c r="N43" s="82"/>
      <c r="O43" s="82"/>
      <c r="P43" s="85"/>
    </row>
    <row r="44" s="72" customFormat="1" ht="12" outlineLevel="1" spans="1:16">
      <c r="A44" s="81"/>
      <c r="B44" s="81" t="s">
        <v>602</v>
      </c>
      <c r="C44" s="81" t="s">
        <v>537</v>
      </c>
      <c r="D44" s="81"/>
      <c r="E44" s="82">
        <v>1</v>
      </c>
      <c r="F44" s="83">
        <f>800*85%*(0.2+1.6/1.8*0.3+1.8/2*0.5)</f>
        <v>623.33</v>
      </c>
      <c r="G44" s="57">
        <f t="shared" si="3"/>
        <v>623.33</v>
      </c>
      <c r="H44" s="88"/>
      <c r="I44" s="82">
        <v>160</v>
      </c>
      <c r="J44" s="82">
        <v>180</v>
      </c>
      <c r="K44" s="82"/>
      <c r="L44" s="88"/>
      <c r="M44" s="82"/>
      <c r="N44" s="82"/>
      <c r="O44" s="82"/>
      <c r="P44" s="85"/>
    </row>
    <row r="45" s="72" customFormat="1" ht="12" outlineLevel="1" spans="1:16">
      <c r="A45" s="81"/>
      <c r="B45" s="81" t="s">
        <v>602</v>
      </c>
      <c r="C45" s="81" t="s">
        <v>537</v>
      </c>
      <c r="D45" s="81"/>
      <c r="E45" s="82">
        <v>1</v>
      </c>
      <c r="F45" s="83">
        <f>800*85%*(0.2+1.6/1.8*0.3+1.8/2*0.5)</f>
        <v>623.33</v>
      </c>
      <c r="G45" s="57">
        <f t="shared" si="3"/>
        <v>623.33</v>
      </c>
      <c r="H45" s="88"/>
      <c r="I45" s="82">
        <v>160</v>
      </c>
      <c r="J45" s="82">
        <v>180</v>
      </c>
      <c r="K45" s="82"/>
      <c r="L45" s="88"/>
      <c r="M45" s="82"/>
      <c r="N45" s="82"/>
      <c r="O45" s="82"/>
      <c r="P45" s="85"/>
    </row>
    <row r="46" s="72" customFormat="1" ht="12" outlineLevel="1" spans="1:16">
      <c r="A46" s="81"/>
      <c r="B46" s="81" t="s">
        <v>602</v>
      </c>
      <c r="C46" s="81" t="s">
        <v>537</v>
      </c>
      <c r="D46" s="81"/>
      <c r="E46" s="82">
        <v>1</v>
      </c>
      <c r="F46" s="83">
        <f>800*85%*(0.2+1.4/1.8*0.3+1.4/2*0.5)</f>
        <v>532.67</v>
      </c>
      <c r="G46" s="57">
        <f t="shared" si="3"/>
        <v>532.67</v>
      </c>
      <c r="H46" s="88"/>
      <c r="I46" s="82">
        <v>140</v>
      </c>
      <c r="J46" s="82">
        <v>140</v>
      </c>
      <c r="K46" s="82"/>
      <c r="L46" s="88"/>
      <c r="M46" s="82"/>
      <c r="N46" s="82"/>
      <c r="O46" s="82"/>
      <c r="P46" s="85"/>
    </row>
    <row r="47" s="72" customFormat="1" ht="12" outlineLevel="1" spans="1:16">
      <c r="A47" s="81"/>
      <c r="B47" s="81" t="s">
        <v>602</v>
      </c>
      <c r="C47" s="81" t="s">
        <v>537</v>
      </c>
      <c r="D47" s="81"/>
      <c r="E47" s="82">
        <v>1</v>
      </c>
      <c r="F47" s="83">
        <f>800*85%*(0.2+1.3/1.8*0.3+1.3/2*0.5)</f>
        <v>504.33</v>
      </c>
      <c r="G47" s="57">
        <f t="shared" si="3"/>
        <v>504.33</v>
      </c>
      <c r="H47" s="88"/>
      <c r="I47" s="82">
        <v>130</v>
      </c>
      <c r="J47" s="82">
        <v>130</v>
      </c>
      <c r="K47" s="82"/>
      <c r="L47" s="88"/>
      <c r="M47" s="82"/>
      <c r="N47" s="82"/>
      <c r="O47" s="82"/>
      <c r="P47" s="85"/>
    </row>
    <row r="48" s="72" customFormat="1" ht="12" outlineLevel="1" spans="1:16">
      <c r="A48" s="81"/>
      <c r="B48" s="81" t="s">
        <v>602</v>
      </c>
      <c r="C48" s="81" t="s">
        <v>537</v>
      </c>
      <c r="D48" s="81"/>
      <c r="E48" s="82">
        <v>2</v>
      </c>
      <c r="F48" s="83">
        <v>800</v>
      </c>
      <c r="G48" s="57">
        <f t="shared" si="3"/>
        <v>1600</v>
      </c>
      <c r="H48" s="88"/>
      <c r="I48" s="84"/>
      <c r="J48" s="84"/>
      <c r="K48" s="82" t="s">
        <v>579</v>
      </c>
      <c r="L48" s="88"/>
      <c r="M48" s="82"/>
      <c r="N48" s="82"/>
      <c r="O48" s="82"/>
      <c r="P48" s="85"/>
    </row>
    <row r="49" s="72" customFormat="1" ht="24" outlineLevel="1" spans="1:16">
      <c r="A49" s="81">
        <v>2</v>
      </c>
      <c r="B49" s="81" t="s">
        <v>604</v>
      </c>
      <c r="C49" s="81" t="s">
        <v>537</v>
      </c>
      <c r="D49" s="81">
        <f>SUM(E49:E57)</f>
        <v>9</v>
      </c>
      <c r="E49" s="82">
        <v>1</v>
      </c>
      <c r="F49" s="83">
        <v>1100</v>
      </c>
      <c r="G49" s="57">
        <f t="shared" si="3"/>
        <v>1100</v>
      </c>
      <c r="H49" s="88"/>
      <c r="I49" s="84" t="s">
        <v>538</v>
      </c>
      <c r="J49" s="84" t="s">
        <v>538</v>
      </c>
      <c r="K49" s="84"/>
      <c r="L49" s="88"/>
      <c r="M49" s="82">
        <v>160</v>
      </c>
      <c r="N49" s="82">
        <v>160</v>
      </c>
      <c r="O49" s="82"/>
      <c r="P49" s="85" t="s">
        <v>603</v>
      </c>
    </row>
    <row r="50" s="72" customFormat="1" ht="24" outlineLevel="1" spans="1:16">
      <c r="A50" s="81"/>
      <c r="B50" s="81" t="s">
        <v>604</v>
      </c>
      <c r="C50" s="81" t="s">
        <v>537</v>
      </c>
      <c r="D50" s="81"/>
      <c r="E50" s="82">
        <v>1</v>
      </c>
      <c r="F50" s="83">
        <f t="shared" ref="F50:F54" si="4">1100*85%*(0.2+0.3+1.4/1.6*0.5)</f>
        <v>876.56</v>
      </c>
      <c r="G50" s="57">
        <f t="shared" si="3"/>
        <v>876.56</v>
      </c>
      <c r="H50" s="88"/>
      <c r="I50" s="84" t="s">
        <v>538</v>
      </c>
      <c r="J50" s="82">
        <v>140</v>
      </c>
      <c r="K50" s="82"/>
      <c r="L50" s="88"/>
      <c r="M50" s="82"/>
      <c r="N50" s="82"/>
      <c r="O50" s="82"/>
      <c r="P50" s="85"/>
    </row>
    <row r="51" s="72" customFormat="1" ht="24" outlineLevel="1" spans="1:16">
      <c r="A51" s="81"/>
      <c r="B51" s="81" t="s">
        <v>604</v>
      </c>
      <c r="C51" s="81" t="s">
        <v>537</v>
      </c>
      <c r="D51" s="81"/>
      <c r="E51" s="82">
        <v>1</v>
      </c>
      <c r="F51" s="83">
        <f t="shared" si="4"/>
        <v>876.56</v>
      </c>
      <c r="G51" s="57">
        <f t="shared" si="3"/>
        <v>876.56</v>
      </c>
      <c r="H51" s="88"/>
      <c r="I51" s="84" t="s">
        <v>538</v>
      </c>
      <c r="J51" s="82">
        <v>140</v>
      </c>
      <c r="K51" s="82"/>
      <c r="L51" s="88"/>
      <c r="M51" s="82"/>
      <c r="N51" s="82"/>
      <c r="O51" s="82"/>
      <c r="P51" s="85"/>
    </row>
    <row r="52" s="72" customFormat="1" ht="24" outlineLevel="1" spans="1:16">
      <c r="A52" s="81"/>
      <c r="B52" s="81" t="s">
        <v>604</v>
      </c>
      <c r="C52" s="81" t="s">
        <v>537</v>
      </c>
      <c r="D52" s="81"/>
      <c r="E52" s="82">
        <v>1</v>
      </c>
      <c r="F52" s="83">
        <f t="shared" ref="F52:F57" si="5">1100*85%*(0.2+1.5/1.6*0.3+0.5)</f>
        <v>917.47</v>
      </c>
      <c r="G52" s="57">
        <f t="shared" si="3"/>
        <v>917.47</v>
      </c>
      <c r="H52" s="88"/>
      <c r="I52" s="82">
        <v>150</v>
      </c>
      <c r="J52" s="84" t="s">
        <v>538</v>
      </c>
      <c r="K52" s="84"/>
      <c r="L52" s="88"/>
      <c r="M52" s="82"/>
      <c r="N52" s="82"/>
      <c r="O52" s="82"/>
      <c r="P52" s="85"/>
    </row>
    <row r="53" s="72" customFormat="1" ht="24" outlineLevel="1" spans="1:16">
      <c r="A53" s="81"/>
      <c r="B53" s="81" t="s">
        <v>604</v>
      </c>
      <c r="C53" s="81" t="s">
        <v>537</v>
      </c>
      <c r="D53" s="81"/>
      <c r="E53" s="82">
        <v>1</v>
      </c>
      <c r="F53" s="83">
        <f t="shared" si="5"/>
        <v>917.47</v>
      </c>
      <c r="G53" s="57">
        <f t="shared" si="3"/>
        <v>917.47</v>
      </c>
      <c r="H53" s="88"/>
      <c r="I53" s="82">
        <v>150</v>
      </c>
      <c r="J53" s="84" t="s">
        <v>538</v>
      </c>
      <c r="K53" s="84"/>
      <c r="L53" s="88"/>
      <c r="M53" s="82"/>
      <c r="N53" s="82"/>
      <c r="O53" s="82"/>
      <c r="P53" s="85"/>
    </row>
    <row r="54" s="72" customFormat="1" ht="24" outlineLevel="1" spans="1:16">
      <c r="A54" s="81"/>
      <c r="B54" s="81" t="s">
        <v>604</v>
      </c>
      <c r="C54" s="81" t="s">
        <v>537</v>
      </c>
      <c r="D54" s="81"/>
      <c r="E54" s="82">
        <v>1</v>
      </c>
      <c r="F54" s="83">
        <f t="shared" si="4"/>
        <v>876.56</v>
      </c>
      <c r="G54" s="57">
        <f t="shared" si="3"/>
        <v>876.56</v>
      </c>
      <c r="H54" s="88"/>
      <c r="I54" s="84" t="s">
        <v>538</v>
      </c>
      <c r="J54" s="82">
        <v>140</v>
      </c>
      <c r="K54" s="82"/>
      <c r="L54" s="88"/>
      <c r="M54" s="82"/>
      <c r="N54" s="82"/>
      <c r="O54" s="82"/>
      <c r="P54" s="85"/>
    </row>
    <row r="55" s="72" customFormat="1" ht="12" outlineLevel="1" spans="1:16">
      <c r="A55" s="81"/>
      <c r="B55" s="81" t="s">
        <v>604</v>
      </c>
      <c r="C55" s="81" t="s">
        <v>537</v>
      </c>
      <c r="D55" s="81"/>
      <c r="E55" s="82">
        <v>1</v>
      </c>
      <c r="F55" s="83">
        <f>1100*85%*(0.2+1.4/1.6*0.3+1.5/1.6*0.5)</f>
        <v>870.72</v>
      </c>
      <c r="G55" s="57">
        <f t="shared" si="3"/>
        <v>870.72</v>
      </c>
      <c r="H55" s="88"/>
      <c r="I55" s="82">
        <v>140</v>
      </c>
      <c r="J55" s="82">
        <v>150</v>
      </c>
      <c r="K55" s="82"/>
      <c r="L55" s="88"/>
      <c r="M55" s="82"/>
      <c r="N55" s="82"/>
      <c r="O55" s="82"/>
      <c r="P55" s="85"/>
    </row>
    <row r="56" s="72" customFormat="1" ht="12" outlineLevel="1" spans="1:16">
      <c r="A56" s="81"/>
      <c r="B56" s="81" t="s">
        <v>604</v>
      </c>
      <c r="C56" s="81" t="s">
        <v>537</v>
      </c>
      <c r="D56" s="81"/>
      <c r="E56" s="82">
        <v>1</v>
      </c>
      <c r="F56" s="83">
        <f>1100*85%*(0.2+1.5/1.6*0.3+1.5/1.6*0.5)</f>
        <v>888.25</v>
      </c>
      <c r="G56" s="57">
        <f t="shared" si="3"/>
        <v>888.25</v>
      </c>
      <c r="H56" s="88"/>
      <c r="I56" s="82">
        <v>150</v>
      </c>
      <c r="J56" s="82">
        <v>150</v>
      </c>
      <c r="K56" s="82"/>
      <c r="L56" s="88"/>
      <c r="M56" s="82"/>
      <c r="N56" s="82"/>
      <c r="O56" s="82"/>
      <c r="P56" s="85"/>
    </row>
    <row r="57" s="72" customFormat="1" ht="24" outlineLevel="1" spans="1:16">
      <c r="A57" s="81"/>
      <c r="B57" s="81" t="s">
        <v>604</v>
      </c>
      <c r="C57" s="81" t="s">
        <v>537</v>
      </c>
      <c r="D57" s="81"/>
      <c r="E57" s="82">
        <v>1</v>
      </c>
      <c r="F57" s="83">
        <f t="shared" si="5"/>
        <v>917.47</v>
      </c>
      <c r="G57" s="57">
        <f t="shared" si="3"/>
        <v>917.47</v>
      </c>
      <c r="H57" s="88"/>
      <c r="I57" s="82">
        <v>150</v>
      </c>
      <c r="J57" s="84" t="s">
        <v>538</v>
      </c>
      <c r="K57" s="84"/>
      <c r="L57" s="88"/>
      <c r="M57" s="82"/>
      <c r="N57" s="82"/>
      <c r="O57" s="82"/>
      <c r="P57" s="85"/>
    </row>
    <row r="58" s="72" customFormat="1" ht="24" outlineLevel="1" spans="1:16">
      <c r="A58" s="81">
        <v>3</v>
      </c>
      <c r="B58" s="81" t="s">
        <v>605</v>
      </c>
      <c r="C58" s="81" t="s">
        <v>537</v>
      </c>
      <c r="D58" s="81">
        <f>SUM(E58:E62)</f>
        <v>14</v>
      </c>
      <c r="E58" s="82">
        <v>10</v>
      </c>
      <c r="F58" s="83">
        <v>850</v>
      </c>
      <c r="G58" s="57">
        <f t="shared" si="3"/>
        <v>8500</v>
      </c>
      <c r="H58" s="88"/>
      <c r="I58" s="84" t="s">
        <v>538</v>
      </c>
      <c r="J58" s="84" t="s">
        <v>538</v>
      </c>
      <c r="K58" s="84" t="s">
        <v>606</v>
      </c>
      <c r="L58" s="88"/>
      <c r="M58" s="82">
        <v>130</v>
      </c>
      <c r="N58" s="82">
        <v>130</v>
      </c>
      <c r="O58" s="82"/>
      <c r="P58" s="85" t="s">
        <v>607</v>
      </c>
    </row>
    <row r="59" s="72" customFormat="1" ht="12" outlineLevel="1" spans="1:16">
      <c r="A59" s="81"/>
      <c r="B59" s="81" t="s">
        <v>605</v>
      </c>
      <c r="C59" s="81" t="s">
        <v>537</v>
      </c>
      <c r="D59" s="81"/>
      <c r="E59" s="82">
        <v>1</v>
      </c>
      <c r="F59" s="83">
        <f>850*85%*(0.2+1.2/1.3*0.3+1.2/1.3*0.5)</f>
        <v>678.04</v>
      </c>
      <c r="G59" s="57">
        <f t="shared" si="3"/>
        <v>678.04</v>
      </c>
      <c r="H59" s="88"/>
      <c r="I59" s="82">
        <v>120</v>
      </c>
      <c r="J59" s="82">
        <v>120</v>
      </c>
      <c r="K59" s="82"/>
      <c r="L59" s="88"/>
      <c r="M59" s="82"/>
      <c r="N59" s="82"/>
      <c r="O59" s="82"/>
      <c r="P59" s="85"/>
    </row>
    <row r="60" s="72" customFormat="1" ht="24" outlineLevel="1" spans="1:16">
      <c r="A60" s="81"/>
      <c r="B60" s="81" t="s">
        <v>605</v>
      </c>
      <c r="C60" s="81" t="s">
        <v>537</v>
      </c>
      <c r="D60" s="81"/>
      <c r="E60" s="82">
        <v>1</v>
      </c>
      <c r="F60" s="83">
        <f>850*85%*(0.2+0.3+1.1/1.3*0.5)</f>
        <v>666.92</v>
      </c>
      <c r="G60" s="57">
        <f t="shared" si="3"/>
        <v>666.92</v>
      </c>
      <c r="H60" s="88"/>
      <c r="I60" s="84" t="s">
        <v>538</v>
      </c>
      <c r="J60" s="82">
        <v>110</v>
      </c>
      <c r="K60" s="82"/>
      <c r="L60" s="88"/>
      <c r="M60" s="82"/>
      <c r="N60" s="82"/>
      <c r="O60" s="82"/>
      <c r="P60" s="85"/>
    </row>
    <row r="61" s="72" customFormat="1" ht="24" outlineLevel="1" spans="1:16">
      <c r="A61" s="81"/>
      <c r="B61" s="81" t="s">
        <v>605</v>
      </c>
      <c r="C61" s="81" t="s">
        <v>537</v>
      </c>
      <c r="D61" s="81"/>
      <c r="E61" s="82">
        <v>1</v>
      </c>
      <c r="F61" s="83">
        <f>850*85%*(0.2+1.1/1.3*0.3+0.5)</f>
        <v>689.15</v>
      </c>
      <c r="G61" s="57">
        <f t="shared" si="3"/>
        <v>689.15</v>
      </c>
      <c r="H61" s="88"/>
      <c r="I61" s="82">
        <v>110</v>
      </c>
      <c r="J61" s="85" t="s">
        <v>538</v>
      </c>
      <c r="K61" s="85"/>
      <c r="L61" s="88"/>
      <c r="M61" s="82"/>
      <c r="N61" s="82"/>
      <c r="O61" s="82"/>
      <c r="P61" s="85"/>
    </row>
    <row r="62" s="72" customFormat="1" ht="12" outlineLevel="1" spans="1:16">
      <c r="A62" s="81"/>
      <c r="B62" s="81" t="s">
        <v>605</v>
      </c>
      <c r="C62" s="81" t="s">
        <v>537</v>
      </c>
      <c r="D62" s="81"/>
      <c r="E62" s="82">
        <v>1</v>
      </c>
      <c r="F62" s="83">
        <f>850*85%*(0.2+1/1.3*0.3+1/1.3*0.5)</f>
        <v>589.12</v>
      </c>
      <c r="G62" s="57">
        <f t="shared" si="3"/>
        <v>589.12</v>
      </c>
      <c r="H62" s="88"/>
      <c r="I62" s="82">
        <v>100</v>
      </c>
      <c r="J62" s="85">
        <v>100</v>
      </c>
      <c r="K62" s="85"/>
      <c r="L62" s="88"/>
      <c r="M62" s="82"/>
      <c r="N62" s="82"/>
      <c r="O62" s="82"/>
      <c r="P62" s="85"/>
    </row>
    <row r="63" s="72" customFormat="1" ht="24" outlineLevel="1" spans="1:16">
      <c r="A63" s="81">
        <v>4</v>
      </c>
      <c r="B63" s="81" t="s">
        <v>608</v>
      </c>
      <c r="C63" s="81" t="s">
        <v>537</v>
      </c>
      <c r="D63" s="81">
        <f>SUM(E63:E68)</f>
        <v>10</v>
      </c>
      <c r="E63" s="82">
        <v>1</v>
      </c>
      <c r="F63" s="83">
        <f>500*85%*(0.2+1/1.2*0.3+0.5)</f>
        <v>403.75</v>
      </c>
      <c r="G63" s="57">
        <f t="shared" si="3"/>
        <v>403.75</v>
      </c>
      <c r="H63" s="88"/>
      <c r="I63" s="82">
        <v>100</v>
      </c>
      <c r="J63" s="85" t="s">
        <v>538</v>
      </c>
      <c r="K63" s="85"/>
      <c r="L63" s="88"/>
      <c r="M63" s="82">
        <v>120</v>
      </c>
      <c r="N63" s="82">
        <v>120</v>
      </c>
      <c r="O63" s="82"/>
      <c r="P63" s="85" t="s">
        <v>603</v>
      </c>
    </row>
    <row r="64" s="72" customFormat="1" ht="12" outlineLevel="1" spans="1:16">
      <c r="A64" s="81"/>
      <c r="B64" s="81" t="s">
        <v>608</v>
      </c>
      <c r="C64" s="81" t="s">
        <v>537</v>
      </c>
      <c r="D64" s="81"/>
      <c r="E64" s="82">
        <v>1</v>
      </c>
      <c r="F64" s="83">
        <f>500*85%*(0.2+1/1.2*0.3+0.9/1.2*0.5)</f>
        <v>350.63</v>
      </c>
      <c r="G64" s="57">
        <f t="shared" si="3"/>
        <v>350.63</v>
      </c>
      <c r="H64" s="88"/>
      <c r="I64" s="82">
        <v>100</v>
      </c>
      <c r="J64" s="85">
        <v>90</v>
      </c>
      <c r="K64" s="85"/>
      <c r="L64" s="88"/>
      <c r="M64" s="82"/>
      <c r="N64" s="82"/>
      <c r="O64" s="82"/>
      <c r="P64" s="85"/>
    </row>
    <row r="65" s="72" customFormat="1" ht="24" outlineLevel="1" spans="1:16">
      <c r="A65" s="81"/>
      <c r="B65" s="81" t="s">
        <v>608</v>
      </c>
      <c r="C65" s="81" t="s">
        <v>537</v>
      </c>
      <c r="D65" s="81"/>
      <c r="E65" s="82">
        <v>1</v>
      </c>
      <c r="F65" s="83">
        <f>500*85%*(0.2+1.1/1.2*0.3+0.5)</f>
        <v>414.38</v>
      </c>
      <c r="G65" s="57">
        <f t="shared" si="3"/>
        <v>414.38</v>
      </c>
      <c r="H65" s="88"/>
      <c r="I65" s="82">
        <v>110</v>
      </c>
      <c r="J65" s="85" t="s">
        <v>538</v>
      </c>
      <c r="K65" s="85"/>
      <c r="L65" s="88"/>
      <c r="M65" s="82"/>
      <c r="N65" s="82"/>
      <c r="O65" s="82"/>
      <c r="P65" s="85"/>
    </row>
    <row r="66" s="72" customFormat="1" ht="12" outlineLevel="1" spans="1:16">
      <c r="A66" s="81"/>
      <c r="B66" s="81" t="s">
        <v>608</v>
      </c>
      <c r="C66" s="81" t="s">
        <v>537</v>
      </c>
      <c r="D66" s="81"/>
      <c r="E66" s="82">
        <v>1</v>
      </c>
      <c r="F66" s="83">
        <f>500*85%*(0.2+1/1.2*0.3+1/1.2*0.5)</f>
        <v>368.33</v>
      </c>
      <c r="G66" s="57">
        <f t="shared" si="3"/>
        <v>368.33</v>
      </c>
      <c r="H66" s="88"/>
      <c r="I66" s="82">
        <v>100</v>
      </c>
      <c r="J66" s="85">
        <v>100</v>
      </c>
      <c r="K66" s="85"/>
      <c r="L66" s="88"/>
      <c r="M66" s="82"/>
      <c r="N66" s="82"/>
      <c r="O66" s="82"/>
      <c r="P66" s="85"/>
    </row>
    <row r="67" s="72" customFormat="1" ht="12" outlineLevel="1" spans="1:16">
      <c r="A67" s="81"/>
      <c r="B67" s="81" t="s">
        <v>608</v>
      </c>
      <c r="C67" s="81" t="s">
        <v>537</v>
      </c>
      <c r="D67" s="81"/>
      <c r="E67" s="82">
        <v>1</v>
      </c>
      <c r="F67" s="83">
        <f>500*85%*(0.2+1.1/1.2*0.3+1.1/1.2*0.5)</f>
        <v>396.67</v>
      </c>
      <c r="G67" s="57">
        <f t="shared" si="3"/>
        <v>396.67</v>
      </c>
      <c r="H67" s="88"/>
      <c r="I67" s="82">
        <v>110</v>
      </c>
      <c r="J67" s="85">
        <v>110</v>
      </c>
      <c r="K67" s="85"/>
      <c r="L67" s="88"/>
      <c r="M67" s="82"/>
      <c r="N67" s="82"/>
      <c r="O67" s="82"/>
      <c r="P67" s="85"/>
    </row>
    <row r="68" s="72" customFormat="1" ht="12" outlineLevel="1" spans="1:16">
      <c r="A68" s="81"/>
      <c r="B68" s="81" t="s">
        <v>608</v>
      </c>
      <c r="C68" s="81" t="s">
        <v>537</v>
      </c>
      <c r="D68" s="81"/>
      <c r="E68" s="82">
        <v>5</v>
      </c>
      <c r="F68" s="83">
        <f>500*85%*(0.2+1/1.2*0.3+1/1.2*0.5)</f>
        <v>368.33</v>
      </c>
      <c r="G68" s="57">
        <f t="shared" si="3"/>
        <v>1841.65</v>
      </c>
      <c r="H68" s="88"/>
      <c r="I68" s="82">
        <v>100</v>
      </c>
      <c r="J68" s="85">
        <v>100</v>
      </c>
      <c r="K68" s="85"/>
      <c r="L68" s="88"/>
      <c r="M68" s="82"/>
      <c r="N68" s="82"/>
      <c r="O68" s="82"/>
      <c r="P68" s="85"/>
    </row>
    <row r="69" s="72" customFormat="1" ht="24" outlineLevel="1" spans="1:16">
      <c r="A69" s="81">
        <v>5</v>
      </c>
      <c r="B69" s="81" t="s">
        <v>609</v>
      </c>
      <c r="C69" s="81" t="s">
        <v>537</v>
      </c>
      <c r="D69" s="81">
        <f>SUM(E69:E70)</f>
        <v>3</v>
      </c>
      <c r="E69" s="82">
        <v>1</v>
      </c>
      <c r="F69" s="83">
        <v>100</v>
      </c>
      <c r="G69" s="57">
        <f t="shared" si="3"/>
        <v>100</v>
      </c>
      <c r="H69" s="88"/>
      <c r="I69" s="85" t="s">
        <v>538</v>
      </c>
      <c r="J69" s="85" t="s">
        <v>538</v>
      </c>
      <c r="K69" s="85"/>
      <c r="L69" s="88"/>
      <c r="M69" s="82">
        <v>80</v>
      </c>
      <c r="N69" s="82">
        <v>60</v>
      </c>
      <c r="O69" s="82"/>
      <c r="P69" s="85" t="s">
        <v>610</v>
      </c>
    </row>
    <row r="70" s="72" customFormat="1" ht="24" outlineLevel="1" spans="1:16">
      <c r="A70" s="81"/>
      <c r="B70" s="81" t="s">
        <v>609</v>
      </c>
      <c r="C70" s="81" t="s">
        <v>537</v>
      </c>
      <c r="D70" s="81"/>
      <c r="E70" s="82">
        <v>2</v>
      </c>
      <c r="F70" s="83">
        <f>100*85%*(0.2+0.3+0.45/0.6*0.5)</f>
        <v>74.38</v>
      </c>
      <c r="G70" s="57">
        <f t="shared" ref="G70:G88" si="6">E70*F70</f>
        <v>148.76</v>
      </c>
      <c r="H70" s="88"/>
      <c r="I70" s="85" t="s">
        <v>538</v>
      </c>
      <c r="J70" s="82">
        <v>45</v>
      </c>
      <c r="K70" s="82"/>
      <c r="L70" s="88"/>
      <c r="M70" s="82"/>
      <c r="N70" s="82"/>
      <c r="O70" s="82"/>
      <c r="P70" s="85"/>
    </row>
    <row r="71" s="72" customFormat="1" ht="24" outlineLevel="1" spans="1:16">
      <c r="A71" s="81">
        <v>6</v>
      </c>
      <c r="B71" s="81" t="s">
        <v>611</v>
      </c>
      <c r="C71" s="81" t="s">
        <v>537</v>
      </c>
      <c r="D71" s="81">
        <f>SUM(E71:E74)</f>
        <v>9</v>
      </c>
      <c r="E71" s="82">
        <v>3</v>
      </c>
      <c r="F71" s="83">
        <v>80</v>
      </c>
      <c r="G71" s="57">
        <f t="shared" si="6"/>
        <v>240</v>
      </c>
      <c r="H71" s="88"/>
      <c r="I71" s="85" t="s">
        <v>538</v>
      </c>
      <c r="J71" s="85" t="s">
        <v>538</v>
      </c>
      <c r="K71" s="85"/>
      <c r="L71" s="88"/>
      <c r="M71" s="82">
        <v>50</v>
      </c>
      <c r="N71" s="82">
        <v>60</v>
      </c>
      <c r="O71" s="82"/>
      <c r="P71" s="85" t="s">
        <v>612</v>
      </c>
    </row>
    <row r="72" s="72" customFormat="1" ht="24" outlineLevel="1" spans="1:16">
      <c r="A72" s="81"/>
      <c r="B72" s="81" t="s">
        <v>611</v>
      </c>
      <c r="C72" s="81" t="s">
        <v>537</v>
      </c>
      <c r="D72" s="81"/>
      <c r="E72" s="82">
        <v>2</v>
      </c>
      <c r="F72" s="83">
        <f>80*85%*(0.2+0.4/0.5*0.3+0.5)</f>
        <v>63.92</v>
      </c>
      <c r="G72" s="57">
        <f t="shared" si="6"/>
        <v>127.84</v>
      </c>
      <c r="H72" s="88"/>
      <c r="I72" s="82">
        <v>40</v>
      </c>
      <c r="J72" s="85" t="s">
        <v>538</v>
      </c>
      <c r="K72" s="85"/>
      <c r="L72" s="88"/>
      <c r="M72" s="82"/>
      <c r="N72" s="82"/>
      <c r="O72" s="82"/>
      <c r="P72" s="85"/>
    </row>
    <row r="73" s="72" customFormat="1" ht="24" outlineLevel="1" spans="1:16">
      <c r="A73" s="81"/>
      <c r="B73" s="81" t="s">
        <v>611</v>
      </c>
      <c r="C73" s="81" t="s">
        <v>537</v>
      </c>
      <c r="D73" s="81"/>
      <c r="E73" s="82">
        <v>2</v>
      </c>
      <c r="F73" s="83">
        <f>80*85%*(0.2+0.3+0.5/0.6*0.5)</f>
        <v>62.33</v>
      </c>
      <c r="G73" s="57">
        <f t="shared" si="6"/>
        <v>124.66</v>
      </c>
      <c r="H73" s="88"/>
      <c r="I73" s="85" t="s">
        <v>538</v>
      </c>
      <c r="J73" s="82">
        <v>50</v>
      </c>
      <c r="K73" s="82"/>
      <c r="L73" s="88"/>
      <c r="M73" s="82"/>
      <c r="N73" s="82"/>
      <c r="O73" s="82"/>
      <c r="P73" s="85"/>
    </row>
    <row r="74" s="72" customFormat="1" ht="24" outlineLevel="1" spans="1:16">
      <c r="A74" s="81"/>
      <c r="B74" s="81" t="s">
        <v>611</v>
      </c>
      <c r="C74" s="81" t="s">
        <v>537</v>
      </c>
      <c r="D74" s="81"/>
      <c r="E74" s="82">
        <v>2</v>
      </c>
      <c r="F74" s="83">
        <f>80*85%*(0.2+0.3/0.5*0.3+0.5)</f>
        <v>59.84</v>
      </c>
      <c r="G74" s="57">
        <f t="shared" si="6"/>
        <v>119.68</v>
      </c>
      <c r="H74" s="88"/>
      <c r="I74" s="82">
        <v>30</v>
      </c>
      <c r="J74" s="85" t="s">
        <v>538</v>
      </c>
      <c r="K74" s="85"/>
      <c r="L74" s="88"/>
      <c r="M74" s="82"/>
      <c r="N74" s="82"/>
      <c r="O74" s="82"/>
      <c r="P74" s="85"/>
    </row>
    <row r="75" s="70" customFormat="1" ht="13.5" spans="1:16">
      <c r="A75" s="41" t="s">
        <v>445</v>
      </c>
      <c r="B75" s="41" t="s">
        <v>613</v>
      </c>
      <c r="C75" s="86"/>
      <c r="D75" s="86"/>
      <c r="E75" s="87"/>
      <c r="F75" s="83"/>
      <c r="G75" s="57">
        <f t="shared" si="6"/>
        <v>0</v>
      </c>
      <c r="H75" s="86"/>
      <c r="I75" s="88"/>
      <c r="J75" s="86"/>
      <c r="K75" s="86"/>
      <c r="L75" s="86"/>
      <c r="M75" s="88"/>
      <c r="N75" s="86"/>
      <c r="O75" s="86"/>
      <c r="P75" s="86"/>
    </row>
    <row r="76" s="72" customFormat="1" ht="36" outlineLevel="1" spans="1:16">
      <c r="A76" s="81">
        <v>1</v>
      </c>
      <c r="B76" s="81" t="s">
        <v>614</v>
      </c>
      <c r="C76" s="81" t="s">
        <v>615</v>
      </c>
      <c r="D76" s="57">
        <f t="shared" ref="D76:D85" si="7">E76</f>
        <v>154</v>
      </c>
      <c r="E76" s="89">
        <v>154</v>
      </c>
      <c r="F76" s="83">
        <v>230</v>
      </c>
      <c r="G76" s="57">
        <f t="shared" si="6"/>
        <v>35420</v>
      </c>
      <c r="H76" s="88"/>
      <c r="I76" s="101" t="s">
        <v>616</v>
      </c>
      <c r="J76" s="101" t="s">
        <v>617</v>
      </c>
      <c r="K76" s="101"/>
      <c r="L76" s="88"/>
      <c r="M76" s="101" t="s">
        <v>616</v>
      </c>
      <c r="N76" s="101" t="s">
        <v>617</v>
      </c>
      <c r="O76" s="88"/>
      <c r="P76" s="81" t="s">
        <v>618</v>
      </c>
    </row>
    <row r="77" s="72" customFormat="1" ht="36" outlineLevel="1" spans="1:16">
      <c r="A77" s="81">
        <v>2</v>
      </c>
      <c r="B77" s="81" t="s">
        <v>619</v>
      </c>
      <c r="C77" s="81" t="s">
        <v>615</v>
      </c>
      <c r="D77" s="57">
        <f t="shared" si="7"/>
        <v>66</v>
      </c>
      <c r="E77" s="89">
        <v>66</v>
      </c>
      <c r="F77" s="83">
        <v>160</v>
      </c>
      <c r="G77" s="57">
        <f t="shared" si="6"/>
        <v>10560</v>
      </c>
      <c r="H77" s="88"/>
      <c r="I77" s="101" t="s">
        <v>616</v>
      </c>
      <c r="J77" s="101" t="s">
        <v>617</v>
      </c>
      <c r="K77" s="101"/>
      <c r="L77" s="88"/>
      <c r="M77" s="101" t="s">
        <v>616</v>
      </c>
      <c r="N77" s="101" t="s">
        <v>617</v>
      </c>
      <c r="O77" s="88"/>
      <c r="P77" s="81" t="s">
        <v>620</v>
      </c>
    </row>
    <row r="78" s="72" customFormat="1" ht="24" outlineLevel="1" spans="1:16">
      <c r="A78" s="81">
        <v>3</v>
      </c>
      <c r="B78" s="81" t="s">
        <v>621</v>
      </c>
      <c r="C78" s="81" t="s">
        <v>615</v>
      </c>
      <c r="D78" s="57">
        <f t="shared" si="7"/>
        <v>0</v>
      </c>
      <c r="E78" s="89">
        <v>0</v>
      </c>
      <c r="F78" s="83">
        <v>650</v>
      </c>
      <c r="G78" s="57">
        <f t="shared" si="6"/>
        <v>0</v>
      </c>
      <c r="H78" s="88"/>
      <c r="I78" s="101">
        <v>30</v>
      </c>
      <c r="J78" s="101" t="s">
        <v>622</v>
      </c>
      <c r="K78" s="101"/>
      <c r="L78" s="88"/>
      <c r="M78" s="101">
        <v>30</v>
      </c>
      <c r="N78" s="101" t="s">
        <v>622</v>
      </c>
      <c r="O78" s="88"/>
      <c r="P78" s="81" t="s">
        <v>623</v>
      </c>
    </row>
    <row r="79" s="72" customFormat="1" ht="36" outlineLevel="1" spans="1:16">
      <c r="A79" s="81">
        <v>4</v>
      </c>
      <c r="B79" s="81" t="s">
        <v>624</v>
      </c>
      <c r="C79" s="81" t="s">
        <v>615</v>
      </c>
      <c r="D79" s="57">
        <f t="shared" si="7"/>
        <v>72</v>
      </c>
      <c r="E79" s="89">
        <v>72</v>
      </c>
      <c r="F79" s="83">
        <v>180</v>
      </c>
      <c r="G79" s="57">
        <f t="shared" si="6"/>
        <v>12960</v>
      </c>
      <c r="H79" s="88"/>
      <c r="I79" s="101">
        <v>35</v>
      </c>
      <c r="J79" s="101" t="s">
        <v>617</v>
      </c>
      <c r="K79" s="101"/>
      <c r="L79" s="88"/>
      <c r="M79" s="101">
        <v>35</v>
      </c>
      <c r="N79" s="101" t="s">
        <v>617</v>
      </c>
      <c r="O79" s="88"/>
      <c r="P79" s="81" t="s">
        <v>625</v>
      </c>
    </row>
    <row r="80" s="72" customFormat="1" ht="24" outlineLevel="1" spans="1:16">
      <c r="A80" s="81">
        <v>5</v>
      </c>
      <c r="B80" s="81" t="s">
        <v>626</v>
      </c>
      <c r="C80" s="81" t="s">
        <v>615</v>
      </c>
      <c r="D80" s="57">
        <f t="shared" si="7"/>
        <v>0</v>
      </c>
      <c r="E80" s="89">
        <v>0</v>
      </c>
      <c r="F80" s="83">
        <v>530</v>
      </c>
      <c r="G80" s="57">
        <f t="shared" si="6"/>
        <v>0</v>
      </c>
      <c r="H80" s="88"/>
      <c r="I80" s="101" t="s">
        <v>627</v>
      </c>
      <c r="J80" s="101" t="s">
        <v>617</v>
      </c>
      <c r="K80" s="101"/>
      <c r="L80" s="88"/>
      <c r="M80" s="101" t="s">
        <v>627</v>
      </c>
      <c r="N80" s="101" t="s">
        <v>617</v>
      </c>
      <c r="O80" s="88"/>
      <c r="P80" s="81" t="s">
        <v>628</v>
      </c>
    </row>
    <row r="81" s="72" customFormat="1" ht="36" outlineLevel="1" spans="1:16">
      <c r="A81" s="81">
        <v>6</v>
      </c>
      <c r="B81" s="81" t="s">
        <v>629</v>
      </c>
      <c r="C81" s="81" t="s">
        <v>615</v>
      </c>
      <c r="D81" s="57">
        <f t="shared" si="7"/>
        <v>178</v>
      </c>
      <c r="E81" s="89">
        <v>178</v>
      </c>
      <c r="F81" s="83">
        <v>272</v>
      </c>
      <c r="G81" s="57">
        <f t="shared" si="6"/>
        <v>48416</v>
      </c>
      <c r="H81" s="88"/>
      <c r="I81" s="101">
        <v>30</v>
      </c>
      <c r="J81" s="101" t="s">
        <v>617</v>
      </c>
      <c r="K81" s="101"/>
      <c r="L81" s="88"/>
      <c r="M81" s="101">
        <v>30</v>
      </c>
      <c r="N81" s="101" t="s">
        <v>617</v>
      </c>
      <c r="O81" s="88"/>
      <c r="P81" s="81" t="s">
        <v>620</v>
      </c>
    </row>
    <row r="82" s="72" customFormat="1" ht="36" outlineLevel="1" spans="1:16">
      <c r="A82" s="81">
        <v>7</v>
      </c>
      <c r="B82" s="81" t="s">
        <v>630</v>
      </c>
      <c r="C82" s="81" t="s">
        <v>615</v>
      </c>
      <c r="D82" s="57">
        <f t="shared" si="7"/>
        <v>39</v>
      </c>
      <c r="E82" s="89">
        <v>39</v>
      </c>
      <c r="F82" s="83">
        <v>190</v>
      </c>
      <c r="G82" s="57">
        <f t="shared" si="6"/>
        <v>7410</v>
      </c>
      <c r="H82" s="88"/>
      <c r="I82" s="101">
        <v>30</v>
      </c>
      <c r="J82" s="101" t="s">
        <v>617</v>
      </c>
      <c r="K82" s="101"/>
      <c r="L82" s="88"/>
      <c r="M82" s="101">
        <v>30</v>
      </c>
      <c r="N82" s="101" t="s">
        <v>617</v>
      </c>
      <c r="O82" s="88"/>
      <c r="P82" s="81" t="s">
        <v>620</v>
      </c>
    </row>
    <row r="83" s="72" customFormat="1" ht="36" outlineLevel="1" spans="1:16">
      <c r="A83" s="81">
        <v>8</v>
      </c>
      <c r="B83" s="81" t="s">
        <v>631</v>
      </c>
      <c r="C83" s="81" t="s">
        <v>615</v>
      </c>
      <c r="D83" s="57">
        <f t="shared" si="7"/>
        <v>0</v>
      </c>
      <c r="E83" s="89">
        <v>0</v>
      </c>
      <c r="F83" s="83">
        <v>455</v>
      </c>
      <c r="G83" s="57">
        <f t="shared" si="6"/>
        <v>0</v>
      </c>
      <c r="H83" s="88"/>
      <c r="I83" s="101" t="s">
        <v>632</v>
      </c>
      <c r="J83" s="101" t="s">
        <v>617</v>
      </c>
      <c r="K83" s="101"/>
      <c r="L83" s="88"/>
      <c r="M83" s="101" t="s">
        <v>632</v>
      </c>
      <c r="N83" s="101" t="s">
        <v>617</v>
      </c>
      <c r="O83" s="88"/>
      <c r="P83" s="81" t="s">
        <v>633</v>
      </c>
    </row>
    <row r="84" s="72" customFormat="1" ht="24" outlineLevel="1" spans="1:16">
      <c r="A84" s="81">
        <v>9</v>
      </c>
      <c r="B84" s="81" t="s">
        <v>634</v>
      </c>
      <c r="C84" s="81" t="s">
        <v>615</v>
      </c>
      <c r="D84" s="57">
        <f t="shared" si="7"/>
        <v>2</v>
      </c>
      <c r="E84" s="89">
        <v>2</v>
      </c>
      <c r="F84" s="83">
        <v>165</v>
      </c>
      <c r="G84" s="57">
        <f t="shared" si="6"/>
        <v>330</v>
      </c>
      <c r="H84" s="88"/>
      <c r="I84" s="101" t="s">
        <v>635</v>
      </c>
      <c r="J84" s="101" t="s">
        <v>636</v>
      </c>
      <c r="K84" s="101"/>
      <c r="L84" s="88"/>
      <c r="M84" s="101" t="s">
        <v>635</v>
      </c>
      <c r="N84" s="101" t="s">
        <v>636</v>
      </c>
      <c r="O84" s="88"/>
      <c r="P84" s="81" t="s">
        <v>637</v>
      </c>
    </row>
    <row r="85" s="72" customFormat="1" ht="24" outlineLevel="1" spans="1:16">
      <c r="A85" s="81">
        <v>10</v>
      </c>
      <c r="B85" s="81" t="s">
        <v>638</v>
      </c>
      <c r="C85" s="81" t="s">
        <v>615</v>
      </c>
      <c r="D85" s="57">
        <f t="shared" si="7"/>
        <v>72</v>
      </c>
      <c r="E85" s="49">
        <v>72</v>
      </c>
      <c r="F85" s="83">
        <v>44.5</v>
      </c>
      <c r="G85" s="57">
        <f t="shared" si="6"/>
        <v>3204</v>
      </c>
      <c r="H85" s="88"/>
      <c r="I85" s="81" t="s">
        <v>639</v>
      </c>
      <c r="J85" s="81" t="s">
        <v>639</v>
      </c>
      <c r="K85" s="81"/>
      <c r="L85" s="88"/>
      <c r="M85" s="81" t="s">
        <v>639</v>
      </c>
      <c r="N85" s="81" t="s">
        <v>639</v>
      </c>
      <c r="O85" s="88"/>
      <c r="P85" s="81" t="s">
        <v>640</v>
      </c>
    </row>
    <row r="86" s="71" customFormat="1" ht="13.5" spans="1:16">
      <c r="A86" s="41" t="s">
        <v>449</v>
      </c>
      <c r="B86" s="92" t="s">
        <v>641</v>
      </c>
      <c r="C86" s="41"/>
      <c r="D86" s="41"/>
      <c r="E86" s="43"/>
      <c r="F86" s="43"/>
      <c r="G86" s="57">
        <f t="shared" si="6"/>
        <v>0</v>
      </c>
      <c r="H86" s="41"/>
      <c r="I86" s="41"/>
      <c r="J86" s="41"/>
      <c r="K86" s="41"/>
      <c r="L86" s="41"/>
      <c r="M86" s="41"/>
      <c r="N86" s="41"/>
      <c r="O86" s="41"/>
      <c r="P86" s="41"/>
    </row>
    <row r="87" s="73" customFormat="1" ht="36" outlineLevel="1" spans="1:16">
      <c r="A87" s="81">
        <v>1</v>
      </c>
      <c r="B87" s="81" t="s">
        <v>642</v>
      </c>
      <c r="C87" s="81" t="s">
        <v>643</v>
      </c>
      <c r="D87" s="57">
        <f>E87</f>
        <v>573</v>
      </c>
      <c r="E87" s="49">
        <v>573</v>
      </c>
      <c r="F87" s="49">
        <v>35</v>
      </c>
      <c r="G87" s="57">
        <f t="shared" si="6"/>
        <v>20055</v>
      </c>
      <c r="H87" s="81"/>
      <c r="I87" s="81"/>
      <c r="J87" s="81"/>
      <c r="K87" s="81"/>
      <c r="L87" s="81"/>
      <c r="M87" s="81"/>
      <c r="N87" s="81"/>
      <c r="O87" s="81"/>
      <c r="P87" s="81" t="s">
        <v>644</v>
      </c>
    </row>
    <row r="88" s="73" customFormat="1" ht="36" outlineLevel="1" spans="1:16">
      <c r="A88" s="81">
        <v>2</v>
      </c>
      <c r="B88" s="81" t="s">
        <v>645</v>
      </c>
      <c r="C88" s="81" t="s">
        <v>646</v>
      </c>
      <c r="D88" s="57">
        <f>E88</f>
        <v>0</v>
      </c>
      <c r="E88" s="49">
        <v>0</v>
      </c>
      <c r="F88" s="49">
        <v>35</v>
      </c>
      <c r="G88" s="57">
        <f t="shared" si="6"/>
        <v>0</v>
      </c>
      <c r="H88" s="81"/>
      <c r="I88" s="81"/>
      <c r="J88" s="81"/>
      <c r="K88" s="81"/>
      <c r="L88" s="81"/>
      <c r="M88" s="81"/>
      <c r="N88" s="81"/>
      <c r="O88" s="81"/>
      <c r="P88" s="81" t="s">
        <v>644</v>
      </c>
    </row>
    <row r="89" s="73" customFormat="1" ht="23" customHeight="1" spans="1:16">
      <c r="A89" s="93"/>
      <c r="B89" s="93" t="s">
        <v>647</v>
      </c>
      <c r="C89" s="93"/>
      <c r="D89" s="93"/>
      <c r="E89" s="45"/>
      <c r="F89" s="45"/>
      <c r="G89" s="94">
        <f>SUM(G5:G88)</f>
        <v>569470.6</v>
      </c>
      <c r="H89" s="93"/>
      <c r="I89" s="93"/>
      <c r="J89" s="93"/>
      <c r="K89" s="93"/>
      <c r="L89" s="93"/>
      <c r="M89" s="93"/>
      <c r="N89" s="93"/>
      <c r="O89" s="93"/>
      <c r="P89" s="93"/>
    </row>
    <row r="90" s="3" customFormat="1" ht="61" hidden="1" customHeight="1" spans="1:16">
      <c r="A90" s="95" t="s">
        <v>455</v>
      </c>
      <c r="B90" s="96" t="s">
        <v>648</v>
      </c>
      <c r="G90" s="97"/>
      <c r="H90" s="95" t="s">
        <v>531</v>
      </c>
      <c r="I90" s="95" t="s">
        <v>532</v>
      </c>
      <c r="J90" s="95" t="s">
        <v>533</v>
      </c>
      <c r="K90" s="95" t="s">
        <v>374</v>
      </c>
      <c r="P90" s="96"/>
    </row>
    <row r="91" s="74" customFormat="1" ht="12" hidden="1" spans="1:16">
      <c r="A91" s="74">
        <v>1</v>
      </c>
      <c r="B91" s="74" t="s">
        <v>649</v>
      </c>
      <c r="C91" s="74" t="s">
        <v>537</v>
      </c>
      <c r="D91" s="74">
        <f>SUM(E91:E92)</f>
        <v>2</v>
      </c>
      <c r="E91" s="74">
        <v>1</v>
      </c>
      <c r="G91" s="98"/>
      <c r="H91" s="99">
        <v>6.5</v>
      </c>
      <c r="I91" s="99">
        <v>3.6</v>
      </c>
      <c r="J91" s="99">
        <v>3</v>
      </c>
      <c r="K91" s="102"/>
      <c r="P91" s="102"/>
    </row>
    <row r="92" s="74" customFormat="1" ht="12" hidden="1" spans="1:16">
      <c r="A92" s="74">
        <v>2</v>
      </c>
      <c r="B92" s="74" t="s">
        <v>649</v>
      </c>
      <c r="C92" s="74" t="s">
        <v>537</v>
      </c>
      <c r="E92" s="74">
        <v>1</v>
      </c>
      <c r="G92" s="98"/>
      <c r="H92" s="99">
        <v>10</v>
      </c>
      <c r="I92" s="99">
        <v>3</v>
      </c>
      <c r="J92" s="99">
        <v>3.6</v>
      </c>
      <c r="K92" s="102"/>
      <c r="P92" s="102"/>
    </row>
    <row r="93" s="74" customFormat="1" ht="12" hidden="1" spans="1:16">
      <c r="A93" s="74">
        <v>3</v>
      </c>
      <c r="B93" s="74" t="s">
        <v>650</v>
      </c>
      <c r="C93" s="74" t="s">
        <v>537</v>
      </c>
      <c r="D93" s="74">
        <f t="shared" ref="D93:D96" si="8">E93</f>
        <v>1</v>
      </c>
      <c r="E93" s="74">
        <v>1</v>
      </c>
      <c r="G93" s="98"/>
      <c r="H93" s="99">
        <v>9</v>
      </c>
      <c r="I93" s="99">
        <v>3.5</v>
      </c>
      <c r="J93" s="99">
        <v>3</v>
      </c>
      <c r="K93" s="102" t="s">
        <v>651</v>
      </c>
      <c r="P93" s="102"/>
    </row>
    <row r="94" s="74" customFormat="1" ht="12" hidden="1" spans="1:16">
      <c r="A94" s="74">
        <v>4</v>
      </c>
      <c r="B94" s="74" t="s">
        <v>652</v>
      </c>
      <c r="C94" s="74" t="s">
        <v>537</v>
      </c>
      <c r="D94" s="74">
        <f t="shared" si="8"/>
        <v>1</v>
      </c>
      <c r="E94" s="74">
        <v>1</v>
      </c>
      <c r="G94" s="98"/>
      <c r="H94" s="99"/>
      <c r="I94" s="99">
        <v>1.7</v>
      </c>
      <c r="J94" s="99">
        <v>2</v>
      </c>
      <c r="K94" s="102" t="s">
        <v>653</v>
      </c>
      <c r="P94" s="102"/>
    </row>
    <row r="95" s="74" customFormat="1" ht="12" hidden="1" spans="1:16">
      <c r="A95" s="74">
        <v>5</v>
      </c>
      <c r="B95" s="74" t="s">
        <v>654</v>
      </c>
      <c r="C95" s="74" t="s">
        <v>537</v>
      </c>
      <c r="D95" s="74">
        <f t="shared" si="8"/>
        <v>2</v>
      </c>
      <c r="E95" s="74">
        <v>2</v>
      </c>
      <c r="G95" s="98"/>
      <c r="H95" s="99"/>
      <c r="I95" s="99">
        <v>1.1</v>
      </c>
      <c r="J95" s="99">
        <v>1.5</v>
      </c>
      <c r="K95" s="102"/>
      <c r="P95" s="102"/>
    </row>
    <row r="96" s="74" customFormat="1" ht="12" hidden="1" spans="1:16">
      <c r="A96" s="74">
        <v>6</v>
      </c>
      <c r="B96" s="74" t="s">
        <v>655</v>
      </c>
      <c r="C96" s="74" t="s">
        <v>537</v>
      </c>
      <c r="D96" s="74">
        <f t="shared" si="8"/>
        <v>1</v>
      </c>
      <c r="E96" s="74">
        <v>1</v>
      </c>
      <c r="G96" s="98"/>
      <c r="H96" s="99"/>
      <c r="I96" s="99">
        <v>1.7</v>
      </c>
      <c r="J96" s="99">
        <v>3</v>
      </c>
      <c r="K96" s="102" t="s">
        <v>653</v>
      </c>
      <c r="P96" s="102"/>
    </row>
    <row r="97" s="74" customFormat="1" ht="12" hidden="1" spans="1:16">
      <c r="A97" s="74">
        <v>7</v>
      </c>
      <c r="B97" s="74" t="s">
        <v>656</v>
      </c>
      <c r="C97" s="74" t="s">
        <v>537</v>
      </c>
      <c r="D97" s="74">
        <f>SUM(E97:E98)</f>
        <v>2</v>
      </c>
      <c r="E97" s="74">
        <v>1</v>
      </c>
      <c r="G97" s="98"/>
      <c r="H97" s="99"/>
      <c r="I97" s="99">
        <v>1.5</v>
      </c>
      <c r="J97" s="99">
        <v>2.8</v>
      </c>
      <c r="K97" s="102" t="s">
        <v>653</v>
      </c>
      <c r="P97" s="102"/>
    </row>
    <row r="98" s="74" customFormat="1" ht="12" hidden="1" spans="1:16">
      <c r="A98" s="74">
        <v>8</v>
      </c>
      <c r="B98" s="74" t="s">
        <v>656</v>
      </c>
      <c r="C98" s="74" t="s">
        <v>537</v>
      </c>
      <c r="E98" s="74">
        <v>1</v>
      </c>
      <c r="G98" s="98"/>
      <c r="H98" s="99"/>
      <c r="I98" s="99">
        <v>1.6</v>
      </c>
      <c r="J98" s="99">
        <v>2.5</v>
      </c>
      <c r="K98" s="102" t="s">
        <v>653</v>
      </c>
      <c r="P98" s="102"/>
    </row>
    <row r="99" s="74" customFormat="1" ht="12" hidden="1" spans="1:16">
      <c r="A99" s="74">
        <v>9</v>
      </c>
      <c r="B99" s="74" t="s">
        <v>657</v>
      </c>
      <c r="C99" s="74" t="s">
        <v>537</v>
      </c>
      <c r="D99" s="74">
        <f>E99</f>
        <v>1</v>
      </c>
      <c r="E99" s="74">
        <v>1</v>
      </c>
      <c r="G99" s="98"/>
      <c r="H99" s="99"/>
      <c r="I99" s="99">
        <v>1.7</v>
      </c>
      <c r="J99" s="99">
        <v>2</v>
      </c>
      <c r="K99" s="102"/>
      <c r="P99" s="102"/>
    </row>
    <row r="100" s="74" customFormat="1" ht="12" hidden="1" spans="7:16">
      <c r="G100" s="98"/>
      <c r="H100" s="99"/>
      <c r="I100" s="99"/>
      <c r="J100" s="99"/>
      <c r="P100" s="102"/>
    </row>
    <row r="101" s="74" customFormat="1" ht="12" spans="7:16">
      <c r="G101" s="98"/>
      <c r="P101" s="102"/>
    </row>
    <row r="102" s="74" customFormat="1" ht="12" spans="7:16">
      <c r="G102" s="98"/>
      <c r="P102" s="102"/>
    </row>
    <row r="103" s="74" customFormat="1" ht="12" spans="7:16">
      <c r="G103" s="98"/>
      <c r="P103" s="102"/>
    </row>
    <row r="104" s="74" customFormat="1" ht="12" spans="7:16">
      <c r="G104" s="98"/>
      <c r="P104" s="102"/>
    </row>
    <row r="105" s="74" customFormat="1" ht="12" spans="7:16">
      <c r="G105" s="98"/>
      <c r="P105" s="102"/>
    </row>
    <row r="106" s="74" customFormat="1" ht="12" spans="7:16">
      <c r="G106" s="98"/>
      <c r="P106" s="102"/>
    </row>
    <row r="107" s="74" customFormat="1" ht="12" spans="7:16">
      <c r="G107" s="98"/>
      <c r="P107" s="102"/>
    </row>
    <row r="108" s="74" customFormat="1" ht="12" spans="7:16">
      <c r="G108" s="98"/>
      <c r="P108" s="102"/>
    </row>
    <row r="109" s="74" customFormat="1" ht="12" spans="7:16">
      <c r="G109" s="98"/>
      <c r="P109" s="102"/>
    </row>
    <row r="110" s="75" customFormat="1" ht="12" spans="7:16">
      <c r="G110" s="100"/>
      <c r="P110" s="103"/>
    </row>
    <row r="111" s="75" customFormat="1" ht="12" spans="7:16">
      <c r="G111" s="100"/>
      <c r="P111" s="103"/>
    </row>
    <row r="112" s="75" customFormat="1" ht="12" spans="7:16">
      <c r="G112" s="100"/>
      <c r="P112" s="103"/>
    </row>
    <row r="113" s="75" customFormat="1" ht="12" spans="7:16">
      <c r="G113" s="100"/>
      <c r="P113" s="103"/>
    </row>
    <row r="114" s="75" customFormat="1" ht="12" spans="7:16">
      <c r="G114" s="100"/>
      <c r="P114" s="103"/>
    </row>
    <row r="115" s="75" customFormat="1" ht="12" spans="7:16">
      <c r="G115" s="100"/>
      <c r="P115" s="103"/>
    </row>
    <row r="116" s="75" customFormat="1" ht="12" spans="7:16">
      <c r="G116" s="100"/>
      <c r="P116" s="103"/>
    </row>
    <row r="117" s="75" customFormat="1" ht="12" spans="7:16">
      <c r="G117" s="100"/>
      <c r="P117" s="103"/>
    </row>
    <row r="118" s="75" customFormat="1" ht="12" spans="7:16">
      <c r="G118" s="100"/>
      <c r="P118" s="103"/>
    </row>
    <row r="119" s="75" customFormat="1" ht="12" spans="7:16">
      <c r="G119" s="100"/>
      <c r="P119" s="103"/>
    </row>
    <row r="120" s="75" customFormat="1" ht="12" spans="7:16">
      <c r="G120" s="100"/>
      <c r="P120" s="103"/>
    </row>
    <row r="121" s="75" customFormat="1" ht="12" spans="7:16">
      <c r="G121" s="100"/>
      <c r="P121" s="103"/>
    </row>
    <row r="122" s="75" customFormat="1" ht="12" spans="7:16">
      <c r="G122" s="100"/>
      <c r="P122" s="103"/>
    </row>
    <row r="123" s="75" customFormat="1" ht="12" spans="7:16">
      <c r="G123" s="100"/>
      <c r="P123" s="103"/>
    </row>
    <row r="124" s="75" customFormat="1" ht="12" spans="7:16">
      <c r="G124" s="100"/>
      <c r="P124" s="103"/>
    </row>
    <row r="125" s="75" customFormat="1" ht="12" spans="7:16">
      <c r="G125" s="100"/>
      <c r="P125" s="103"/>
    </row>
    <row r="126" s="75" customFormat="1" ht="12" spans="7:16">
      <c r="G126" s="100"/>
      <c r="P126" s="103"/>
    </row>
    <row r="127" s="75" customFormat="1" ht="12" spans="7:16">
      <c r="G127" s="100"/>
      <c r="P127" s="103"/>
    </row>
    <row r="128" s="75" customFormat="1" ht="12" spans="7:16">
      <c r="G128" s="100"/>
      <c r="P128" s="103"/>
    </row>
    <row r="129" s="75" customFormat="1" ht="12" spans="7:16">
      <c r="G129" s="100"/>
      <c r="P129" s="103"/>
    </row>
    <row r="130" s="75" customFormat="1" ht="12" spans="7:16">
      <c r="G130" s="100"/>
      <c r="P130" s="103"/>
    </row>
    <row r="131" s="75" customFormat="1" ht="12" spans="7:16">
      <c r="G131" s="100"/>
      <c r="P131" s="103"/>
    </row>
    <row r="132" s="75" customFormat="1" ht="12" spans="7:16">
      <c r="G132" s="100"/>
      <c r="P132" s="103"/>
    </row>
    <row r="133" s="75" customFormat="1" ht="12" spans="7:16">
      <c r="G133" s="100"/>
      <c r="P133" s="103"/>
    </row>
    <row r="134" s="75" customFormat="1" ht="12" spans="7:16">
      <c r="G134" s="100"/>
      <c r="P134" s="103"/>
    </row>
    <row r="135" s="75" customFormat="1" ht="12" spans="7:16">
      <c r="G135" s="100"/>
      <c r="P135" s="103"/>
    </row>
    <row r="136" s="75" customFormat="1" ht="12" spans="7:16">
      <c r="G136" s="100"/>
      <c r="P136" s="103"/>
    </row>
    <row r="137" s="75" customFormat="1" ht="12" spans="7:16">
      <c r="G137" s="100"/>
      <c r="P137" s="103"/>
    </row>
    <row r="138" s="75" customFormat="1" ht="12" spans="7:16">
      <c r="G138" s="100"/>
      <c r="P138" s="103"/>
    </row>
    <row r="139" s="75" customFormat="1" ht="12" spans="7:16">
      <c r="G139" s="100"/>
      <c r="P139" s="103"/>
    </row>
    <row r="140" s="75" customFormat="1" ht="12" spans="7:16">
      <c r="G140" s="100"/>
      <c r="P140" s="103"/>
    </row>
    <row r="141" s="75" customFormat="1" ht="12" spans="7:16">
      <c r="G141" s="100"/>
      <c r="P141" s="103"/>
    </row>
    <row r="142" s="75" customFormat="1" ht="12" spans="7:16">
      <c r="G142" s="100"/>
      <c r="P142" s="103"/>
    </row>
    <row r="143" s="75" customFormat="1" ht="12" spans="7:16">
      <c r="G143" s="100"/>
      <c r="P143" s="103"/>
    </row>
    <row r="144" s="75" customFormat="1" ht="12" spans="7:16">
      <c r="G144" s="100"/>
      <c r="P144" s="103"/>
    </row>
    <row r="145" s="75" customFormat="1" ht="12" spans="7:16">
      <c r="G145" s="100"/>
      <c r="P145" s="103"/>
    </row>
    <row r="146" s="75" customFormat="1" ht="12" spans="7:16">
      <c r="G146" s="100"/>
      <c r="P146" s="103"/>
    </row>
    <row r="147" s="75" customFormat="1" ht="12" spans="7:16">
      <c r="G147" s="100"/>
      <c r="P147" s="103"/>
    </row>
    <row r="148" s="75" customFormat="1" ht="12" spans="7:16">
      <c r="G148" s="100"/>
      <c r="P148" s="103"/>
    </row>
    <row r="149" s="75" customFormat="1" ht="12" spans="7:16">
      <c r="G149" s="100"/>
      <c r="P149" s="103"/>
    </row>
    <row r="150" s="75" customFormat="1" ht="12" spans="7:16">
      <c r="G150" s="100"/>
      <c r="P150" s="103"/>
    </row>
    <row r="151" s="75" customFormat="1" ht="12" spans="7:16">
      <c r="G151" s="100"/>
      <c r="P151" s="103"/>
    </row>
    <row r="152" s="75" customFormat="1" ht="12" spans="7:16">
      <c r="G152" s="100"/>
      <c r="P152" s="103"/>
    </row>
    <row r="153" s="75" customFormat="1" ht="12" spans="7:16">
      <c r="G153" s="100"/>
      <c r="P153" s="103"/>
    </row>
    <row r="154" s="75" customFormat="1" ht="12" spans="7:16">
      <c r="G154" s="100"/>
      <c r="P154" s="103"/>
    </row>
    <row r="155" s="75" customFormat="1" ht="12" spans="7:16">
      <c r="G155" s="100"/>
      <c r="P155" s="103"/>
    </row>
    <row r="156" s="75" customFormat="1" ht="12" spans="7:16">
      <c r="G156" s="100"/>
      <c r="P156" s="103"/>
    </row>
    <row r="157" s="75" customFormat="1" ht="12" spans="7:16">
      <c r="G157" s="100"/>
      <c r="P157" s="103"/>
    </row>
    <row r="158" s="75" customFormat="1" ht="12" spans="7:16">
      <c r="G158" s="100"/>
      <c r="P158" s="103"/>
    </row>
    <row r="159" s="75" customFormat="1" ht="12" spans="7:16">
      <c r="G159" s="100"/>
      <c r="P159" s="103"/>
    </row>
    <row r="160" s="75" customFormat="1" ht="12" spans="7:16">
      <c r="G160" s="100"/>
      <c r="P160" s="103"/>
    </row>
    <row r="161" s="75" customFormat="1" ht="12" spans="7:16">
      <c r="G161" s="100"/>
      <c r="P161" s="103"/>
    </row>
    <row r="162" s="75" customFormat="1" ht="12" spans="7:16">
      <c r="G162" s="100"/>
      <c r="P162" s="103"/>
    </row>
    <row r="163" s="75" customFormat="1" ht="12" spans="7:16">
      <c r="G163" s="100"/>
      <c r="P163" s="103"/>
    </row>
    <row r="164" s="75" customFormat="1" ht="12" spans="7:16">
      <c r="G164" s="100"/>
      <c r="P164" s="103"/>
    </row>
    <row r="165" s="75" customFormat="1" ht="12" spans="7:16">
      <c r="G165" s="100"/>
      <c r="P165" s="103"/>
    </row>
    <row r="166" s="75" customFormat="1" ht="12" spans="7:16">
      <c r="G166" s="100"/>
      <c r="P166" s="103"/>
    </row>
    <row r="167" s="75" customFormat="1" ht="12" spans="7:16">
      <c r="G167" s="100"/>
      <c r="P167" s="103"/>
    </row>
    <row r="168" s="75" customFormat="1" ht="12" spans="7:16">
      <c r="G168" s="100"/>
      <c r="P168" s="103"/>
    </row>
    <row r="169" s="75" customFormat="1" ht="12" spans="7:16">
      <c r="G169" s="100"/>
      <c r="P169" s="103"/>
    </row>
  </sheetData>
  <mergeCells count="82">
    <mergeCell ref="A1:P1"/>
    <mergeCell ref="D2:E2"/>
    <mergeCell ref="H2:K2"/>
    <mergeCell ref="L2:O2"/>
    <mergeCell ref="A2:A3"/>
    <mergeCell ref="B2:B3"/>
    <mergeCell ref="C2:C3"/>
    <mergeCell ref="D6:D7"/>
    <mergeCell ref="D8:D10"/>
    <mergeCell ref="D11:D12"/>
    <mergeCell ref="D19:D20"/>
    <mergeCell ref="D26:D27"/>
    <mergeCell ref="D30:D32"/>
    <mergeCell ref="D35:D48"/>
    <mergeCell ref="D49:D57"/>
    <mergeCell ref="D58:D62"/>
    <mergeCell ref="D63:D68"/>
    <mergeCell ref="D69:D70"/>
    <mergeCell ref="D71:D74"/>
    <mergeCell ref="D91:D92"/>
    <mergeCell ref="D97:D98"/>
    <mergeCell ref="F2:F3"/>
    <mergeCell ref="G2:G3"/>
    <mergeCell ref="L6:L7"/>
    <mergeCell ref="L8:L10"/>
    <mergeCell ref="L11:L12"/>
    <mergeCell ref="L19:L20"/>
    <mergeCell ref="L22:L23"/>
    <mergeCell ref="L26:L27"/>
    <mergeCell ref="L30:L32"/>
    <mergeCell ref="M6:M7"/>
    <mergeCell ref="M8:M10"/>
    <mergeCell ref="M11:M12"/>
    <mergeCell ref="M19:M20"/>
    <mergeCell ref="M22:M23"/>
    <mergeCell ref="M26:M27"/>
    <mergeCell ref="M30:M32"/>
    <mergeCell ref="M35:M48"/>
    <mergeCell ref="M49:M57"/>
    <mergeCell ref="M58:M62"/>
    <mergeCell ref="M63:M68"/>
    <mergeCell ref="M69:M70"/>
    <mergeCell ref="M71:M74"/>
    <mergeCell ref="N6:N7"/>
    <mergeCell ref="N8:N10"/>
    <mergeCell ref="N11:N12"/>
    <mergeCell ref="N19:N20"/>
    <mergeCell ref="N22:N23"/>
    <mergeCell ref="N26:N27"/>
    <mergeCell ref="N30:N32"/>
    <mergeCell ref="N35:N48"/>
    <mergeCell ref="N49:N57"/>
    <mergeCell ref="N58:N62"/>
    <mergeCell ref="N63:N68"/>
    <mergeCell ref="N69:N70"/>
    <mergeCell ref="N71:N74"/>
    <mergeCell ref="O6:O7"/>
    <mergeCell ref="O8:O10"/>
    <mergeCell ref="O11:O12"/>
    <mergeCell ref="O19:O20"/>
    <mergeCell ref="O22:O23"/>
    <mergeCell ref="O26:O27"/>
    <mergeCell ref="O30:O32"/>
    <mergeCell ref="O35:O48"/>
    <mergeCell ref="O49:O57"/>
    <mergeCell ref="O58:O62"/>
    <mergeCell ref="O63:O68"/>
    <mergeCell ref="O69:O70"/>
    <mergeCell ref="O71:O74"/>
    <mergeCell ref="P2:P3"/>
    <mergeCell ref="P8:P10"/>
    <mergeCell ref="P11:P12"/>
    <mergeCell ref="P19:P20"/>
    <mergeCell ref="P22:P23"/>
    <mergeCell ref="P26:P27"/>
    <mergeCell ref="P30:P32"/>
    <mergeCell ref="P35:P48"/>
    <mergeCell ref="P49:P57"/>
    <mergeCell ref="P58:P62"/>
    <mergeCell ref="P63:P68"/>
    <mergeCell ref="P69:P70"/>
    <mergeCell ref="P71:P74"/>
  </mergeCells>
  <printOptions horizontalCentered="1"/>
  <pageMargins left="0.118055555555556" right="0.118055555555556" top="0.118055555555556" bottom="0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苗木-以实结算</vt:lpstr>
      <vt:lpstr>土建-设计变更项</vt:lpstr>
      <vt:lpstr>安装类-设计变更项</vt:lpstr>
      <vt:lpstr>雨污水系统-以实结算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不要总是（圈a）我</cp:lastModifiedBy>
  <dcterms:created xsi:type="dcterms:W3CDTF">2009-08-21T07:16:00Z</dcterms:created>
  <cp:lastPrinted>2019-03-25T03:18:00Z</cp:lastPrinted>
  <dcterms:modified xsi:type="dcterms:W3CDTF">2024-01-24T09:20:41Z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