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36" firstSheet="2" activeTab="1"/>
  </bookViews>
  <sheets>
    <sheet name="Sheet2" sheetId="20" state="hidden" r:id="rId1"/>
    <sheet name="第一次进度款" sheetId="25" r:id="rId2"/>
    <sheet name="01、汇总表" sheetId="9" r:id="rId3"/>
    <sheet name="Sheet1" sheetId="19" state="hidden" r:id="rId4"/>
    <sheet name="02、3#楼大堂及架空层装饰工程" sheetId="12" r:id="rId5"/>
    <sheet name="03、3#楼大堂及架空层门头装饰工程" sheetId="21" r:id="rId6"/>
    <sheet name="04、样板间装饰工程" sheetId="22" r:id="rId7"/>
    <sheet name="05-1、3#楼架空层软装清单" sheetId="23" r:id="rId8"/>
    <sheet name="05-2、3#楼室内样板间软装清单" sheetId="24" r:id="rId9"/>
    <sheet name="06、安装工程" sheetId="11" r:id="rId10"/>
    <sheet name="门头钢结构工程量计算" sheetId="13" state="hidden" r:id="rId11"/>
  </sheets>
  <definedNames>
    <definedName name="_xlnm._FilterDatabase" localSheetId="4" hidden="1">'02、3#楼大堂及架空层装饰工程'!$A$5:$T$84</definedName>
    <definedName name="_xlnm._FilterDatabase" localSheetId="6" hidden="1">'04、样板间装饰工程'!$A$6:$O$92</definedName>
    <definedName name="_xlnm._FilterDatabase" localSheetId="9" hidden="1">'06、安装工程'!$A$5:$P$95</definedName>
    <definedName name="_xlnm._FilterDatabase" localSheetId="10" hidden="1">门头钢结构工程量计算!$A$2:$G$22</definedName>
    <definedName name="_xlnm.Print_Titles" localSheetId="4">'02、3#楼大堂及架空层装饰工程'!$1:$5</definedName>
    <definedName name="_xlnm.Print_Titles" localSheetId="9">'06、安装工程'!$1:$5</definedName>
    <definedName name="_xlnm.Print_Area" localSheetId="4">'02、3#楼大堂及架空层装饰工程'!$A$1:$O$84</definedName>
    <definedName name="_xlnm.Print_Area" localSheetId="2">'01、汇总表'!$A$1:$F$26</definedName>
    <definedName name="_xlnm.Print_Area" localSheetId="9">'06、安装工程'!$A$1:$O$95</definedName>
    <definedName name="_xlnm.Print_Area" localSheetId="3">Sheet1!$A$1:$I$53</definedName>
    <definedName name="_xlnm.Print_Area" localSheetId="0">Sheet2!$A$1:$I$55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<sst xmlns="http://schemas.openxmlformats.org/spreadsheetml/2006/main" count="1519" uniqueCount="579">
  <si>
    <t>工程进度款费用计算明细表-伊河湾项目3#楼公区、样板间及门头装饰工程</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</si>
  <si>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</si>
  <si>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</si>
  <si>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</si>
  <si>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</si>
  <si>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</si>
  <si>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</si>
  <si>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</si>
  <si>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</si>
  <si>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</si>
  <si>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</si>
  <si>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</si>
  <si>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</si>
  <si>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</si>
  <si>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</si>
  <si>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</si>
  <si>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</si>
  <si>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</si>
  <si>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</si>
  <si>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一层大堂</t>
  </si>
  <si>
    <t>地下大堂精装修工程补充协议</t>
  </si>
  <si>
    <t>扣款</t>
  </si>
  <si>
    <t>进度款合计</t>
  </si>
  <si>
    <t>施工单位：</t>
  </si>
  <si>
    <t>现场驻场成本负责人：</t>
  </si>
  <si>
    <t>日期：</t>
  </si>
  <si>
    <t>河南省洛阳市浩德地产造价汇总表</t>
  </si>
  <si>
    <t>序 号</t>
  </si>
  <si>
    <t>项目名称</t>
  </si>
  <si>
    <t>单位</t>
  </si>
  <si>
    <t>金额 (元)</t>
  </si>
  <si>
    <t>合计(元)</t>
  </si>
  <si>
    <t>备注</t>
  </si>
  <si>
    <t>一</t>
  </si>
  <si>
    <t>一层地面</t>
  </si>
  <si>
    <t>项</t>
  </si>
  <si>
    <t>一层天棚</t>
  </si>
  <si>
    <t>一层墙面</t>
  </si>
  <si>
    <t>二</t>
  </si>
  <si>
    <t>架空层</t>
  </si>
  <si>
    <t>负一层地面</t>
  </si>
  <si>
    <t>负一层天棚</t>
  </si>
  <si>
    <t>负一层墙面</t>
  </si>
  <si>
    <t>三</t>
  </si>
  <si>
    <t>门头装饰工程</t>
  </si>
  <si>
    <t>一层门头</t>
  </si>
  <si>
    <t>架空层门头</t>
  </si>
  <si>
    <t>四</t>
  </si>
  <si>
    <t>样板间装饰工程</t>
  </si>
  <si>
    <t>地面</t>
  </si>
  <si>
    <t>天棚</t>
  </si>
  <si>
    <t>墙面</t>
  </si>
  <si>
    <t>其他</t>
  </si>
  <si>
    <t>五</t>
  </si>
  <si>
    <t>软装工程</t>
  </si>
  <si>
    <t>3#楼架空层软装清单</t>
  </si>
  <si>
    <t>3#楼室内样板间软装清单</t>
  </si>
  <si>
    <t>六</t>
  </si>
  <si>
    <t>安装工程</t>
  </si>
  <si>
    <t>样板间</t>
  </si>
  <si>
    <t>大堂</t>
  </si>
  <si>
    <t>价格清单（伊河湾项目3#楼大堂及架空层装饰工程）（装饰部分）</t>
  </si>
  <si>
    <t>工程名称：伊河湾项目3#楼大堂及架空层装饰工程--装饰工程</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</si>
  <si>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</si>
  <si>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</si>
  <si>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</si>
  <si>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</si>
  <si>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</si>
  <si>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</si>
  <si>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</si>
  <si>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</si>
  <si>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</si>
  <si>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</si>
  <si>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</si>
  <si>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</si>
  <si>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</si>
  <si>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</si>
  <si>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</si>
  <si>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</si>
  <si>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</si>
  <si>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1层大堂地面</t>
  </si>
  <si>
    <t>瓷砖楼地面（无防水）</t>
  </si>
  <si>
    <t>1.CT01 600*1200mm瓷砖
2.20mm厚1:3干硬性水泥砂浆调平层
3.部位：大堂、电梯厅、走道
4.其它说明：铺贴、擦缝、切割、磨边等一切铺贴步骤及所需之辅材，满足规范和设计图纸要求</t>
  </si>
  <si>
    <t>m2</t>
  </si>
  <si>
    <t>750*1500瓷砖</t>
  </si>
  <si>
    <t>过门石</t>
  </si>
  <si>
    <t>1.ST01厚度≥18mm石材地面
2.20mm厚1:3干硬性水泥砂浆调平层
3.部位：过门石
4.其它说明：铺贴、擦缝、切割、磨边等一切铺贴步骤及所需之辅材，满足规范和设计图纸要求</t>
  </si>
  <si>
    <t>1层天棚</t>
  </si>
  <si>
    <t>吊顶天棚</t>
  </si>
  <si>
    <t>1.钢筋混凝土楼板
2.膨胀螺栓,∅8丝杆,
3.50轻钢主龙骨@1200
4.38覆面龙骨@300
5.双层9.5mm厚石膏板
6.白色乳胶漆
7.包含吊顶上裁切开孔、形成灯口、进出风口、检修口及其它出口及额外处理、封边，包括并不限于上述所有施工步骤及所需之材料
8.作法详见DT-01、DT-02节点01、02、03、06
9.具体施工技术要求根据现场工程要求施工，满足规范和设计图纸要求</t>
  </si>
  <si>
    <t>1层墙面</t>
  </si>
  <si>
    <t>PL1-11-01立面</t>
  </si>
  <si>
    <t>电动感应门</t>
  </si>
  <si>
    <t>1.铝合金中空玻璃自动门3.35*4.1m
2.12mm钢化玻璃
3.含门、窗框及玻璃制作、运输、安装，大小五金配件、锁具及门套等
4.含电动装置
5.其它说明：满足规范和设计图纸要求</t>
  </si>
  <si>
    <t>厂家定制</t>
  </si>
  <si>
    <t>PL1-11-02立面</t>
  </si>
  <si>
    <t>石材墙面</t>
  </si>
  <si>
    <t>1.ST-02 12mm厚岩板
2.50*50*5镀锌角铁（预埋件）+膨胀螺栓+不锈钢石材干挂件+石材
3.作法详见DT-02节点06
4.具体施工技术要求根据现场工程要求施工，满足规范和设计图纸要求</t>
  </si>
  <si>
    <t>1.750*1500瓷砖
2.50*50*5镀锌角铁（预埋件）+膨胀螺栓+不锈钢石材干挂件+石材
3.作法详见DT-02节点06
4.具体施工技术要求根据现场工程要求施工，满足规范和设计图纸要求</t>
  </si>
  <si>
    <t>MT-01不锈钢线条</t>
  </si>
  <si>
    <t>1.50*24*5mm古铜色不锈钢装饰线条，厚度1.2mm
2.具体施工技术要求根据现场工程要求施工，满足规范和设计图纸要求</t>
  </si>
  <si>
    <t>m</t>
  </si>
  <si>
    <t>MT-01不锈钢踢脚线</t>
  </si>
  <si>
    <t>1.30mm古铜色不锈钢踢脚线，厚度1.9mm厚阻燃木基层
2.作法详见DT-02节点09
4.具体施工技术要求根据现场工程要求施工，满足规范和设计图纸要求</t>
  </si>
  <si>
    <t>PL1-11-03立面</t>
  </si>
  <si>
    <t>瓷砖墙面</t>
  </si>
  <si>
    <t>1. 750*1500瓷砖
2.瓷砖专用背胶，5mm专用粘接剂，15mm水泥砂浆粉刷层，界面剂，具体施工技术要求根据现场工程要求施工
3.作法详见DT-02节点08
4.具体施工技术要求根据现场工程要求施工，满足规范和设计图纸要求</t>
  </si>
  <si>
    <t>1.30mm古铜色不锈钢踢脚线，厚度1.9mm厚阻燃木基层
2.作法详见DT-02节点09
4.其它说明：满足规范和设计图纸要求</t>
  </si>
  <si>
    <t>PL1-11-04立面</t>
  </si>
  <si>
    <t>1.宽度8mm，厚度1.2mm古铜色不锈钢装饰线条
2.具体施工技术要求根据现场工程要求施工，满足规范和设计图纸要求</t>
  </si>
  <si>
    <t>消防装饰暗门</t>
  </si>
  <si>
    <t>ST-03石材，具体做法详见DT-01-04节点大样图</t>
  </si>
  <si>
    <t>PL1-11-05立面</t>
  </si>
  <si>
    <t>消防、电讯井及水暖井装饰暗门</t>
  </si>
  <si>
    <t>1、消防、ST-03石材，具体做法详见DT-01-04节点大样图
2、具体施工技术要求根据现场工程要求施工，满足规范和设计图纸要求</t>
  </si>
  <si>
    <t>电梯门两侧石材</t>
  </si>
  <si>
    <t>1.750*1500瓷砖
2.岩板专用背胶，5mm专用粘接剂，15mm水泥砂浆粉刷层，界面剂，具体施工技术要求根据现场工程要求施工
3.作法详见DT-02节点08
4.其它说明：满足规范和设计图纸要求</t>
  </si>
  <si>
    <t>电梯古铜色不锈钢包边</t>
  </si>
  <si>
    <t>1.1.2mm古铜色不锈钢，12mm厚阻燃木基层
2.作法详见DT-02节点07、11
4.其它说明：满足规范和设计图纸要求</t>
  </si>
  <si>
    <t>PL1-11-06立面</t>
  </si>
  <si>
    <t>PL1-11-07立面</t>
  </si>
  <si>
    <t>1.30mm古铜色不锈钢踢脚线，厚度1.9mm厚阻燃木基层
2.作法详见DT-02节点09
3.具体施工技术要求根据现场工程要求施工，满足规范和设计图纸要求</t>
  </si>
  <si>
    <t>架空层地面</t>
  </si>
  <si>
    <t>1.CT-01瓷砖800*800mm瓷砖
2.20mm厚1:3干硬性水泥砂浆调平层
3.部位：架空层地面
4.其它说明：铺贴、擦缝、切割、磨边等一切铺贴步骤及所需之辅材，满足规范和设计图纸要求</t>
  </si>
  <si>
    <t>瓷砖台阶DT-01-03</t>
  </si>
  <si>
    <t>1.CT-02瓷砖
2.20mm厚1:3干硬性水泥砂浆调平层
3.部位：架空层台阶
4.其它说明：铺贴、擦缝、切割、磨边等一切铺贴步骤及所需之辅材，满足规范和设计图纸要求</t>
  </si>
  <si>
    <t>木地板台阶</t>
  </si>
  <si>
    <t>1.12mm复合木地板，基层板阻燃处理，专用粘接剂
2.部位：架空层台阶
3.其它说明：铺贴、擦缝、切割、磨边等一切铺贴步骤及所需之辅材，满足规范和设计图纸要求</t>
  </si>
  <si>
    <t>钢结构台阶踏步</t>
  </si>
  <si>
    <t>施工单位后期深化</t>
  </si>
  <si>
    <t>架空层天棚</t>
  </si>
  <si>
    <t>1.钢筋混凝土楼板
2.膨胀螺栓,∅8丝杆,
3.50轻钢主龙骨@1200
4.50覆面龙骨@300
5.双层9.5mm厚石膏板
6.白色乳胶漆
7.包含吊顶上裁切开孔、形成灯口、进出风口、检修口及其它出口及额外处理、封边，包括并不限于上述所有施工步骤及所需之材料
8.作法详见DT-02节点10
9.具体施工技术要求根据现场工程要求施工，满足规范和设计图纸要求</t>
  </si>
  <si>
    <t>龙骨驰龙、石膏板泰山</t>
  </si>
  <si>
    <t>PL1-13-01立面</t>
  </si>
  <si>
    <t>抹灰面油漆</t>
  </si>
  <si>
    <t>1.喷乳胶漆一道
2.刷乳胶漆一道
3.刷抗碱底漆一道
4.刮白胶腻子找平二遍，打磨
5.阴阳角护角收边
6.3-5mm厚薄抹灰砂浆层
7.界面剂，接缝处网格布处理
8.具体施工技术要求根据现场工程要求施工，满足规范和设计图纸要求</t>
  </si>
  <si>
    <t>PL1-13-02立面</t>
  </si>
  <si>
    <t>隔墙</t>
  </si>
  <si>
    <t>1.40*40镀锌方通，壁厚5mm骨架，墙体厚度800mm，新建拱形门洞
2.12厚阻燃板基层
3.木饰面
4.其它说明：满足规范和设计图纸要求</t>
  </si>
  <si>
    <t>木饰面</t>
  </si>
  <si>
    <t>1、5厚木饰面+12mm阻燃板基层
2、其它说明：满足规范和设计图纸要求</t>
  </si>
  <si>
    <t>定制柜子</t>
  </si>
  <si>
    <t>板厚20mm，具体详见图纸1.24*1.5</t>
  </si>
  <si>
    <t>PL1-13-03立面</t>
  </si>
  <si>
    <t>PL1-13-04立面</t>
  </si>
  <si>
    <t>烤漆板柜子</t>
  </si>
  <si>
    <t>1、3.1*2.5m烤漆板定制柜子
2、12mm阻燃板基层
3、作法详见DT-02节点08
4.具体施工技术要求根据现场工程要求施工，满足规范和设计图纸要求</t>
  </si>
  <si>
    <t>PL1-13-05立面</t>
  </si>
  <si>
    <t>玻璃护栏</t>
  </si>
  <si>
    <t>1m高玻璃护栏，厚度12mm，满足规范和设计图纸要求</t>
  </si>
  <si>
    <t>PL1-13-06立面</t>
  </si>
  <si>
    <t xml:space="preserve">      </t>
  </si>
  <si>
    <t>1、板厚20mm+阻燃木基层具体详见图纸1.24*1.5
2、具体施工技术要求根据现场工程要求施工，满足规范和设计图纸要求</t>
  </si>
  <si>
    <t>木饰面卡座</t>
  </si>
  <si>
    <t>1.40*40*5镀锌方通，12mm阻燃板，WD-02 5mm木饰面
2.布艺软包+木基层阻燃处理
3.具体施工技术要求根据现场工程要求施工，满足规范和设计图纸要求</t>
  </si>
  <si>
    <t>1、5厚木饰面+12mm阻燃板基层
2、具体施工技术要求根据现场工程要求施工，满足规范和设计图纸要求</t>
  </si>
  <si>
    <t>古铜色不锈钢门套</t>
  </si>
  <si>
    <t>1.1.2mm古铜色不锈钢，12mm厚阻燃木基层
2.作法详见DT-02节点09
4.具体施工技术要求根据现场工程要求施工，满足规范和设计图纸要求</t>
  </si>
  <si>
    <t>PL1-13-07立面</t>
  </si>
  <si>
    <t>岩板饰面</t>
  </si>
  <si>
    <t>1750*1500瓷砖
2.12mm阻燃木基层
3.作法详见DT-02节点06
4.具体施工技术要求根据现场工程要求施工，满足规范和设计图纸要求</t>
  </si>
  <si>
    <t>定制书柜</t>
  </si>
  <si>
    <t>1、40*40*5镀锌方通，12mm阻燃板，WD-02 5mm木饰面，
2、5mm不锈钢边条，详见图纸</t>
  </si>
  <si>
    <t>金属窗套线</t>
  </si>
  <si>
    <t>1.宽度90mm，厚度1.5mm
2.具体施工技术要求根据现场工程要求施工，满足规范和设计图纸要求</t>
  </si>
  <si>
    <t>1.喷乳胶漆一道
2.刷乳胶漆一道
3.刷抗碱底漆一道
4.刮白胶腻子找平二遍，打磨
5.阴阳角护角收边
6.3-5mm厚薄抹灰砂浆层
7.界面剂，接缝处网格布处理
8.其它说明：满足规范和设计图纸要求</t>
  </si>
  <si>
    <t>窗台石</t>
  </si>
  <si>
    <t>20mm厚石材，具体施工技术要求根据现场工程要求施工，满足规范和设计图纸要求</t>
  </si>
  <si>
    <t>PL1-13-08立面</t>
  </si>
  <si>
    <t>1.1.2mm古铜色不锈钢，宽度220mm，12mm厚阻燃木基层
2.作法详见DT-02节点09
4.具体施工技术要求根据现场工程要求施工，满足规范和设计图纸要求</t>
  </si>
  <si>
    <t>PL1-13-09立面</t>
  </si>
  <si>
    <t>定制吧台桌</t>
  </si>
  <si>
    <t>根据设计要求款式、材质采购，</t>
  </si>
  <si>
    <t>个</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</si>
  <si>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</si>
  <si>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</si>
  <si>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</si>
  <si>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价格清单（伊河湾项目3#楼大堂及架空层门头装饰工程）（装饰部分）</t>
  </si>
  <si>
    <t>工程名称：伊河湾项目3#楼大堂及架空层门头装饰工程-装饰工程</t>
  </si>
  <si>
    <t>3#门头装饰工程</t>
  </si>
  <si>
    <t>银灰色铝单板造型</t>
  </si>
  <si>
    <t>1、门头标高4.9m处3mm氟碳漆银灰色铝单板造型
2、50*50*5镀锌方钢，做防腐防锈处理，L50*50*5镀锌角钢预埋件，做防腐防锈处理
3、做法详见PL-03-A/B,PL-04-F
4、具体施工技术要求根据现场工程要求施工，满足规范和设计图纸要求</t>
  </si>
  <si>
    <t>香槟金铝单板造型</t>
  </si>
  <si>
    <t>1、门头标高4.15m处3mm氟碳漆银灰色铝单板造型
2、50*50*5镀锌方钢，做防腐防锈处理，L50*50*5镀锌角钢预埋件，做防腐防锈处理
3、做法详见PL-03-A/B,PL-04-F
4、具体施工技术要求根据现场工程要求施工，满足规范和设计图纸要求</t>
  </si>
  <si>
    <t>1、墙面3mm氟碳漆银灰色铝单板造型
2、50*50*5镀锌方钢，做防腐防锈处理，L50*50*5镀锌角钢预埋件，做防腐防锈处理
3、做法详见PL-03-C/D,PL-04-E
4、具体施工技术要求根据现场工程要求施工，满足规范和设计图纸要求</t>
  </si>
  <si>
    <t>1、墙面3mm氟碳漆香槟金铝单板造型
2、50*50*5镀锌方钢，做防腐防锈处理，L50*50*5镀锌角钢预埋件，做防腐防锈处理
3、做法详见PL-03-C/D,PL-04-E
4、具体施工技术要求根据现场工程要求施工，满足规范和设计图纸要求</t>
  </si>
  <si>
    <t>1、墙面3mm氟碳漆香槟金铝单板30*50MM凹凸造型，
2、50*50*5镀锌方钢，做防腐防锈处理，L50*50*5镀锌角钢预埋件，做防腐防锈处理
3、做法详见PL-03-D
4、具体施工技术要求根据现场工程要求施工，满足规范和设计图纸要求</t>
  </si>
  <si>
    <t>发光字体</t>
  </si>
  <si>
    <t>1、透光亚克力字体，高度300mm，字体大小按比例制作</t>
  </si>
  <si>
    <t>套</t>
  </si>
  <si>
    <t>3#架空层门头装饰工程</t>
  </si>
  <si>
    <t>1、门头标高2.9m处3mm氟碳漆银灰色铝单板造型+50mm宽排水槽,
2、50*50*5镀锌方钢，做防腐防锈处理，L50*50*5镀锌角钢预埋件，做防腐防锈处理
3、详见PL-04-A/C
4、具体施工技术要求根据现场工程要求施工，满足规范和设计图纸要求</t>
  </si>
  <si>
    <t>1、门头标高2.4m处3mm氟碳漆银灰色铝单板造型
2、50*50*5镀锌方钢，做防腐防锈处理，L50*50*5镀锌角钢预埋件，做防腐防锈处理
3、详见PL-04-A/C
4、具体施工技术要求根据现场工程要求施工，满足规范和设计图纸要求</t>
  </si>
  <si>
    <t>1、墙面3mm氟碳漆银灰色铝单板造型
2、50*50*5镀锌方钢，做防腐防锈处理，L50*50*5镀锌角钢预埋件，做防腐防锈处理
3、做法详见PL-04-B/D
4、具体施工技术要求根据现场工程要求施工，满足规范和设计图纸要求</t>
  </si>
  <si>
    <t>银灰色铝单板包边</t>
  </si>
  <si>
    <t>1、墙面3mm氟碳漆银灰色铝单板包边
2、做法详见图纸
3、具体施工技术要求根据现场工程要求施工，满足规范和设计图纸要求</t>
  </si>
  <si>
    <t>玻璃隔断</t>
  </si>
  <si>
    <t>1、12mm钢化玻璃
2、做法详见图纸
3、具体施工技术要求根据现场工程要求施工，满足规范和设计图纸要求</t>
  </si>
  <si>
    <t>价格清单（伊河湾项目3#楼C2样板间装饰工程）（装饰部分）</t>
  </si>
  <si>
    <t>工程名称：伊河湾项目3#楼C2样板间装饰工程--装饰工程</t>
  </si>
  <si>
    <t>C2样板间-地面</t>
  </si>
  <si>
    <t>1.CT-01 1200mm*600mm瓷砖光面
2.20mm厚1:3干硬性水泥砂浆调平层
3.部位：卧室、餐厅、书房、走道
4.其它说明：铺贴、擦缝、切割、磨边等一切铺贴步骤及所需之辅材，满足规范和设计图纸要求</t>
  </si>
  <si>
    <t>东鹏</t>
  </si>
  <si>
    <t>1.CT-01 1200mm*600mm瓷砖光面
2.20mm厚1:3干硬性水泥砂浆调平层
3.部位：厨房
4.其它说明：铺贴、擦缝、切割、磨边等一切铺贴步骤及所需之辅材，满足规范和设计图纸要求</t>
  </si>
  <si>
    <t>瓷砖楼地面（防水）</t>
  </si>
  <si>
    <t>1.CT-01 1200mm*600mm瓷砖光面
2.20mm厚1:3干硬性水泥砂浆调平层
3.2mm厚JS柔性防水层
4.陶粒混凝土
5.部位：卫生间
6.其它说明：铺贴、擦缝、切割、磨边等一切铺贴步骤及所需之辅材，满足规范和设计图纸要求</t>
  </si>
  <si>
    <t>石材楼地面（防水）</t>
  </si>
  <si>
    <t>1.ST-02 18mm厚石材
2.20mm厚1:3干硬性水泥砂浆调平层
3.2mm厚JS柔性防水层
4.陶粒混凝土
5.部位：卫生间
6.其它说明：铺贴、擦缝、切割、磨边等一切铺贴步骤及所需之辅材，满足规范和设计图纸要求</t>
  </si>
  <si>
    <t>石材防滑槽楼地面（防水）</t>
  </si>
  <si>
    <t>1.ST-02 18mm厚石材
2.20mm厚1:3干硬性水泥砂浆调平层
3.2mm厚JS柔性防水层
4.陶粒混凝土
5.间隔50mm拉3*3mm防滑槽
6.部位：卫生间
7.其它说明：铺贴、擦缝、切割、磨边等一切铺贴步骤及所需之辅材，满足规范和设计图纸要求</t>
  </si>
  <si>
    <t>石材挡水条</t>
  </si>
  <si>
    <t>1.ST-01 18mm厚人造石 石材挡水条，高度40mm
2.部位：卫生间
3.其它说明：铺贴、擦缝、切割、磨边等一切铺贴步骤及所需之辅材，满足规范和设计图纸要求</t>
  </si>
  <si>
    <t>1.CT-01 1200mm*600mm瓷砖光面
2.20mm厚1:3干硬性水泥砂浆调平层
3.部位：过门石
4.其它说明：铺贴、擦缝、切割、磨边等一切铺贴步骤及所需之辅材，满足规范和设计图纸要求</t>
  </si>
  <si>
    <t>C2样板间-天棚</t>
  </si>
  <si>
    <t>1.钢筋混凝土楼板
2.膨胀螺栓,∅8丝杆,
3.50轻钢上人主龙骨@1200
4.50覆面龙骨@300
5.双层9.5mm厚石膏板
6.白色乳胶漆
7.包含吊顶上裁切开孔、形成灯口、进出风口、检修口及其它出口及额外处理、封边，包括并不限于上述所有施工步骤及所需之材料
8.具体施工技术要求根据现场工程要求施工，满足规范和设计图纸要求</t>
  </si>
  <si>
    <t>吊顶天棚-圆弧</t>
  </si>
  <si>
    <t>1.钢筋混凝土楼板
2.膨胀螺栓,∅8丝杆,
3.50轻钢上人主龙骨@1200
4.50覆面龙骨@300
5.双层9.5mm厚石膏板
6.12mm阻燃板肋板
7.白色乳胶漆
8.包含吊顶上裁切开孔、形成灯口、进出风口、检修口及其它出口及额外处理、封边，包括并不限于上述所有施工步骤及所需之材料
9.具体施工技术要求根据现场工程要求施工，满足规范和设计图纸要求</t>
  </si>
  <si>
    <t>吊顶天棚-木饰面</t>
  </si>
  <si>
    <t>1.钢筋混凝土楼板
2.膨胀螺栓,∅8丝杆,
3.50轻钢上人主龙骨@1200
4.50覆面龙骨@300
5.12mm阻燃板基层
6.木饰面
7.包含吊顶上裁切开孔、形成灯口、进出风口、检修口及其它出口及额外处理、封边，包括并不限于上述所有施工步骤及所需之材料
8.具体施工技术要求根据现场工程要求施工，满足规范和设计图纸要求</t>
  </si>
  <si>
    <t>吊顶天棚-灯槽</t>
  </si>
  <si>
    <t>1.12mm阻燃板基层
2.单层9.5mm厚石膏板
3.白色乳胶漆
4.包含吊顶上裁切开孔、形成灯口、进出风口、检修口及其它出口及额外处理、封边，包括并不限于上述所有施工步骤及所需之材料
5.具体施工技术要求根据现场工程要求施工，满足规范和设计图纸要求</t>
  </si>
  <si>
    <t>吊顶天棚-窗帘</t>
  </si>
  <si>
    <t>1.钢筋混凝土楼板
2.膨胀螺栓,∅8丝杆,
3.50轻钢上人主龙骨@1200
4.50覆面龙骨@300
5.12mm阻燃板基层
6.单层9.5mm厚石膏板
7.白色乳胶漆
8.包含吊顶上裁切开孔、形成灯口、进出风口、检修口及其它出口及额外处理、封边，包括并不限于上述所有施工步骤及所需之材料
9.具体施工技术要求根据现场工程要求施工，满足规范和设计图纸要求</t>
  </si>
  <si>
    <t>吊顶天棚-窗帘挡板</t>
  </si>
  <si>
    <t>1.12mm阻燃板基层
2.双层9.5mm厚石膏板
3.双面白色乳胶漆
4.包含吊顶上裁切开孔、形成灯口、进出风口、检修口及其它出口及额外处理、封边，包括并不限于上述所有施工步骤及所需之材料
5.具体施工技术要求根据现场工程要求施工，满足规范和设计图纸要求</t>
  </si>
  <si>
    <t>吊顶天棚-墙眉</t>
  </si>
  <si>
    <t>1.木龙骨
2.12mm阻燃板基层
3.单层9.5mm厚石膏板
4.白色乳胶漆
5.包含吊顶上裁切开孔、形成灯口、进出风口、检修口及其它出口及额外处理、封边，包括并不限于上述所有施工步骤及所需之材料
6.具体施工技术要求根据现场工程要求施工，满足规范和设计图纸要求</t>
  </si>
  <si>
    <t>天棚抹灰</t>
  </si>
  <si>
    <t>1.白色乳胶漆满刮成品腻子两遍
2.具体施工技术要求根据现场工程要求施工，满足规范和设计图纸要求</t>
  </si>
  <si>
    <t>C2样板间-墙面</t>
  </si>
  <si>
    <t>入户门厅、餐厅、客厅、走廊（书房与男孩儿房口）</t>
  </si>
  <si>
    <t>EL-01+EL-02</t>
  </si>
  <si>
    <t>600*1200mm墙砖-无防水</t>
  </si>
  <si>
    <t>1.CT-02 1200mm*600mm墙砖
2.瓷砖专用粘接剂 
3.横竖向平接1.5mm留缝，墙面砖勾缝剂与瓷砖同色
4.具体施工技术要求根据现场工程要求施工，满足规范和设计图纸要求</t>
  </si>
  <si>
    <t>岩板墙面</t>
  </si>
  <si>
    <t>1.ST-03岩板，厚度≥10mm
2.木龙骨+刷防火涂料三遍
3.12mm厚阻燃木基层
4.具体施工技术要求根据现场工程要求施工，满足规范和设计图纸要求</t>
  </si>
  <si>
    <t>不锈钢踢脚线</t>
  </si>
  <si>
    <t>1.MT-02 1.2mm厚玫瑰金不锈钢踢脚线，高度为40mm。12mm厚阻燃木基层
2.12mm厚阻燃木基层
4.具体施工技术要求根据现场工程要求施工，满足规范和设计图纸要求</t>
  </si>
  <si>
    <t>1、WD-01木饰面  厚度≥3mm
2.木龙骨+刷防火涂料三遍
3.12mm阻燃板基层
4.其它说明：满足规范和设计图纸要求</t>
  </si>
  <si>
    <t>布艺硬包</t>
  </si>
  <si>
    <t>1、CL-01 布艺硬包  灰色  厚度10mm
2.木龙骨+刷防火涂料三遍
3.12mm阻燃板基层
4.其它说明：满足规范和设计图纸要求</t>
  </si>
  <si>
    <t>玫瑰金不锈钢线条</t>
  </si>
  <si>
    <t>1.5mm*10mm宽古铜色不锈钢装饰线条，厚度1.2mm
2.具体施工技术要求根据现场工程要求施工，满足规范和设计图纸要求</t>
  </si>
  <si>
    <t>钢化玻璃隔断</t>
  </si>
  <si>
    <t>1.玻璃钢隔断
2.10mm厚钢化玻璃
3.具体施工技术要求根据现场工程要求施工，满足规范和设计图纸要求</t>
  </si>
  <si>
    <t xml:space="preserve">定制柜 </t>
  </si>
  <si>
    <t>1.部位：进户门厅
2.定制柜 
3.柜体厚度：350mm
4.具体施工技术要求根据现场工程要求施工，满足规范和设计图纸要求</t>
  </si>
  <si>
    <t>电视柜</t>
  </si>
  <si>
    <t>1.部位：客厅
2.定制柜 WD-03 （黑色）木饰面（厚度：≥3mm)
3.柜体高度：200mm 宽度：300mm
4.具体施工技术要求根据现场工程要求施工，满足规范和设计图纸要求</t>
  </si>
  <si>
    <t>垭口黑钛金不锈钢包边</t>
  </si>
  <si>
    <t>1.MT-01 1.2mm黑钛金不锈钢
2.12mm厚阻燃木基层
4.其它说明：满足规范和设计图纸要求</t>
  </si>
  <si>
    <t>成品门套</t>
  </si>
  <si>
    <t>1.成品门套
2.木质门套-双面
3.具体施工技术要求根据现场工程要求施工，满足规范和设计图纸要求</t>
  </si>
  <si>
    <t>1.成品门套
2.木质门套-单面
3.具体施工技术要求根据现场工程要求施工，满足规范和设计图纸要求</t>
  </si>
  <si>
    <t>厨房</t>
  </si>
  <si>
    <t>EL-03</t>
  </si>
  <si>
    <t>1.部位：厨房
2.地柜  WD-04 （灰色）木饰面（厚度：≥3mm)
3.柜体高度：800mm 宽度：580mm
4.ST-04 18mm厚人造石台面
5.具体施工技术要求根据现场工程要求施工，满足规范和设计图纸要求</t>
  </si>
  <si>
    <t>1.部位：厨房
2.吊柜 WD-04 （灰色）木饰面（厚度：≥3mm)
3.柜体高度：850mm 宽度：350mm
4.具体施工技术要求根据现场工程要求施工，满足规范和设计图纸要求</t>
  </si>
  <si>
    <t>1.部位：厨房 
2.冰箱及蒸烤箱柜  WD-04 （灰色）木饰面（厚度：≥3mm)
3.厚度：600mm
4.具体施工技术要求根据现场工程要求施工，满足规范和设计图纸要求</t>
  </si>
  <si>
    <t>阳台</t>
  </si>
  <si>
    <t>EL-04</t>
  </si>
  <si>
    <t>1.部位：阳台
2.储物柜
3.厚度：600mm
4.具体施工技术要求根据现场工程要求施工，满足规范和设计图纸要求</t>
  </si>
  <si>
    <t>1.部位：阳台
2.洗衣柜
3.高：800mm  厚：700mm
4.ST-04 18mm厚人造石台面
5.具体施工技术要求根据现场工程要求施工，满足规范和设计图纸要求</t>
  </si>
  <si>
    <t>男孩房</t>
  </si>
  <si>
    <t>EL-05</t>
  </si>
  <si>
    <t>1、布艺硬包  灰色  厚度10mm
2.木龙骨+刷防火涂料三遍
3.12mm阻燃板基层
4.其它说明：满足规范和设计图纸要求</t>
  </si>
  <si>
    <t>替换为布艺硬包</t>
  </si>
  <si>
    <t>木饰面改硬包</t>
  </si>
  <si>
    <t>星空装饰板</t>
  </si>
  <si>
    <t>1、星空装饰板  厚度≥3mm
2.木龙骨+刷防火涂料三遍
3.12mm阻燃板基层双层
4.其它说明：满足规范和设计图纸要求</t>
  </si>
  <si>
    <t>深色软包软包</t>
  </si>
  <si>
    <t>1、FA-01深色软包 （厚度：20mm)
2.30mm*40mm木龙骨+刷防火涂料三遍
3.12mm阻燃板基层双层
4.其它说明：满足规范和设计图纸要求</t>
  </si>
  <si>
    <t>软包顶加木线条</t>
  </si>
  <si>
    <t>1.软包顶加木线条
2.10mm厚
3.其它说明：满足规范和设计图纸要求</t>
  </si>
  <si>
    <t>1.部位：男孩儿房
2.储物柜 WD-02（白色）木饰面（厚度：≥3mm)
3.厚：550mm
4.具体施工技术要求根据现场工程要求施工，满足规范和设计图纸要求</t>
  </si>
  <si>
    <t>主卧</t>
  </si>
  <si>
    <t>EL-06</t>
  </si>
  <si>
    <t>主卫</t>
  </si>
  <si>
    <t>EL-07</t>
  </si>
  <si>
    <t>600*1200mm墙砖-有防水</t>
  </si>
  <si>
    <t>1.CT-03 1200mm*600mm墙砖
2.瓷砖专用粘接剂 
3.横竖向平接1.5mm留缝，墙面砖勾缝剂与瓷砖同色
4.1.2mm厚JS柔性防水层
5.具体施工技术要求根据现场工程要求施工，满足规范和设计图纸要求</t>
  </si>
  <si>
    <t xml:space="preserve">智能魔镜柜 </t>
  </si>
  <si>
    <t>1.部位：卫生间
2.智能魔镜柜 
3.厚：155mm
4.需具备显示天气、语音播报功能
5.具体施工技术要求根据现场工程要求施工，满足规范和设计图纸要求</t>
  </si>
  <si>
    <t>1.部位：卫生间
2.储物柜（柜门木饰面） 
3.高：500mm  厚：600mm
4.具体施工技术要求根据现场工程要求施工，满足规范和设计图纸要求</t>
  </si>
  <si>
    <t>洗手台面</t>
  </si>
  <si>
    <t>1.部位：卫生间
2.ST-01 18mm厚人造石单孔洗手台
3.长：800mm  宽：600mm
4.具体施工技术要求根据现场工程要求施工，满足规范和设计图纸要求</t>
  </si>
  <si>
    <t>书房</t>
  </si>
  <si>
    <t>EL-08</t>
  </si>
  <si>
    <t>1.部位：书房
2.储物柜 WD-02（白色）木饰面（厚度：≥3mm)
3.厚：350mm
4.具体施工技术要求根据现场工程要求施工，满足规范和设计图纸要求</t>
  </si>
  <si>
    <t>客卫</t>
  </si>
  <si>
    <t>EL-09</t>
  </si>
  <si>
    <t>1.部位：卫生间
2.储物柜
3.高：200mm，厚600mm
4.具体施工技术要求根据现场工程要求施工，满足规范和设计图纸要求</t>
  </si>
  <si>
    <t>洗手台</t>
  </si>
  <si>
    <t>1.部位：卫生间
2.ST-01 18mm厚人造石单孔洗手台
3.高：180mm  宽：600mm
4.角钢骨架
5.具体施工技术要求根据现场工程要求施工，满足规范和设计图纸要求</t>
  </si>
  <si>
    <r>
      <rPr>
        <b/>
        <sz val="10"/>
        <rFont val="Arial"/>
        <charset val="1"/>
      </rPr>
      <t>C2</t>
    </r>
    <r>
      <rPr>
        <b/>
        <sz val="10"/>
        <rFont val="宋体"/>
        <charset val="1"/>
      </rPr>
      <t>样板间</t>
    </r>
    <r>
      <rPr>
        <b/>
        <sz val="10"/>
        <rFont val="Arial"/>
        <charset val="1"/>
      </rPr>
      <t>-</t>
    </r>
    <r>
      <rPr>
        <b/>
        <sz val="10"/>
        <rFont val="宋体"/>
        <charset val="1"/>
      </rPr>
      <t>其他</t>
    </r>
  </si>
  <si>
    <t>拆除原装修窗台</t>
  </si>
  <si>
    <t>1.拆除原装修窗台80mm厚钢筋混凝土板
2.具体施工技术要求根据现场工程要求施工，满足规范和设计图纸要求</t>
  </si>
  <si>
    <t>m3</t>
  </si>
  <si>
    <t>拆除原砌体墙</t>
  </si>
  <si>
    <t>1.原加气块墙体拆除
2.具体施工技术要求根据现场工程要求施工，满足规范和设计图纸要求</t>
  </si>
  <si>
    <t>拆除外墙面保温层</t>
  </si>
  <si>
    <t>1.外墙面保温粉刷层
2.具体施工技术要求根据现场工程要求施工，满足规范和设计图纸要求</t>
  </si>
  <si>
    <t>新建75系列轻钢龙骨石膏板隔墙</t>
  </si>
  <si>
    <t>1.新建75系列轻钢龙骨石膏板隔墙
2.墙厚：200mm，双面12mm厚石膏板内填玻璃棉
3.具体施工技术要求根据现场工程要求施工，满足规范和设计图纸要求</t>
  </si>
  <si>
    <t>1.新建75系列轻钢龙骨石膏板隔墙
2.墙厚：100mm，双面12mm厚石膏板内填50厚玻璃棉
3.具体施工技术要求根据现场工程要求施工，满足规范和设计图纸要求</t>
  </si>
  <si>
    <t>新建包立管</t>
  </si>
  <si>
    <t>1.新建包立管（成品管道包封，做隔音处理）
2.具体施工技术要求根据现场工程要求施工，满足规范和设计图纸要求</t>
  </si>
  <si>
    <t>60系列断桥铝合金外平开窗</t>
  </si>
  <si>
    <t>1.60系列断桥铝合金外平开窗
2.颜色：深灰色
3.5LOW-E单银+9A+5+9A+5
4.门、窗框及玻璃制作、运输、安装
5.五金安装
6.具体施工技术要求根据现场工程要求施工，满足规范和设计图纸要求</t>
  </si>
  <si>
    <t>60系列断桥铝合金外悬窗（外开上悬）</t>
  </si>
  <si>
    <t>60系列断桥铝合金窗（外平开）</t>
  </si>
  <si>
    <t>1.60系列断桥铝合金外平开窗
2.颜色：深灰色
3.8+12A+8
4.门、窗框及玻璃制作、运输、安装
5.五金安装
6.具体施工技术要求根据现场工程要求施工，满足规范和设计图纸要求</t>
  </si>
  <si>
    <t>70系列断桥铝合金外平开窗</t>
  </si>
  <si>
    <t>1.70系列断桥铝合金外平开窗
2.颜色：深灰色
3.5LOW-E单银+9A+5
4.门、窗框及玻璃制作、运输、安装
5.五金安装
6.具体施工技术要求根据现场工程要求施工，满足规范和设计图纸要求</t>
  </si>
  <si>
    <t>55系列断桥铝合金外平开窗</t>
  </si>
  <si>
    <t>1.55系列断桥铝合金外平开窗
2.颜色：深灰色
3.5LOW-E单银+9A+5
4.门、窗框及玻璃制作、运输、安装
5.五金安装
6.具体施工技术要求根据现场工程要求施工，满足规范和设计图纸要求</t>
  </si>
  <si>
    <t>浩德伊河湾3#架空层软装清单</t>
  </si>
  <si>
    <t>项目名称：浩德伊河湾项目  软装家具</t>
  </si>
  <si>
    <t>说明</t>
  </si>
  <si>
    <t>位置</t>
  </si>
  <si>
    <t>产品名称</t>
  </si>
  <si>
    <t>产品图片/产品图纸</t>
  </si>
  <si>
    <t>规格（长*宽*高）（单位：m)</t>
  </si>
  <si>
    <t>产品描述</t>
  </si>
  <si>
    <t>数量</t>
  </si>
  <si>
    <t>含税单价（税率9 %）</t>
  </si>
  <si>
    <t>合价</t>
  </si>
  <si>
    <t>阅读空间</t>
  </si>
  <si>
    <t>书桌</t>
  </si>
  <si>
    <t>长3m，宽1m,高0.75</t>
  </si>
  <si>
    <t>深色木质开放漆+
古铜色拉丝金属底座,</t>
  </si>
  <si>
    <t>件</t>
  </si>
  <si>
    <t>图片参考，具体以实际为准，尺寸需生产深化</t>
  </si>
  <si>
    <t>异形阶梯
书桌及椅子</t>
  </si>
  <si>
    <t>长2.2m，宽0.9m,</t>
  </si>
  <si>
    <t>阶梯：白色烤漆饰面+实木框架
椅子：实木框架+灰色/浅绿色布艺</t>
  </si>
  <si>
    <t>组</t>
  </si>
  <si>
    <t>阅读空间+
儿童绘画空间</t>
  </si>
  <si>
    <t>椅子</t>
  </si>
  <si>
    <t>成品尺寸</t>
  </si>
  <si>
    <t>深色实木框架+深色皮革座面+金属支脚</t>
  </si>
  <si>
    <t>条椅</t>
  </si>
  <si>
    <t>长1.5m，宽0.45m,</t>
  </si>
  <si>
    <t>浅灰色皮革座面+实木框架</t>
  </si>
  <si>
    <t>儿童绘画空间</t>
  </si>
  <si>
    <t>儿童条形桌</t>
  </si>
  <si>
    <t>长2m，宽0.9m,</t>
  </si>
  <si>
    <t>实木框架+白色/绿色烤漆饰面</t>
  </si>
  <si>
    <t>手工桌</t>
  </si>
  <si>
    <t>长1.8m，宽1.2m,</t>
  </si>
  <si>
    <t>黑板墙</t>
  </si>
  <si>
    <t>长2.4m，高3.4m,</t>
  </si>
  <si>
    <t>/</t>
  </si>
  <si>
    <t>1、含黑板粉笔（不同颜色）
2、图片参考，具体以实际为准，尺寸需生产深化</t>
  </si>
  <si>
    <t>积木背景墙</t>
  </si>
  <si>
    <t>宽2.75m，高1.8m,</t>
  </si>
  <si>
    <t>1、含可拼装积木
2、图片参考，具体以实际为准，尺寸需生产深化</t>
  </si>
  <si>
    <t>装饰背景墙</t>
  </si>
  <si>
    <t>宽3m，高2m,</t>
  </si>
  <si>
    <t>树叶摆件</t>
  </si>
  <si>
    <t>艺术摆件
（暴力熊）</t>
  </si>
  <si>
    <t>高度1.5m,厂家
深化</t>
  </si>
  <si>
    <t>挂画</t>
  </si>
  <si>
    <t>宽0.8m，高1.2m,</t>
  </si>
  <si>
    <t>艺术吊灯</t>
  </si>
  <si>
    <t>绿植</t>
  </si>
  <si>
    <t>小摆件</t>
  </si>
  <si>
    <t>儿童空间书籍</t>
  </si>
  <si>
    <t>书籍</t>
  </si>
  <si>
    <t>要求：可直接阅读书籍
范围：动漫与绘本、少儿、童话、寓言等</t>
  </si>
  <si>
    <t>募捐</t>
  </si>
  <si>
    <t>阅读空间书籍</t>
  </si>
  <si>
    <t>摆满
预计500本</t>
  </si>
  <si>
    <t>要求：可直接阅读书籍
范围：文学、历史、小说、艺术、传记、健身与保健、家庭与育儿、烹饪与美食等</t>
  </si>
  <si>
    <t>总计：</t>
  </si>
  <si>
    <t>浩德伊河湾3#楼室内样板间软装清单</t>
  </si>
  <si>
    <t>含税单价（税率 9%）</t>
  </si>
  <si>
    <t>客厅</t>
  </si>
  <si>
    <t>沙发</t>
  </si>
  <si>
    <t>长2.7-2.8m</t>
  </si>
  <si>
    <t>实木框架+灰色系皮革座面</t>
  </si>
  <si>
    <t>边椅</t>
  </si>
  <si>
    <t>实木框架+咖系皮革座面</t>
  </si>
  <si>
    <t>茶几</t>
  </si>
  <si>
    <t>大理石台面+茶色玻璃</t>
  </si>
  <si>
    <t>装饰品（沙发背景墙）</t>
  </si>
  <si>
    <t>不锈钢+皮质硬包</t>
  </si>
  <si>
    <t>装饰（钓鱼灯）</t>
  </si>
  <si>
    <t>不锈钢+亚克力灯片</t>
  </si>
  <si>
    <t>装饰（壁灯）</t>
  </si>
  <si>
    <t>H=1000mm</t>
  </si>
  <si>
    <t>地毯</t>
  </si>
  <si>
    <t>3.0*1.8m</t>
  </si>
  <si>
    <t>1.  结构：腈纶
2.  毛线成份：60%腈纶40%尼龙</t>
  </si>
  <si>
    <t>阳台窗帘</t>
  </si>
  <si>
    <t>定制尺寸</t>
  </si>
  <si>
    <t>高端面料+纱</t>
  </si>
  <si>
    <t>装饰品</t>
  </si>
  <si>
    <t>餐厅</t>
  </si>
  <si>
    <t>餐桌</t>
  </si>
  <si>
    <t>长1.5m，宽0.8m，
高0.75m</t>
  </si>
  <si>
    <t>白色岩板+不锈钢+木饰面</t>
  </si>
  <si>
    <t>餐椅</t>
  </si>
  <si>
    <t>实木框架+皮革座面</t>
  </si>
  <si>
    <t>装饰（吊灯）</t>
  </si>
  <si>
    <t>长1.2m</t>
  </si>
  <si>
    <t>装饰画</t>
  </si>
  <si>
    <t>成品尺寸
（需结合现场墙体尺寸）</t>
  </si>
  <si>
    <t>长1.5m，高0.6m,宽0.8m</t>
  </si>
  <si>
    <t>木质开放漆</t>
  </si>
  <si>
    <t>实木框架+布艺座面</t>
  </si>
  <si>
    <t>成品尺寸
书本为真书</t>
  </si>
  <si>
    <t>窗帘</t>
  </si>
  <si>
    <t>高端面料+纱+窗帘盒</t>
  </si>
  <si>
    <t>儿童房</t>
  </si>
  <si>
    <t>床（含两个床头柜、床垫、枕头等一套）</t>
  </si>
  <si>
    <t>长2m，宽1.5m,</t>
  </si>
  <si>
    <t>床头背景墙（装饰品）</t>
  </si>
  <si>
    <t>床上用品（4件套，含被子，床垫）</t>
  </si>
  <si>
    <t>长1.8m，宽1.4m,</t>
  </si>
  <si>
    <t>装饰吊灯</t>
  </si>
  <si>
    <t>2.0*1.2m</t>
  </si>
  <si>
    <t>长2m，宽1.8m,</t>
  </si>
  <si>
    <t>长2m，宽2.4m,</t>
  </si>
  <si>
    <t>主卧卫生间</t>
  </si>
  <si>
    <t>含香薰、摆件、装饰品等</t>
  </si>
  <si>
    <t>含毛巾、浴巾、拖鞋</t>
  </si>
  <si>
    <t>百叶</t>
  </si>
  <si>
    <t>尺寸详见现场</t>
  </si>
  <si>
    <t>灯具、仿真绿植</t>
  </si>
  <si>
    <t>卫生间</t>
  </si>
  <si>
    <t>价格清单（洛阳市伊河湾项目3#楼公区、样板间及门头装饰工程）（安装部分）</t>
  </si>
  <si>
    <t>工程名称：洛阳市伊河湾项目3#楼公区、样板间及门头装饰工程--安装工程</t>
  </si>
  <si>
    <t>样板间小计（元）</t>
  </si>
  <si>
    <t>给排水</t>
  </si>
  <si>
    <t>中央空调</t>
  </si>
  <si>
    <t>1.名称:中央空调（小爱或小度智能控制）
2.其它说明:满足规范和设计要求
3.含与之相关的一切费用</t>
  </si>
  <si>
    <t>需后附报价明细</t>
  </si>
  <si>
    <t>电视</t>
  </si>
  <si>
    <t>1.名称:电视（小爱或小度智能控制）
2.具体参数详见配置表
3.其它说明:满足规范和设计要求</t>
  </si>
  <si>
    <t>台</t>
  </si>
  <si>
    <t>小米（55-65）</t>
  </si>
  <si>
    <t>洗衣机</t>
  </si>
  <si>
    <t>1.名称:洗衣机
2.具体参数详见配置表
3.其它说明:满足规范和设计要求</t>
  </si>
  <si>
    <t>海尔、小米</t>
  </si>
  <si>
    <t>冰箱</t>
  </si>
  <si>
    <t>1.名称:冰箱
2.具体参数详见配置表
3.其它说明:满足规范和设计要求</t>
  </si>
  <si>
    <t>厨盆</t>
  </si>
  <si>
    <t>1.名称:厨盆（含抽拉龙头、角阀等配件）
2.具体参数详见配置表
3.其它说明:满足规范和设计要求</t>
  </si>
  <si>
    <t>九牧、箭牌</t>
  </si>
  <si>
    <t>抽油烟机</t>
  </si>
  <si>
    <t>1.名称:抽油烟机
2.具体参数详见配置表
3.其它说明:满足规范和设计要求</t>
  </si>
  <si>
    <t>灶具</t>
  </si>
  <si>
    <t>1.名称:灶具
2.具体参数详见配置表
3.其它说明:满足规范和设计要求</t>
  </si>
  <si>
    <t>洗碗机</t>
  </si>
  <si>
    <t>1.名称:洗碗机（具备消毒功能）
2.具体参数详见配置表
3.其它说明:满足规范和设计要求</t>
  </si>
  <si>
    <t>蒸烤箱</t>
  </si>
  <si>
    <t>1.名称:蒸烤箱
2.具体参数详见配置表
3.其它说明:满足规范和设计要求</t>
  </si>
  <si>
    <t>坐便器</t>
  </si>
  <si>
    <t>1.名称:坐便器（含角阀等配件）
2.其它说明:满足规范和设计图纸要求
3.含与之相关的一切费用</t>
  </si>
  <si>
    <t>智能坐便器</t>
  </si>
  <si>
    <t>1.名称:智能坐便器（含角阀等配件）
2.其它说明:满足规范和设计图纸要求
3.含与之相关的一切费用</t>
  </si>
  <si>
    <t>洗脸盆</t>
  </si>
  <si>
    <t>1.名称:洗脸盆（含龙头、角阀等配件）
2.其它说明:满足规范和设计图纸要求
3.含与之相关的一切费用</t>
  </si>
  <si>
    <t>淋浴器</t>
  </si>
  <si>
    <t>1.名称:淋浴器（具备恒温功能，含花洒、角阀等配件）
2.其它说明:满足规范和设计图纸要求
3.含与之相关的一切费用</t>
  </si>
  <si>
    <t>铜质防臭地漏</t>
  </si>
  <si>
    <t>1.名称:铜质防臭地漏De50
2.其它说明:满足规范和设计图纸要求
3.含与之相关的一切费用</t>
  </si>
  <si>
    <t>洗衣机地漏</t>
  </si>
  <si>
    <t>1.名称:洗衣机地漏De50
2.其它说明:满足规范和设计图纸要求
3.含与之相关的一切费用</t>
  </si>
  <si>
    <t>洗衣机水龙头</t>
  </si>
  <si>
    <t>1.名称:洗衣机水龙头
2.其它说明:满足规范和设计图纸要求
3.含与之相关的一切费用</t>
  </si>
  <si>
    <t>给水管</t>
  </si>
  <si>
    <t>1. PP-R De25
2.含配件、管帽、堵头及其他相关配件
3.管道试压,消毒、冲洗</t>
  </si>
  <si>
    <t>米</t>
  </si>
  <si>
    <t>金牛</t>
  </si>
  <si>
    <t>1. PP-R De20
2.含配件、管帽、堵头及其他相关配件
3.管道试压,消毒、冲洗</t>
  </si>
  <si>
    <t>前置过滤器</t>
  </si>
  <si>
    <t>1.名称:前置过滤器De25
2.其它说明:满足规范和设计图纸要求</t>
  </si>
  <si>
    <t>截止阀</t>
  </si>
  <si>
    <t>1.名称:截止阀De25
2.其它说明:满足规范和设计图纸要求</t>
  </si>
  <si>
    <t>地暖敷设</t>
  </si>
  <si>
    <t>1.地暖管道敷设及配套设施
2.钢筋混凝土楼板找平
3.隔热层敷设
4.反射膜敷设
5.地暖回填
6.及其他未注明但与地暖相关的所有工程</t>
  </si>
  <si>
    <t>电气工程</t>
  </si>
  <si>
    <t>配电箱</t>
  </si>
  <si>
    <t>1.名称:户箱
2.安装方式:挂墙暗装
3.含端子板接线
4.满足规范和设计图纸要求</t>
  </si>
  <si>
    <t>德力西</t>
  </si>
  <si>
    <t>弱电箱</t>
  </si>
  <si>
    <t>1.名称:弱电箱
2.安装方式:挂墙暗装
3.含端子板接线
4.满足规范和设计图纸要求</t>
  </si>
  <si>
    <t>配管</t>
  </si>
  <si>
    <t>1.名称:配管
2.材质、规格::PC16
3.配置形式:暗配
4.未尽事宜详见图纸、规范等</t>
  </si>
  <si>
    <t>国标</t>
  </si>
  <si>
    <t>1.名称:配管
2.材质、规格::PC20
3.配置形式:暗配
4.未尽事宜详见图纸、规范等</t>
  </si>
  <si>
    <t>1.名称:配管
2.材质、规格::PC25
3.配置形式:暗配
4.未尽事宜详见图纸、规范等</t>
  </si>
  <si>
    <t>配线</t>
  </si>
  <si>
    <t>1.名称:管内穿线
2.规格:BV-2.5
3.其它说明:满足图纸、规范和设计要求</t>
  </si>
  <si>
    <t>郑三</t>
  </si>
  <si>
    <t>1.名称:管内穿线
2.规格:BV-4
3.其它说明:满足图纸、规范和设计要求</t>
  </si>
  <si>
    <t>1.名称:管内穿线
2.规格:BV-6
3.其它说明:满足图纸、规范和设计要求</t>
  </si>
  <si>
    <t>1.名称:管内穿线
2.规格:超六类网线
3.其它说明:满足图纸、规范和设计要求</t>
  </si>
  <si>
    <t>安普</t>
  </si>
  <si>
    <t>1.名称:管内穿线
2.规格:光纤
3.其它说明:满足图纸、规范和设计要求</t>
  </si>
  <si>
    <t>电缆</t>
  </si>
  <si>
    <t>1.名称:管内穿电缆
2.规格:YJV-5*16
3.其它说明:满足图纸、规范和设计要求</t>
  </si>
  <si>
    <t>装饰灯</t>
  </si>
  <si>
    <t>1.名称:筒灯LT-01
2.安装方式:详见图纸
3.其它说明:满足图纸、规范和设计要求</t>
  </si>
  <si>
    <t>雷士</t>
  </si>
  <si>
    <t>1.名称:筒灯LT-02
2.安装方式:详见图纸
3.其它说明:满足图纸、规范和设计要求</t>
  </si>
  <si>
    <t>1.名称:磁吸格栅灯LT-07（含磁吸轨道和磁吸电源）
2.安装方式:详见图纸
3.其它说明:满足图纸、规范和设计要求</t>
  </si>
  <si>
    <t>1.名称:阳台吸顶灯
2.安装方式:详见图纸
3.其它说明:满足图纸、规范和设计要求</t>
  </si>
  <si>
    <t>1.名称:LED暗藏灯带
2.安装方式:详见图纸
3.其它说明:满足图纸、规范和设计要求</t>
  </si>
  <si>
    <t>小电器</t>
  </si>
  <si>
    <t>1.名称:五合一暖风机
2.安装方式:详见图纸
3.其它说明:满足图纸、规范和设计要求</t>
  </si>
  <si>
    <t>美的、小米</t>
  </si>
  <si>
    <t>1.名称:单联单控开关（小爱或小度智能控制）
2.规格:详见图纸
3.其它说明:满足图纸、规范和设计要求</t>
  </si>
  <si>
    <t>米家TFK</t>
  </si>
  <si>
    <t>1.名称:单双联双控开关（小爱或小度智能控制）
2.规格:详见图纸
3.其它说明:满足图纸、规范和设计要求</t>
  </si>
  <si>
    <t>1.名称:双联单控开关（小爱或小度智能控制）
2.规格:详见图纸
3.其它说明:满足图纸、规范和设计要求</t>
  </si>
  <si>
    <t>1.名称:双联双控开关（小爱或小度智能控制）
2.规格:详见图纸
3.其它说明:满足图纸、规范和设计要求</t>
  </si>
  <si>
    <t>1.名称:三联单控开关（小爱或小度智能控制）
2.规格:详见图纸
3.其它说明:满足图纸、规范和设计要求</t>
  </si>
  <si>
    <t>1.名称:三联双控开关（小爱或小度智能控制）
2.规格:详见图纸
3.其它说明:满足图纸、规范和设计要求</t>
  </si>
  <si>
    <t>1.名称:三极插座
2.规格:详见图纸
3.其它说明:满足图纸、规范和设计要求</t>
  </si>
  <si>
    <t>考虑智能开关（灰）色选符合招标规定的品牌</t>
  </si>
  <si>
    <t>1.名称:二三极插座
2.规格:详见图纸
3.其它说明:满足图纸、规范和设计要求</t>
  </si>
  <si>
    <t>1.名称:二三极（带开关）插座
2.规格:详见图纸
3.其它说明:满足图纸、规范和设计要求</t>
  </si>
  <si>
    <t>1.名称:二三极（防水）插座
2.规格:详见图纸
3.其它说明:满足图纸、规范和设计要求</t>
  </si>
  <si>
    <t>1.名称:二三极（带USB插孔）插座
2.规格:详见图纸
3.其它说明:满足图纸、规范和设计要求</t>
  </si>
  <si>
    <t>1.名称:地插
2.规格:详见图纸
3.其它说明:满足图纸、规范和设计要求</t>
  </si>
  <si>
    <t>1.名称:网络插座
2.规格:详见图纸
3.其它说明:满足图纸、规范和设计要求</t>
  </si>
  <si>
    <t>1.名称:网络地插
2.规格:详见图纸
3.其它说明:满足图纸、规范和设计要求</t>
  </si>
  <si>
    <t>1.名称:电视插座
2.规格:详见图纸
3.其它说明:满足图纸、规范和设计要求</t>
  </si>
  <si>
    <t>1.名称:智能窗帘窗纱双轨控制（含电机轨道）
2.位置:客厅阳台，详见图纸
3.其它说明:满足图纸、规范和设计要求</t>
  </si>
  <si>
    <t>米家智能</t>
  </si>
  <si>
    <t>1.名称:智能窗帘窗纱双轨控制（含电机轨道）
2.规格:主卧，详见图纸
3.其它说明:满足图纸、规范和设计要求</t>
  </si>
  <si>
    <t>1.名称:智能窗帘窗纱双轨控制（含电机轨道）
2.规格:书房，详见图纸
3.其它说明:满足图纸、规范和设计要求</t>
  </si>
  <si>
    <t>1.名称:智能中控（含一键离家/回家）
2.规格:详见图纸
3.其它说明:满足图纸、规范和设计要求</t>
  </si>
  <si>
    <t>1.名称:卫生间AI智能魔镜(具备天气、气温实时播报、音乐等展示功能)
2.规格:详见图纸
3.其它说明:满足图纸、规范和设计要求</t>
  </si>
  <si>
    <t>1.名称:背景音乐（小爱或小度）
2.规格:详见图纸
3.其它说明:满足图纸、规范和设计要求</t>
  </si>
  <si>
    <t>1.名称:网关
2.规格:详见图纸
3.其它说明:满足图纸、规范和设计要求</t>
  </si>
  <si>
    <t>1.名称:全屋WIFI系统（含5个子路由）
2.规格:详见图纸
3.其它说明:满足图纸、规范和设计要求</t>
  </si>
  <si>
    <t>1..名称:智能场景面板
2.规格:详见图纸
3.其它说明:满足图纸、规范和设计要求</t>
  </si>
  <si>
    <t>大堂小计（元）</t>
  </si>
  <si>
    <t>1.名称:天花可调角射灯LT-01
2.安装方式:详见图纸
3.其它说明:满足图纸、规范和设计要求</t>
  </si>
  <si>
    <t>1.名称:天花可调角射灯LT-04
2.安装方式:详见图纸
3.其它说明:满足图纸、规范和设计要求</t>
  </si>
  <si>
    <t>1.名称:磁吸格栅灯LT-02（含磁吸轨道和磁吸电源）
2.安装方式:详见图纸
3.其它说明:满足图纸、规范和设计要求</t>
  </si>
  <si>
    <t>1.名称:四联单控开关
2.规格:详见图纸
3.其它说明:满足图纸、规范和设计要求</t>
  </si>
  <si>
    <t>架空层小计（元）</t>
  </si>
  <si>
    <t>1.名称:天花筒灯LT-01
2.安装方式:详见图纸
3.其它说明:满足图纸、规范和设计要求</t>
  </si>
  <si>
    <t>1.名称:天花可调角射灯LT-02
2.安装方式:详见图纸
3.其它说明:满足图纸、规范和设计要求</t>
  </si>
  <si>
    <t>1.名称:单联单控开关
2.规格:详见图纸
3.其它说明:满足图纸、规范和设计要求</t>
  </si>
  <si>
    <t>1.名称:二联单控开关
2.规格:详见图纸
3.其它说明:满足图纸、规范和设计要求</t>
  </si>
  <si>
    <t>1.名称:三联单控开关
2.规格:详见图纸
3.其它说明:满足图纸、规范和设计要求</t>
  </si>
  <si>
    <t>1.名称:预留接线盒
2.规格:详见图纸
3.其它说明:满足图纸、规范和设计要求</t>
  </si>
  <si>
    <t>合计（元）</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</si>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</sst>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62">
    <font>
      <sz val="10"/>
      <name val="Arial"/>
      <charset val="1"/>
    </font>
    <font>
      <sz val="20"/>
      <name val="Arial"/>
      <charset val="1"/>
    </font>
    <font>
      <sz val="10"/>
      <name val="宋体"/>
      <charset val="134"/>
    </font>
    <font>
      <sz val="20"/>
      <name val="Arial"/>
      <charset val="134"/>
    </font>
    <font>
      <sz val="9"/>
      <name val="宋体"/>
      <charset val="134"/>
      <scheme val="minor"/>
    </font>
    <font>
      <sz val="10"/>
      <name val="宋体"/>
      <charset val="134"/>
      <scheme val="minor"/>
    </font>
    <font>
      <sz val="10"/>
      <color rgb="FFFF0000"/>
      <name val="宋体"/>
      <charset val="134"/>
      <scheme val="minor"/>
    </font>
    <font>
      <b/>
      <sz val="20"/>
      <name val="宋体"/>
      <charset val="134"/>
    </font>
    <font>
      <sz val="9"/>
      <name val="宋体"/>
      <charset val="134"/>
    </font>
    <font>
      <b/>
      <sz val="10"/>
      <name val="宋体"/>
      <charset val="134"/>
    </font>
    <font>
      <b/>
      <sz val="9"/>
      <name val="宋体"/>
      <charset val="134"/>
    </font>
    <font>
      <sz val="9"/>
      <color rgb="FFFF0000"/>
      <name val="宋体"/>
      <charset val="134"/>
    </font>
    <font>
      <sz val="9"/>
      <color rgb="FFFF0000"/>
      <name val="宋体"/>
      <charset val="134"/>
      <scheme val="minor"/>
    </font>
    <font>
      <sz val="10"/>
      <color rgb="FFFF0000"/>
      <name val="宋体"/>
      <charset val="134"/>
    </font>
    <font>
      <sz val="9"/>
      <color indexed="8"/>
      <name val="宋体"/>
      <charset val="134"/>
    </font>
    <font>
      <b/>
      <sz val="14"/>
      <name val="宋体"/>
      <charset val="134"/>
    </font>
    <font>
      <sz val="14"/>
      <name val="宋体"/>
      <charset val="134"/>
    </font>
    <font>
      <b/>
      <sz val="10"/>
      <color indexed="8"/>
      <name val="宋体"/>
      <charset val="134"/>
    </font>
    <font>
      <b/>
      <sz val="9"/>
      <color indexed="8"/>
      <name val="宋体"/>
      <charset val="134"/>
    </font>
    <font>
      <u/>
      <sz val="12"/>
      <color theme="10"/>
      <name val="宋体"/>
      <charset val="134"/>
    </font>
    <font>
      <sz val="10"/>
      <name val="宋体"/>
      <charset val="1"/>
    </font>
    <font>
      <b/>
      <sz val="10"/>
      <name val="Arial"/>
      <charset val="1"/>
    </font>
    <font>
      <sz val="9"/>
      <name val="宋体"/>
      <charset val="1"/>
    </font>
    <font>
      <sz val="9"/>
      <color rgb="FFFF0000"/>
      <name val="宋体"/>
      <charset val="1"/>
    </font>
    <font>
      <sz val="9"/>
      <color theme="1"/>
      <name val="宋体"/>
      <charset val="134"/>
      <scheme val="minor"/>
    </font>
    <font>
      <sz val="12"/>
      <name val="宋体"/>
      <charset val="134"/>
    </font>
    <font>
      <b/>
      <sz val="16"/>
      <name val="宋体"/>
      <charset val="134"/>
    </font>
    <font>
      <sz val="10"/>
      <color theme="1"/>
      <name val="微软雅黑"/>
      <charset val="134"/>
    </font>
    <font>
      <sz val="10"/>
      <name val="微软雅黑"/>
      <charset val="134"/>
    </font>
    <font>
      <b/>
      <sz val="10"/>
      <color theme="1"/>
      <name val="微软雅黑"/>
      <charset val="134"/>
    </font>
    <font>
      <sz val="10"/>
      <color rgb="FFFF0000"/>
      <name val="微软雅黑"/>
      <charset val="134"/>
    </font>
    <font>
      <sz val="11"/>
      <color theme="1"/>
      <name val="宋体"/>
      <charset val="134"/>
      <scheme val="minor"/>
    </font>
    <font>
      <b/>
      <sz val="14"/>
      <color theme="1"/>
      <name val="宋体"/>
      <charset val="134"/>
      <scheme val="minor"/>
    </font>
    <font>
      <b/>
      <sz val="18"/>
      <color theme="1"/>
      <name val="宋体"/>
      <charset val="134"/>
      <scheme val="minor"/>
    </font>
    <font>
      <b/>
      <sz val="8"/>
      <name val="微软雅黑"/>
      <charset val="134"/>
    </font>
    <font>
      <b/>
      <sz val="9"/>
      <name val="微软雅黑"/>
      <charset val="134"/>
    </font>
    <font>
      <b/>
      <sz val="8"/>
      <color theme="1"/>
      <name val="宋体"/>
      <charset val="134"/>
      <scheme val="minor"/>
    </font>
    <font>
      <b/>
      <sz val="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
      <b/>
      <sz val="10"/>
      <name val="宋体"/>
      <charset val="1"/>
    </font>
  </fonts>
  <fills count="39">
    <fill>
      <patternFill patternType="none"/>
    </fill>
    <fill>
      <patternFill patternType="gray125"/>
    </fill>
    <fill>
      <patternFill patternType="solid">
        <fgColor theme="0" tint="-0.15"/>
        <bgColor indexed="64"/>
      </patternFill>
    </fill>
    <fill>
      <patternFill patternType="solid">
        <fgColor theme="0" tint="-0.25"/>
        <bgColor indexed="64"/>
      </patternFill>
    </fill>
    <fill>
      <patternFill patternType="solid">
        <fgColor theme="2" tint="-0.1"/>
        <bgColor indexed="64"/>
      </patternFill>
    </fill>
    <fill>
      <patternFill patternType="solid">
        <fgColor theme="4" tint="0.8"/>
        <bgColor indexed="64"/>
      </patternFill>
    </fill>
    <fill>
      <patternFill patternType="solid">
        <fgColor theme="9"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8" borderId="22"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3" applyNumberFormat="0" applyFill="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5" fillId="0" borderId="0" applyNumberFormat="0" applyFill="0" applyBorder="0" applyAlignment="0" applyProtection="0">
      <alignment vertical="center"/>
    </xf>
    <xf numFmtId="0" fontId="46" fillId="9" borderId="25" applyNumberFormat="0" applyAlignment="0" applyProtection="0">
      <alignment vertical="center"/>
    </xf>
    <xf numFmtId="0" fontId="47" fillId="10" borderId="26" applyNumberFormat="0" applyAlignment="0" applyProtection="0">
      <alignment vertical="center"/>
    </xf>
    <xf numFmtId="0" fontId="48" fillId="10" borderId="25" applyNumberFormat="0" applyAlignment="0" applyProtection="0">
      <alignment vertical="center"/>
    </xf>
    <xf numFmtId="0" fontId="49" fillId="11" borderId="27" applyNumberFormat="0" applyAlignment="0" applyProtection="0">
      <alignment vertical="center"/>
    </xf>
    <xf numFmtId="0" fontId="50" fillId="0" borderId="28" applyNumberFormat="0" applyFill="0" applyAlignment="0" applyProtection="0">
      <alignment vertical="center"/>
    </xf>
    <xf numFmtId="0" fontId="51" fillId="0" borderId="29" applyNumberFormat="0" applyFill="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5" fillId="38" borderId="0" applyNumberFormat="0" applyBorder="0" applyAlignment="0" applyProtection="0">
      <alignment vertical="center"/>
    </xf>
    <xf numFmtId="0" fontId="25" fillId="0" borderId="0">
      <alignment vertical="center"/>
    </xf>
    <xf numFmtId="0" fontId="25" fillId="0" borderId="0">
      <alignment vertical="center"/>
    </xf>
    <xf numFmtId="0" fontId="31" fillId="0" borderId="0">
      <alignment vertical="center"/>
    </xf>
    <xf numFmtId="0" fontId="25" fillId="0" borderId="0">
      <alignment vertical="center"/>
    </xf>
    <xf numFmtId="0" fontId="31"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57" fillId="0" borderId="0">
      <alignment vertical="center"/>
    </xf>
    <xf numFmtId="176" fontId="58" fillId="0" borderId="1">
      <alignment horizontal="right" vertical="center" wrapText="1"/>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59" fillId="0" borderId="0"/>
    <xf numFmtId="0" fontId="31" fillId="0" borderId="0">
      <alignment vertical="center"/>
    </xf>
    <xf numFmtId="0" fontId="31"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57" fillId="0" borderId="0">
      <alignment vertical="center"/>
    </xf>
    <xf numFmtId="176" fontId="58" fillId="0" borderId="1">
      <alignment horizontal="right" vertical="center" wrapText="1"/>
    </xf>
    <xf numFmtId="0" fontId="31" fillId="0" borderId="0">
      <alignment vertical="center"/>
    </xf>
    <xf numFmtId="0" fontId="25" fillId="0" borderId="0"/>
    <xf numFmtId="0" fontId="58" fillId="0" borderId="0" applyProtection="0">
      <alignment vertical="center"/>
    </xf>
    <xf numFmtId="0" fontId="24" fillId="0" borderId="0"/>
    <xf numFmtId="0" fontId="25" fillId="0" borderId="0">
      <alignment vertical="center"/>
    </xf>
    <xf numFmtId="0" fontId="57" fillId="0" borderId="0"/>
    <xf numFmtId="0" fontId="25" fillId="0" borderId="0" applyBorder="0"/>
  </cellStyleXfs>
  <cellXfs count="21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alignment horizontal="left"/>
    </xf>
    <xf numFmtId="0" fontId="5" fillId="0" borderId="0" xfId="0" applyFont="1" applyFill="1" applyBorder="1" applyAlignment="1">
      <alignment vertical="center"/>
    </xf>
    <xf numFmtId="0" fontId="6" fillId="0" borderId="0" xfId="0" applyFont="1" applyFill="1" applyBorder="1" applyAlignment="1">
      <alignment vertical="center"/>
    </xf>
    <xf numFmtId="0" fontId="5" fillId="0" borderId="0" xfId="81" applyFont="1" applyFill="1" applyBorder="1" applyAlignment="1"/>
    <xf numFmtId="0" fontId="6" fillId="0" borderId="0" xfId="81" applyFont="1" applyFill="1" applyBorder="1" applyAlignment="1"/>
    <xf numFmtId="0" fontId="4" fillId="0" borderId="0" xfId="81" applyFont="1" applyFill="1" applyBorder="1" applyAlignment="1">
      <alignment horizontal="left" vertical="center"/>
    </xf>
    <xf numFmtId="0" fontId="4" fillId="0" borderId="0" xfId="81" applyFont="1" applyFill="1" applyAlignment="1">
      <alignment horizontal="center"/>
    </xf>
    <xf numFmtId="176" fontId="4" fillId="0" borderId="0" xfId="81" applyNumberFormat="1" applyFont="1" applyFill="1" applyAlignment="1">
      <alignment horizontal="center"/>
    </xf>
    <xf numFmtId="0" fontId="4" fillId="0" borderId="0" xfId="81" applyFont="1" applyFill="1" applyAlignment="1">
      <alignment horizontal="center" vertical="center" wrapText="1"/>
    </xf>
    <xf numFmtId="0" fontId="7" fillId="0" borderId="0" xfId="81" applyFont="1" applyFill="1" applyAlignment="1">
      <alignment horizontal="center" vertical="center" wrapText="1"/>
    </xf>
    <xf numFmtId="0" fontId="8" fillId="0" borderId="0" xfId="81" applyFont="1" applyFill="1" applyAlignment="1">
      <alignment horizontal="left" vertical="center" wrapText="1"/>
    </xf>
    <xf numFmtId="0" fontId="8" fillId="0" borderId="0" xfId="81" applyFont="1" applyFill="1" applyAlignment="1">
      <alignment horizontal="center" vertical="center" wrapText="1"/>
    </xf>
    <xf numFmtId="0" fontId="8" fillId="0" borderId="1" xfId="81" applyFont="1" applyFill="1" applyBorder="1" applyAlignment="1">
      <alignment horizontal="center" vertical="center" wrapText="1"/>
    </xf>
    <xf numFmtId="0" fontId="8" fillId="0" borderId="1" xfId="81"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9" fillId="0" borderId="1" xfId="81" applyFont="1" applyFill="1" applyBorder="1" applyAlignment="1">
      <alignment horizontal="left" vertical="center" wrapText="1"/>
    </xf>
    <xf numFmtId="0" fontId="9" fillId="0" borderId="1" xfId="81" applyFont="1" applyFill="1" applyBorder="1" applyAlignment="1">
      <alignment vertical="center" wrapText="1"/>
    </xf>
    <xf numFmtId="0" fontId="10" fillId="0" borderId="1" xfId="8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2" fillId="0" borderId="1" xfId="8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81"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xf>
    <xf numFmtId="0" fontId="8" fillId="0" borderId="1" xfId="81" applyNumberFormat="1" applyFont="1" applyFill="1" applyBorder="1" applyAlignment="1">
      <alignment horizontal="center" vertical="center" wrapText="1"/>
    </xf>
    <xf numFmtId="0" fontId="11" fillId="0" borderId="1" xfId="81" applyFont="1" applyFill="1" applyBorder="1" applyAlignment="1">
      <alignment horizontal="left" vertical="center" wrapText="1"/>
    </xf>
    <xf numFmtId="0" fontId="11" fillId="0" borderId="1" xfId="8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2" fillId="0" borderId="1" xfId="81" applyNumberFormat="1" applyFont="1" applyFill="1" applyBorder="1" applyAlignment="1">
      <alignment horizontal="center"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13" fillId="0" borderId="1" xfId="81" applyFont="1" applyFill="1" applyBorder="1" applyAlignment="1">
      <alignment horizontal="left" vertical="center" wrapText="1"/>
    </xf>
    <xf numFmtId="0" fontId="13" fillId="0" borderId="1" xfId="81" applyFont="1" applyFill="1" applyBorder="1" applyAlignment="1">
      <alignment horizontal="center" vertical="center" wrapText="1"/>
    </xf>
    <xf numFmtId="0" fontId="11" fillId="0" borderId="1" xfId="81" applyNumberFormat="1" applyFont="1" applyFill="1" applyBorder="1" applyAlignment="1">
      <alignment horizontal="center" vertical="center" wrapText="1"/>
    </xf>
    <xf numFmtId="0" fontId="13" fillId="0" borderId="1" xfId="62" applyFont="1" applyFill="1" applyBorder="1" applyAlignment="1">
      <alignment horizontal="left" vertical="center" wrapText="1"/>
    </xf>
    <xf numFmtId="0" fontId="2" fillId="0" borderId="1" xfId="62" applyFont="1" applyFill="1" applyBorder="1" applyAlignment="1">
      <alignment horizontal="left" vertical="center" wrapText="1"/>
    </xf>
    <xf numFmtId="176" fontId="7" fillId="0" borderId="0" xfId="81" applyNumberFormat="1" applyFont="1" applyFill="1" applyAlignment="1">
      <alignment horizontal="center" vertical="center" wrapText="1"/>
    </xf>
    <xf numFmtId="176" fontId="8" fillId="0" borderId="0" xfId="81" applyNumberFormat="1" applyFont="1" applyFill="1" applyAlignment="1">
      <alignment horizontal="center" vertical="center" wrapText="1"/>
    </xf>
    <xf numFmtId="176" fontId="8" fillId="0" borderId="1" xfId="81" applyNumberFormat="1" applyFont="1" applyFill="1" applyBorder="1" applyAlignment="1">
      <alignment horizontal="center" vertical="center" wrapText="1"/>
    </xf>
    <xf numFmtId="9" fontId="8" fillId="0" borderId="1" xfId="3" applyNumberFormat="1" applyFont="1" applyFill="1" applyBorder="1" applyAlignment="1" applyProtection="1">
      <alignment horizontal="center" vertical="center" wrapText="1"/>
    </xf>
    <xf numFmtId="176"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0" fontId="8" fillId="0" borderId="1" xfId="3"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0" fontId="5" fillId="0" borderId="1" xfId="81" applyFont="1" applyFill="1" applyBorder="1" applyAlignment="1">
      <alignment vertical="center" wrapText="1"/>
    </xf>
    <xf numFmtId="0" fontId="12" fillId="0" borderId="1" xfId="0" applyFont="1" applyFill="1" applyBorder="1" applyAlignment="1">
      <alignment horizontal="center" vertical="center"/>
    </xf>
    <xf numFmtId="0" fontId="6" fillId="0" borderId="1" xfId="81" applyFont="1" applyFill="1" applyBorder="1" applyAlignment="1">
      <alignment vertical="center" wrapText="1"/>
    </xf>
    <xf numFmtId="0" fontId="4" fillId="0" borderId="1" xfId="81" applyFont="1" applyFill="1" applyBorder="1" applyAlignment="1">
      <alignment horizontal="center" vertical="center"/>
    </xf>
    <xf numFmtId="9" fontId="11" fillId="0" borderId="1" xfId="3" applyNumberFormat="1" applyFont="1" applyFill="1" applyBorder="1" applyAlignment="1" applyProtection="1">
      <alignment horizontal="center" vertical="center" wrapText="1"/>
    </xf>
    <xf numFmtId="176" fontId="4" fillId="0" borderId="1" xfId="81" applyNumberFormat="1" applyFont="1" applyFill="1" applyBorder="1" applyAlignment="1">
      <alignment horizontal="center" vertical="center"/>
    </xf>
    <xf numFmtId="0" fontId="4" fillId="0" borderId="1" xfId="81" applyFont="1" applyFill="1" applyBorder="1" applyAlignment="1">
      <alignment horizontal="center" vertical="center" wrapText="1"/>
    </xf>
    <xf numFmtId="177" fontId="8" fillId="0" borderId="0" xfId="82" applyNumberFormat="1" applyFont="1" applyFill="1" applyAlignment="1">
      <alignment horizontal="center" vertical="center"/>
    </xf>
    <xf numFmtId="177" fontId="14" fillId="0" borderId="0" xfId="82" applyNumberFormat="1" applyFont="1" applyFill="1" applyAlignment="1">
      <alignment horizontal="center" vertical="center"/>
    </xf>
    <xf numFmtId="177" fontId="14" fillId="0" borderId="0" xfId="82" applyNumberFormat="1" applyFont="1" applyFill="1" applyAlignment="1">
      <alignment horizontal="center" vertical="center" wrapText="1"/>
    </xf>
    <xf numFmtId="177" fontId="8" fillId="0" borderId="0" xfId="82" applyNumberFormat="1" applyFont="1" applyFill="1" applyBorder="1" applyAlignment="1">
      <alignment horizontal="center" vertical="center"/>
    </xf>
    <xf numFmtId="177" fontId="8" fillId="0" borderId="0" xfId="82" applyNumberFormat="1" applyFont="1" applyFill="1" applyAlignment="1">
      <alignment horizontal="center" vertical="center" wrapText="1"/>
    </xf>
    <xf numFmtId="177" fontId="15" fillId="0" borderId="2" xfId="82" applyNumberFormat="1" applyFont="1" applyFill="1" applyBorder="1" applyAlignment="1">
      <alignment horizontal="center" vertical="center"/>
    </xf>
    <xf numFmtId="177" fontId="16" fillId="0" borderId="3" xfId="82" applyNumberFormat="1" applyFont="1" applyFill="1" applyBorder="1" applyAlignment="1">
      <alignment horizontal="center" vertical="center"/>
    </xf>
    <xf numFmtId="177" fontId="16" fillId="0" borderId="3" xfId="82" applyNumberFormat="1" applyFont="1" applyFill="1" applyBorder="1" applyAlignment="1">
      <alignment horizontal="center" vertical="center" wrapText="1"/>
    </xf>
    <xf numFmtId="177" fontId="17" fillId="0" borderId="4" xfId="82" applyNumberFormat="1" applyFont="1" applyFill="1" applyBorder="1" applyAlignment="1">
      <alignment horizontal="center" vertical="center"/>
    </xf>
    <xf numFmtId="177" fontId="17" fillId="0" borderId="5" xfId="82" applyNumberFormat="1" applyFont="1" applyFill="1" applyBorder="1" applyAlignment="1">
      <alignment horizontal="center" vertical="center"/>
    </xf>
    <xf numFmtId="177" fontId="17" fillId="0" borderId="5" xfId="82" applyNumberFormat="1" applyFont="1" applyFill="1" applyBorder="1" applyAlignment="1">
      <alignment horizontal="center" vertical="center" wrapText="1"/>
    </xf>
    <xf numFmtId="177" fontId="18" fillId="0" borderId="6" xfId="82" applyNumberFormat="1" applyFont="1" applyFill="1" applyBorder="1" applyAlignment="1">
      <alignment horizontal="center" vertical="center" wrapText="1"/>
    </xf>
    <xf numFmtId="177" fontId="18" fillId="0" borderId="1" xfId="82" applyNumberFormat="1" applyFont="1" applyFill="1" applyBorder="1" applyAlignment="1">
      <alignment horizontal="center" vertical="center" wrapText="1"/>
    </xf>
    <xf numFmtId="177" fontId="10" fillId="0" borderId="1" xfId="82" applyNumberFormat="1" applyFont="1" applyFill="1" applyBorder="1" applyAlignment="1">
      <alignment horizontal="center" vertical="center" wrapText="1"/>
    </xf>
    <xf numFmtId="177" fontId="8" fillId="0" borderId="6" xfId="82" applyNumberFormat="1" applyFont="1" applyFill="1" applyBorder="1" applyAlignment="1">
      <alignment horizontal="center" vertical="center"/>
    </xf>
    <xf numFmtId="177" fontId="8" fillId="2" borderId="7" xfId="57" applyNumberFormat="1" applyFont="1" applyFill="1" applyBorder="1" applyAlignment="1">
      <alignment horizontal="center" vertical="center"/>
    </xf>
    <xf numFmtId="0" fontId="5" fillId="0" borderId="1" xfId="57" applyFont="1" applyFill="1" applyBorder="1" applyAlignment="1">
      <alignment horizontal="center" vertical="center"/>
    </xf>
    <xf numFmtId="177" fontId="8" fillId="0" borderId="1" xfId="57" applyNumberFormat="1" applyFont="1" applyFill="1" applyBorder="1" applyAlignment="1">
      <alignment horizontal="center" vertical="center"/>
    </xf>
    <xf numFmtId="177" fontId="8" fillId="0" borderId="1" xfId="57" applyNumberFormat="1" applyFont="1" applyFill="1" applyBorder="1" applyAlignment="1">
      <alignment horizontal="center" vertical="center" wrapText="1"/>
    </xf>
    <xf numFmtId="177" fontId="8" fillId="2" borderId="3" xfId="57" applyNumberFormat="1" applyFont="1" applyFill="1" applyBorder="1" applyAlignment="1">
      <alignment horizontal="center" vertical="center"/>
    </xf>
    <xf numFmtId="177" fontId="8" fillId="3" borderId="7" xfId="57" applyNumberFormat="1" applyFont="1" applyFill="1" applyBorder="1" applyAlignment="1">
      <alignment horizontal="center" vertical="center" wrapText="1"/>
    </xf>
    <xf numFmtId="177" fontId="8" fillId="3" borderId="3" xfId="57" applyNumberFormat="1" applyFont="1" applyFill="1" applyBorder="1" applyAlignment="1">
      <alignment horizontal="center" vertical="center" wrapText="1"/>
    </xf>
    <xf numFmtId="0" fontId="5" fillId="0" borderId="7" xfId="57" applyFont="1" applyFill="1" applyBorder="1" applyAlignment="1">
      <alignment horizontal="center" vertical="center"/>
    </xf>
    <xf numFmtId="177" fontId="8" fillId="0" borderId="7" xfId="57" applyNumberFormat="1" applyFont="1" applyFill="1" applyBorder="1" applyAlignment="1">
      <alignment horizontal="center" vertical="center" wrapText="1"/>
    </xf>
    <xf numFmtId="177" fontId="8" fillId="3" borderId="8" xfId="57" applyNumberFormat="1" applyFont="1" applyFill="1" applyBorder="1" applyAlignment="1">
      <alignment horizontal="center" vertical="center" wrapText="1"/>
    </xf>
    <xf numFmtId="177" fontId="8" fillId="4" borderId="7" xfId="57" applyNumberFormat="1" applyFont="1" applyFill="1" applyBorder="1" applyAlignment="1">
      <alignment horizontal="center" vertical="center" wrapText="1"/>
    </xf>
    <xf numFmtId="177" fontId="8" fillId="0" borderId="7" xfId="57" applyNumberFormat="1" applyFont="1" applyFill="1" applyBorder="1" applyAlignment="1">
      <alignment horizontal="center" vertical="center"/>
    </xf>
    <xf numFmtId="177" fontId="8" fillId="4" borderId="3" xfId="57" applyNumberFormat="1" applyFont="1" applyFill="1" applyBorder="1" applyAlignment="1">
      <alignment horizontal="center" vertical="center" wrapText="1"/>
    </xf>
    <xf numFmtId="177" fontId="8" fillId="5" borderId="7" xfId="57" applyNumberFormat="1" applyFont="1" applyFill="1" applyBorder="1" applyAlignment="1">
      <alignment horizontal="center" vertical="center" wrapText="1"/>
    </xf>
    <xf numFmtId="177" fontId="8" fillId="5" borderId="3" xfId="57" applyNumberFormat="1" applyFont="1" applyFill="1" applyBorder="1" applyAlignment="1">
      <alignment horizontal="center" vertical="center" wrapText="1"/>
    </xf>
    <xf numFmtId="177" fontId="8" fillId="6" borderId="1" xfId="57" applyNumberFormat="1" applyFont="1" applyFill="1" applyBorder="1" applyAlignment="1">
      <alignment horizontal="center" vertical="center" wrapText="1"/>
    </xf>
    <xf numFmtId="177" fontId="8" fillId="0" borderId="1" xfId="82" applyNumberFormat="1" applyFont="1" applyFill="1" applyBorder="1" applyAlignment="1">
      <alignment horizontal="center" vertical="center"/>
    </xf>
    <xf numFmtId="177" fontId="9" fillId="0" borderId="1" xfId="82" applyNumberFormat="1" applyFont="1" applyFill="1" applyBorder="1" applyAlignment="1">
      <alignment horizontal="center" vertical="center"/>
    </xf>
    <xf numFmtId="177" fontId="9" fillId="0" borderId="1" xfId="82" applyNumberFormat="1" applyFont="1" applyFill="1" applyBorder="1" applyAlignment="1">
      <alignment horizontal="center" vertical="center" wrapText="1"/>
    </xf>
    <xf numFmtId="176" fontId="9" fillId="0" borderId="1" xfId="82" applyNumberFormat="1" applyFont="1" applyFill="1" applyBorder="1" applyAlignment="1">
      <alignment horizontal="center" vertical="center"/>
    </xf>
    <xf numFmtId="177" fontId="8" fillId="0" borderId="0" xfId="82" applyNumberFormat="1" applyFont="1" applyFill="1" applyBorder="1" applyAlignment="1">
      <alignment horizontal="center" vertical="center" wrapText="1"/>
    </xf>
    <xf numFmtId="177" fontId="16" fillId="0" borderId="9" xfId="82" applyNumberFormat="1" applyFont="1" applyFill="1" applyBorder="1" applyAlignment="1">
      <alignment horizontal="center" vertical="center"/>
    </xf>
    <xf numFmtId="177" fontId="17" fillId="0" borderId="10" xfId="82" applyNumberFormat="1" applyFont="1" applyFill="1" applyBorder="1" applyAlignment="1">
      <alignment horizontal="center" vertical="center"/>
    </xf>
    <xf numFmtId="177" fontId="17" fillId="0" borderId="11" xfId="83" applyNumberFormat="1" applyFont="1" applyFill="1" applyBorder="1" applyAlignment="1">
      <alignment horizontal="center" vertical="center" wrapText="1"/>
    </xf>
    <xf numFmtId="177" fontId="10" fillId="0" borderId="12" xfId="82" applyNumberFormat="1" applyFont="1" applyFill="1" applyBorder="1" applyAlignment="1">
      <alignment horizontal="center" vertical="center" wrapText="1"/>
    </xf>
    <xf numFmtId="177" fontId="10" fillId="0" borderId="13" xfId="84" applyNumberFormat="1" applyFont="1" applyFill="1" applyBorder="1" applyAlignment="1">
      <alignment horizontal="center" vertical="center" wrapText="1"/>
    </xf>
    <xf numFmtId="0" fontId="5" fillId="0" borderId="12" xfId="57" applyFont="1" applyFill="1" applyBorder="1" applyAlignment="1">
      <alignment horizontal="center" vertical="center"/>
    </xf>
    <xf numFmtId="177" fontId="8" fillId="0" borderId="13" xfId="84" applyNumberFormat="1" applyFont="1" applyFill="1" applyBorder="1" applyAlignment="1">
      <alignment horizontal="center" vertical="center" wrapText="1"/>
    </xf>
    <xf numFmtId="177" fontId="8" fillId="0" borderId="1" xfId="84" applyNumberFormat="1" applyFont="1" applyFill="1" applyBorder="1" applyAlignment="1">
      <alignment horizontal="center" vertical="center" wrapText="1"/>
    </xf>
    <xf numFmtId="0" fontId="5" fillId="0" borderId="0" xfId="57" applyFont="1" applyFill="1" applyBorder="1" applyAlignment="1">
      <alignment horizontal="center" vertical="center"/>
    </xf>
    <xf numFmtId="177" fontId="9" fillId="0" borderId="7" xfId="82" applyNumberFormat="1" applyFont="1" applyFill="1" applyBorder="1" applyAlignment="1">
      <alignment horizontal="center" vertical="center"/>
    </xf>
    <xf numFmtId="177" fontId="9" fillId="0" borderId="14" xfId="82" applyNumberFormat="1" applyFont="1" applyFill="1" applyBorder="1" applyAlignment="1">
      <alignment horizontal="center" vertical="center"/>
    </xf>
    <xf numFmtId="0" fontId="5" fillId="0" borderId="1" xfId="57" applyFont="1" applyFill="1" applyBorder="1" applyAlignment="1">
      <alignment horizontal="center" vertical="center" wrapText="1"/>
    </xf>
    <xf numFmtId="177" fontId="9" fillId="0" borderId="15" xfId="82" applyNumberFormat="1" applyFont="1" applyFill="1" applyBorder="1" applyAlignment="1">
      <alignment horizontal="center" vertical="center"/>
    </xf>
    <xf numFmtId="177" fontId="9" fillId="0" borderId="16" xfId="82" applyNumberFormat="1" applyFont="1" applyFill="1" applyBorder="1" applyAlignment="1">
      <alignment horizontal="center" vertical="center"/>
    </xf>
    <xf numFmtId="177" fontId="9" fillId="0" borderId="16" xfId="82" applyNumberFormat="1" applyFont="1" applyFill="1" applyBorder="1" applyAlignment="1">
      <alignment horizontal="center" vertical="center" wrapText="1"/>
    </xf>
    <xf numFmtId="176" fontId="9" fillId="0" borderId="16" xfId="82" applyNumberFormat="1" applyFont="1" applyFill="1" applyBorder="1" applyAlignment="1">
      <alignment horizontal="center" vertical="center"/>
    </xf>
    <xf numFmtId="177" fontId="19" fillId="0" borderId="0" xfId="6" applyNumberFormat="1" applyFont="1" applyFill="1" applyBorder="1" applyAlignment="1">
      <alignment horizontal="center" vertical="center" wrapText="1"/>
    </xf>
    <xf numFmtId="176" fontId="9" fillId="0" borderId="17" xfId="82" applyNumberFormat="1" applyFont="1" applyFill="1" applyBorder="1" applyAlignment="1">
      <alignment horizontal="center" vertical="center"/>
    </xf>
    <xf numFmtId="177" fontId="9" fillId="0" borderId="18" xfId="82" applyNumberFormat="1" applyFont="1" applyFill="1" applyBorder="1" applyAlignment="1">
      <alignment horizontal="center" vertical="center"/>
    </xf>
    <xf numFmtId="0" fontId="8" fillId="7" borderId="1" xfId="81" applyFont="1" applyFill="1" applyBorder="1" applyAlignment="1">
      <alignment horizontal="left" vertical="center" wrapText="1"/>
    </xf>
    <xf numFmtId="0" fontId="10" fillId="7" borderId="1" xfId="81" applyFont="1" applyFill="1" applyBorder="1" applyAlignment="1">
      <alignment horizontal="left" vertical="center" wrapText="1"/>
    </xf>
    <xf numFmtId="176" fontId="8" fillId="7" borderId="1" xfId="81" applyNumberFormat="1" applyFont="1" applyFill="1" applyBorder="1" applyAlignment="1">
      <alignment horizontal="center" vertical="center" wrapText="1"/>
    </xf>
    <xf numFmtId="177" fontId="8" fillId="7" borderId="1" xfId="81" applyNumberFormat="1" applyFont="1" applyFill="1" applyBorder="1" applyAlignment="1">
      <alignment horizontal="center" vertical="center" wrapText="1"/>
    </xf>
    <xf numFmtId="177" fontId="8" fillId="0" borderId="1" xfId="81" applyNumberFormat="1" applyFont="1" applyFill="1" applyBorder="1" applyAlignment="1">
      <alignment horizontal="center" vertical="center" wrapText="1"/>
    </xf>
    <xf numFmtId="0" fontId="10" fillId="0" borderId="1" xfId="81" applyFont="1" applyFill="1" applyBorder="1" applyAlignment="1">
      <alignment horizontal="left" vertical="center" wrapText="1"/>
    </xf>
    <xf numFmtId="176" fontId="8" fillId="0" borderId="1" xfId="81" applyNumberFormat="1" applyFont="1" applyFill="1" applyBorder="1" applyAlignment="1">
      <alignment horizontal="right" vertical="center" wrapText="1"/>
    </xf>
    <xf numFmtId="177" fontId="8" fillId="0" borderId="1" xfId="81" applyNumberFormat="1" applyFont="1" applyFill="1" applyBorder="1" applyAlignment="1">
      <alignment horizontal="right" vertical="center" wrapText="1"/>
    </xf>
    <xf numFmtId="9" fontId="8" fillId="7" borderId="1" xfId="3" applyFont="1" applyFill="1" applyBorder="1" applyAlignment="1" applyProtection="1">
      <alignment horizontal="center" vertical="center" wrapText="1"/>
    </xf>
    <xf numFmtId="176" fontId="8" fillId="7" borderId="1" xfId="81" applyNumberFormat="1" applyFont="1" applyFill="1" applyBorder="1" applyAlignment="1">
      <alignment horizontal="right" vertical="center" wrapText="1"/>
    </xf>
    <xf numFmtId="176" fontId="8" fillId="7" borderId="1" xfId="81" applyNumberFormat="1" applyFont="1" applyFill="1" applyBorder="1" applyAlignment="1">
      <alignment horizontal="left" vertical="center" wrapText="1"/>
    </xf>
    <xf numFmtId="176" fontId="8" fillId="0" borderId="1" xfId="81" applyNumberFormat="1" applyFont="1" applyFill="1" applyBorder="1" applyAlignment="1">
      <alignment horizontal="left" vertical="center" wrapText="1"/>
    </xf>
    <xf numFmtId="0" fontId="20" fillId="0" borderId="0" xfId="0" applyFont="1" applyFill="1"/>
    <xf numFmtId="0" fontId="0" fillId="7" borderId="1" xfId="0" applyFill="1" applyBorder="1" applyAlignment="1">
      <alignment horizontal="left" vertical="center"/>
    </xf>
    <xf numFmtId="0" fontId="21" fillId="7" borderId="1" xfId="0" applyFont="1" applyFill="1" applyBorder="1" applyAlignment="1">
      <alignment horizontal="center" vertical="center"/>
    </xf>
    <xf numFmtId="0" fontId="0" fillId="7" borderId="1" xfId="0" applyFill="1" applyBorder="1" applyAlignment="1">
      <alignment horizontal="center" vertical="center"/>
    </xf>
    <xf numFmtId="0" fontId="22" fillId="0" borderId="1" xfId="0" applyFont="1" applyBorder="1" applyAlignment="1">
      <alignment horizontal="center" vertical="center"/>
    </xf>
    <xf numFmtId="0" fontId="22" fillId="0" borderId="1" xfId="81" applyFont="1" applyFill="1" applyBorder="1" applyAlignment="1">
      <alignment horizontal="left" vertical="center" wrapText="1"/>
    </xf>
    <xf numFmtId="0" fontId="22" fillId="0" borderId="1" xfId="0" applyFont="1" applyBorder="1" applyAlignment="1">
      <alignment horizontal="center" vertical="center" wrapText="1"/>
    </xf>
    <xf numFmtId="176" fontId="22"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0" borderId="1" xfId="81" applyFont="1" applyFill="1" applyBorder="1" applyAlignment="1">
      <alignment horizontal="left" vertical="center" wrapText="1"/>
    </xf>
    <xf numFmtId="0" fontId="0" fillId="0" borderId="1" xfId="0" applyBorder="1" applyAlignment="1">
      <alignment horizontal="center" vertical="center"/>
    </xf>
    <xf numFmtId="0" fontId="24" fillId="0" borderId="0" xfId="81" applyAlignment="1">
      <alignment horizontal="left"/>
    </xf>
    <xf numFmtId="0" fontId="24" fillId="0" borderId="0" xfId="81" applyFont="1" applyFill="1" applyAlignment="1">
      <alignment horizontal="left"/>
    </xf>
    <xf numFmtId="176" fontId="24" fillId="0" borderId="0" xfId="81" applyNumberFormat="1" applyFont="1" applyFill="1" applyAlignment="1">
      <alignment horizontal="center"/>
    </xf>
    <xf numFmtId="0" fontId="24" fillId="0" borderId="0" xfId="81" applyFont="1" applyFill="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xf>
    <xf numFmtId="9" fontId="8" fillId="0" borderId="1" xfId="3" applyFont="1" applyFill="1" applyBorder="1" applyAlignment="1" applyProtection="1">
      <alignment horizontal="center" vertical="center" wrapText="1"/>
    </xf>
    <xf numFmtId="176" fontId="24" fillId="0" borderId="0" xfId="81" applyNumberFormat="1" applyFont="1" applyFill="1" applyAlignment="1">
      <alignment horizontal="left"/>
    </xf>
    <xf numFmtId="176" fontId="8" fillId="0" borderId="0" xfId="81" applyNumberFormat="1" applyFont="1" applyFill="1" applyAlignment="1">
      <alignment horizontal="left" vertical="center" wrapText="1"/>
    </xf>
    <xf numFmtId="176" fontId="8" fillId="0" borderId="7" xfId="81" applyNumberFormat="1" applyFont="1" applyFill="1" applyBorder="1" applyAlignment="1">
      <alignment horizontal="right" vertical="center" wrapText="1"/>
    </xf>
    <xf numFmtId="177" fontId="8" fillId="0" borderId="7" xfId="81" applyNumberFormat="1" applyFont="1" applyFill="1" applyBorder="1" applyAlignment="1">
      <alignment horizontal="right" vertical="center" wrapText="1"/>
    </xf>
    <xf numFmtId="9" fontId="8" fillId="0" borderId="7" xfId="3" applyFont="1" applyFill="1" applyBorder="1" applyAlignment="1" applyProtection="1">
      <alignment horizontal="center" vertical="center" wrapText="1"/>
    </xf>
    <xf numFmtId="176" fontId="8" fillId="0" borderId="19" xfId="81" applyNumberFormat="1" applyFont="1" applyFill="1" applyBorder="1" applyAlignment="1">
      <alignment horizontal="right" vertical="center" wrapText="1"/>
    </xf>
    <xf numFmtId="176" fontId="2" fillId="0" borderId="1" xfId="0" applyNumberFormat="1" applyFont="1" applyFill="1" applyBorder="1" applyAlignment="1" applyProtection="1">
      <alignment horizontal="left" vertical="center" wrapText="1"/>
    </xf>
    <xf numFmtId="0" fontId="25" fillId="0" borderId="0" xfId="0" applyFont="1" applyFill="1" applyBorder="1" applyAlignment="1">
      <alignment vertical="center"/>
    </xf>
    <xf numFmtId="0" fontId="0" fillId="0" borderId="0" xfId="0" applyFill="1" applyAlignment="1">
      <alignment horizontal="center"/>
    </xf>
    <xf numFmtId="0" fontId="26" fillId="0" borderId="0" xfId="0" applyFont="1" applyFill="1" applyAlignment="1">
      <alignment horizontal="center" vertical="center" wrapText="1"/>
    </xf>
    <xf numFmtId="0" fontId="27" fillId="0" borderId="1" xfId="0" applyFont="1" applyFill="1" applyBorder="1" applyAlignment="1">
      <alignment horizontal="center" vertical="center"/>
    </xf>
    <xf numFmtId="176" fontId="28"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0" fontId="31" fillId="0" borderId="0" xfId="0" applyFont="1" applyFill="1" applyAlignment="1">
      <alignment vertical="center"/>
    </xf>
    <xf numFmtId="0" fontId="0" fillId="0" borderId="0" xfId="0" applyFont="1" applyFill="1" applyAlignment="1"/>
    <xf numFmtId="0" fontId="31" fillId="0" borderId="0" xfId="0" applyFont="1" applyFill="1" applyAlignment="1">
      <alignment horizontal="center" vertical="center"/>
    </xf>
    <xf numFmtId="0" fontId="0" fillId="0" borderId="0" xfId="0" applyFont="1" applyFill="1" applyAlignment="1">
      <alignment horizontal="center"/>
    </xf>
    <xf numFmtId="0" fontId="32" fillId="0" borderId="0" xfId="0" applyFont="1" applyFill="1" applyAlignment="1">
      <alignment horizontal="center" vertical="center" wrapText="1"/>
    </xf>
    <xf numFmtId="0" fontId="33" fillId="0" borderId="0" xfId="0" applyFont="1" applyFill="1" applyAlignment="1">
      <alignment horizontal="center" vertical="center" wrapText="1"/>
    </xf>
    <xf numFmtId="176" fontId="33" fillId="0" borderId="0" xfId="0" applyNumberFormat="1" applyFont="1" applyFill="1" applyAlignment="1">
      <alignment horizontal="center" vertical="center" wrapText="1"/>
    </xf>
    <xf numFmtId="176" fontId="33" fillId="0" borderId="0" xfId="0" applyNumberFormat="1" applyFont="1" applyFill="1" applyAlignment="1">
      <alignment horizontal="center" vertical="center"/>
    </xf>
    <xf numFmtId="0" fontId="34" fillId="0" borderId="1" xfId="0"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176" fontId="34"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176" fontId="36" fillId="0" borderId="1" xfId="0" applyNumberFormat="1" applyFont="1" applyFill="1" applyBorder="1" applyAlignment="1">
      <alignment horizontal="center" vertical="center"/>
    </xf>
    <xf numFmtId="0" fontId="35" fillId="0" borderId="12" xfId="0" applyFont="1" applyFill="1" applyBorder="1" applyAlignment="1">
      <alignment horizontal="center" vertical="center" wrapText="1"/>
    </xf>
    <xf numFmtId="176" fontId="36" fillId="0" borderId="20" xfId="0" applyNumberFormat="1" applyFont="1" applyFill="1" applyBorder="1" applyAlignment="1">
      <alignment horizontal="center" vertical="center"/>
    </xf>
    <xf numFmtId="176" fontId="36" fillId="0" borderId="21" xfId="0" applyNumberFormat="1"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21" xfId="0" applyFont="1" applyFill="1" applyBorder="1" applyAlignment="1">
      <alignment horizontal="center" vertical="center" wrapText="1"/>
    </xf>
    <xf numFmtId="176" fontId="31" fillId="0" borderId="1" xfId="0" applyNumberFormat="1" applyFont="1" applyFill="1" applyBorder="1" applyAlignment="1">
      <alignment vertical="center"/>
    </xf>
    <xf numFmtId="0" fontId="5" fillId="0" borderId="0" xfId="0" applyFont="1" applyFill="1" applyAlignment="1">
      <alignment vertical="center" wrapText="1"/>
    </xf>
    <xf numFmtId="0" fontId="5" fillId="0" borderId="0" xfId="0" applyFont="1" applyFill="1" applyAlignment="1">
      <alignment vertical="center"/>
    </xf>
    <xf numFmtId="10" fontId="5" fillId="0" borderId="0" xfId="0" applyNumberFormat="1" applyFont="1" applyFill="1" applyAlignment="1">
      <alignment vertical="center"/>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33" fillId="0" borderId="0" xfId="3" applyNumberFormat="1" applyFont="1" applyFill="1" applyAlignment="1">
      <alignment horizontal="center" vertical="center"/>
    </xf>
    <xf numFmtId="0" fontId="33" fillId="0" borderId="0" xfId="0" applyFont="1" applyFill="1" applyAlignment="1">
      <alignment horizontal="center" vertical="center"/>
    </xf>
    <xf numFmtId="176" fontId="34" fillId="0" borderId="1" xfId="3" applyNumberFormat="1" applyFont="1" applyFill="1" applyBorder="1" applyAlignment="1">
      <alignment horizontal="center" vertical="center" wrapText="1"/>
    </xf>
    <xf numFmtId="9" fontId="37" fillId="0" borderId="1" xfId="3" applyNumberFormat="1" applyFont="1" applyFill="1" applyBorder="1" applyAlignment="1">
      <alignment horizontal="center" vertical="center" wrapText="1"/>
    </xf>
    <xf numFmtId="176" fontId="36" fillId="0" borderId="12" xfId="0" applyNumberFormat="1" applyFont="1" applyFill="1" applyBorder="1" applyAlignment="1">
      <alignment horizontal="center" vertical="center"/>
    </xf>
    <xf numFmtId="0" fontId="31" fillId="0" borderId="1" xfId="0" applyFont="1" applyFill="1" applyBorder="1" applyAlignment="1">
      <alignment vertical="center"/>
    </xf>
    <xf numFmtId="9" fontId="36" fillId="0" borderId="1" xfId="3" applyFont="1" applyFill="1" applyBorder="1" applyAlignment="1">
      <alignment horizontal="center" vertical="center"/>
    </xf>
    <xf numFmtId="176" fontId="36" fillId="0" borderId="0" xfId="0" applyNumberFormat="1" applyFont="1" applyFill="1" applyBorder="1" applyAlignment="1">
      <alignment horizontal="center" vertical="center"/>
    </xf>
    <xf numFmtId="0" fontId="5" fillId="0" borderId="0" xfId="0" applyFont="1" applyFill="1" applyAlignment="1">
      <alignment horizontal="center" vertical="center"/>
    </xf>
    <xf numFmtId="176" fontId="5" fillId="0" borderId="0" xfId="3" applyNumberFormat="1" applyFont="1" applyFill="1" applyAlignment="1">
      <alignment horizontal="center" vertical="center"/>
    </xf>
    <xf numFmtId="10" fontId="5" fillId="0" borderId="0" xfId="0" applyNumberFormat="1" applyFont="1" applyFill="1" applyAlignment="1">
      <alignment horizontal="left" vertical="center" wrapText="1"/>
    </xf>
    <xf numFmtId="0" fontId="5" fillId="0" borderId="0" xfId="0" applyFont="1" applyFill="1" applyAlignment="1">
      <alignment horizontal="lef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2 2" xfId="49"/>
    <cellStyle name="常规 7 3"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 name="常规 2 3" xfId="82"/>
    <cellStyle name="常规 2 2 2" xfId="83"/>
    <cellStyle name="常规_Sheet2" xfId="84"/>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2" Type="http://schemas.openxmlformats.org/officeDocument/2006/relationships/image" Target="../media/image24.png"/><Relationship Id="rId21" Type="http://schemas.openxmlformats.org/officeDocument/2006/relationships/image" Target="../media/image23.png"/><Relationship Id="rId20" Type="http://schemas.openxmlformats.org/officeDocument/2006/relationships/image" Target="../media/image22.png"/><Relationship Id="rId2" Type="http://schemas.openxmlformats.org/officeDocument/2006/relationships/image" Target="../media/image4.png"/><Relationship Id="rId19" Type="http://schemas.openxmlformats.org/officeDocument/2006/relationships/image" Target="../media/image21.png"/><Relationship Id="rId18" Type="http://schemas.openxmlformats.org/officeDocument/2006/relationships/image" Target="../media/image20.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png"/><Relationship Id="rId7" Type="http://schemas.openxmlformats.org/officeDocument/2006/relationships/image" Target="../media/image31.png"/><Relationship Id="rId6" Type="http://schemas.openxmlformats.org/officeDocument/2006/relationships/image" Target="../media/image30.png"/><Relationship Id="rId5" Type="http://schemas.openxmlformats.org/officeDocument/2006/relationships/image" Target="../media/image29.png"/><Relationship Id="rId48" Type="http://schemas.openxmlformats.org/officeDocument/2006/relationships/image" Target="../media/image72.png"/><Relationship Id="rId47" Type="http://schemas.openxmlformats.org/officeDocument/2006/relationships/image" Target="../media/image71.png"/><Relationship Id="rId46" Type="http://schemas.openxmlformats.org/officeDocument/2006/relationships/image" Target="../media/image70.png"/><Relationship Id="rId45" Type="http://schemas.openxmlformats.org/officeDocument/2006/relationships/image" Target="../media/image69.png"/><Relationship Id="rId44" Type="http://schemas.openxmlformats.org/officeDocument/2006/relationships/image" Target="../media/image68.png"/><Relationship Id="rId43" Type="http://schemas.openxmlformats.org/officeDocument/2006/relationships/image" Target="../media/image67.png"/><Relationship Id="rId42" Type="http://schemas.openxmlformats.org/officeDocument/2006/relationships/image" Target="../media/image66.png"/><Relationship Id="rId41" Type="http://schemas.openxmlformats.org/officeDocument/2006/relationships/image" Target="../media/image65.png"/><Relationship Id="rId40" Type="http://schemas.openxmlformats.org/officeDocument/2006/relationships/image" Target="../media/image64.png"/><Relationship Id="rId4" Type="http://schemas.openxmlformats.org/officeDocument/2006/relationships/image" Target="../media/image28.png"/><Relationship Id="rId39" Type="http://schemas.openxmlformats.org/officeDocument/2006/relationships/image" Target="../media/image63.png"/><Relationship Id="rId38" Type="http://schemas.openxmlformats.org/officeDocument/2006/relationships/image" Target="../media/image62.png"/><Relationship Id="rId37" Type="http://schemas.openxmlformats.org/officeDocument/2006/relationships/image" Target="../media/image61.png"/><Relationship Id="rId36" Type="http://schemas.openxmlformats.org/officeDocument/2006/relationships/image" Target="../media/image60.png"/><Relationship Id="rId35" Type="http://schemas.openxmlformats.org/officeDocument/2006/relationships/image" Target="../media/image59.png"/><Relationship Id="rId34" Type="http://schemas.openxmlformats.org/officeDocument/2006/relationships/image" Target="../media/image58.png"/><Relationship Id="rId33" Type="http://schemas.openxmlformats.org/officeDocument/2006/relationships/image" Target="../media/image57.png"/><Relationship Id="rId32" Type="http://schemas.openxmlformats.org/officeDocument/2006/relationships/image" Target="../media/image56.png"/><Relationship Id="rId31" Type="http://schemas.openxmlformats.org/officeDocument/2006/relationships/image" Target="../media/image55.png"/><Relationship Id="rId30" Type="http://schemas.openxmlformats.org/officeDocument/2006/relationships/image" Target="../media/image54.png"/><Relationship Id="rId3" Type="http://schemas.openxmlformats.org/officeDocument/2006/relationships/image" Target="../media/image27.png"/><Relationship Id="rId29" Type="http://schemas.openxmlformats.org/officeDocument/2006/relationships/image" Target="../media/image53.png"/><Relationship Id="rId28" Type="http://schemas.openxmlformats.org/officeDocument/2006/relationships/image" Target="../media/image52.png"/><Relationship Id="rId27" Type="http://schemas.openxmlformats.org/officeDocument/2006/relationships/image" Target="../media/image51.png"/><Relationship Id="rId26" Type="http://schemas.openxmlformats.org/officeDocument/2006/relationships/image" Target="../media/image50.png"/><Relationship Id="rId25" Type="http://schemas.openxmlformats.org/officeDocument/2006/relationships/image" Target="../media/image49.png"/><Relationship Id="rId24" Type="http://schemas.openxmlformats.org/officeDocument/2006/relationships/image" Target="../media/image48.png"/><Relationship Id="rId23" Type="http://schemas.openxmlformats.org/officeDocument/2006/relationships/image" Target="../media/image47.png"/><Relationship Id="rId22" Type="http://schemas.openxmlformats.org/officeDocument/2006/relationships/image" Target="../media/image46.png"/><Relationship Id="rId21" Type="http://schemas.openxmlformats.org/officeDocument/2006/relationships/image" Target="../media/image45.png"/><Relationship Id="rId20" Type="http://schemas.openxmlformats.org/officeDocument/2006/relationships/image" Target="../media/image44.png"/><Relationship Id="rId2" Type="http://schemas.openxmlformats.org/officeDocument/2006/relationships/image" Target="../media/image26.png"/><Relationship Id="rId19" Type="http://schemas.openxmlformats.org/officeDocument/2006/relationships/image" Target="../media/image43.png"/><Relationship Id="rId18" Type="http://schemas.openxmlformats.org/officeDocument/2006/relationships/image" Target="../media/image42.png"/><Relationship Id="rId17" Type="http://schemas.openxmlformats.org/officeDocument/2006/relationships/image" Target="../media/image41.png"/><Relationship Id="rId16" Type="http://schemas.openxmlformats.org/officeDocument/2006/relationships/image" Target="../media/image40.png"/><Relationship Id="rId15" Type="http://schemas.openxmlformats.org/officeDocument/2006/relationships/image" Target="../media/image39.png"/><Relationship Id="rId14" Type="http://schemas.openxmlformats.org/officeDocument/2006/relationships/image" Target="../media/image38.png"/><Relationship Id="rId13" Type="http://schemas.openxmlformats.org/officeDocument/2006/relationships/image" Target="../media/image37.png"/><Relationship Id="rId12" Type="http://schemas.openxmlformats.org/officeDocument/2006/relationships/image" Target="../media/image36.png"/><Relationship Id="rId11" Type="http://schemas.openxmlformats.org/officeDocument/2006/relationships/image" Target="../media/image35.png"/><Relationship Id="rId10" Type="http://schemas.openxmlformats.org/officeDocument/2006/relationships/image" Target="../media/image34.png"/><Relationship Id="rId1" Type="http://schemas.openxmlformats.org/officeDocument/2006/relationships/image" Target="../media/image2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203200</xdr:colOff>
      <xdr:row>3</xdr:row>
      <xdr:rowOff>95250</xdr:rowOff>
    </xdr:from>
    <xdr:to>
      <xdr:col>3</xdr:col>
      <xdr:colOff>1455420</xdr:colOff>
      <xdr:row>3</xdr:row>
      <xdr:rowOff>861695</xdr:rowOff>
    </xdr:to>
    <xdr:pic>
      <xdr:nvPicPr>
        <xdr:cNvPr id="2" name="图片 1"/>
        <xdr:cNvPicPr>
          <a:picLocks noChangeAspect="1"/>
        </xdr:cNvPicPr>
      </xdr:nvPicPr>
      <xdr:blipFill>
        <a:blip r:embed="rId1"/>
        <a:stretch>
          <a:fillRect/>
        </a:stretch>
      </xdr:blipFill>
      <xdr:spPr>
        <a:xfrm>
          <a:off x="2138045" y="1352550"/>
          <a:ext cx="1252220" cy="766445"/>
        </a:xfrm>
        <a:prstGeom prst="rect">
          <a:avLst/>
        </a:prstGeom>
        <a:noFill/>
        <a:ln w="9525">
          <a:noFill/>
        </a:ln>
      </xdr:spPr>
    </xdr:pic>
    <xdr:clientData/>
  </xdr:twoCellAnchor>
  <xdr:twoCellAnchor editAs="oneCell">
    <xdr:from>
      <xdr:col>3</xdr:col>
      <xdr:colOff>107315</xdr:colOff>
      <xdr:row>4</xdr:row>
      <xdr:rowOff>283210</xdr:rowOff>
    </xdr:from>
    <xdr:to>
      <xdr:col>3</xdr:col>
      <xdr:colOff>1624965</xdr:colOff>
      <xdr:row>4</xdr:row>
      <xdr:rowOff>1042670</xdr:rowOff>
    </xdr:to>
    <xdr:pic>
      <xdr:nvPicPr>
        <xdr:cNvPr id="3" name="图片 2"/>
        <xdr:cNvPicPr>
          <a:picLocks noChangeAspect="1"/>
        </xdr:cNvPicPr>
      </xdr:nvPicPr>
      <xdr:blipFill>
        <a:blip r:embed="rId2"/>
        <a:stretch>
          <a:fillRect/>
        </a:stretch>
      </xdr:blipFill>
      <xdr:spPr>
        <a:xfrm>
          <a:off x="2042160" y="2467610"/>
          <a:ext cx="1517650" cy="759460"/>
        </a:xfrm>
        <a:prstGeom prst="rect">
          <a:avLst/>
        </a:prstGeom>
        <a:noFill/>
        <a:ln w="9525">
          <a:noFill/>
        </a:ln>
      </xdr:spPr>
    </xdr:pic>
    <xdr:clientData/>
  </xdr:twoCellAnchor>
  <xdr:twoCellAnchor editAs="oneCell">
    <xdr:from>
      <xdr:col>3</xdr:col>
      <xdr:colOff>153670</xdr:colOff>
      <xdr:row>7</xdr:row>
      <xdr:rowOff>401955</xdr:rowOff>
    </xdr:from>
    <xdr:to>
      <xdr:col>3</xdr:col>
      <xdr:colOff>1576070</xdr:colOff>
      <xdr:row>7</xdr:row>
      <xdr:rowOff>1024890</xdr:rowOff>
    </xdr:to>
    <xdr:pic>
      <xdr:nvPicPr>
        <xdr:cNvPr id="4" name="图片 3"/>
        <xdr:cNvPicPr>
          <a:picLocks noChangeAspect="1"/>
        </xdr:cNvPicPr>
      </xdr:nvPicPr>
      <xdr:blipFill>
        <a:blip r:embed="rId3"/>
        <a:stretch>
          <a:fillRect/>
        </a:stretch>
      </xdr:blipFill>
      <xdr:spPr>
        <a:xfrm>
          <a:off x="2088515" y="6396355"/>
          <a:ext cx="1422400" cy="622935"/>
        </a:xfrm>
        <a:prstGeom prst="rect">
          <a:avLst/>
        </a:prstGeom>
        <a:noFill/>
        <a:ln w="9525">
          <a:noFill/>
        </a:ln>
      </xdr:spPr>
    </xdr:pic>
    <xdr:clientData/>
  </xdr:twoCellAnchor>
  <xdr:twoCellAnchor editAs="oneCell">
    <xdr:from>
      <xdr:col>3</xdr:col>
      <xdr:colOff>61595</xdr:colOff>
      <xdr:row>8</xdr:row>
      <xdr:rowOff>154940</xdr:rowOff>
    </xdr:from>
    <xdr:to>
      <xdr:col>3</xdr:col>
      <xdr:colOff>1664335</xdr:colOff>
      <xdr:row>8</xdr:row>
      <xdr:rowOff>1227455</xdr:rowOff>
    </xdr:to>
    <xdr:pic>
      <xdr:nvPicPr>
        <xdr:cNvPr id="5" name="图片 4"/>
        <xdr:cNvPicPr>
          <a:picLocks noChangeAspect="1"/>
        </xdr:cNvPicPr>
      </xdr:nvPicPr>
      <xdr:blipFill>
        <a:blip r:embed="rId4"/>
        <a:stretch>
          <a:fillRect/>
        </a:stretch>
      </xdr:blipFill>
      <xdr:spPr>
        <a:xfrm>
          <a:off x="1996440" y="7470140"/>
          <a:ext cx="1602740" cy="1072515"/>
        </a:xfrm>
        <a:prstGeom prst="rect">
          <a:avLst/>
        </a:prstGeom>
        <a:noFill/>
        <a:ln w="9525">
          <a:noFill/>
        </a:ln>
      </xdr:spPr>
    </xdr:pic>
    <xdr:clientData/>
  </xdr:twoCellAnchor>
  <xdr:twoCellAnchor editAs="oneCell">
    <xdr:from>
      <xdr:col>3</xdr:col>
      <xdr:colOff>396240</xdr:colOff>
      <xdr:row>13</xdr:row>
      <xdr:rowOff>146050</xdr:rowOff>
    </xdr:from>
    <xdr:to>
      <xdr:col>3</xdr:col>
      <xdr:colOff>1304290</xdr:colOff>
      <xdr:row>13</xdr:row>
      <xdr:rowOff>1609090</xdr:rowOff>
    </xdr:to>
    <xdr:pic>
      <xdr:nvPicPr>
        <xdr:cNvPr id="6" name="图片 5"/>
        <xdr:cNvPicPr>
          <a:picLocks noChangeAspect="1"/>
        </xdr:cNvPicPr>
      </xdr:nvPicPr>
      <xdr:blipFill>
        <a:blip r:embed="rId5"/>
        <a:stretch>
          <a:fillRect/>
        </a:stretch>
      </xdr:blipFill>
      <xdr:spPr>
        <a:xfrm>
          <a:off x="2331085" y="15487650"/>
          <a:ext cx="908050" cy="1463040"/>
        </a:xfrm>
        <a:prstGeom prst="rect">
          <a:avLst/>
        </a:prstGeom>
        <a:noFill/>
        <a:ln w="9525">
          <a:noFill/>
        </a:ln>
      </xdr:spPr>
    </xdr:pic>
    <xdr:clientData/>
  </xdr:twoCellAnchor>
  <xdr:twoCellAnchor editAs="oneCell">
    <xdr:from>
      <xdr:col>3</xdr:col>
      <xdr:colOff>585470</xdr:colOff>
      <xdr:row>9</xdr:row>
      <xdr:rowOff>61595</xdr:rowOff>
    </xdr:from>
    <xdr:to>
      <xdr:col>3</xdr:col>
      <xdr:colOff>1148080</xdr:colOff>
      <xdr:row>9</xdr:row>
      <xdr:rowOff>1602105</xdr:rowOff>
    </xdr:to>
    <xdr:pic>
      <xdr:nvPicPr>
        <xdr:cNvPr id="7" name="图片 6"/>
        <xdr:cNvPicPr>
          <a:picLocks noChangeAspect="1"/>
        </xdr:cNvPicPr>
      </xdr:nvPicPr>
      <xdr:blipFill>
        <a:blip r:embed="rId6"/>
        <a:stretch>
          <a:fillRect/>
        </a:stretch>
      </xdr:blipFill>
      <xdr:spPr>
        <a:xfrm>
          <a:off x="2520315" y="8697595"/>
          <a:ext cx="562610" cy="1540510"/>
        </a:xfrm>
        <a:prstGeom prst="rect">
          <a:avLst/>
        </a:prstGeom>
        <a:noFill/>
        <a:ln w="9525">
          <a:noFill/>
        </a:ln>
      </xdr:spPr>
    </xdr:pic>
    <xdr:clientData/>
  </xdr:twoCellAnchor>
  <xdr:twoCellAnchor editAs="oneCell">
    <xdr:from>
      <xdr:col>3</xdr:col>
      <xdr:colOff>328295</xdr:colOff>
      <xdr:row>11</xdr:row>
      <xdr:rowOff>93345</xdr:rowOff>
    </xdr:from>
    <xdr:to>
      <xdr:col>3</xdr:col>
      <xdr:colOff>1373505</xdr:colOff>
      <xdr:row>11</xdr:row>
      <xdr:rowOff>1611630</xdr:rowOff>
    </xdr:to>
    <xdr:pic>
      <xdr:nvPicPr>
        <xdr:cNvPr id="8" name="图片 7"/>
        <xdr:cNvPicPr>
          <a:picLocks noChangeAspect="1"/>
        </xdr:cNvPicPr>
      </xdr:nvPicPr>
      <xdr:blipFill>
        <a:blip r:embed="rId7"/>
        <a:stretch>
          <a:fillRect/>
        </a:stretch>
      </xdr:blipFill>
      <xdr:spPr>
        <a:xfrm>
          <a:off x="2263140" y="12082145"/>
          <a:ext cx="1045210" cy="1518285"/>
        </a:xfrm>
        <a:prstGeom prst="rect">
          <a:avLst/>
        </a:prstGeom>
        <a:noFill/>
        <a:ln w="9525">
          <a:noFill/>
        </a:ln>
      </xdr:spPr>
    </xdr:pic>
    <xdr:clientData/>
  </xdr:twoCellAnchor>
  <xdr:twoCellAnchor editAs="oneCell">
    <xdr:from>
      <xdr:col>3</xdr:col>
      <xdr:colOff>76200</xdr:colOff>
      <xdr:row>10</xdr:row>
      <xdr:rowOff>421005</xdr:rowOff>
    </xdr:from>
    <xdr:to>
      <xdr:col>3</xdr:col>
      <xdr:colOff>1650365</xdr:colOff>
      <xdr:row>10</xdr:row>
      <xdr:rowOff>1412875</xdr:rowOff>
    </xdr:to>
    <xdr:pic>
      <xdr:nvPicPr>
        <xdr:cNvPr id="9" name="图片 8"/>
        <xdr:cNvPicPr>
          <a:picLocks noChangeAspect="1"/>
        </xdr:cNvPicPr>
      </xdr:nvPicPr>
      <xdr:blipFill>
        <a:blip r:embed="rId8"/>
        <a:stretch>
          <a:fillRect/>
        </a:stretch>
      </xdr:blipFill>
      <xdr:spPr>
        <a:xfrm>
          <a:off x="2011045" y="10733405"/>
          <a:ext cx="1574165" cy="991870"/>
        </a:xfrm>
        <a:prstGeom prst="rect">
          <a:avLst/>
        </a:prstGeom>
        <a:noFill/>
        <a:ln w="9525">
          <a:noFill/>
        </a:ln>
      </xdr:spPr>
    </xdr:pic>
    <xdr:clientData/>
  </xdr:twoCellAnchor>
  <xdr:twoCellAnchor editAs="oneCell">
    <xdr:from>
      <xdr:col>3</xdr:col>
      <xdr:colOff>342900</xdr:colOff>
      <xdr:row>5</xdr:row>
      <xdr:rowOff>118110</xdr:rowOff>
    </xdr:from>
    <xdr:to>
      <xdr:col>3</xdr:col>
      <xdr:colOff>1267460</xdr:colOff>
      <xdr:row>5</xdr:row>
      <xdr:rowOff>1166495</xdr:rowOff>
    </xdr:to>
    <xdr:pic>
      <xdr:nvPicPr>
        <xdr:cNvPr id="10" name="图片 9"/>
        <xdr:cNvPicPr>
          <a:picLocks noChangeAspect="1"/>
        </xdr:cNvPicPr>
      </xdr:nvPicPr>
      <xdr:blipFill>
        <a:blip r:embed="rId9"/>
        <a:stretch>
          <a:fillRect/>
        </a:stretch>
      </xdr:blipFill>
      <xdr:spPr>
        <a:xfrm>
          <a:off x="2277745" y="3572510"/>
          <a:ext cx="924560" cy="1048385"/>
        </a:xfrm>
        <a:prstGeom prst="rect">
          <a:avLst/>
        </a:prstGeom>
        <a:noFill/>
        <a:ln w="9525">
          <a:noFill/>
        </a:ln>
      </xdr:spPr>
    </xdr:pic>
    <xdr:clientData/>
  </xdr:twoCellAnchor>
  <xdr:twoCellAnchor editAs="oneCell">
    <xdr:from>
      <xdr:col>3</xdr:col>
      <xdr:colOff>310515</xdr:colOff>
      <xdr:row>6</xdr:row>
      <xdr:rowOff>140970</xdr:rowOff>
    </xdr:from>
    <xdr:to>
      <xdr:col>3</xdr:col>
      <xdr:colOff>1386840</xdr:colOff>
      <xdr:row>6</xdr:row>
      <xdr:rowOff>1193165</xdr:rowOff>
    </xdr:to>
    <xdr:pic>
      <xdr:nvPicPr>
        <xdr:cNvPr id="11" name="图片 10"/>
        <xdr:cNvPicPr>
          <a:picLocks noChangeAspect="1"/>
        </xdr:cNvPicPr>
      </xdr:nvPicPr>
      <xdr:blipFill>
        <a:blip r:embed="rId10"/>
        <a:stretch>
          <a:fillRect/>
        </a:stretch>
      </xdr:blipFill>
      <xdr:spPr>
        <a:xfrm>
          <a:off x="2245360" y="4865370"/>
          <a:ext cx="1076325" cy="1052195"/>
        </a:xfrm>
        <a:prstGeom prst="rect">
          <a:avLst/>
        </a:prstGeom>
        <a:noFill/>
        <a:ln w="9525">
          <a:noFill/>
        </a:ln>
      </xdr:spPr>
    </xdr:pic>
    <xdr:clientData/>
  </xdr:twoCellAnchor>
  <xdr:twoCellAnchor editAs="oneCell">
    <xdr:from>
      <xdr:col>3</xdr:col>
      <xdr:colOff>343535</xdr:colOff>
      <xdr:row>12</xdr:row>
      <xdr:rowOff>95885</xdr:rowOff>
    </xdr:from>
    <xdr:to>
      <xdr:col>3</xdr:col>
      <xdr:colOff>1376045</xdr:colOff>
      <xdr:row>12</xdr:row>
      <xdr:rowOff>1515110</xdr:rowOff>
    </xdr:to>
    <xdr:pic>
      <xdr:nvPicPr>
        <xdr:cNvPr id="12" name="图片 11"/>
        <xdr:cNvPicPr>
          <a:picLocks noChangeAspect="1"/>
        </xdr:cNvPicPr>
      </xdr:nvPicPr>
      <xdr:blipFill>
        <a:blip r:embed="rId11"/>
        <a:stretch>
          <a:fillRect/>
        </a:stretch>
      </xdr:blipFill>
      <xdr:spPr>
        <a:xfrm>
          <a:off x="2278380" y="13761085"/>
          <a:ext cx="1032510" cy="1419225"/>
        </a:xfrm>
        <a:prstGeom prst="rect">
          <a:avLst/>
        </a:prstGeom>
        <a:noFill/>
        <a:ln w="9525">
          <a:noFill/>
        </a:ln>
      </xdr:spPr>
    </xdr:pic>
    <xdr:clientData/>
  </xdr:twoCellAnchor>
  <xdr:twoCellAnchor editAs="oneCell">
    <xdr:from>
      <xdr:col>3</xdr:col>
      <xdr:colOff>242570</xdr:colOff>
      <xdr:row>14</xdr:row>
      <xdr:rowOff>217805</xdr:rowOff>
    </xdr:from>
    <xdr:to>
      <xdr:col>3</xdr:col>
      <xdr:colOff>1282065</xdr:colOff>
      <xdr:row>14</xdr:row>
      <xdr:rowOff>1588770</xdr:rowOff>
    </xdr:to>
    <xdr:pic>
      <xdr:nvPicPr>
        <xdr:cNvPr id="13" name="图片 12"/>
        <xdr:cNvPicPr>
          <a:picLocks noChangeAspect="1"/>
        </xdr:cNvPicPr>
      </xdr:nvPicPr>
      <xdr:blipFill>
        <a:blip r:embed="rId12"/>
        <a:stretch>
          <a:fillRect/>
        </a:stretch>
      </xdr:blipFill>
      <xdr:spPr>
        <a:xfrm>
          <a:off x="2177415" y="17235805"/>
          <a:ext cx="1039495" cy="1370965"/>
        </a:xfrm>
        <a:prstGeom prst="rect">
          <a:avLst/>
        </a:prstGeom>
        <a:noFill/>
        <a:ln w="9525">
          <a:noFill/>
        </a:ln>
      </xdr:spPr>
    </xdr:pic>
    <xdr:clientData/>
  </xdr:twoCellAnchor>
  <xdr:twoCellAnchor editAs="oneCell">
    <xdr:from>
      <xdr:col>3</xdr:col>
      <xdr:colOff>381000</xdr:colOff>
      <xdr:row>15</xdr:row>
      <xdr:rowOff>172085</xdr:rowOff>
    </xdr:from>
    <xdr:to>
      <xdr:col>3</xdr:col>
      <xdr:colOff>1190625</xdr:colOff>
      <xdr:row>15</xdr:row>
      <xdr:rowOff>1582420</xdr:rowOff>
    </xdr:to>
    <xdr:pic>
      <xdr:nvPicPr>
        <xdr:cNvPr id="14" name="图片 13"/>
        <xdr:cNvPicPr>
          <a:picLocks noChangeAspect="1"/>
        </xdr:cNvPicPr>
      </xdr:nvPicPr>
      <xdr:blipFill>
        <a:blip r:embed="rId13"/>
        <a:stretch>
          <a:fillRect/>
        </a:stretch>
      </xdr:blipFill>
      <xdr:spPr>
        <a:xfrm>
          <a:off x="2315845" y="18866485"/>
          <a:ext cx="809625" cy="1410335"/>
        </a:xfrm>
        <a:prstGeom prst="rect">
          <a:avLst/>
        </a:prstGeom>
        <a:noFill/>
        <a:ln w="9525">
          <a:noFill/>
        </a:ln>
      </xdr:spPr>
    </xdr:pic>
    <xdr:clientData/>
  </xdr:twoCellAnchor>
  <xdr:twoCellAnchor editAs="oneCell">
    <xdr:from>
      <xdr:col>3</xdr:col>
      <xdr:colOff>233045</xdr:colOff>
      <xdr:row>16</xdr:row>
      <xdr:rowOff>135890</xdr:rowOff>
    </xdr:from>
    <xdr:to>
      <xdr:col>3</xdr:col>
      <xdr:colOff>1369695</xdr:colOff>
      <xdr:row>16</xdr:row>
      <xdr:rowOff>1507490</xdr:rowOff>
    </xdr:to>
    <xdr:pic>
      <xdr:nvPicPr>
        <xdr:cNvPr id="15" name="图片 14"/>
        <xdr:cNvPicPr>
          <a:picLocks noChangeAspect="1"/>
        </xdr:cNvPicPr>
      </xdr:nvPicPr>
      <xdr:blipFill>
        <a:blip r:embed="rId14"/>
        <a:stretch>
          <a:fillRect/>
        </a:stretch>
      </xdr:blipFill>
      <xdr:spPr>
        <a:xfrm>
          <a:off x="2167890" y="20506690"/>
          <a:ext cx="1136650" cy="1371600"/>
        </a:xfrm>
        <a:prstGeom prst="rect">
          <a:avLst/>
        </a:prstGeom>
        <a:noFill/>
        <a:ln w="9525">
          <a:noFill/>
        </a:ln>
      </xdr:spPr>
    </xdr:pic>
    <xdr:clientData/>
  </xdr:twoCellAnchor>
  <xdr:twoCellAnchor editAs="oneCell">
    <xdr:from>
      <xdr:col>3</xdr:col>
      <xdr:colOff>86995</xdr:colOff>
      <xdr:row>19</xdr:row>
      <xdr:rowOff>39370</xdr:rowOff>
    </xdr:from>
    <xdr:to>
      <xdr:col>3</xdr:col>
      <xdr:colOff>1612265</xdr:colOff>
      <xdr:row>19</xdr:row>
      <xdr:rowOff>558165</xdr:rowOff>
    </xdr:to>
    <xdr:pic>
      <xdr:nvPicPr>
        <xdr:cNvPr id="16" name="图片 15"/>
        <xdr:cNvPicPr>
          <a:picLocks noChangeAspect="1"/>
        </xdr:cNvPicPr>
      </xdr:nvPicPr>
      <xdr:blipFill>
        <a:blip r:embed="rId15"/>
        <a:stretch>
          <a:fillRect/>
        </a:stretch>
      </xdr:blipFill>
      <xdr:spPr>
        <a:xfrm>
          <a:off x="2021840" y="25439370"/>
          <a:ext cx="1525270" cy="518795"/>
        </a:xfrm>
        <a:prstGeom prst="rect">
          <a:avLst/>
        </a:prstGeom>
        <a:noFill/>
        <a:ln w="9525">
          <a:noFill/>
        </a:ln>
      </xdr:spPr>
    </xdr:pic>
    <xdr:clientData/>
  </xdr:twoCellAnchor>
  <xdr:twoCellAnchor editAs="oneCell">
    <xdr:from>
      <xdr:col>3</xdr:col>
      <xdr:colOff>314960</xdr:colOff>
      <xdr:row>20</xdr:row>
      <xdr:rowOff>54610</xdr:rowOff>
    </xdr:from>
    <xdr:to>
      <xdr:col>3</xdr:col>
      <xdr:colOff>1301750</xdr:colOff>
      <xdr:row>20</xdr:row>
      <xdr:rowOff>1162050</xdr:rowOff>
    </xdr:to>
    <xdr:pic>
      <xdr:nvPicPr>
        <xdr:cNvPr id="17" name="图片 16"/>
        <xdr:cNvPicPr>
          <a:picLocks noChangeAspect="1"/>
        </xdr:cNvPicPr>
      </xdr:nvPicPr>
      <xdr:blipFill>
        <a:blip r:embed="rId16"/>
        <a:stretch>
          <a:fillRect/>
        </a:stretch>
      </xdr:blipFill>
      <xdr:spPr>
        <a:xfrm>
          <a:off x="2249805" y="27016710"/>
          <a:ext cx="986790" cy="1107440"/>
        </a:xfrm>
        <a:prstGeom prst="rect">
          <a:avLst/>
        </a:prstGeom>
        <a:noFill/>
        <a:ln w="9525">
          <a:noFill/>
        </a:ln>
      </xdr:spPr>
    </xdr:pic>
    <xdr:clientData/>
  </xdr:twoCellAnchor>
  <xdr:twoCellAnchor>
    <xdr:from>
      <xdr:col>3</xdr:col>
      <xdr:colOff>91440</xdr:colOff>
      <xdr:row>18</xdr:row>
      <xdr:rowOff>98425</xdr:rowOff>
    </xdr:from>
    <xdr:to>
      <xdr:col>3</xdr:col>
      <xdr:colOff>1271905</xdr:colOff>
      <xdr:row>18</xdr:row>
      <xdr:rowOff>782955</xdr:rowOff>
    </xdr:to>
    <xdr:pic>
      <xdr:nvPicPr>
        <xdr:cNvPr id="18" name="图片 14"/>
        <xdr:cNvPicPr>
          <a:picLocks noChangeAspect="1"/>
        </xdr:cNvPicPr>
      </xdr:nvPicPr>
      <xdr:blipFill>
        <a:blip r:embed="rId17"/>
        <a:stretch>
          <a:fillRect/>
        </a:stretch>
      </xdr:blipFill>
      <xdr:spPr>
        <a:xfrm>
          <a:off x="2026285" y="23822025"/>
          <a:ext cx="1180465" cy="684530"/>
        </a:xfrm>
        <a:prstGeom prst="rect">
          <a:avLst/>
        </a:prstGeom>
        <a:noFill/>
        <a:ln w="9525">
          <a:noFill/>
        </a:ln>
      </xdr:spPr>
    </xdr:pic>
    <xdr:clientData/>
  </xdr:twoCellAnchor>
  <xdr:twoCellAnchor editAs="oneCell">
    <xdr:from>
      <xdr:col>3</xdr:col>
      <xdr:colOff>81915</xdr:colOff>
      <xdr:row>18</xdr:row>
      <xdr:rowOff>815340</xdr:rowOff>
    </xdr:from>
    <xdr:to>
      <xdr:col>3</xdr:col>
      <xdr:colOff>1082675</xdr:colOff>
      <xdr:row>18</xdr:row>
      <xdr:rowOff>1641475</xdr:rowOff>
    </xdr:to>
    <xdr:pic>
      <xdr:nvPicPr>
        <xdr:cNvPr id="19" name="图片 18"/>
        <xdr:cNvPicPr>
          <a:picLocks noChangeAspect="1"/>
        </xdr:cNvPicPr>
      </xdr:nvPicPr>
      <xdr:blipFill>
        <a:blip r:embed="rId18"/>
        <a:stretch>
          <a:fillRect/>
        </a:stretch>
      </xdr:blipFill>
      <xdr:spPr>
        <a:xfrm>
          <a:off x="2016760" y="24538940"/>
          <a:ext cx="1000760" cy="826135"/>
        </a:xfrm>
        <a:prstGeom prst="rect">
          <a:avLst/>
        </a:prstGeom>
        <a:noFill/>
        <a:ln w="9525">
          <a:noFill/>
        </a:ln>
      </xdr:spPr>
    </xdr:pic>
    <xdr:clientData/>
  </xdr:twoCellAnchor>
  <xdr:twoCellAnchor editAs="oneCell">
    <xdr:from>
      <xdr:col>3</xdr:col>
      <xdr:colOff>937895</xdr:colOff>
      <xdr:row>18</xdr:row>
      <xdr:rowOff>869950</xdr:rowOff>
    </xdr:from>
    <xdr:to>
      <xdr:col>3</xdr:col>
      <xdr:colOff>1659255</xdr:colOff>
      <xdr:row>18</xdr:row>
      <xdr:rowOff>1540510</xdr:rowOff>
    </xdr:to>
    <xdr:pic>
      <xdr:nvPicPr>
        <xdr:cNvPr id="20" name="图片 19"/>
        <xdr:cNvPicPr>
          <a:picLocks noChangeAspect="1"/>
        </xdr:cNvPicPr>
      </xdr:nvPicPr>
      <xdr:blipFill>
        <a:blip r:embed="rId19"/>
        <a:stretch>
          <a:fillRect/>
        </a:stretch>
      </xdr:blipFill>
      <xdr:spPr>
        <a:xfrm>
          <a:off x="2872740" y="24593550"/>
          <a:ext cx="721360" cy="670560"/>
        </a:xfrm>
        <a:prstGeom prst="rect">
          <a:avLst/>
        </a:prstGeom>
        <a:noFill/>
        <a:ln w="9525">
          <a:noFill/>
        </a:ln>
      </xdr:spPr>
    </xdr:pic>
    <xdr:clientData/>
  </xdr:twoCellAnchor>
  <xdr:twoCellAnchor editAs="oneCell">
    <xdr:from>
      <xdr:col>3</xdr:col>
      <xdr:colOff>867410</xdr:colOff>
      <xdr:row>19</xdr:row>
      <xdr:rowOff>629920</xdr:rowOff>
    </xdr:from>
    <xdr:to>
      <xdr:col>3</xdr:col>
      <xdr:colOff>1664335</xdr:colOff>
      <xdr:row>19</xdr:row>
      <xdr:rowOff>1476375</xdr:rowOff>
    </xdr:to>
    <xdr:pic>
      <xdr:nvPicPr>
        <xdr:cNvPr id="21" name="图片 20"/>
        <xdr:cNvPicPr>
          <a:picLocks noChangeAspect="1"/>
        </xdr:cNvPicPr>
      </xdr:nvPicPr>
      <xdr:blipFill>
        <a:blip r:embed="rId20"/>
        <a:stretch>
          <a:fillRect/>
        </a:stretch>
      </xdr:blipFill>
      <xdr:spPr>
        <a:xfrm>
          <a:off x="2802255" y="26029920"/>
          <a:ext cx="796925" cy="846455"/>
        </a:xfrm>
        <a:prstGeom prst="rect">
          <a:avLst/>
        </a:prstGeom>
        <a:noFill/>
        <a:ln w="9525">
          <a:noFill/>
        </a:ln>
      </xdr:spPr>
    </xdr:pic>
    <xdr:clientData/>
  </xdr:twoCellAnchor>
  <xdr:twoCellAnchor editAs="oneCell">
    <xdr:from>
      <xdr:col>3</xdr:col>
      <xdr:colOff>24765</xdr:colOff>
      <xdr:row>19</xdr:row>
      <xdr:rowOff>629920</xdr:rowOff>
    </xdr:from>
    <xdr:to>
      <xdr:col>3</xdr:col>
      <xdr:colOff>865505</xdr:colOff>
      <xdr:row>19</xdr:row>
      <xdr:rowOff>1381125</xdr:rowOff>
    </xdr:to>
    <xdr:pic>
      <xdr:nvPicPr>
        <xdr:cNvPr id="22" name="图片 21"/>
        <xdr:cNvPicPr>
          <a:picLocks noChangeAspect="1"/>
        </xdr:cNvPicPr>
      </xdr:nvPicPr>
      <xdr:blipFill>
        <a:blip r:embed="rId21"/>
        <a:stretch>
          <a:fillRect/>
        </a:stretch>
      </xdr:blipFill>
      <xdr:spPr>
        <a:xfrm>
          <a:off x="1959610" y="26029920"/>
          <a:ext cx="840740" cy="751205"/>
        </a:xfrm>
        <a:prstGeom prst="rect">
          <a:avLst/>
        </a:prstGeom>
        <a:noFill/>
        <a:ln w="9525">
          <a:noFill/>
        </a:ln>
      </xdr:spPr>
    </xdr:pic>
    <xdr:clientData/>
  </xdr:twoCellAnchor>
  <xdr:twoCellAnchor editAs="oneCell">
    <xdr:from>
      <xdr:col>3</xdr:col>
      <xdr:colOff>133350</xdr:colOff>
      <xdr:row>17</xdr:row>
      <xdr:rowOff>302895</xdr:rowOff>
    </xdr:from>
    <xdr:to>
      <xdr:col>3</xdr:col>
      <xdr:colOff>1577975</xdr:colOff>
      <xdr:row>17</xdr:row>
      <xdr:rowOff>1334770</xdr:rowOff>
    </xdr:to>
    <xdr:pic>
      <xdr:nvPicPr>
        <xdr:cNvPr id="23" name="图片 22"/>
        <xdr:cNvPicPr>
          <a:picLocks noChangeAspect="1"/>
        </xdr:cNvPicPr>
      </xdr:nvPicPr>
      <xdr:blipFill>
        <a:blip r:embed="rId22"/>
        <a:srcRect l="10705" r="9070"/>
        <a:stretch>
          <a:fillRect/>
        </a:stretch>
      </xdr:blipFill>
      <xdr:spPr>
        <a:xfrm>
          <a:off x="2068195" y="22350095"/>
          <a:ext cx="1444625" cy="103187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255905</xdr:colOff>
      <xdr:row>4</xdr:row>
      <xdr:rowOff>167640</xdr:rowOff>
    </xdr:from>
    <xdr:to>
      <xdr:col>3</xdr:col>
      <xdr:colOff>1443355</xdr:colOff>
      <xdr:row>4</xdr:row>
      <xdr:rowOff>1123315</xdr:rowOff>
    </xdr:to>
    <xdr:pic>
      <xdr:nvPicPr>
        <xdr:cNvPr id="2" name="图片 1"/>
        <xdr:cNvPicPr>
          <a:picLocks noChangeAspect="1"/>
        </xdr:cNvPicPr>
      </xdr:nvPicPr>
      <xdr:blipFill>
        <a:blip r:embed="rId1"/>
        <a:stretch>
          <a:fillRect/>
        </a:stretch>
      </xdr:blipFill>
      <xdr:spPr>
        <a:xfrm>
          <a:off x="1684655" y="2707640"/>
          <a:ext cx="1187450" cy="955675"/>
        </a:xfrm>
        <a:prstGeom prst="rect">
          <a:avLst/>
        </a:prstGeom>
        <a:noFill/>
        <a:ln w="9525">
          <a:noFill/>
        </a:ln>
      </xdr:spPr>
    </xdr:pic>
    <xdr:clientData/>
  </xdr:twoCellAnchor>
  <xdr:twoCellAnchor editAs="oneCell">
    <xdr:from>
      <xdr:col>3</xdr:col>
      <xdr:colOff>167640</xdr:colOff>
      <xdr:row>5</xdr:row>
      <xdr:rowOff>212090</xdr:rowOff>
    </xdr:from>
    <xdr:to>
      <xdr:col>3</xdr:col>
      <xdr:colOff>1602105</xdr:colOff>
      <xdr:row>5</xdr:row>
      <xdr:rowOff>1154430</xdr:rowOff>
    </xdr:to>
    <xdr:pic>
      <xdr:nvPicPr>
        <xdr:cNvPr id="3" name="图片 2"/>
        <xdr:cNvPicPr>
          <a:picLocks noChangeAspect="1"/>
        </xdr:cNvPicPr>
      </xdr:nvPicPr>
      <xdr:blipFill>
        <a:blip r:embed="rId2"/>
        <a:stretch>
          <a:fillRect/>
        </a:stretch>
      </xdr:blipFill>
      <xdr:spPr>
        <a:xfrm>
          <a:off x="1596390" y="4022090"/>
          <a:ext cx="1434465" cy="942340"/>
        </a:xfrm>
        <a:prstGeom prst="rect">
          <a:avLst/>
        </a:prstGeom>
        <a:noFill/>
        <a:ln w="9525">
          <a:noFill/>
        </a:ln>
      </xdr:spPr>
    </xdr:pic>
    <xdr:clientData/>
  </xdr:twoCellAnchor>
  <xdr:twoCellAnchor editAs="oneCell">
    <xdr:from>
      <xdr:col>3</xdr:col>
      <xdr:colOff>85090</xdr:colOff>
      <xdr:row>3</xdr:row>
      <xdr:rowOff>266700</xdr:rowOff>
    </xdr:from>
    <xdr:to>
      <xdr:col>3</xdr:col>
      <xdr:colOff>1597660</xdr:colOff>
      <xdr:row>3</xdr:row>
      <xdr:rowOff>961390</xdr:rowOff>
    </xdr:to>
    <xdr:pic>
      <xdr:nvPicPr>
        <xdr:cNvPr id="4" name="图片 3"/>
        <xdr:cNvPicPr>
          <a:picLocks noChangeAspect="1"/>
        </xdr:cNvPicPr>
      </xdr:nvPicPr>
      <xdr:blipFill>
        <a:blip r:embed="rId3"/>
        <a:stretch>
          <a:fillRect/>
        </a:stretch>
      </xdr:blipFill>
      <xdr:spPr>
        <a:xfrm>
          <a:off x="1513840" y="1524000"/>
          <a:ext cx="1512570" cy="694690"/>
        </a:xfrm>
        <a:prstGeom prst="rect">
          <a:avLst/>
        </a:prstGeom>
        <a:noFill/>
        <a:ln w="9525">
          <a:noFill/>
        </a:ln>
      </xdr:spPr>
    </xdr:pic>
    <xdr:clientData/>
  </xdr:twoCellAnchor>
  <xdr:twoCellAnchor editAs="oneCell">
    <xdr:from>
      <xdr:col>3</xdr:col>
      <xdr:colOff>86995</xdr:colOff>
      <xdr:row>12</xdr:row>
      <xdr:rowOff>347980</xdr:rowOff>
    </xdr:from>
    <xdr:to>
      <xdr:col>3</xdr:col>
      <xdr:colOff>1618615</xdr:colOff>
      <xdr:row>12</xdr:row>
      <xdr:rowOff>1003935</xdr:rowOff>
    </xdr:to>
    <xdr:pic>
      <xdr:nvPicPr>
        <xdr:cNvPr id="5" name="图片 4"/>
        <xdr:cNvPicPr>
          <a:picLocks noChangeAspect="1"/>
        </xdr:cNvPicPr>
      </xdr:nvPicPr>
      <xdr:blipFill>
        <a:blip r:embed="rId4"/>
        <a:stretch>
          <a:fillRect/>
        </a:stretch>
      </xdr:blipFill>
      <xdr:spPr>
        <a:xfrm>
          <a:off x="1515745" y="13047980"/>
          <a:ext cx="1531620" cy="655955"/>
        </a:xfrm>
        <a:prstGeom prst="rect">
          <a:avLst/>
        </a:prstGeom>
        <a:noFill/>
        <a:ln w="9525">
          <a:noFill/>
        </a:ln>
      </xdr:spPr>
    </xdr:pic>
    <xdr:clientData/>
  </xdr:twoCellAnchor>
  <xdr:twoCellAnchor editAs="oneCell">
    <xdr:from>
      <xdr:col>3</xdr:col>
      <xdr:colOff>188595</xdr:colOff>
      <xdr:row>13</xdr:row>
      <xdr:rowOff>281940</xdr:rowOff>
    </xdr:from>
    <xdr:to>
      <xdr:col>3</xdr:col>
      <xdr:colOff>1488440</xdr:colOff>
      <xdr:row>13</xdr:row>
      <xdr:rowOff>1137285</xdr:rowOff>
    </xdr:to>
    <xdr:pic>
      <xdr:nvPicPr>
        <xdr:cNvPr id="6" name="图片 5"/>
        <xdr:cNvPicPr>
          <a:picLocks noChangeAspect="1"/>
        </xdr:cNvPicPr>
      </xdr:nvPicPr>
      <xdr:blipFill>
        <a:blip r:embed="rId5"/>
        <a:stretch>
          <a:fillRect/>
        </a:stretch>
      </xdr:blipFill>
      <xdr:spPr>
        <a:xfrm>
          <a:off x="1617345" y="14251940"/>
          <a:ext cx="1299845" cy="855345"/>
        </a:xfrm>
        <a:prstGeom prst="rect">
          <a:avLst/>
        </a:prstGeom>
        <a:noFill/>
        <a:ln w="9525">
          <a:noFill/>
        </a:ln>
      </xdr:spPr>
    </xdr:pic>
    <xdr:clientData/>
  </xdr:twoCellAnchor>
  <xdr:twoCellAnchor editAs="oneCell">
    <xdr:from>
      <xdr:col>3</xdr:col>
      <xdr:colOff>668655</xdr:colOff>
      <xdr:row>15</xdr:row>
      <xdr:rowOff>139700</xdr:rowOff>
    </xdr:from>
    <xdr:to>
      <xdr:col>3</xdr:col>
      <xdr:colOff>1140460</xdr:colOff>
      <xdr:row>15</xdr:row>
      <xdr:rowOff>1209675</xdr:rowOff>
    </xdr:to>
    <xdr:pic>
      <xdr:nvPicPr>
        <xdr:cNvPr id="7" name="图片 6"/>
        <xdr:cNvPicPr>
          <a:picLocks noChangeAspect="1"/>
        </xdr:cNvPicPr>
      </xdr:nvPicPr>
      <xdr:blipFill>
        <a:blip r:embed="rId6"/>
        <a:stretch>
          <a:fillRect/>
        </a:stretch>
      </xdr:blipFill>
      <xdr:spPr>
        <a:xfrm>
          <a:off x="2097405" y="16751300"/>
          <a:ext cx="471805" cy="1069975"/>
        </a:xfrm>
        <a:prstGeom prst="rect">
          <a:avLst/>
        </a:prstGeom>
        <a:noFill/>
        <a:ln w="9525">
          <a:noFill/>
        </a:ln>
      </xdr:spPr>
    </xdr:pic>
    <xdr:clientData/>
  </xdr:twoCellAnchor>
  <xdr:twoCellAnchor editAs="oneCell">
    <xdr:from>
      <xdr:col>3</xdr:col>
      <xdr:colOff>521335</xdr:colOff>
      <xdr:row>16</xdr:row>
      <xdr:rowOff>88900</xdr:rowOff>
    </xdr:from>
    <xdr:to>
      <xdr:col>3</xdr:col>
      <xdr:colOff>1212215</xdr:colOff>
      <xdr:row>16</xdr:row>
      <xdr:rowOff>1181735</xdr:rowOff>
    </xdr:to>
    <xdr:pic>
      <xdr:nvPicPr>
        <xdr:cNvPr id="8" name="图片 7"/>
        <xdr:cNvPicPr>
          <a:picLocks noChangeAspect="1"/>
        </xdr:cNvPicPr>
      </xdr:nvPicPr>
      <xdr:blipFill>
        <a:blip r:embed="rId7"/>
        <a:stretch>
          <a:fillRect/>
        </a:stretch>
      </xdr:blipFill>
      <xdr:spPr>
        <a:xfrm>
          <a:off x="1950085" y="18021300"/>
          <a:ext cx="690880" cy="1092835"/>
        </a:xfrm>
        <a:prstGeom prst="rect">
          <a:avLst/>
        </a:prstGeom>
        <a:noFill/>
        <a:ln w="9525">
          <a:noFill/>
        </a:ln>
      </xdr:spPr>
    </xdr:pic>
    <xdr:clientData/>
  </xdr:twoCellAnchor>
  <xdr:twoCellAnchor editAs="oneCell">
    <xdr:from>
      <xdr:col>3</xdr:col>
      <xdr:colOff>263525</xdr:colOff>
      <xdr:row>6</xdr:row>
      <xdr:rowOff>273050</xdr:rowOff>
    </xdr:from>
    <xdr:to>
      <xdr:col>3</xdr:col>
      <xdr:colOff>1467485</xdr:colOff>
      <xdr:row>6</xdr:row>
      <xdr:rowOff>1097280</xdr:rowOff>
    </xdr:to>
    <xdr:pic>
      <xdr:nvPicPr>
        <xdr:cNvPr id="9" name="图片 8"/>
        <xdr:cNvPicPr>
          <a:picLocks noChangeAspect="1"/>
        </xdr:cNvPicPr>
      </xdr:nvPicPr>
      <xdr:blipFill>
        <a:blip r:embed="rId8"/>
        <a:stretch>
          <a:fillRect/>
        </a:stretch>
      </xdr:blipFill>
      <xdr:spPr>
        <a:xfrm>
          <a:off x="1692275" y="5353050"/>
          <a:ext cx="1203960" cy="824230"/>
        </a:xfrm>
        <a:prstGeom prst="rect">
          <a:avLst/>
        </a:prstGeom>
        <a:noFill/>
        <a:ln w="9525">
          <a:noFill/>
        </a:ln>
      </xdr:spPr>
    </xdr:pic>
    <xdr:clientData/>
  </xdr:twoCellAnchor>
  <xdr:twoCellAnchor editAs="oneCell">
    <xdr:from>
      <xdr:col>3</xdr:col>
      <xdr:colOff>542290</xdr:colOff>
      <xdr:row>18</xdr:row>
      <xdr:rowOff>109855</xdr:rowOff>
    </xdr:from>
    <xdr:to>
      <xdr:col>3</xdr:col>
      <xdr:colOff>1188720</xdr:colOff>
      <xdr:row>18</xdr:row>
      <xdr:rowOff>1213485</xdr:rowOff>
    </xdr:to>
    <xdr:pic>
      <xdr:nvPicPr>
        <xdr:cNvPr id="10" name="图片 9"/>
        <xdr:cNvPicPr>
          <a:picLocks noChangeAspect="1"/>
        </xdr:cNvPicPr>
      </xdr:nvPicPr>
      <xdr:blipFill>
        <a:blip r:embed="rId9"/>
        <a:stretch>
          <a:fillRect/>
        </a:stretch>
      </xdr:blipFill>
      <xdr:spPr>
        <a:xfrm>
          <a:off x="1971040" y="20633055"/>
          <a:ext cx="646430" cy="1103630"/>
        </a:xfrm>
        <a:prstGeom prst="rect">
          <a:avLst/>
        </a:prstGeom>
        <a:noFill/>
        <a:ln w="9525">
          <a:noFill/>
        </a:ln>
      </xdr:spPr>
    </xdr:pic>
    <xdr:clientData/>
  </xdr:twoCellAnchor>
  <xdr:twoCellAnchor editAs="oneCell">
    <xdr:from>
      <xdr:col>3</xdr:col>
      <xdr:colOff>262890</xdr:colOff>
      <xdr:row>19</xdr:row>
      <xdr:rowOff>276860</xdr:rowOff>
    </xdr:from>
    <xdr:to>
      <xdr:col>3</xdr:col>
      <xdr:colOff>1479550</xdr:colOff>
      <xdr:row>19</xdr:row>
      <xdr:rowOff>1478280</xdr:rowOff>
    </xdr:to>
    <xdr:pic>
      <xdr:nvPicPr>
        <xdr:cNvPr id="11" name="图片 10"/>
        <xdr:cNvPicPr>
          <a:picLocks noChangeAspect="1"/>
        </xdr:cNvPicPr>
      </xdr:nvPicPr>
      <xdr:blipFill>
        <a:blip r:embed="rId10"/>
        <a:stretch>
          <a:fillRect/>
        </a:stretch>
      </xdr:blipFill>
      <xdr:spPr>
        <a:xfrm>
          <a:off x="1691640" y="22120860"/>
          <a:ext cx="1216660" cy="1201420"/>
        </a:xfrm>
        <a:prstGeom prst="rect">
          <a:avLst/>
        </a:prstGeom>
        <a:noFill/>
        <a:ln w="9525">
          <a:noFill/>
        </a:ln>
      </xdr:spPr>
    </xdr:pic>
    <xdr:clientData/>
  </xdr:twoCellAnchor>
  <xdr:twoCellAnchor editAs="oneCell">
    <xdr:from>
      <xdr:col>3</xdr:col>
      <xdr:colOff>471170</xdr:colOff>
      <xdr:row>20</xdr:row>
      <xdr:rowOff>303530</xdr:rowOff>
    </xdr:from>
    <xdr:to>
      <xdr:col>3</xdr:col>
      <xdr:colOff>1406525</xdr:colOff>
      <xdr:row>20</xdr:row>
      <xdr:rowOff>1334770</xdr:rowOff>
    </xdr:to>
    <xdr:pic>
      <xdr:nvPicPr>
        <xdr:cNvPr id="12" name="图片 11"/>
        <xdr:cNvPicPr>
          <a:picLocks noChangeAspect="1"/>
        </xdr:cNvPicPr>
      </xdr:nvPicPr>
      <xdr:blipFill>
        <a:blip r:embed="rId11"/>
        <a:stretch>
          <a:fillRect/>
        </a:stretch>
      </xdr:blipFill>
      <xdr:spPr>
        <a:xfrm>
          <a:off x="1899920" y="23823930"/>
          <a:ext cx="935355" cy="1031240"/>
        </a:xfrm>
        <a:prstGeom prst="rect">
          <a:avLst/>
        </a:prstGeom>
        <a:noFill/>
        <a:ln w="9525">
          <a:noFill/>
        </a:ln>
      </xdr:spPr>
    </xdr:pic>
    <xdr:clientData/>
  </xdr:twoCellAnchor>
  <xdr:twoCellAnchor editAs="oneCell">
    <xdr:from>
      <xdr:col>3</xdr:col>
      <xdr:colOff>368935</xdr:colOff>
      <xdr:row>21</xdr:row>
      <xdr:rowOff>321945</xdr:rowOff>
    </xdr:from>
    <xdr:to>
      <xdr:col>3</xdr:col>
      <xdr:colOff>1668780</xdr:colOff>
      <xdr:row>21</xdr:row>
      <xdr:rowOff>1353820</xdr:rowOff>
    </xdr:to>
    <xdr:pic>
      <xdr:nvPicPr>
        <xdr:cNvPr id="13" name="图片 12"/>
        <xdr:cNvPicPr>
          <a:picLocks noChangeAspect="1"/>
        </xdr:cNvPicPr>
      </xdr:nvPicPr>
      <xdr:blipFill>
        <a:blip r:embed="rId12"/>
        <a:stretch>
          <a:fillRect/>
        </a:stretch>
      </xdr:blipFill>
      <xdr:spPr>
        <a:xfrm>
          <a:off x="1797685" y="25518745"/>
          <a:ext cx="1299845" cy="1031875"/>
        </a:xfrm>
        <a:prstGeom prst="rect">
          <a:avLst/>
        </a:prstGeom>
        <a:noFill/>
        <a:ln w="9525">
          <a:noFill/>
        </a:ln>
      </xdr:spPr>
    </xdr:pic>
    <xdr:clientData/>
  </xdr:twoCellAnchor>
  <xdr:twoCellAnchor editAs="oneCell">
    <xdr:from>
      <xdr:col>3</xdr:col>
      <xdr:colOff>423545</xdr:colOff>
      <xdr:row>22</xdr:row>
      <xdr:rowOff>83820</xdr:rowOff>
    </xdr:from>
    <xdr:to>
      <xdr:col>3</xdr:col>
      <xdr:colOff>1605280</xdr:colOff>
      <xdr:row>22</xdr:row>
      <xdr:rowOff>1558925</xdr:rowOff>
    </xdr:to>
    <xdr:pic>
      <xdr:nvPicPr>
        <xdr:cNvPr id="14" name="图片 13"/>
        <xdr:cNvPicPr>
          <a:picLocks noChangeAspect="1"/>
        </xdr:cNvPicPr>
      </xdr:nvPicPr>
      <xdr:blipFill>
        <a:blip r:embed="rId13"/>
        <a:stretch>
          <a:fillRect/>
        </a:stretch>
      </xdr:blipFill>
      <xdr:spPr>
        <a:xfrm>
          <a:off x="1852295" y="26957020"/>
          <a:ext cx="1181735" cy="1475105"/>
        </a:xfrm>
        <a:prstGeom prst="rect">
          <a:avLst/>
        </a:prstGeom>
        <a:noFill/>
        <a:ln w="9525">
          <a:noFill/>
        </a:ln>
      </xdr:spPr>
    </xdr:pic>
    <xdr:clientData/>
  </xdr:twoCellAnchor>
  <xdr:twoCellAnchor editAs="oneCell">
    <xdr:from>
      <xdr:col>3</xdr:col>
      <xdr:colOff>397510</xdr:colOff>
      <xdr:row>25</xdr:row>
      <xdr:rowOff>483870</xdr:rowOff>
    </xdr:from>
    <xdr:to>
      <xdr:col>3</xdr:col>
      <xdr:colOff>1906270</xdr:colOff>
      <xdr:row>25</xdr:row>
      <xdr:rowOff>1389380</xdr:rowOff>
    </xdr:to>
    <xdr:pic>
      <xdr:nvPicPr>
        <xdr:cNvPr id="15" name="图片 14"/>
        <xdr:cNvPicPr>
          <a:picLocks noChangeAspect="1"/>
        </xdr:cNvPicPr>
      </xdr:nvPicPr>
      <xdr:blipFill>
        <a:blip r:embed="rId14"/>
        <a:stretch>
          <a:fillRect/>
        </a:stretch>
      </xdr:blipFill>
      <xdr:spPr>
        <a:xfrm>
          <a:off x="1826260" y="31573470"/>
          <a:ext cx="1508760" cy="905510"/>
        </a:xfrm>
        <a:prstGeom prst="rect">
          <a:avLst/>
        </a:prstGeom>
        <a:noFill/>
        <a:ln w="9525">
          <a:noFill/>
        </a:ln>
      </xdr:spPr>
    </xdr:pic>
    <xdr:clientData/>
  </xdr:twoCellAnchor>
  <xdr:twoCellAnchor editAs="oneCell">
    <xdr:from>
      <xdr:col>3</xdr:col>
      <xdr:colOff>341630</xdr:colOff>
      <xdr:row>26</xdr:row>
      <xdr:rowOff>479425</xdr:rowOff>
    </xdr:from>
    <xdr:to>
      <xdr:col>3</xdr:col>
      <xdr:colOff>1841500</xdr:colOff>
      <xdr:row>26</xdr:row>
      <xdr:rowOff>1381125</xdr:rowOff>
    </xdr:to>
    <xdr:pic>
      <xdr:nvPicPr>
        <xdr:cNvPr id="16" name="图片 15"/>
        <xdr:cNvPicPr>
          <a:picLocks noChangeAspect="1"/>
        </xdr:cNvPicPr>
      </xdr:nvPicPr>
      <xdr:blipFill>
        <a:blip r:embed="rId15"/>
        <a:stretch>
          <a:fillRect/>
        </a:stretch>
      </xdr:blipFill>
      <xdr:spPr>
        <a:xfrm>
          <a:off x="1770380" y="33245425"/>
          <a:ext cx="1499870" cy="901700"/>
        </a:xfrm>
        <a:prstGeom prst="rect">
          <a:avLst/>
        </a:prstGeom>
        <a:noFill/>
        <a:ln w="9525">
          <a:noFill/>
        </a:ln>
      </xdr:spPr>
    </xdr:pic>
    <xdr:clientData/>
  </xdr:twoCellAnchor>
  <xdr:twoCellAnchor editAs="oneCell">
    <xdr:from>
      <xdr:col>3</xdr:col>
      <xdr:colOff>300990</xdr:colOff>
      <xdr:row>33</xdr:row>
      <xdr:rowOff>487045</xdr:rowOff>
    </xdr:from>
    <xdr:to>
      <xdr:col>3</xdr:col>
      <xdr:colOff>1866265</xdr:colOff>
      <xdr:row>33</xdr:row>
      <xdr:rowOff>1434465</xdr:rowOff>
    </xdr:to>
    <xdr:pic>
      <xdr:nvPicPr>
        <xdr:cNvPr id="17" name="图片 16"/>
        <xdr:cNvPicPr>
          <a:picLocks noChangeAspect="1"/>
        </xdr:cNvPicPr>
      </xdr:nvPicPr>
      <xdr:blipFill>
        <a:blip r:embed="rId16"/>
        <a:stretch>
          <a:fillRect/>
        </a:stretch>
      </xdr:blipFill>
      <xdr:spPr>
        <a:xfrm>
          <a:off x="1729740" y="42549445"/>
          <a:ext cx="1565275" cy="947420"/>
        </a:xfrm>
        <a:prstGeom prst="rect">
          <a:avLst/>
        </a:prstGeom>
        <a:noFill/>
        <a:ln w="9525">
          <a:noFill/>
        </a:ln>
      </xdr:spPr>
    </xdr:pic>
    <xdr:clientData/>
  </xdr:twoCellAnchor>
  <xdr:twoCellAnchor editAs="oneCell">
    <xdr:from>
      <xdr:col>3</xdr:col>
      <xdr:colOff>497840</xdr:colOff>
      <xdr:row>34</xdr:row>
      <xdr:rowOff>146050</xdr:rowOff>
    </xdr:from>
    <xdr:to>
      <xdr:col>3</xdr:col>
      <xdr:colOff>1732915</xdr:colOff>
      <xdr:row>34</xdr:row>
      <xdr:rowOff>1534795</xdr:rowOff>
    </xdr:to>
    <xdr:pic>
      <xdr:nvPicPr>
        <xdr:cNvPr id="18" name="图片 17"/>
        <xdr:cNvPicPr>
          <a:picLocks noChangeAspect="1"/>
        </xdr:cNvPicPr>
      </xdr:nvPicPr>
      <xdr:blipFill>
        <a:blip r:embed="rId17"/>
        <a:stretch>
          <a:fillRect/>
        </a:stretch>
      </xdr:blipFill>
      <xdr:spPr>
        <a:xfrm>
          <a:off x="1926590" y="43884850"/>
          <a:ext cx="1235075" cy="1388745"/>
        </a:xfrm>
        <a:prstGeom prst="rect">
          <a:avLst/>
        </a:prstGeom>
        <a:noFill/>
        <a:ln w="9525">
          <a:noFill/>
        </a:ln>
      </xdr:spPr>
    </xdr:pic>
    <xdr:clientData/>
  </xdr:twoCellAnchor>
  <xdr:twoCellAnchor editAs="oneCell">
    <xdr:from>
      <xdr:col>3</xdr:col>
      <xdr:colOff>7620</xdr:colOff>
      <xdr:row>11</xdr:row>
      <xdr:rowOff>360680</xdr:rowOff>
    </xdr:from>
    <xdr:to>
      <xdr:col>3</xdr:col>
      <xdr:colOff>655955</xdr:colOff>
      <xdr:row>11</xdr:row>
      <xdr:rowOff>970280</xdr:rowOff>
    </xdr:to>
    <xdr:pic>
      <xdr:nvPicPr>
        <xdr:cNvPr id="19" name="图片 18"/>
        <xdr:cNvPicPr>
          <a:picLocks noChangeAspect="1"/>
        </xdr:cNvPicPr>
      </xdr:nvPicPr>
      <xdr:blipFill>
        <a:blip r:embed="rId18"/>
        <a:stretch>
          <a:fillRect/>
        </a:stretch>
      </xdr:blipFill>
      <xdr:spPr>
        <a:xfrm>
          <a:off x="1436370" y="11790680"/>
          <a:ext cx="648335" cy="609600"/>
        </a:xfrm>
        <a:prstGeom prst="rect">
          <a:avLst/>
        </a:prstGeom>
        <a:noFill/>
        <a:ln w="9525">
          <a:noFill/>
        </a:ln>
      </xdr:spPr>
    </xdr:pic>
    <xdr:clientData/>
  </xdr:twoCellAnchor>
  <xdr:twoCellAnchor editAs="oneCell">
    <xdr:from>
      <xdr:col>3</xdr:col>
      <xdr:colOff>693420</xdr:colOff>
      <xdr:row>11</xdr:row>
      <xdr:rowOff>360045</xdr:rowOff>
    </xdr:from>
    <xdr:to>
      <xdr:col>3</xdr:col>
      <xdr:colOff>1140460</xdr:colOff>
      <xdr:row>11</xdr:row>
      <xdr:rowOff>965835</xdr:rowOff>
    </xdr:to>
    <xdr:pic>
      <xdr:nvPicPr>
        <xdr:cNvPr id="20" name="图片 19"/>
        <xdr:cNvPicPr>
          <a:picLocks noChangeAspect="1"/>
        </xdr:cNvPicPr>
      </xdr:nvPicPr>
      <xdr:blipFill>
        <a:blip r:embed="rId19"/>
        <a:stretch>
          <a:fillRect/>
        </a:stretch>
      </xdr:blipFill>
      <xdr:spPr>
        <a:xfrm>
          <a:off x="2122170" y="11790045"/>
          <a:ext cx="447040" cy="605790"/>
        </a:xfrm>
        <a:prstGeom prst="rect">
          <a:avLst/>
        </a:prstGeom>
        <a:noFill/>
        <a:ln w="9525">
          <a:noFill/>
        </a:ln>
      </xdr:spPr>
    </xdr:pic>
    <xdr:clientData/>
  </xdr:twoCellAnchor>
  <xdr:twoCellAnchor editAs="oneCell">
    <xdr:from>
      <xdr:col>3</xdr:col>
      <xdr:colOff>1146810</xdr:colOff>
      <xdr:row>11</xdr:row>
      <xdr:rowOff>350520</xdr:rowOff>
    </xdr:from>
    <xdr:to>
      <xdr:col>3</xdr:col>
      <xdr:colOff>2254885</xdr:colOff>
      <xdr:row>11</xdr:row>
      <xdr:rowOff>965835</xdr:rowOff>
    </xdr:to>
    <xdr:pic>
      <xdr:nvPicPr>
        <xdr:cNvPr id="21" name="图片 20"/>
        <xdr:cNvPicPr>
          <a:picLocks noChangeAspect="1"/>
        </xdr:cNvPicPr>
      </xdr:nvPicPr>
      <xdr:blipFill>
        <a:blip r:embed="rId20"/>
        <a:stretch>
          <a:fillRect/>
        </a:stretch>
      </xdr:blipFill>
      <xdr:spPr>
        <a:xfrm>
          <a:off x="2575560" y="11780520"/>
          <a:ext cx="1108075" cy="615315"/>
        </a:xfrm>
        <a:prstGeom prst="rect">
          <a:avLst/>
        </a:prstGeom>
        <a:noFill/>
        <a:ln w="9525">
          <a:noFill/>
        </a:ln>
      </xdr:spPr>
    </xdr:pic>
    <xdr:clientData/>
  </xdr:twoCellAnchor>
  <xdr:twoCellAnchor editAs="oneCell">
    <xdr:from>
      <xdr:col>3</xdr:col>
      <xdr:colOff>232410</xdr:colOff>
      <xdr:row>17</xdr:row>
      <xdr:rowOff>155575</xdr:rowOff>
    </xdr:from>
    <xdr:to>
      <xdr:col>3</xdr:col>
      <xdr:colOff>2028190</xdr:colOff>
      <xdr:row>17</xdr:row>
      <xdr:rowOff>1241425</xdr:rowOff>
    </xdr:to>
    <xdr:pic>
      <xdr:nvPicPr>
        <xdr:cNvPr id="22" name="图片 21"/>
        <xdr:cNvPicPr>
          <a:picLocks noChangeAspect="1"/>
        </xdr:cNvPicPr>
      </xdr:nvPicPr>
      <xdr:blipFill>
        <a:blip r:embed="rId21"/>
        <a:stretch>
          <a:fillRect/>
        </a:stretch>
      </xdr:blipFill>
      <xdr:spPr>
        <a:xfrm>
          <a:off x="1661160" y="19408775"/>
          <a:ext cx="1795780" cy="1085850"/>
        </a:xfrm>
        <a:prstGeom prst="rect">
          <a:avLst/>
        </a:prstGeom>
        <a:noFill/>
        <a:ln w="9525">
          <a:noFill/>
        </a:ln>
      </xdr:spPr>
    </xdr:pic>
    <xdr:clientData/>
  </xdr:twoCellAnchor>
  <xdr:twoCellAnchor editAs="oneCell">
    <xdr:from>
      <xdr:col>3</xdr:col>
      <xdr:colOff>556895</xdr:colOff>
      <xdr:row>23</xdr:row>
      <xdr:rowOff>88265</xdr:rowOff>
    </xdr:from>
    <xdr:to>
      <xdr:col>3</xdr:col>
      <xdr:colOff>1581150</xdr:colOff>
      <xdr:row>23</xdr:row>
      <xdr:rowOff>1231900</xdr:rowOff>
    </xdr:to>
    <xdr:pic>
      <xdr:nvPicPr>
        <xdr:cNvPr id="23" name="图片 22"/>
        <xdr:cNvPicPr>
          <a:picLocks noChangeAspect="1"/>
        </xdr:cNvPicPr>
      </xdr:nvPicPr>
      <xdr:blipFill>
        <a:blip r:embed="rId22"/>
        <a:stretch>
          <a:fillRect/>
        </a:stretch>
      </xdr:blipFill>
      <xdr:spPr>
        <a:xfrm>
          <a:off x="1985645" y="28637865"/>
          <a:ext cx="1024255" cy="1143635"/>
        </a:xfrm>
        <a:prstGeom prst="rect">
          <a:avLst/>
        </a:prstGeom>
        <a:noFill/>
        <a:ln w="9525">
          <a:noFill/>
        </a:ln>
      </xdr:spPr>
    </xdr:pic>
    <xdr:clientData/>
  </xdr:twoCellAnchor>
  <xdr:twoCellAnchor editAs="oneCell">
    <xdr:from>
      <xdr:col>3</xdr:col>
      <xdr:colOff>300990</xdr:colOff>
      <xdr:row>35</xdr:row>
      <xdr:rowOff>196215</xdr:rowOff>
    </xdr:from>
    <xdr:to>
      <xdr:col>3</xdr:col>
      <xdr:colOff>1866265</xdr:colOff>
      <xdr:row>35</xdr:row>
      <xdr:rowOff>1143635</xdr:rowOff>
    </xdr:to>
    <xdr:pic>
      <xdr:nvPicPr>
        <xdr:cNvPr id="24" name="图片 23"/>
        <xdr:cNvPicPr>
          <a:picLocks noChangeAspect="1"/>
        </xdr:cNvPicPr>
      </xdr:nvPicPr>
      <xdr:blipFill>
        <a:blip r:embed="rId16"/>
        <a:stretch>
          <a:fillRect/>
        </a:stretch>
      </xdr:blipFill>
      <xdr:spPr>
        <a:xfrm>
          <a:off x="1729740" y="45611415"/>
          <a:ext cx="1565275" cy="947420"/>
        </a:xfrm>
        <a:prstGeom prst="rect">
          <a:avLst/>
        </a:prstGeom>
        <a:noFill/>
        <a:ln w="9525">
          <a:noFill/>
        </a:ln>
      </xdr:spPr>
    </xdr:pic>
    <xdr:clientData/>
  </xdr:twoCellAnchor>
  <xdr:twoCellAnchor editAs="oneCell">
    <xdr:from>
      <xdr:col>3</xdr:col>
      <xdr:colOff>236855</xdr:colOff>
      <xdr:row>36</xdr:row>
      <xdr:rowOff>356870</xdr:rowOff>
    </xdr:from>
    <xdr:to>
      <xdr:col>3</xdr:col>
      <xdr:colOff>1028065</xdr:colOff>
      <xdr:row>36</xdr:row>
      <xdr:rowOff>1052830</xdr:rowOff>
    </xdr:to>
    <xdr:pic>
      <xdr:nvPicPr>
        <xdr:cNvPr id="25" name="图片 24"/>
        <xdr:cNvPicPr>
          <a:picLocks noChangeAspect="1"/>
        </xdr:cNvPicPr>
      </xdr:nvPicPr>
      <xdr:blipFill>
        <a:blip r:embed="rId23"/>
        <a:srcRect r="59936"/>
        <a:stretch>
          <a:fillRect/>
        </a:stretch>
      </xdr:blipFill>
      <xdr:spPr>
        <a:xfrm>
          <a:off x="1665605" y="47042070"/>
          <a:ext cx="791210" cy="695960"/>
        </a:xfrm>
        <a:prstGeom prst="rect">
          <a:avLst/>
        </a:prstGeom>
        <a:noFill/>
        <a:ln w="9525">
          <a:noFill/>
        </a:ln>
      </xdr:spPr>
    </xdr:pic>
    <xdr:clientData/>
  </xdr:twoCellAnchor>
  <xdr:twoCellAnchor editAs="oneCell">
    <xdr:from>
      <xdr:col>3</xdr:col>
      <xdr:colOff>1137920</xdr:colOff>
      <xdr:row>36</xdr:row>
      <xdr:rowOff>351790</xdr:rowOff>
    </xdr:from>
    <xdr:to>
      <xdr:col>3</xdr:col>
      <xdr:colOff>2115820</xdr:colOff>
      <xdr:row>36</xdr:row>
      <xdr:rowOff>1035685</xdr:rowOff>
    </xdr:to>
    <xdr:pic>
      <xdr:nvPicPr>
        <xdr:cNvPr id="26" name="图片 25"/>
        <xdr:cNvPicPr>
          <a:picLocks noChangeAspect="1"/>
        </xdr:cNvPicPr>
      </xdr:nvPicPr>
      <xdr:blipFill>
        <a:blip r:embed="rId23"/>
        <a:srcRect l="77054" t="54380"/>
        <a:stretch>
          <a:fillRect/>
        </a:stretch>
      </xdr:blipFill>
      <xdr:spPr>
        <a:xfrm>
          <a:off x="2566670" y="47036990"/>
          <a:ext cx="977900" cy="683895"/>
        </a:xfrm>
        <a:prstGeom prst="rect">
          <a:avLst/>
        </a:prstGeom>
        <a:noFill/>
        <a:ln w="9525">
          <a:noFill/>
        </a:ln>
      </xdr:spPr>
    </xdr:pic>
    <xdr:clientData/>
  </xdr:twoCellAnchor>
  <xdr:twoCellAnchor editAs="oneCell">
    <xdr:from>
      <xdr:col>3</xdr:col>
      <xdr:colOff>140970</xdr:colOff>
      <xdr:row>28</xdr:row>
      <xdr:rowOff>97155</xdr:rowOff>
    </xdr:from>
    <xdr:to>
      <xdr:col>3</xdr:col>
      <xdr:colOff>1221740</xdr:colOff>
      <xdr:row>28</xdr:row>
      <xdr:rowOff>618490</xdr:rowOff>
    </xdr:to>
    <xdr:pic>
      <xdr:nvPicPr>
        <xdr:cNvPr id="27" name="图片 26"/>
        <xdr:cNvPicPr>
          <a:picLocks noChangeAspect="1"/>
        </xdr:cNvPicPr>
      </xdr:nvPicPr>
      <xdr:blipFill>
        <a:blip r:embed="rId24"/>
        <a:stretch>
          <a:fillRect/>
        </a:stretch>
      </xdr:blipFill>
      <xdr:spPr>
        <a:xfrm>
          <a:off x="1569720" y="35809555"/>
          <a:ext cx="1080770" cy="521335"/>
        </a:xfrm>
        <a:prstGeom prst="rect">
          <a:avLst/>
        </a:prstGeom>
        <a:noFill/>
        <a:ln w="9525">
          <a:noFill/>
        </a:ln>
      </xdr:spPr>
    </xdr:pic>
    <xdr:clientData/>
  </xdr:twoCellAnchor>
  <xdr:twoCellAnchor editAs="oneCell">
    <xdr:from>
      <xdr:col>3</xdr:col>
      <xdr:colOff>1353185</xdr:colOff>
      <xdr:row>28</xdr:row>
      <xdr:rowOff>89535</xdr:rowOff>
    </xdr:from>
    <xdr:to>
      <xdr:col>3</xdr:col>
      <xdr:colOff>1899285</xdr:colOff>
      <xdr:row>28</xdr:row>
      <xdr:rowOff>1195070</xdr:rowOff>
    </xdr:to>
    <xdr:pic>
      <xdr:nvPicPr>
        <xdr:cNvPr id="28" name="图片 27"/>
        <xdr:cNvPicPr>
          <a:picLocks noChangeAspect="1"/>
        </xdr:cNvPicPr>
      </xdr:nvPicPr>
      <xdr:blipFill>
        <a:blip r:embed="rId25"/>
        <a:stretch>
          <a:fillRect/>
        </a:stretch>
      </xdr:blipFill>
      <xdr:spPr>
        <a:xfrm>
          <a:off x="2781935" y="35801935"/>
          <a:ext cx="546100" cy="1105535"/>
        </a:xfrm>
        <a:prstGeom prst="rect">
          <a:avLst/>
        </a:prstGeom>
        <a:noFill/>
        <a:ln w="9525">
          <a:noFill/>
        </a:ln>
      </xdr:spPr>
    </xdr:pic>
    <xdr:clientData/>
  </xdr:twoCellAnchor>
  <xdr:twoCellAnchor editAs="oneCell">
    <xdr:from>
      <xdr:col>3</xdr:col>
      <xdr:colOff>345440</xdr:colOff>
      <xdr:row>27</xdr:row>
      <xdr:rowOff>60325</xdr:rowOff>
    </xdr:from>
    <xdr:to>
      <xdr:col>3</xdr:col>
      <xdr:colOff>2016125</xdr:colOff>
      <xdr:row>27</xdr:row>
      <xdr:rowOff>1112520</xdr:rowOff>
    </xdr:to>
    <xdr:pic>
      <xdr:nvPicPr>
        <xdr:cNvPr id="29" name="图片 28"/>
        <xdr:cNvPicPr>
          <a:picLocks noChangeAspect="1"/>
        </xdr:cNvPicPr>
      </xdr:nvPicPr>
      <xdr:blipFill>
        <a:blip r:embed="rId26"/>
        <a:stretch>
          <a:fillRect/>
        </a:stretch>
      </xdr:blipFill>
      <xdr:spPr>
        <a:xfrm>
          <a:off x="1774190" y="34502725"/>
          <a:ext cx="1670685" cy="1052195"/>
        </a:xfrm>
        <a:prstGeom prst="rect">
          <a:avLst/>
        </a:prstGeom>
        <a:noFill/>
        <a:ln w="9525">
          <a:noFill/>
        </a:ln>
      </xdr:spPr>
    </xdr:pic>
    <xdr:clientData/>
  </xdr:twoCellAnchor>
  <xdr:twoCellAnchor editAs="oneCell">
    <xdr:from>
      <xdr:col>3</xdr:col>
      <xdr:colOff>599440</xdr:colOff>
      <xdr:row>24</xdr:row>
      <xdr:rowOff>136525</xdr:rowOff>
    </xdr:from>
    <xdr:to>
      <xdr:col>3</xdr:col>
      <xdr:colOff>1628775</xdr:colOff>
      <xdr:row>24</xdr:row>
      <xdr:rowOff>1231900</xdr:rowOff>
    </xdr:to>
    <xdr:pic>
      <xdr:nvPicPr>
        <xdr:cNvPr id="30" name="图片 29"/>
        <xdr:cNvPicPr>
          <a:picLocks noChangeAspect="1"/>
        </xdr:cNvPicPr>
      </xdr:nvPicPr>
      <xdr:blipFill>
        <a:blip r:embed="rId27"/>
        <a:stretch>
          <a:fillRect/>
        </a:stretch>
      </xdr:blipFill>
      <xdr:spPr>
        <a:xfrm>
          <a:off x="2028190" y="29956125"/>
          <a:ext cx="1029335" cy="1095375"/>
        </a:xfrm>
        <a:prstGeom prst="rect">
          <a:avLst/>
        </a:prstGeom>
        <a:noFill/>
        <a:ln w="9525">
          <a:noFill/>
        </a:ln>
      </xdr:spPr>
    </xdr:pic>
    <xdr:clientData/>
  </xdr:twoCellAnchor>
  <xdr:twoCellAnchor editAs="oneCell">
    <xdr:from>
      <xdr:col>3</xdr:col>
      <xdr:colOff>472440</xdr:colOff>
      <xdr:row>32</xdr:row>
      <xdr:rowOff>67310</xdr:rowOff>
    </xdr:from>
    <xdr:to>
      <xdr:col>3</xdr:col>
      <xdr:colOff>1659890</xdr:colOff>
      <xdr:row>32</xdr:row>
      <xdr:rowOff>1156335</xdr:rowOff>
    </xdr:to>
    <xdr:pic>
      <xdr:nvPicPr>
        <xdr:cNvPr id="31" name="图片 30"/>
        <xdr:cNvPicPr>
          <a:picLocks noChangeAspect="1"/>
        </xdr:cNvPicPr>
      </xdr:nvPicPr>
      <xdr:blipFill>
        <a:blip r:embed="rId28"/>
        <a:stretch>
          <a:fillRect/>
        </a:stretch>
      </xdr:blipFill>
      <xdr:spPr>
        <a:xfrm>
          <a:off x="1901190" y="40859710"/>
          <a:ext cx="1187450" cy="1089025"/>
        </a:xfrm>
        <a:prstGeom prst="rect">
          <a:avLst/>
        </a:prstGeom>
        <a:noFill/>
        <a:ln w="9525">
          <a:noFill/>
        </a:ln>
      </xdr:spPr>
    </xdr:pic>
    <xdr:clientData/>
  </xdr:twoCellAnchor>
  <xdr:twoCellAnchor editAs="oneCell">
    <xdr:from>
      <xdr:col>3</xdr:col>
      <xdr:colOff>416560</xdr:colOff>
      <xdr:row>7</xdr:row>
      <xdr:rowOff>19050</xdr:rowOff>
    </xdr:from>
    <xdr:to>
      <xdr:col>3</xdr:col>
      <xdr:colOff>1519555</xdr:colOff>
      <xdr:row>7</xdr:row>
      <xdr:rowOff>1216025</xdr:rowOff>
    </xdr:to>
    <xdr:pic>
      <xdr:nvPicPr>
        <xdr:cNvPr id="32" name="图片 31"/>
        <xdr:cNvPicPr>
          <a:picLocks noChangeAspect="1"/>
        </xdr:cNvPicPr>
      </xdr:nvPicPr>
      <xdr:blipFill>
        <a:blip r:embed="rId29"/>
        <a:stretch>
          <a:fillRect/>
        </a:stretch>
      </xdr:blipFill>
      <xdr:spPr>
        <a:xfrm>
          <a:off x="1845310" y="6369050"/>
          <a:ext cx="1102995" cy="1196975"/>
        </a:xfrm>
        <a:prstGeom prst="rect">
          <a:avLst/>
        </a:prstGeom>
        <a:noFill/>
        <a:ln w="9525">
          <a:noFill/>
        </a:ln>
      </xdr:spPr>
    </xdr:pic>
    <xdr:clientData/>
  </xdr:twoCellAnchor>
  <xdr:twoCellAnchor editAs="oneCell">
    <xdr:from>
      <xdr:col>3</xdr:col>
      <xdr:colOff>721995</xdr:colOff>
      <xdr:row>8</xdr:row>
      <xdr:rowOff>14605</xdr:rowOff>
    </xdr:from>
    <xdr:to>
      <xdr:col>3</xdr:col>
      <xdr:colOff>1109980</xdr:colOff>
      <xdr:row>8</xdr:row>
      <xdr:rowOff>1210310</xdr:rowOff>
    </xdr:to>
    <xdr:pic>
      <xdr:nvPicPr>
        <xdr:cNvPr id="33" name="图片 32"/>
        <xdr:cNvPicPr>
          <a:picLocks noChangeAspect="1"/>
        </xdr:cNvPicPr>
      </xdr:nvPicPr>
      <xdr:blipFill>
        <a:blip r:embed="rId30"/>
        <a:stretch>
          <a:fillRect/>
        </a:stretch>
      </xdr:blipFill>
      <xdr:spPr>
        <a:xfrm>
          <a:off x="2150745" y="7634605"/>
          <a:ext cx="387985" cy="1195705"/>
        </a:xfrm>
        <a:prstGeom prst="rect">
          <a:avLst/>
        </a:prstGeom>
        <a:noFill/>
        <a:ln w="9525">
          <a:noFill/>
        </a:ln>
      </xdr:spPr>
    </xdr:pic>
    <xdr:clientData/>
  </xdr:twoCellAnchor>
  <xdr:twoCellAnchor editAs="oneCell">
    <xdr:from>
      <xdr:col>3</xdr:col>
      <xdr:colOff>105410</xdr:colOff>
      <xdr:row>14</xdr:row>
      <xdr:rowOff>36195</xdr:rowOff>
    </xdr:from>
    <xdr:to>
      <xdr:col>3</xdr:col>
      <xdr:colOff>2037715</xdr:colOff>
      <xdr:row>14</xdr:row>
      <xdr:rowOff>1292860</xdr:rowOff>
    </xdr:to>
    <xdr:pic>
      <xdr:nvPicPr>
        <xdr:cNvPr id="34" name="图片 33"/>
        <xdr:cNvPicPr>
          <a:picLocks noChangeAspect="1"/>
        </xdr:cNvPicPr>
      </xdr:nvPicPr>
      <xdr:blipFill>
        <a:blip r:embed="rId31"/>
        <a:stretch>
          <a:fillRect/>
        </a:stretch>
      </xdr:blipFill>
      <xdr:spPr>
        <a:xfrm>
          <a:off x="1534160" y="15326995"/>
          <a:ext cx="1932305" cy="1256665"/>
        </a:xfrm>
        <a:prstGeom prst="rect">
          <a:avLst/>
        </a:prstGeom>
        <a:noFill/>
        <a:ln w="9525">
          <a:noFill/>
        </a:ln>
      </xdr:spPr>
    </xdr:pic>
    <xdr:clientData/>
  </xdr:twoCellAnchor>
  <xdr:twoCellAnchor editAs="oneCell">
    <xdr:from>
      <xdr:col>3</xdr:col>
      <xdr:colOff>356235</xdr:colOff>
      <xdr:row>28</xdr:row>
      <xdr:rowOff>658495</xdr:rowOff>
    </xdr:from>
    <xdr:to>
      <xdr:col>3</xdr:col>
      <xdr:colOff>1054100</xdr:colOff>
      <xdr:row>28</xdr:row>
      <xdr:rowOff>1256030</xdr:rowOff>
    </xdr:to>
    <xdr:pic>
      <xdr:nvPicPr>
        <xdr:cNvPr id="35" name="图片 34"/>
        <xdr:cNvPicPr>
          <a:picLocks noChangeAspect="1"/>
        </xdr:cNvPicPr>
      </xdr:nvPicPr>
      <xdr:blipFill>
        <a:blip r:embed="rId32"/>
        <a:stretch>
          <a:fillRect/>
        </a:stretch>
      </xdr:blipFill>
      <xdr:spPr>
        <a:xfrm>
          <a:off x="1784985" y="36370895"/>
          <a:ext cx="697865" cy="597535"/>
        </a:xfrm>
        <a:prstGeom prst="rect">
          <a:avLst/>
        </a:prstGeom>
        <a:noFill/>
        <a:ln w="9525">
          <a:noFill/>
        </a:ln>
      </xdr:spPr>
    </xdr:pic>
    <xdr:clientData/>
  </xdr:twoCellAnchor>
  <xdr:twoCellAnchor editAs="oneCell">
    <xdr:from>
      <xdr:col>3</xdr:col>
      <xdr:colOff>815340</xdr:colOff>
      <xdr:row>29</xdr:row>
      <xdr:rowOff>46990</xdr:rowOff>
    </xdr:from>
    <xdr:to>
      <xdr:col>3</xdr:col>
      <xdr:colOff>1256665</xdr:colOff>
      <xdr:row>30</xdr:row>
      <xdr:rowOff>47625</xdr:rowOff>
    </xdr:to>
    <xdr:pic>
      <xdr:nvPicPr>
        <xdr:cNvPr id="36" name="图片 35"/>
        <xdr:cNvPicPr>
          <a:picLocks noChangeAspect="1"/>
        </xdr:cNvPicPr>
      </xdr:nvPicPr>
      <xdr:blipFill>
        <a:blip r:embed="rId33"/>
        <a:stretch>
          <a:fillRect/>
        </a:stretch>
      </xdr:blipFill>
      <xdr:spPr>
        <a:xfrm flipH="1">
          <a:off x="2244090" y="37029390"/>
          <a:ext cx="441325" cy="1270635"/>
        </a:xfrm>
        <a:prstGeom prst="rect">
          <a:avLst/>
        </a:prstGeom>
        <a:noFill/>
        <a:ln w="9525">
          <a:noFill/>
        </a:ln>
      </xdr:spPr>
    </xdr:pic>
    <xdr:clientData/>
  </xdr:twoCellAnchor>
  <xdr:twoCellAnchor editAs="oneCell">
    <xdr:from>
      <xdr:col>3</xdr:col>
      <xdr:colOff>455930</xdr:colOff>
      <xdr:row>30</xdr:row>
      <xdr:rowOff>60325</xdr:rowOff>
    </xdr:from>
    <xdr:to>
      <xdr:col>3</xdr:col>
      <xdr:colOff>1757045</xdr:colOff>
      <xdr:row>30</xdr:row>
      <xdr:rowOff>1148715</xdr:rowOff>
    </xdr:to>
    <xdr:pic>
      <xdr:nvPicPr>
        <xdr:cNvPr id="37" name="图片 36"/>
        <xdr:cNvPicPr>
          <a:picLocks noChangeAspect="1"/>
        </xdr:cNvPicPr>
      </xdr:nvPicPr>
      <xdr:blipFill>
        <a:blip r:embed="rId34"/>
        <a:stretch>
          <a:fillRect/>
        </a:stretch>
      </xdr:blipFill>
      <xdr:spPr>
        <a:xfrm>
          <a:off x="1884680" y="38312725"/>
          <a:ext cx="1301115" cy="1088390"/>
        </a:xfrm>
        <a:prstGeom prst="rect">
          <a:avLst/>
        </a:prstGeom>
        <a:noFill/>
        <a:ln w="9525">
          <a:noFill/>
        </a:ln>
      </xdr:spPr>
    </xdr:pic>
    <xdr:clientData/>
  </xdr:twoCellAnchor>
  <xdr:twoCellAnchor editAs="oneCell">
    <xdr:from>
      <xdr:col>3</xdr:col>
      <xdr:colOff>1040130</xdr:colOff>
      <xdr:row>37</xdr:row>
      <xdr:rowOff>81915</xdr:rowOff>
    </xdr:from>
    <xdr:to>
      <xdr:col>3</xdr:col>
      <xdr:colOff>1431925</xdr:colOff>
      <xdr:row>37</xdr:row>
      <xdr:rowOff>1263015</xdr:rowOff>
    </xdr:to>
    <xdr:pic>
      <xdr:nvPicPr>
        <xdr:cNvPr id="38" name="图片 37"/>
        <xdr:cNvPicPr>
          <a:picLocks noChangeAspect="1"/>
        </xdr:cNvPicPr>
      </xdr:nvPicPr>
      <xdr:blipFill>
        <a:blip r:embed="rId35"/>
        <a:stretch>
          <a:fillRect/>
        </a:stretch>
      </xdr:blipFill>
      <xdr:spPr>
        <a:xfrm>
          <a:off x="2468880" y="48037115"/>
          <a:ext cx="391795" cy="1181100"/>
        </a:xfrm>
        <a:prstGeom prst="rect">
          <a:avLst/>
        </a:prstGeom>
        <a:noFill/>
        <a:ln w="9525">
          <a:noFill/>
        </a:ln>
      </xdr:spPr>
    </xdr:pic>
    <xdr:clientData/>
  </xdr:twoCellAnchor>
  <xdr:twoCellAnchor editAs="oneCell">
    <xdr:from>
      <xdr:col>3</xdr:col>
      <xdr:colOff>335280</xdr:colOff>
      <xdr:row>38</xdr:row>
      <xdr:rowOff>38735</xdr:rowOff>
    </xdr:from>
    <xdr:to>
      <xdr:col>3</xdr:col>
      <xdr:colOff>659130</xdr:colOff>
      <xdr:row>38</xdr:row>
      <xdr:rowOff>1251585</xdr:rowOff>
    </xdr:to>
    <xdr:pic>
      <xdr:nvPicPr>
        <xdr:cNvPr id="39" name="图片 38"/>
        <xdr:cNvPicPr>
          <a:picLocks noChangeAspect="1"/>
        </xdr:cNvPicPr>
      </xdr:nvPicPr>
      <xdr:blipFill>
        <a:blip r:embed="rId36"/>
        <a:stretch>
          <a:fillRect/>
        </a:stretch>
      </xdr:blipFill>
      <xdr:spPr>
        <a:xfrm>
          <a:off x="1764030" y="49263935"/>
          <a:ext cx="323850" cy="1212850"/>
        </a:xfrm>
        <a:prstGeom prst="rect">
          <a:avLst/>
        </a:prstGeom>
        <a:noFill/>
        <a:ln w="9525">
          <a:noFill/>
        </a:ln>
      </xdr:spPr>
    </xdr:pic>
    <xdr:clientData/>
  </xdr:twoCellAnchor>
  <xdr:twoCellAnchor editAs="oneCell">
    <xdr:from>
      <xdr:col>3</xdr:col>
      <xdr:colOff>762635</xdr:colOff>
      <xdr:row>38</xdr:row>
      <xdr:rowOff>34290</xdr:rowOff>
    </xdr:from>
    <xdr:to>
      <xdr:col>3</xdr:col>
      <xdr:colOff>1184910</xdr:colOff>
      <xdr:row>38</xdr:row>
      <xdr:rowOff>1255395</xdr:rowOff>
    </xdr:to>
    <xdr:pic>
      <xdr:nvPicPr>
        <xdr:cNvPr id="40" name="图片 39"/>
        <xdr:cNvPicPr>
          <a:picLocks noChangeAspect="1"/>
        </xdr:cNvPicPr>
      </xdr:nvPicPr>
      <xdr:blipFill>
        <a:blip r:embed="rId37"/>
        <a:stretch>
          <a:fillRect/>
        </a:stretch>
      </xdr:blipFill>
      <xdr:spPr>
        <a:xfrm>
          <a:off x="2191385" y="49259490"/>
          <a:ext cx="422275" cy="1221105"/>
        </a:xfrm>
        <a:prstGeom prst="rect">
          <a:avLst/>
        </a:prstGeom>
        <a:noFill/>
        <a:ln w="9525">
          <a:noFill/>
        </a:ln>
      </xdr:spPr>
    </xdr:pic>
    <xdr:clientData/>
  </xdr:twoCellAnchor>
  <xdr:twoCellAnchor editAs="oneCell">
    <xdr:from>
      <xdr:col>3</xdr:col>
      <xdr:colOff>1416685</xdr:colOff>
      <xdr:row>38</xdr:row>
      <xdr:rowOff>89535</xdr:rowOff>
    </xdr:from>
    <xdr:to>
      <xdr:col>3</xdr:col>
      <xdr:colOff>1927225</xdr:colOff>
      <xdr:row>38</xdr:row>
      <xdr:rowOff>1202690</xdr:rowOff>
    </xdr:to>
    <xdr:pic>
      <xdr:nvPicPr>
        <xdr:cNvPr id="41" name="图片 40"/>
        <xdr:cNvPicPr>
          <a:picLocks noChangeAspect="1"/>
        </xdr:cNvPicPr>
      </xdr:nvPicPr>
      <xdr:blipFill>
        <a:blip r:embed="rId22"/>
        <a:srcRect l="28278" t="18101" r="35332" b="22154"/>
        <a:stretch>
          <a:fillRect/>
        </a:stretch>
      </xdr:blipFill>
      <xdr:spPr>
        <a:xfrm flipH="1">
          <a:off x="2845435" y="49314735"/>
          <a:ext cx="510540" cy="1113155"/>
        </a:xfrm>
        <a:prstGeom prst="rect">
          <a:avLst/>
        </a:prstGeom>
        <a:noFill/>
        <a:ln w="9525">
          <a:noFill/>
        </a:ln>
      </xdr:spPr>
    </xdr:pic>
    <xdr:clientData/>
  </xdr:twoCellAnchor>
  <xdr:twoCellAnchor editAs="oneCell">
    <xdr:from>
      <xdr:col>3</xdr:col>
      <xdr:colOff>110490</xdr:colOff>
      <xdr:row>9</xdr:row>
      <xdr:rowOff>43815</xdr:rowOff>
    </xdr:from>
    <xdr:to>
      <xdr:col>3</xdr:col>
      <xdr:colOff>2098675</xdr:colOff>
      <xdr:row>9</xdr:row>
      <xdr:rowOff>1241425</xdr:rowOff>
    </xdr:to>
    <xdr:pic>
      <xdr:nvPicPr>
        <xdr:cNvPr id="42" name="图片 41"/>
        <xdr:cNvPicPr>
          <a:picLocks noChangeAspect="1"/>
        </xdr:cNvPicPr>
      </xdr:nvPicPr>
      <xdr:blipFill>
        <a:blip r:embed="rId38"/>
        <a:stretch>
          <a:fillRect/>
        </a:stretch>
      </xdr:blipFill>
      <xdr:spPr>
        <a:xfrm>
          <a:off x="1539240" y="8933815"/>
          <a:ext cx="1988185" cy="1197610"/>
        </a:xfrm>
        <a:prstGeom prst="rect">
          <a:avLst/>
        </a:prstGeom>
        <a:noFill/>
        <a:ln w="9525">
          <a:noFill/>
        </a:ln>
      </xdr:spPr>
    </xdr:pic>
    <xdr:clientData/>
  </xdr:twoCellAnchor>
  <xdr:twoCellAnchor editAs="oneCell">
    <xdr:from>
      <xdr:col>3</xdr:col>
      <xdr:colOff>110490</xdr:colOff>
      <xdr:row>31</xdr:row>
      <xdr:rowOff>154940</xdr:rowOff>
    </xdr:from>
    <xdr:to>
      <xdr:col>3</xdr:col>
      <xdr:colOff>2064385</xdr:colOff>
      <xdr:row>31</xdr:row>
      <xdr:rowOff>1080135</xdr:rowOff>
    </xdr:to>
    <xdr:pic>
      <xdr:nvPicPr>
        <xdr:cNvPr id="43" name="图片 42"/>
        <xdr:cNvPicPr>
          <a:picLocks noChangeAspect="1"/>
        </xdr:cNvPicPr>
      </xdr:nvPicPr>
      <xdr:blipFill>
        <a:blip r:embed="rId39"/>
        <a:stretch>
          <a:fillRect/>
        </a:stretch>
      </xdr:blipFill>
      <xdr:spPr>
        <a:xfrm>
          <a:off x="1539240" y="39677340"/>
          <a:ext cx="1953895" cy="925195"/>
        </a:xfrm>
        <a:prstGeom prst="rect">
          <a:avLst/>
        </a:prstGeom>
        <a:noFill/>
        <a:ln w="9525">
          <a:noFill/>
        </a:ln>
      </xdr:spPr>
    </xdr:pic>
    <xdr:clientData/>
  </xdr:twoCellAnchor>
  <xdr:twoCellAnchor editAs="oneCell">
    <xdr:from>
      <xdr:col>3</xdr:col>
      <xdr:colOff>53975</xdr:colOff>
      <xdr:row>39</xdr:row>
      <xdr:rowOff>191135</xdr:rowOff>
    </xdr:from>
    <xdr:to>
      <xdr:col>3</xdr:col>
      <xdr:colOff>2229485</xdr:colOff>
      <xdr:row>39</xdr:row>
      <xdr:rowOff>1073150</xdr:rowOff>
    </xdr:to>
    <xdr:pic>
      <xdr:nvPicPr>
        <xdr:cNvPr id="44" name="图片 43"/>
        <xdr:cNvPicPr>
          <a:picLocks noChangeAspect="1"/>
        </xdr:cNvPicPr>
      </xdr:nvPicPr>
      <xdr:blipFill>
        <a:blip r:embed="rId40"/>
        <a:stretch>
          <a:fillRect/>
        </a:stretch>
      </xdr:blipFill>
      <xdr:spPr>
        <a:xfrm>
          <a:off x="1482725" y="50686335"/>
          <a:ext cx="2175510" cy="882015"/>
        </a:xfrm>
        <a:prstGeom prst="rect">
          <a:avLst/>
        </a:prstGeom>
        <a:noFill/>
        <a:ln w="9525">
          <a:noFill/>
        </a:ln>
      </xdr:spPr>
    </xdr:pic>
    <xdr:clientData/>
  </xdr:twoCellAnchor>
  <xdr:twoCellAnchor editAs="oneCell">
    <xdr:from>
      <xdr:col>3</xdr:col>
      <xdr:colOff>491490</xdr:colOff>
      <xdr:row>40</xdr:row>
      <xdr:rowOff>126365</xdr:rowOff>
    </xdr:from>
    <xdr:to>
      <xdr:col>3</xdr:col>
      <xdr:colOff>1817370</xdr:colOff>
      <xdr:row>40</xdr:row>
      <xdr:rowOff>1181735</xdr:rowOff>
    </xdr:to>
    <xdr:pic>
      <xdr:nvPicPr>
        <xdr:cNvPr id="45" name="图片 44"/>
        <xdr:cNvPicPr>
          <a:picLocks noChangeAspect="1"/>
        </xdr:cNvPicPr>
      </xdr:nvPicPr>
      <xdr:blipFill>
        <a:blip r:embed="rId41"/>
        <a:stretch>
          <a:fillRect/>
        </a:stretch>
      </xdr:blipFill>
      <xdr:spPr>
        <a:xfrm>
          <a:off x="1920240" y="51891565"/>
          <a:ext cx="1325880" cy="1055370"/>
        </a:xfrm>
        <a:prstGeom prst="rect">
          <a:avLst/>
        </a:prstGeom>
        <a:noFill/>
        <a:ln w="9525">
          <a:noFill/>
        </a:ln>
      </xdr:spPr>
    </xdr:pic>
    <xdr:clientData/>
  </xdr:twoCellAnchor>
  <xdr:twoCellAnchor editAs="oneCell">
    <xdr:from>
      <xdr:col>3</xdr:col>
      <xdr:colOff>1038860</xdr:colOff>
      <xdr:row>41</xdr:row>
      <xdr:rowOff>34290</xdr:rowOff>
    </xdr:from>
    <xdr:to>
      <xdr:col>3</xdr:col>
      <xdr:colOff>1455420</xdr:colOff>
      <xdr:row>42</xdr:row>
      <xdr:rowOff>71120</xdr:rowOff>
    </xdr:to>
    <xdr:pic>
      <xdr:nvPicPr>
        <xdr:cNvPr id="46" name="图片 45"/>
        <xdr:cNvPicPr>
          <a:picLocks noChangeAspect="1"/>
        </xdr:cNvPicPr>
      </xdr:nvPicPr>
      <xdr:blipFill>
        <a:blip r:embed="rId42"/>
        <a:stretch>
          <a:fillRect/>
        </a:stretch>
      </xdr:blipFill>
      <xdr:spPr>
        <a:xfrm>
          <a:off x="2467610" y="53069490"/>
          <a:ext cx="416560" cy="1306830"/>
        </a:xfrm>
        <a:prstGeom prst="rect">
          <a:avLst/>
        </a:prstGeom>
        <a:noFill/>
        <a:ln w="9525">
          <a:noFill/>
        </a:ln>
      </xdr:spPr>
    </xdr:pic>
    <xdr:clientData/>
  </xdr:twoCellAnchor>
  <xdr:twoCellAnchor editAs="oneCell">
    <xdr:from>
      <xdr:col>3</xdr:col>
      <xdr:colOff>457835</xdr:colOff>
      <xdr:row>42</xdr:row>
      <xdr:rowOff>137160</xdr:rowOff>
    </xdr:from>
    <xdr:to>
      <xdr:col>3</xdr:col>
      <xdr:colOff>1715135</xdr:colOff>
      <xdr:row>42</xdr:row>
      <xdr:rowOff>1115060</xdr:rowOff>
    </xdr:to>
    <xdr:pic>
      <xdr:nvPicPr>
        <xdr:cNvPr id="47" name="图片 46"/>
        <xdr:cNvPicPr>
          <a:picLocks noChangeAspect="1"/>
        </xdr:cNvPicPr>
      </xdr:nvPicPr>
      <xdr:blipFill>
        <a:blip r:embed="rId43"/>
        <a:stretch>
          <a:fillRect/>
        </a:stretch>
      </xdr:blipFill>
      <xdr:spPr>
        <a:xfrm>
          <a:off x="1886585" y="54442360"/>
          <a:ext cx="1257300" cy="977900"/>
        </a:xfrm>
        <a:prstGeom prst="rect">
          <a:avLst/>
        </a:prstGeom>
        <a:noFill/>
        <a:ln w="9525">
          <a:noFill/>
        </a:ln>
      </xdr:spPr>
    </xdr:pic>
    <xdr:clientData/>
  </xdr:twoCellAnchor>
  <xdr:twoCellAnchor editAs="oneCell">
    <xdr:from>
      <xdr:col>3</xdr:col>
      <xdr:colOff>847725</xdr:colOff>
      <xdr:row>44</xdr:row>
      <xdr:rowOff>121920</xdr:rowOff>
    </xdr:from>
    <xdr:to>
      <xdr:col>3</xdr:col>
      <xdr:colOff>1569720</xdr:colOff>
      <xdr:row>44</xdr:row>
      <xdr:rowOff>1171575</xdr:rowOff>
    </xdr:to>
    <xdr:pic>
      <xdr:nvPicPr>
        <xdr:cNvPr id="48" name="图片 47"/>
        <xdr:cNvPicPr>
          <a:picLocks noChangeAspect="1"/>
        </xdr:cNvPicPr>
      </xdr:nvPicPr>
      <xdr:blipFill>
        <a:blip r:embed="rId44"/>
        <a:stretch>
          <a:fillRect/>
        </a:stretch>
      </xdr:blipFill>
      <xdr:spPr>
        <a:xfrm>
          <a:off x="2276475" y="56967120"/>
          <a:ext cx="721995" cy="1049655"/>
        </a:xfrm>
        <a:prstGeom prst="rect">
          <a:avLst/>
        </a:prstGeom>
        <a:noFill/>
        <a:ln w="9525">
          <a:noFill/>
        </a:ln>
      </xdr:spPr>
    </xdr:pic>
    <xdr:clientData/>
  </xdr:twoCellAnchor>
  <xdr:twoCellAnchor editAs="oneCell">
    <xdr:from>
      <xdr:col>3</xdr:col>
      <xdr:colOff>213995</xdr:colOff>
      <xdr:row>47</xdr:row>
      <xdr:rowOff>329565</xdr:rowOff>
    </xdr:from>
    <xdr:to>
      <xdr:col>3</xdr:col>
      <xdr:colOff>2037080</xdr:colOff>
      <xdr:row>47</xdr:row>
      <xdr:rowOff>1007110</xdr:rowOff>
    </xdr:to>
    <xdr:pic>
      <xdr:nvPicPr>
        <xdr:cNvPr id="49" name="图片 48"/>
        <xdr:cNvPicPr>
          <a:picLocks noChangeAspect="1"/>
        </xdr:cNvPicPr>
      </xdr:nvPicPr>
      <xdr:blipFill>
        <a:blip r:embed="rId45"/>
        <a:stretch>
          <a:fillRect/>
        </a:stretch>
      </xdr:blipFill>
      <xdr:spPr>
        <a:xfrm>
          <a:off x="1642745" y="60984765"/>
          <a:ext cx="1823085" cy="677545"/>
        </a:xfrm>
        <a:prstGeom prst="rect">
          <a:avLst/>
        </a:prstGeom>
        <a:noFill/>
        <a:ln w="9525">
          <a:noFill/>
        </a:ln>
      </xdr:spPr>
    </xdr:pic>
    <xdr:clientData/>
  </xdr:twoCellAnchor>
  <xdr:twoCellAnchor editAs="oneCell">
    <xdr:from>
      <xdr:col>3</xdr:col>
      <xdr:colOff>174625</xdr:colOff>
      <xdr:row>45</xdr:row>
      <xdr:rowOff>283845</xdr:rowOff>
    </xdr:from>
    <xdr:to>
      <xdr:col>3</xdr:col>
      <xdr:colOff>1148080</xdr:colOff>
      <xdr:row>45</xdr:row>
      <xdr:rowOff>1041400</xdr:rowOff>
    </xdr:to>
    <xdr:pic>
      <xdr:nvPicPr>
        <xdr:cNvPr id="50" name="图片 49"/>
        <xdr:cNvPicPr>
          <a:picLocks noChangeAspect="1"/>
        </xdr:cNvPicPr>
      </xdr:nvPicPr>
      <xdr:blipFill>
        <a:blip r:embed="rId43"/>
        <a:stretch>
          <a:fillRect/>
        </a:stretch>
      </xdr:blipFill>
      <xdr:spPr>
        <a:xfrm>
          <a:off x="1603375" y="58399045"/>
          <a:ext cx="973455" cy="757555"/>
        </a:xfrm>
        <a:prstGeom prst="rect">
          <a:avLst/>
        </a:prstGeom>
        <a:noFill/>
        <a:ln w="9525">
          <a:noFill/>
        </a:ln>
      </xdr:spPr>
    </xdr:pic>
    <xdr:clientData/>
  </xdr:twoCellAnchor>
  <xdr:twoCellAnchor editAs="oneCell">
    <xdr:from>
      <xdr:col>3</xdr:col>
      <xdr:colOff>1152525</xdr:colOff>
      <xdr:row>45</xdr:row>
      <xdr:rowOff>285115</xdr:rowOff>
    </xdr:from>
    <xdr:to>
      <xdr:col>3</xdr:col>
      <xdr:colOff>2001520</xdr:colOff>
      <xdr:row>45</xdr:row>
      <xdr:rowOff>1068070</xdr:rowOff>
    </xdr:to>
    <xdr:pic>
      <xdr:nvPicPr>
        <xdr:cNvPr id="51" name="图片 50"/>
        <xdr:cNvPicPr>
          <a:picLocks noChangeAspect="1"/>
        </xdr:cNvPicPr>
      </xdr:nvPicPr>
      <xdr:blipFill>
        <a:blip r:embed="rId46"/>
        <a:stretch>
          <a:fillRect/>
        </a:stretch>
      </xdr:blipFill>
      <xdr:spPr>
        <a:xfrm>
          <a:off x="2581275" y="58400315"/>
          <a:ext cx="848995" cy="782955"/>
        </a:xfrm>
        <a:prstGeom prst="rect">
          <a:avLst/>
        </a:prstGeom>
        <a:noFill/>
        <a:ln w="9525">
          <a:noFill/>
        </a:ln>
      </xdr:spPr>
    </xdr:pic>
    <xdr:clientData/>
  </xdr:twoCellAnchor>
  <xdr:twoCellAnchor editAs="oneCell">
    <xdr:from>
      <xdr:col>3</xdr:col>
      <xdr:colOff>831850</xdr:colOff>
      <xdr:row>10</xdr:row>
      <xdr:rowOff>29845</xdr:rowOff>
    </xdr:from>
    <xdr:to>
      <xdr:col>3</xdr:col>
      <xdr:colOff>1109345</xdr:colOff>
      <xdr:row>10</xdr:row>
      <xdr:rowOff>1226185</xdr:rowOff>
    </xdr:to>
    <xdr:pic>
      <xdr:nvPicPr>
        <xdr:cNvPr id="52" name="图片 51"/>
        <xdr:cNvPicPr>
          <a:picLocks noChangeAspect="1"/>
        </xdr:cNvPicPr>
      </xdr:nvPicPr>
      <xdr:blipFill>
        <a:blip r:embed="rId47"/>
        <a:stretch>
          <a:fillRect/>
        </a:stretch>
      </xdr:blipFill>
      <xdr:spPr>
        <a:xfrm>
          <a:off x="2260600" y="10189845"/>
          <a:ext cx="277495" cy="1196340"/>
        </a:xfrm>
        <a:prstGeom prst="rect">
          <a:avLst/>
        </a:prstGeom>
        <a:noFill/>
        <a:ln w="9525">
          <a:noFill/>
        </a:ln>
      </xdr:spPr>
    </xdr:pic>
    <xdr:clientData/>
  </xdr:twoCellAnchor>
  <xdr:twoCellAnchor editAs="oneCell">
    <xdr:from>
      <xdr:col>3</xdr:col>
      <xdr:colOff>668655</xdr:colOff>
      <xdr:row>46</xdr:row>
      <xdr:rowOff>25400</xdr:rowOff>
    </xdr:from>
    <xdr:to>
      <xdr:col>3</xdr:col>
      <xdr:colOff>1600835</xdr:colOff>
      <xdr:row>46</xdr:row>
      <xdr:rowOff>1158240</xdr:rowOff>
    </xdr:to>
    <xdr:pic>
      <xdr:nvPicPr>
        <xdr:cNvPr id="53" name="图片 3"/>
        <xdr:cNvPicPr>
          <a:picLocks noChangeAspect="1"/>
        </xdr:cNvPicPr>
      </xdr:nvPicPr>
      <xdr:blipFill>
        <a:blip r:embed="rId48"/>
        <a:stretch>
          <a:fillRect/>
        </a:stretch>
      </xdr:blipFill>
      <xdr:spPr>
        <a:xfrm>
          <a:off x="2097405" y="59410600"/>
          <a:ext cx="932180" cy="1132840"/>
        </a:xfrm>
        <a:prstGeom prst="rect">
          <a:avLst/>
        </a:prstGeom>
        <a:noFill/>
        <a:ln w="9525">
          <a:noFill/>
        </a:ln>
      </xdr:spPr>
    </xdr:pic>
    <xdr:clientData/>
  </xdr:twoCellAnchor>
  <xdr:twoCellAnchor editAs="oneCell">
    <xdr:from>
      <xdr:col>3</xdr:col>
      <xdr:colOff>668655</xdr:colOff>
      <xdr:row>43</xdr:row>
      <xdr:rowOff>25400</xdr:rowOff>
    </xdr:from>
    <xdr:to>
      <xdr:col>3</xdr:col>
      <xdr:colOff>1600835</xdr:colOff>
      <xdr:row>43</xdr:row>
      <xdr:rowOff>1158240</xdr:rowOff>
    </xdr:to>
    <xdr:pic>
      <xdr:nvPicPr>
        <xdr:cNvPr id="54" name="图片 3"/>
        <xdr:cNvPicPr>
          <a:picLocks noChangeAspect="1"/>
        </xdr:cNvPicPr>
      </xdr:nvPicPr>
      <xdr:blipFill>
        <a:blip r:embed="rId48"/>
        <a:stretch>
          <a:fillRect/>
        </a:stretch>
      </xdr:blipFill>
      <xdr:spPr>
        <a:xfrm>
          <a:off x="2097405" y="55600600"/>
          <a:ext cx="932180" cy="113284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5"/>
  <sheetViews>
    <sheetView view="pageBreakPreview" zoomScaleNormal="100" topLeftCell="A85" workbookViewId="0">
      <selection activeCell="O88" sqref="O88"/>
    </sheetView>
  </sheetViews>
  <sheetFormatPr defaultColWidth="9" defaultRowHeight="11.25"/>
  <cols>
    <col min="1" max="1" width="6.14285714285714" style="25" customWidth="1"/>
    <col min="2" max="2" width="15.152380952381" style="19" customWidth="1"/>
    <col min="3" max="3" width="36.1428571428571" style="19" customWidth="1"/>
    <col min="4" max="4" width="6.42857142857143" style="25" customWidth="1"/>
    <col min="5" max="5" width="6.71428571428571" style="25" customWidth="1"/>
    <col min="6" max="6" width="8.42857142857143" style="25" customWidth="1"/>
    <col min="7" max="7" width="8.66666666666667" style="25" customWidth="1"/>
    <col min="8" max="8" width="10.3142857142857" style="25" customWidth="1"/>
    <col min="9" max="9" width="7.57142857142857" style="25" customWidth="1"/>
    <col min="10" max="10" width="9" style="25" customWidth="1"/>
    <col min="11" max="11" width="10.4285714285714" style="25" customWidth="1"/>
    <col min="12" max="12" width="9.85714285714286" style="25" customWidth="1"/>
    <col min="13" max="13" width="9.28571428571429" style="25" customWidth="1"/>
    <col min="14" max="14" width="11.7142857142857" style="26" customWidth="1"/>
    <col min="15" max="15" width="11.1714285714286" style="27" customWidth="1"/>
    <col min="16" max="16" width="9" style="19"/>
    <col min="17" max="18" width="11" style="19"/>
    <col min="19" max="16384" width="9" style="19"/>
  </cols>
  <sheetData>
    <row r="1" s="19" customFormat="1" ht="35" customHeight="1" spans="1:15">
      <c r="A1" s="28" t="s">
        <v>431</v>
      </c>
      <c r="B1" s="28"/>
      <c r="C1" s="28"/>
      <c r="D1" s="28"/>
      <c r="E1" s="28"/>
      <c r="F1" s="28"/>
      <c r="G1" s="28"/>
      <c r="H1" s="28"/>
      <c r="I1" s="28"/>
      <c r="J1" s="28"/>
      <c r="K1" s="28"/>
      <c r="L1" s="28"/>
      <c r="M1" s="28"/>
      <c r="N1" s="56"/>
      <c r="O1" s="28"/>
    </row>
    <row r="2" s="19" customFormat="1" ht="19" customHeight="1" spans="1:15">
      <c r="A2" s="29" t="s">
        <v>432</v>
      </c>
      <c r="B2" s="29"/>
      <c r="C2" s="29"/>
      <c r="D2" s="29"/>
      <c r="E2" s="29"/>
      <c r="F2" s="29"/>
      <c r="G2" s="30"/>
      <c r="H2" s="30"/>
      <c r="I2" s="30"/>
      <c r="J2" s="30"/>
      <c r="K2" s="30"/>
      <c r="L2" s="30"/>
      <c r="M2" s="30"/>
      <c r="N2" s="57"/>
      <c r="O2" s="30"/>
    </row>
    <row r="3" s="19" customFormat="1" spans="1:15">
      <c r="A3" s="31" t="s">
        <v>1</v>
      </c>
      <c r="B3" s="32" t="s">
        <v>63</v>
      </c>
      <c r="C3" s="32" t="s">
        <v>64</v>
      </c>
      <c r="D3" s="31" t="s">
        <v>29</v>
      </c>
      <c r="E3" s="31" t="s">
        <v>65</v>
      </c>
      <c r="F3" s="31" t="s">
        <v>66</v>
      </c>
      <c r="G3" s="31"/>
      <c r="H3" s="31"/>
      <c r="I3" s="31"/>
      <c r="J3" s="31"/>
      <c r="K3" s="31"/>
      <c r="L3" s="31"/>
      <c r="M3" s="31" t="s">
        <v>67</v>
      </c>
      <c r="N3" s="58" t="s">
        <v>68</v>
      </c>
      <c r="O3" s="31" t="s">
        <v>69</v>
      </c>
    </row>
    <row r="4" s="19" customFormat="1" ht="51" customHeight="1" spans="1:15">
      <c r="A4" s="31"/>
      <c r="B4" s="32"/>
      <c r="C4" s="32"/>
      <c r="D4" s="31"/>
      <c r="E4" s="31"/>
      <c r="F4" s="31" t="s">
        <v>70</v>
      </c>
      <c r="G4" s="31" t="s">
        <v>71</v>
      </c>
      <c r="H4" s="31" t="s">
        <v>72</v>
      </c>
      <c r="I4" s="31" t="s">
        <v>73</v>
      </c>
      <c r="J4" s="31" t="s">
        <v>74</v>
      </c>
      <c r="K4" s="31" t="s">
        <v>75</v>
      </c>
      <c r="L4" s="31" t="s">
        <v>76</v>
      </c>
      <c r="M4" s="31"/>
      <c r="N4" s="58"/>
      <c r="O4" s="31"/>
    </row>
    <row r="5" s="19" customFormat="1" ht="22.5" spans="1:15">
      <c r="A5" s="31"/>
      <c r="B5" s="32"/>
      <c r="C5" s="32"/>
      <c r="D5" s="31"/>
      <c r="E5" s="31"/>
      <c r="F5" s="31"/>
      <c r="G5" s="31" t="s">
        <v>77</v>
      </c>
      <c r="H5" s="31" t="s">
        <v>78</v>
      </c>
      <c r="I5" s="31" t="s">
        <v>79</v>
      </c>
      <c r="J5" s="31"/>
      <c r="K5" s="59">
        <v>0.09</v>
      </c>
      <c r="L5" s="59">
        <v>0.09</v>
      </c>
      <c r="M5" s="31"/>
      <c r="N5" s="58"/>
      <c r="O5" s="31"/>
    </row>
    <row r="6" s="20" customFormat="1" ht="27" customHeight="1" spans="1:17">
      <c r="A6" s="33" t="s">
        <v>33</v>
      </c>
      <c r="B6" s="34" t="s">
        <v>433</v>
      </c>
      <c r="C6" s="34"/>
      <c r="D6" s="35"/>
      <c r="E6" s="35"/>
      <c r="F6" s="35"/>
      <c r="G6" s="36"/>
      <c r="H6" s="37"/>
      <c r="I6" s="60"/>
      <c r="J6" s="61"/>
      <c r="K6" s="61"/>
      <c r="L6" s="61"/>
      <c r="M6" s="61"/>
      <c r="N6" s="62">
        <f>SUM(N7:N70)</f>
        <v>159085.544472</v>
      </c>
      <c r="O6" s="63"/>
      <c r="P6" s="64"/>
      <c r="Q6" s="64"/>
    </row>
    <row r="7" s="20" customFormat="1" ht="29" customHeight="1" spans="1:15">
      <c r="A7" s="38">
        <v>1</v>
      </c>
      <c r="B7" s="39" t="s">
        <v>434</v>
      </c>
      <c r="C7" s="40"/>
      <c r="D7" s="38"/>
      <c r="E7" s="31"/>
      <c r="F7" s="41"/>
      <c r="G7" s="41"/>
      <c r="H7" s="41"/>
      <c r="I7" s="61"/>
      <c r="J7" s="65"/>
      <c r="K7" s="65"/>
      <c r="L7" s="65"/>
      <c r="M7" s="65"/>
      <c r="N7" s="62"/>
      <c r="O7" s="66"/>
    </row>
    <row r="8" s="20" customFormat="1" ht="41" customHeight="1" spans="1:15">
      <c r="A8" s="38">
        <v>1.1</v>
      </c>
      <c r="B8" s="40" t="s">
        <v>435</v>
      </c>
      <c r="C8" s="40" t="s">
        <v>436</v>
      </c>
      <c r="D8" s="38" t="s">
        <v>35</v>
      </c>
      <c r="E8" s="31">
        <v>1</v>
      </c>
      <c r="F8" s="42">
        <v>5400</v>
      </c>
      <c r="G8" s="42">
        <f t="shared" ref="G8:G28" si="0">H8*(1+I8)</f>
        <v>14880</v>
      </c>
      <c r="H8" s="42">
        <v>14880</v>
      </c>
      <c r="I8" s="67">
        <v>0</v>
      </c>
      <c r="J8" s="42">
        <v>350</v>
      </c>
      <c r="K8" s="42">
        <f>(F8+G8+J8)*$K$5</f>
        <v>1856.7</v>
      </c>
      <c r="L8" s="42">
        <f>(F8+G8+J8+K8)*$L$5</f>
        <v>2023.803</v>
      </c>
      <c r="M8" s="42">
        <f t="shared" ref="M8:M28" si="1">F8+G8+J8+K8+L8</f>
        <v>24510.503</v>
      </c>
      <c r="N8" s="42">
        <f t="shared" ref="N8:N28" si="2">M8*E8</f>
        <v>24510.503</v>
      </c>
      <c r="O8" s="66" t="s">
        <v>437</v>
      </c>
    </row>
    <row r="9" s="20" customFormat="1" ht="42" customHeight="1" spans="1:15">
      <c r="A9" s="38">
        <v>1.2</v>
      </c>
      <c r="B9" s="40" t="s">
        <v>438</v>
      </c>
      <c r="C9" s="40" t="s">
        <v>439</v>
      </c>
      <c r="D9" s="38" t="s">
        <v>440</v>
      </c>
      <c r="E9" s="31">
        <v>1</v>
      </c>
      <c r="F9" s="42">
        <v>50</v>
      </c>
      <c r="G9" s="42">
        <f t="shared" si="0"/>
        <v>5000</v>
      </c>
      <c r="H9" s="42">
        <v>5000</v>
      </c>
      <c r="I9" s="67">
        <v>0</v>
      </c>
      <c r="J9" s="42">
        <v>35</v>
      </c>
      <c r="K9" s="42">
        <f>(F9+G9+J9)*$K$5</f>
        <v>457.65</v>
      </c>
      <c r="L9" s="42">
        <f>(F9+G9+J9+K9)*$L$5</f>
        <v>498.8385</v>
      </c>
      <c r="M9" s="42">
        <f t="shared" si="1"/>
        <v>6041.4885</v>
      </c>
      <c r="N9" s="42">
        <f t="shared" si="2"/>
        <v>6041.4885</v>
      </c>
      <c r="O9" s="66" t="s">
        <v>441</v>
      </c>
    </row>
    <row r="10" s="20" customFormat="1" ht="42" customHeight="1" spans="1:15">
      <c r="A10" s="38">
        <v>1.3</v>
      </c>
      <c r="B10" s="40" t="s">
        <v>442</v>
      </c>
      <c r="C10" s="40" t="s">
        <v>443</v>
      </c>
      <c r="D10" s="38" t="s">
        <v>440</v>
      </c>
      <c r="E10" s="31">
        <v>1</v>
      </c>
      <c r="F10" s="42">
        <v>100</v>
      </c>
      <c r="G10" s="42">
        <f t="shared" si="0"/>
        <v>4200</v>
      </c>
      <c r="H10" s="42">
        <v>4200</v>
      </c>
      <c r="I10" s="67">
        <v>0</v>
      </c>
      <c r="J10" s="42">
        <v>35</v>
      </c>
      <c r="K10" s="42">
        <f>(F10+G10+J10)*$K$5</f>
        <v>390.15</v>
      </c>
      <c r="L10" s="42">
        <f>(F10+G10+J10+K10)*$L$5</f>
        <v>425.2635</v>
      </c>
      <c r="M10" s="42">
        <f t="shared" si="1"/>
        <v>5150.4135</v>
      </c>
      <c r="N10" s="42">
        <f t="shared" si="2"/>
        <v>5150.4135</v>
      </c>
      <c r="O10" s="66" t="s">
        <v>444</v>
      </c>
    </row>
    <row r="11" s="20" customFormat="1" ht="44" customHeight="1" spans="1:15">
      <c r="A11" s="38">
        <v>1.4</v>
      </c>
      <c r="B11" s="40" t="s">
        <v>445</v>
      </c>
      <c r="C11" s="40" t="s">
        <v>446</v>
      </c>
      <c r="D11" s="38" t="s">
        <v>440</v>
      </c>
      <c r="E11" s="31">
        <v>1</v>
      </c>
      <c r="F11" s="42">
        <v>100</v>
      </c>
      <c r="G11" s="42">
        <f t="shared" si="0"/>
        <v>6200</v>
      </c>
      <c r="H11" s="42">
        <v>6200</v>
      </c>
      <c r="I11" s="67">
        <v>0</v>
      </c>
      <c r="J11" s="42">
        <v>35</v>
      </c>
      <c r="K11" s="42">
        <f>(F11+G11+J11)*$K$5</f>
        <v>570.15</v>
      </c>
      <c r="L11" s="42">
        <f>(F11+G11+J11+K11)*$L$5</f>
        <v>621.4635</v>
      </c>
      <c r="M11" s="42">
        <f t="shared" si="1"/>
        <v>7526.6135</v>
      </c>
      <c r="N11" s="42">
        <f t="shared" si="2"/>
        <v>7526.6135</v>
      </c>
      <c r="O11" s="66" t="s">
        <v>444</v>
      </c>
    </row>
    <row r="12" s="20" customFormat="1" ht="46" customHeight="1" spans="1:15">
      <c r="A12" s="38">
        <v>1.5</v>
      </c>
      <c r="B12" s="40" t="s">
        <v>447</v>
      </c>
      <c r="C12" s="40" t="s">
        <v>448</v>
      </c>
      <c r="D12" s="38" t="s">
        <v>440</v>
      </c>
      <c r="E12" s="31">
        <v>1</v>
      </c>
      <c r="F12" s="42">
        <v>100</v>
      </c>
      <c r="G12" s="42">
        <f t="shared" si="0"/>
        <v>2200</v>
      </c>
      <c r="H12" s="42">
        <v>2200</v>
      </c>
      <c r="I12" s="67">
        <v>0</v>
      </c>
      <c r="J12" s="42">
        <v>35</v>
      </c>
      <c r="K12" s="42">
        <f>(F12+G12+J12)*$K$5</f>
        <v>210.15</v>
      </c>
      <c r="L12" s="42">
        <f>(F12+G12+J12+K12)*$L$5</f>
        <v>229.0635</v>
      </c>
      <c r="M12" s="42">
        <f t="shared" si="1"/>
        <v>2774.2135</v>
      </c>
      <c r="N12" s="42">
        <f t="shared" si="2"/>
        <v>2774.2135</v>
      </c>
      <c r="O12" s="66" t="s">
        <v>449</v>
      </c>
    </row>
    <row r="13" s="20" customFormat="1" ht="42" customHeight="1" spans="1:15">
      <c r="A13" s="38">
        <v>1.6</v>
      </c>
      <c r="B13" s="40" t="s">
        <v>450</v>
      </c>
      <c r="C13" s="40" t="s">
        <v>451</v>
      </c>
      <c r="D13" s="38" t="s">
        <v>440</v>
      </c>
      <c r="E13" s="31">
        <v>1</v>
      </c>
      <c r="F13" s="42">
        <v>100</v>
      </c>
      <c r="G13" s="42">
        <f t="shared" si="0"/>
        <v>4400</v>
      </c>
      <c r="H13" s="42">
        <v>4400</v>
      </c>
      <c r="I13" s="67">
        <v>0</v>
      </c>
      <c r="J13" s="42">
        <v>35</v>
      </c>
      <c r="K13" s="42">
        <f>(F13+G13+J13)*$K$5</f>
        <v>408.15</v>
      </c>
      <c r="L13" s="42">
        <f>(F13+G13+J13+K13)*$L$5</f>
        <v>444.8835</v>
      </c>
      <c r="M13" s="42">
        <f t="shared" si="1"/>
        <v>5388.0335</v>
      </c>
      <c r="N13" s="42">
        <f t="shared" si="2"/>
        <v>5388.0335</v>
      </c>
      <c r="O13" s="66" t="s">
        <v>444</v>
      </c>
    </row>
    <row r="14" s="20" customFormat="1" ht="44" customHeight="1" spans="1:15">
      <c r="A14" s="38">
        <v>1.7</v>
      </c>
      <c r="B14" s="40" t="s">
        <v>452</v>
      </c>
      <c r="C14" s="40" t="s">
        <v>453</v>
      </c>
      <c r="D14" s="38" t="s">
        <v>440</v>
      </c>
      <c r="E14" s="31">
        <v>1</v>
      </c>
      <c r="F14" s="42">
        <v>100</v>
      </c>
      <c r="G14" s="42">
        <f t="shared" si="0"/>
        <v>1580</v>
      </c>
      <c r="H14" s="42">
        <v>1580</v>
      </c>
      <c r="I14" s="67">
        <v>0</v>
      </c>
      <c r="J14" s="42">
        <v>35</v>
      </c>
      <c r="K14" s="42">
        <f>(F14+G14+J14)*$K$5</f>
        <v>154.35</v>
      </c>
      <c r="L14" s="42">
        <f>(F14+G14+J14+K14)*$L$5</f>
        <v>168.2415</v>
      </c>
      <c r="M14" s="42">
        <f t="shared" si="1"/>
        <v>2037.5915</v>
      </c>
      <c r="N14" s="42">
        <f t="shared" si="2"/>
        <v>2037.5915</v>
      </c>
      <c r="O14" s="66" t="s">
        <v>444</v>
      </c>
    </row>
    <row r="15" s="20" customFormat="1" ht="45" customHeight="1" spans="1:15">
      <c r="A15" s="38">
        <v>1.8</v>
      </c>
      <c r="B15" s="40" t="s">
        <v>454</v>
      </c>
      <c r="C15" s="40" t="s">
        <v>455</v>
      </c>
      <c r="D15" s="38" t="s">
        <v>440</v>
      </c>
      <c r="E15" s="31">
        <v>1</v>
      </c>
      <c r="F15" s="42">
        <v>100</v>
      </c>
      <c r="G15" s="42">
        <f t="shared" si="0"/>
        <v>3800</v>
      </c>
      <c r="H15" s="42">
        <v>3800</v>
      </c>
      <c r="I15" s="67">
        <v>0</v>
      </c>
      <c r="J15" s="42">
        <v>35</v>
      </c>
      <c r="K15" s="42">
        <f>(F15+G15+J15)*$K$5</f>
        <v>354.15</v>
      </c>
      <c r="L15" s="42">
        <f>(F15+G15+J15+K15)*$L$5</f>
        <v>386.0235</v>
      </c>
      <c r="M15" s="42">
        <f t="shared" si="1"/>
        <v>4675.1735</v>
      </c>
      <c r="N15" s="42">
        <f t="shared" si="2"/>
        <v>4675.1735</v>
      </c>
      <c r="O15" s="66" t="s">
        <v>444</v>
      </c>
    </row>
    <row r="16" s="20" customFormat="1" ht="42" customHeight="1" spans="1:15">
      <c r="A16" s="38">
        <v>1.9</v>
      </c>
      <c r="B16" s="40" t="s">
        <v>456</v>
      </c>
      <c r="C16" s="40" t="s">
        <v>457</v>
      </c>
      <c r="D16" s="38" t="s">
        <v>440</v>
      </c>
      <c r="E16" s="31">
        <v>1</v>
      </c>
      <c r="F16" s="42">
        <v>100</v>
      </c>
      <c r="G16" s="42">
        <f t="shared" si="0"/>
        <v>3200</v>
      </c>
      <c r="H16" s="42">
        <v>3200</v>
      </c>
      <c r="I16" s="67">
        <v>0</v>
      </c>
      <c r="J16" s="42">
        <v>50</v>
      </c>
      <c r="K16" s="42">
        <f>(F16+G16+J16)*$K$5</f>
        <v>301.5</v>
      </c>
      <c r="L16" s="42">
        <f>(F16+G16+J16+K16)*$L$5</f>
        <v>328.635</v>
      </c>
      <c r="M16" s="42">
        <f t="shared" si="1"/>
        <v>3980.135</v>
      </c>
      <c r="N16" s="42">
        <f t="shared" si="2"/>
        <v>3980.135</v>
      </c>
      <c r="O16" s="66" t="s">
        <v>444</v>
      </c>
    </row>
    <row r="17" s="20" customFormat="1" ht="44" customHeight="1" spans="1:15">
      <c r="A17" s="43">
        <v>1.1</v>
      </c>
      <c r="B17" s="40" t="s">
        <v>458</v>
      </c>
      <c r="C17" s="40" t="s">
        <v>459</v>
      </c>
      <c r="D17" s="38" t="s">
        <v>189</v>
      </c>
      <c r="E17" s="44">
        <v>1</v>
      </c>
      <c r="F17" s="42">
        <v>100</v>
      </c>
      <c r="G17" s="42">
        <f t="shared" si="0"/>
        <v>2100</v>
      </c>
      <c r="H17" s="42">
        <v>2100</v>
      </c>
      <c r="I17" s="67">
        <v>0</v>
      </c>
      <c r="J17" s="42">
        <v>50</v>
      </c>
      <c r="K17" s="42">
        <f>(F17+G17+J17)*$K$5</f>
        <v>202.5</v>
      </c>
      <c r="L17" s="42">
        <f>(F17+G17+J17+K17)*$L$5</f>
        <v>220.725</v>
      </c>
      <c r="M17" s="42">
        <f t="shared" si="1"/>
        <v>2673.225</v>
      </c>
      <c r="N17" s="42">
        <f t="shared" si="2"/>
        <v>2673.225</v>
      </c>
      <c r="O17" s="66" t="s">
        <v>449</v>
      </c>
    </row>
    <row r="18" s="20" customFormat="1" ht="42" customHeight="1" spans="1:15">
      <c r="A18" s="38">
        <v>1.11</v>
      </c>
      <c r="B18" s="40" t="s">
        <v>460</v>
      </c>
      <c r="C18" s="40" t="s">
        <v>461</v>
      </c>
      <c r="D18" s="38" t="s">
        <v>189</v>
      </c>
      <c r="E18" s="44">
        <v>1</v>
      </c>
      <c r="F18" s="42">
        <v>100</v>
      </c>
      <c r="G18" s="42">
        <f t="shared" si="0"/>
        <v>4050</v>
      </c>
      <c r="H18" s="42">
        <v>4050</v>
      </c>
      <c r="I18" s="67">
        <v>0</v>
      </c>
      <c r="J18" s="42">
        <v>50</v>
      </c>
      <c r="K18" s="42">
        <f>(F18+G18+J18)*$K$5</f>
        <v>378</v>
      </c>
      <c r="L18" s="42">
        <f>(F18+G18+J18+K18)*$L$5</f>
        <v>412.02</v>
      </c>
      <c r="M18" s="42">
        <f t="shared" si="1"/>
        <v>4990.02</v>
      </c>
      <c r="N18" s="42">
        <f t="shared" si="2"/>
        <v>4990.02</v>
      </c>
      <c r="O18" s="66" t="s">
        <v>449</v>
      </c>
    </row>
    <row r="19" s="20" customFormat="1" ht="42" customHeight="1" spans="1:15">
      <c r="A19" s="43">
        <v>1.12</v>
      </c>
      <c r="B19" s="40" t="s">
        <v>462</v>
      </c>
      <c r="C19" s="40" t="s">
        <v>463</v>
      </c>
      <c r="D19" s="38" t="s">
        <v>189</v>
      </c>
      <c r="E19" s="44">
        <v>2</v>
      </c>
      <c r="F19" s="42">
        <v>100</v>
      </c>
      <c r="G19" s="42">
        <f t="shared" si="0"/>
        <v>434</v>
      </c>
      <c r="H19" s="42">
        <v>434</v>
      </c>
      <c r="I19" s="67">
        <v>0</v>
      </c>
      <c r="J19" s="42">
        <v>30</v>
      </c>
      <c r="K19" s="42">
        <f>(F19+G19+J19)*$K$5</f>
        <v>50.76</v>
      </c>
      <c r="L19" s="42">
        <f>(F19+G19+J19+K19)*$L$5</f>
        <v>55.3284</v>
      </c>
      <c r="M19" s="42">
        <f t="shared" si="1"/>
        <v>670.0884</v>
      </c>
      <c r="N19" s="42">
        <f t="shared" si="2"/>
        <v>1340.1768</v>
      </c>
      <c r="O19" s="66" t="s">
        <v>449</v>
      </c>
    </row>
    <row r="20" s="20" customFormat="1" ht="56" customHeight="1" spans="1:15">
      <c r="A20" s="43">
        <v>1.13</v>
      </c>
      <c r="B20" s="40" t="s">
        <v>464</v>
      </c>
      <c r="C20" s="40" t="s">
        <v>465</v>
      </c>
      <c r="D20" s="38" t="s">
        <v>189</v>
      </c>
      <c r="E20" s="44">
        <v>2</v>
      </c>
      <c r="F20" s="42">
        <v>100</v>
      </c>
      <c r="G20" s="42">
        <f t="shared" si="0"/>
        <v>2000</v>
      </c>
      <c r="H20" s="42">
        <v>2000</v>
      </c>
      <c r="I20" s="67">
        <v>0</v>
      </c>
      <c r="J20" s="42">
        <v>50</v>
      </c>
      <c r="K20" s="42">
        <f>(F20+G20+J20)*$K$5</f>
        <v>193.5</v>
      </c>
      <c r="L20" s="42">
        <f>(F20+G20+J20+K20)*$L$5</f>
        <v>210.915</v>
      </c>
      <c r="M20" s="42">
        <f t="shared" si="1"/>
        <v>2554.415</v>
      </c>
      <c r="N20" s="42">
        <f t="shared" si="2"/>
        <v>5108.83</v>
      </c>
      <c r="O20" s="66" t="s">
        <v>449</v>
      </c>
    </row>
    <row r="21" s="20" customFormat="1" ht="42" customHeight="1" spans="1:15">
      <c r="A21" s="38">
        <v>1.14</v>
      </c>
      <c r="B21" s="40" t="s">
        <v>466</v>
      </c>
      <c r="C21" s="40" t="s">
        <v>467</v>
      </c>
      <c r="D21" s="38" t="s">
        <v>173</v>
      </c>
      <c r="E21" s="31">
        <v>4</v>
      </c>
      <c r="F21" s="42">
        <v>20</v>
      </c>
      <c r="G21" s="42">
        <f t="shared" si="0"/>
        <v>145</v>
      </c>
      <c r="H21" s="42">
        <v>145</v>
      </c>
      <c r="I21" s="67">
        <v>0</v>
      </c>
      <c r="J21" s="42">
        <v>8</v>
      </c>
      <c r="K21" s="42">
        <f>(F21+G21+J21)*$K$5</f>
        <v>15.57</v>
      </c>
      <c r="L21" s="42">
        <f>(F21+G21+J21+K21)*$L$5</f>
        <v>16.9713</v>
      </c>
      <c r="M21" s="42">
        <f t="shared" si="1"/>
        <v>205.5413</v>
      </c>
      <c r="N21" s="42">
        <f t="shared" si="2"/>
        <v>822.1652</v>
      </c>
      <c r="O21" s="66" t="s">
        <v>449</v>
      </c>
    </row>
    <row r="22" s="20" customFormat="1" ht="42" customHeight="1" spans="1:15">
      <c r="A22" s="43">
        <v>1.15</v>
      </c>
      <c r="B22" s="40" t="s">
        <v>468</v>
      </c>
      <c r="C22" s="40" t="s">
        <v>469</v>
      </c>
      <c r="D22" s="38" t="s">
        <v>173</v>
      </c>
      <c r="E22" s="31">
        <v>1</v>
      </c>
      <c r="F22" s="42">
        <v>20</v>
      </c>
      <c r="G22" s="42">
        <f t="shared" si="0"/>
        <v>45</v>
      </c>
      <c r="H22" s="42">
        <v>45</v>
      </c>
      <c r="I22" s="67">
        <v>0</v>
      </c>
      <c r="J22" s="42">
        <v>7.5</v>
      </c>
      <c r="K22" s="42">
        <f>(F22+G22+J22)*$K$5</f>
        <v>6.525</v>
      </c>
      <c r="L22" s="42">
        <f>(F22+G22+J22+K22)*$L$5</f>
        <v>7.11225</v>
      </c>
      <c r="M22" s="42">
        <f t="shared" si="1"/>
        <v>86.13725</v>
      </c>
      <c r="N22" s="42">
        <f t="shared" si="2"/>
        <v>86.13725</v>
      </c>
      <c r="O22" s="66" t="s">
        <v>449</v>
      </c>
    </row>
    <row r="23" s="20" customFormat="1" ht="42" customHeight="1" spans="1:15">
      <c r="A23" s="43">
        <v>1.16</v>
      </c>
      <c r="B23" s="40" t="s">
        <v>470</v>
      </c>
      <c r="C23" s="40" t="s">
        <v>471</v>
      </c>
      <c r="D23" s="38" t="s">
        <v>173</v>
      </c>
      <c r="E23" s="31">
        <v>1</v>
      </c>
      <c r="F23" s="42">
        <v>35</v>
      </c>
      <c r="G23" s="42">
        <f t="shared" si="0"/>
        <v>48</v>
      </c>
      <c r="H23" s="42">
        <v>48</v>
      </c>
      <c r="I23" s="67">
        <v>0</v>
      </c>
      <c r="J23" s="42">
        <v>5</v>
      </c>
      <c r="K23" s="42">
        <f>(F23+G23+J23)*$K$5</f>
        <v>7.92</v>
      </c>
      <c r="L23" s="42">
        <f>(F23+G23+J23+K23)*$L$5</f>
        <v>8.6328</v>
      </c>
      <c r="M23" s="42">
        <f t="shared" si="1"/>
        <v>104.5528</v>
      </c>
      <c r="N23" s="42">
        <f t="shared" si="2"/>
        <v>104.5528</v>
      </c>
      <c r="O23" s="66" t="s">
        <v>449</v>
      </c>
    </row>
    <row r="24" s="20" customFormat="1" ht="42" customHeight="1" spans="1:15">
      <c r="A24" s="38">
        <v>1.17</v>
      </c>
      <c r="B24" s="32" t="s">
        <v>472</v>
      </c>
      <c r="C24" s="32" t="s">
        <v>473</v>
      </c>
      <c r="D24" s="31" t="s">
        <v>474</v>
      </c>
      <c r="E24" s="31">
        <v>90</v>
      </c>
      <c r="F24" s="42">
        <v>13.74</v>
      </c>
      <c r="G24" s="42">
        <f t="shared" si="0"/>
        <v>5.019</v>
      </c>
      <c r="H24" s="42">
        <v>4.78</v>
      </c>
      <c r="I24" s="67">
        <v>0.05</v>
      </c>
      <c r="J24" s="42">
        <v>1.23</v>
      </c>
      <c r="K24" s="42">
        <f>(F24+G24+J24)*$K$5</f>
        <v>1.79901</v>
      </c>
      <c r="L24" s="42">
        <f>(F24+G24+J24+K24)*$L$5</f>
        <v>1.9609209</v>
      </c>
      <c r="M24" s="42">
        <f t="shared" si="1"/>
        <v>23.7489309</v>
      </c>
      <c r="N24" s="42">
        <f t="shared" si="2"/>
        <v>2137.403781</v>
      </c>
      <c r="O24" s="66" t="s">
        <v>475</v>
      </c>
    </row>
    <row r="25" s="21" customFormat="1" ht="39" customHeight="1" spans="1:15">
      <c r="A25" s="43">
        <v>1.18</v>
      </c>
      <c r="B25" s="45" t="s">
        <v>472</v>
      </c>
      <c r="C25" s="45" t="s">
        <v>476</v>
      </c>
      <c r="D25" s="46" t="s">
        <v>474</v>
      </c>
      <c r="E25" s="46">
        <f>25+25</f>
        <v>50</v>
      </c>
      <c r="F25" s="47">
        <v>12.56</v>
      </c>
      <c r="G25" s="47">
        <f t="shared" si="0"/>
        <v>3.6855</v>
      </c>
      <c r="H25" s="47">
        <v>3.51</v>
      </c>
      <c r="I25" s="68">
        <v>0.05</v>
      </c>
      <c r="J25" s="47">
        <v>1.19</v>
      </c>
      <c r="K25" s="47">
        <f>(F25+G25+J25)*$K$5</f>
        <v>1.569195</v>
      </c>
      <c r="L25" s="47">
        <f>(F25+G25+J25+K25)*$L$5</f>
        <v>1.71042255</v>
      </c>
      <c r="M25" s="47">
        <f t="shared" si="1"/>
        <v>20.71511755</v>
      </c>
      <c r="N25" s="47">
        <f t="shared" si="2"/>
        <v>1035.7558775</v>
      </c>
      <c r="O25" s="69" t="s">
        <v>475</v>
      </c>
    </row>
    <row r="26" s="20" customFormat="1" ht="34" customHeight="1" spans="1:15">
      <c r="A26" s="43">
        <v>1.19</v>
      </c>
      <c r="B26" s="40" t="s">
        <v>477</v>
      </c>
      <c r="C26" s="40" t="s">
        <v>478</v>
      </c>
      <c r="D26" s="38" t="s">
        <v>173</v>
      </c>
      <c r="E26" s="31">
        <v>1</v>
      </c>
      <c r="F26" s="42">
        <v>100</v>
      </c>
      <c r="G26" s="42">
        <f t="shared" si="0"/>
        <v>450</v>
      </c>
      <c r="H26" s="42">
        <v>450</v>
      </c>
      <c r="I26" s="67">
        <v>0</v>
      </c>
      <c r="J26" s="42">
        <v>10</v>
      </c>
      <c r="K26" s="42">
        <f>(F26+G26+J26)*$K$5</f>
        <v>50.4</v>
      </c>
      <c r="L26" s="42">
        <f>(F26+G26+J26+K26)*$L$5</f>
        <v>54.936</v>
      </c>
      <c r="M26" s="42">
        <f t="shared" si="1"/>
        <v>665.336</v>
      </c>
      <c r="N26" s="42">
        <f t="shared" si="2"/>
        <v>665.336</v>
      </c>
      <c r="O26" s="66" t="s">
        <v>475</v>
      </c>
    </row>
    <row r="27" s="20" customFormat="1" ht="34" customHeight="1" spans="1:15">
      <c r="A27" s="48">
        <v>1.2</v>
      </c>
      <c r="B27" s="40" t="s">
        <v>479</v>
      </c>
      <c r="C27" s="40" t="s">
        <v>480</v>
      </c>
      <c r="D27" s="38" t="s">
        <v>173</v>
      </c>
      <c r="E27" s="31">
        <v>1</v>
      </c>
      <c r="F27" s="42">
        <v>10.22</v>
      </c>
      <c r="G27" s="42">
        <f t="shared" si="0"/>
        <v>45</v>
      </c>
      <c r="H27" s="42">
        <v>45</v>
      </c>
      <c r="I27" s="67">
        <v>0</v>
      </c>
      <c r="J27" s="42">
        <v>6.71</v>
      </c>
      <c r="K27" s="42">
        <f>(F27+G27+J27)*$K$5</f>
        <v>5.5737</v>
      </c>
      <c r="L27" s="42">
        <f>(F27+G27+J27+K27)*$L$5</f>
        <v>6.075333</v>
      </c>
      <c r="M27" s="42">
        <f t="shared" si="1"/>
        <v>73.579033</v>
      </c>
      <c r="N27" s="42">
        <f t="shared" si="2"/>
        <v>73.579033</v>
      </c>
      <c r="O27" s="66" t="s">
        <v>475</v>
      </c>
    </row>
    <row r="28" s="20" customFormat="1" ht="80" customHeight="1" spans="1:15">
      <c r="A28" s="48">
        <v>1.21</v>
      </c>
      <c r="B28" s="40" t="s">
        <v>481</v>
      </c>
      <c r="C28" s="40" t="s">
        <v>482</v>
      </c>
      <c r="D28" s="38" t="s">
        <v>83</v>
      </c>
      <c r="E28" s="31">
        <v>74.14</v>
      </c>
      <c r="F28" s="42">
        <v>20</v>
      </c>
      <c r="G28" s="42">
        <f t="shared" si="0"/>
        <v>68.25</v>
      </c>
      <c r="H28" s="42">
        <v>65</v>
      </c>
      <c r="I28" s="67">
        <v>0.05</v>
      </c>
      <c r="J28" s="42">
        <v>5</v>
      </c>
      <c r="K28" s="42">
        <f>(F28+G28+J28)*$K$5</f>
        <v>8.3925</v>
      </c>
      <c r="L28" s="42">
        <f>(F28+G28+J28+K28)*$L$5</f>
        <v>9.147825</v>
      </c>
      <c r="M28" s="42">
        <f t="shared" si="1"/>
        <v>110.790325</v>
      </c>
      <c r="N28" s="42">
        <f t="shared" si="2"/>
        <v>8213.9946955</v>
      </c>
      <c r="O28" s="66" t="s">
        <v>475</v>
      </c>
    </row>
    <row r="29" s="22" customFormat="1" ht="22" customHeight="1" spans="1:15">
      <c r="A29" s="38">
        <v>2</v>
      </c>
      <c r="B29" s="39" t="s">
        <v>483</v>
      </c>
      <c r="C29" s="40"/>
      <c r="D29" s="38"/>
      <c r="E29" s="31"/>
      <c r="F29" s="41"/>
      <c r="G29" s="41"/>
      <c r="H29" s="41"/>
      <c r="I29" s="59"/>
      <c r="J29" s="41"/>
      <c r="K29" s="41"/>
      <c r="L29" s="41"/>
      <c r="M29" s="41"/>
      <c r="N29" s="41"/>
      <c r="O29" s="70"/>
    </row>
    <row r="30" s="22" customFormat="1" ht="54" customHeight="1" spans="1:15">
      <c r="A30" s="38">
        <v>2.1</v>
      </c>
      <c r="B30" s="49" t="s">
        <v>484</v>
      </c>
      <c r="C30" s="40" t="s">
        <v>485</v>
      </c>
      <c r="D30" s="50" t="s">
        <v>440</v>
      </c>
      <c r="E30" s="44">
        <v>3</v>
      </c>
      <c r="F30" s="42">
        <v>126.57</v>
      </c>
      <c r="G30" s="42">
        <f t="shared" ref="G30:G55" si="3">H30*(1+I30)</f>
        <v>832</v>
      </c>
      <c r="H30" s="42">
        <v>800</v>
      </c>
      <c r="I30" s="67">
        <v>0.04</v>
      </c>
      <c r="J30" s="42">
        <v>38.64</v>
      </c>
      <c r="K30" s="42">
        <f>(F30+G30+J30)*$K$5</f>
        <v>89.7489</v>
      </c>
      <c r="L30" s="42">
        <f>(F30+G30+J30+K30)*$L$5</f>
        <v>97.826301</v>
      </c>
      <c r="M30" s="42">
        <f t="shared" ref="M30:M60" si="4">F30+G30+J30+K30+L30</f>
        <v>1184.785201</v>
      </c>
      <c r="N30" s="42">
        <f t="shared" ref="N30:N60" si="5">M30*E30</f>
        <v>3554.355603</v>
      </c>
      <c r="O30" s="70" t="s">
        <v>486</v>
      </c>
    </row>
    <row r="31" s="22" customFormat="1" ht="54" customHeight="1" spans="1:15">
      <c r="A31" s="38">
        <v>2.2</v>
      </c>
      <c r="B31" s="49" t="s">
        <v>487</v>
      </c>
      <c r="C31" s="40" t="s">
        <v>488</v>
      </c>
      <c r="D31" s="50" t="s">
        <v>440</v>
      </c>
      <c r="E31" s="44">
        <v>3</v>
      </c>
      <c r="F31" s="42">
        <v>126.57</v>
      </c>
      <c r="G31" s="42">
        <f t="shared" si="3"/>
        <v>832</v>
      </c>
      <c r="H31" s="42">
        <v>800</v>
      </c>
      <c r="I31" s="67">
        <v>0.04</v>
      </c>
      <c r="J31" s="42">
        <v>38.64</v>
      </c>
      <c r="K31" s="42">
        <f>(F31+G31+J31)*$K$5</f>
        <v>89.7489</v>
      </c>
      <c r="L31" s="42">
        <f>(F31+G31+J31+K31)*$L$5</f>
        <v>97.826301</v>
      </c>
      <c r="M31" s="42">
        <f t="shared" si="4"/>
        <v>1184.785201</v>
      </c>
      <c r="N31" s="42">
        <f t="shared" si="5"/>
        <v>3554.355603</v>
      </c>
      <c r="O31" s="70" t="s">
        <v>486</v>
      </c>
    </row>
    <row r="32" s="23" customFormat="1" ht="48" spans="1:15">
      <c r="A32" s="38">
        <v>2.3</v>
      </c>
      <c r="B32" s="51" t="s">
        <v>489</v>
      </c>
      <c r="C32" s="51" t="s">
        <v>490</v>
      </c>
      <c r="D32" s="52" t="s">
        <v>101</v>
      </c>
      <c r="E32" s="53">
        <v>400</v>
      </c>
      <c r="F32" s="47">
        <v>4.43</v>
      </c>
      <c r="G32" s="47">
        <f t="shared" si="3"/>
        <v>1.248</v>
      </c>
      <c r="H32" s="47">
        <v>1.2</v>
      </c>
      <c r="I32" s="67">
        <v>0.04</v>
      </c>
      <c r="J32" s="71">
        <v>0.35</v>
      </c>
      <c r="K32" s="47">
        <f>(F32+G32+J32)*$K$5</f>
        <v>0.54252</v>
      </c>
      <c r="L32" s="47">
        <f>(F32+G32+J32+K32)*$L$5</f>
        <v>0.5913468</v>
      </c>
      <c r="M32" s="47">
        <f t="shared" si="4"/>
        <v>7.1618668</v>
      </c>
      <c r="N32" s="47">
        <f t="shared" si="5"/>
        <v>2864.74672</v>
      </c>
      <c r="O32" s="72" t="s">
        <v>491</v>
      </c>
    </row>
    <row r="33" s="23" customFormat="1" ht="48" spans="1:15">
      <c r="A33" s="38">
        <v>2.4</v>
      </c>
      <c r="B33" s="51" t="s">
        <v>489</v>
      </c>
      <c r="C33" s="51" t="s">
        <v>492</v>
      </c>
      <c r="D33" s="52" t="s">
        <v>101</v>
      </c>
      <c r="E33" s="53">
        <v>60</v>
      </c>
      <c r="F33" s="47">
        <v>4.73</v>
      </c>
      <c r="G33" s="47">
        <f t="shared" si="3"/>
        <v>1.248</v>
      </c>
      <c r="H33" s="47">
        <v>1.2</v>
      </c>
      <c r="I33" s="67">
        <v>0.04</v>
      </c>
      <c r="J33" s="47">
        <v>0.35</v>
      </c>
      <c r="K33" s="47">
        <f>(F33+G33+J33)*$K$5</f>
        <v>0.56952</v>
      </c>
      <c r="L33" s="47">
        <f>(F33+G33+J33+K33)*$L$5</f>
        <v>0.6207768</v>
      </c>
      <c r="M33" s="47">
        <f t="shared" si="4"/>
        <v>7.5182968</v>
      </c>
      <c r="N33" s="47">
        <f t="shared" si="5"/>
        <v>451.097808</v>
      </c>
      <c r="O33" s="72" t="s">
        <v>491</v>
      </c>
    </row>
    <row r="34" s="23" customFormat="1" ht="48" spans="1:15">
      <c r="A34" s="38">
        <v>2.5</v>
      </c>
      <c r="B34" s="51" t="s">
        <v>489</v>
      </c>
      <c r="C34" s="51" t="s">
        <v>493</v>
      </c>
      <c r="D34" s="52" t="s">
        <v>101</v>
      </c>
      <c r="E34" s="53">
        <v>30</v>
      </c>
      <c r="F34" s="47">
        <v>4.95</v>
      </c>
      <c r="G34" s="47">
        <f t="shared" si="3"/>
        <v>1.248</v>
      </c>
      <c r="H34" s="47">
        <v>1.2</v>
      </c>
      <c r="I34" s="67">
        <v>0.04</v>
      </c>
      <c r="J34" s="47">
        <v>0.65</v>
      </c>
      <c r="K34" s="47">
        <f>(F34+G34+J34)*$K$5</f>
        <v>0.61632</v>
      </c>
      <c r="L34" s="47">
        <f>(F34+G34+J34+K34)*$L$5</f>
        <v>0.6717888</v>
      </c>
      <c r="M34" s="47">
        <f t="shared" si="4"/>
        <v>8.1361088</v>
      </c>
      <c r="N34" s="47">
        <f t="shared" si="5"/>
        <v>244.083264</v>
      </c>
      <c r="O34" s="72" t="s">
        <v>491</v>
      </c>
    </row>
    <row r="35" s="23" customFormat="1" ht="49" customHeight="1" spans="1:15">
      <c r="A35" s="38">
        <v>2.6</v>
      </c>
      <c r="B35" s="54" t="s">
        <v>494</v>
      </c>
      <c r="C35" s="54" t="s">
        <v>495</v>
      </c>
      <c r="D35" s="52" t="s">
        <v>101</v>
      </c>
      <c r="E35" s="53">
        <v>1200</v>
      </c>
      <c r="F35" s="47">
        <v>2.5</v>
      </c>
      <c r="G35" s="47">
        <f t="shared" si="3"/>
        <v>1.976</v>
      </c>
      <c r="H35" s="47">
        <v>1.9</v>
      </c>
      <c r="I35" s="67">
        <v>0.04</v>
      </c>
      <c r="J35" s="47">
        <v>0.15</v>
      </c>
      <c r="K35" s="47">
        <f>(F35+G35+J35)*$K$5</f>
        <v>0.41634</v>
      </c>
      <c r="L35" s="47">
        <f>(F35+G35+J35+K35)*$L$5</f>
        <v>0.4538106</v>
      </c>
      <c r="M35" s="47">
        <f t="shared" si="4"/>
        <v>5.4961506</v>
      </c>
      <c r="N35" s="47">
        <f t="shared" si="5"/>
        <v>6595.38072</v>
      </c>
      <c r="O35" s="72" t="s">
        <v>496</v>
      </c>
    </row>
    <row r="36" s="22" customFormat="1" ht="49" customHeight="1" spans="1:15">
      <c r="A36" s="38">
        <v>2.7</v>
      </c>
      <c r="B36" s="55" t="s">
        <v>494</v>
      </c>
      <c r="C36" s="55" t="s">
        <v>497</v>
      </c>
      <c r="D36" s="38" t="s">
        <v>101</v>
      </c>
      <c r="E36" s="44">
        <v>200</v>
      </c>
      <c r="F36" s="42">
        <v>3</v>
      </c>
      <c r="G36" s="42">
        <f t="shared" si="3"/>
        <v>3.12</v>
      </c>
      <c r="H36" s="42">
        <v>3</v>
      </c>
      <c r="I36" s="67">
        <v>0.04</v>
      </c>
      <c r="J36" s="47">
        <v>0.15</v>
      </c>
      <c r="K36" s="42">
        <f>(F36+G36+J36)*$K$5</f>
        <v>0.5643</v>
      </c>
      <c r="L36" s="42">
        <f>(F36+G36+J36+K36)*$L$5</f>
        <v>0.615087</v>
      </c>
      <c r="M36" s="42">
        <f t="shared" si="4"/>
        <v>7.449387</v>
      </c>
      <c r="N36" s="42">
        <f t="shared" si="5"/>
        <v>1489.8774</v>
      </c>
      <c r="O36" s="70" t="s">
        <v>496</v>
      </c>
    </row>
    <row r="37" s="22" customFormat="1" ht="49" customHeight="1" spans="1:15">
      <c r="A37" s="38">
        <v>2.8</v>
      </c>
      <c r="B37" s="55" t="s">
        <v>494</v>
      </c>
      <c r="C37" s="55" t="s">
        <v>498</v>
      </c>
      <c r="D37" s="38" t="s">
        <v>101</v>
      </c>
      <c r="E37" s="44">
        <v>180</v>
      </c>
      <c r="F37" s="42">
        <v>3.5</v>
      </c>
      <c r="G37" s="42">
        <f t="shared" si="3"/>
        <v>3.9</v>
      </c>
      <c r="H37" s="42">
        <v>3.9</v>
      </c>
      <c r="I37" s="67">
        <v>0</v>
      </c>
      <c r="J37" s="47">
        <v>0.15</v>
      </c>
      <c r="K37" s="42">
        <f>(F37+G37+J37)*$K$5</f>
        <v>0.6795</v>
      </c>
      <c r="L37" s="42">
        <f>(F37+G37+J37+K37)*$L$5</f>
        <v>0.740655</v>
      </c>
      <c r="M37" s="42">
        <f t="shared" si="4"/>
        <v>8.970155</v>
      </c>
      <c r="N37" s="42">
        <f t="shared" si="5"/>
        <v>1614.6279</v>
      </c>
      <c r="O37" s="70" t="s">
        <v>496</v>
      </c>
    </row>
    <row r="38" s="22" customFormat="1" ht="49" customHeight="1" spans="1:15">
      <c r="A38" s="38">
        <v>2.9</v>
      </c>
      <c r="B38" s="55" t="s">
        <v>494</v>
      </c>
      <c r="C38" s="55" t="s">
        <v>499</v>
      </c>
      <c r="D38" s="38" t="s">
        <v>101</v>
      </c>
      <c r="E38" s="44">
        <v>70</v>
      </c>
      <c r="F38" s="42">
        <v>1.5</v>
      </c>
      <c r="G38" s="42">
        <f t="shared" si="3"/>
        <v>3.64</v>
      </c>
      <c r="H38" s="42">
        <v>3.5</v>
      </c>
      <c r="I38" s="67">
        <v>0.04</v>
      </c>
      <c r="J38" s="42">
        <v>0.2</v>
      </c>
      <c r="K38" s="42">
        <f>(F38+G38+J38)*$K$5</f>
        <v>0.4806</v>
      </c>
      <c r="L38" s="42">
        <f>(F38+G38+J38+K38)*$L$5</f>
        <v>0.523854</v>
      </c>
      <c r="M38" s="42">
        <f t="shared" si="4"/>
        <v>6.344454</v>
      </c>
      <c r="N38" s="42">
        <f t="shared" si="5"/>
        <v>444.11178</v>
      </c>
      <c r="O38" s="70" t="s">
        <v>500</v>
      </c>
    </row>
    <row r="39" s="22" customFormat="1" ht="49" customHeight="1" spans="1:15">
      <c r="A39" s="38">
        <v>2.1</v>
      </c>
      <c r="B39" s="55" t="s">
        <v>494</v>
      </c>
      <c r="C39" s="55" t="s">
        <v>501</v>
      </c>
      <c r="D39" s="38" t="s">
        <v>101</v>
      </c>
      <c r="E39" s="44">
        <v>20</v>
      </c>
      <c r="F39" s="42">
        <v>1.5</v>
      </c>
      <c r="G39" s="42">
        <f t="shared" si="3"/>
        <v>4.68</v>
      </c>
      <c r="H39" s="42">
        <v>4.5</v>
      </c>
      <c r="I39" s="67">
        <v>0.04</v>
      </c>
      <c r="J39" s="42">
        <v>0.2</v>
      </c>
      <c r="K39" s="42">
        <f>(F39+G39+J39)*$K$5</f>
        <v>0.5742</v>
      </c>
      <c r="L39" s="42">
        <f>(F39+G39+J39+K39)*$L$5</f>
        <v>0.625878</v>
      </c>
      <c r="M39" s="42">
        <f t="shared" si="4"/>
        <v>7.580078</v>
      </c>
      <c r="N39" s="42">
        <f t="shared" si="5"/>
        <v>151.60156</v>
      </c>
      <c r="O39" s="70" t="s">
        <v>491</v>
      </c>
    </row>
    <row r="40" s="22" customFormat="1" ht="49" customHeight="1" spans="1:15">
      <c r="A40" s="38">
        <v>2.11</v>
      </c>
      <c r="B40" s="55" t="s">
        <v>502</v>
      </c>
      <c r="C40" s="55" t="s">
        <v>503</v>
      </c>
      <c r="D40" s="38" t="s">
        <v>101</v>
      </c>
      <c r="E40" s="44">
        <v>90</v>
      </c>
      <c r="F40" s="42">
        <v>3.17</v>
      </c>
      <c r="G40" s="42">
        <f t="shared" si="3"/>
        <v>98.8</v>
      </c>
      <c r="H40" s="42">
        <v>95</v>
      </c>
      <c r="I40" s="67">
        <v>0.04</v>
      </c>
      <c r="J40" s="42">
        <v>2.82</v>
      </c>
      <c r="K40" s="42">
        <f>(F40+G40+J40)*$K$5</f>
        <v>9.4311</v>
      </c>
      <c r="L40" s="42">
        <f>(F40+G40+J40+K40)*$L$5</f>
        <v>10.279899</v>
      </c>
      <c r="M40" s="42">
        <f t="shared" si="4"/>
        <v>124.500999</v>
      </c>
      <c r="N40" s="42">
        <f t="shared" si="5"/>
        <v>11205.08991</v>
      </c>
      <c r="O40" s="70" t="s">
        <v>496</v>
      </c>
    </row>
    <row r="41" s="22" customFormat="1" ht="49" customHeight="1" spans="1:15">
      <c r="A41" s="48">
        <v>2.12</v>
      </c>
      <c r="B41" s="40" t="s">
        <v>504</v>
      </c>
      <c r="C41" s="40" t="s">
        <v>505</v>
      </c>
      <c r="D41" s="38" t="s">
        <v>173</v>
      </c>
      <c r="E41" s="44">
        <v>32</v>
      </c>
      <c r="F41" s="42">
        <v>20</v>
      </c>
      <c r="G41" s="42">
        <f t="shared" si="3"/>
        <v>35</v>
      </c>
      <c r="H41" s="42">
        <v>35</v>
      </c>
      <c r="I41" s="67">
        <v>0</v>
      </c>
      <c r="J41" s="42">
        <v>13</v>
      </c>
      <c r="K41" s="42">
        <f>(F41+G41+J41)*$K$5</f>
        <v>6.12</v>
      </c>
      <c r="L41" s="42">
        <f>(F41+G41+J41+K41)*$L$5</f>
        <v>6.6708</v>
      </c>
      <c r="M41" s="42">
        <f t="shared" si="4"/>
        <v>80.7908</v>
      </c>
      <c r="N41" s="42">
        <f t="shared" si="5"/>
        <v>2585.3056</v>
      </c>
      <c r="O41" s="70" t="s">
        <v>506</v>
      </c>
    </row>
    <row r="42" s="22" customFormat="1" ht="49" customHeight="1" spans="1:15">
      <c r="A42" s="38">
        <v>2.13</v>
      </c>
      <c r="B42" s="40" t="s">
        <v>504</v>
      </c>
      <c r="C42" s="40" t="s">
        <v>507</v>
      </c>
      <c r="D42" s="38" t="s">
        <v>173</v>
      </c>
      <c r="E42" s="44">
        <v>4</v>
      </c>
      <c r="F42" s="42">
        <v>20</v>
      </c>
      <c r="G42" s="42">
        <f t="shared" si="3"/>
        <v>35</v>
      </c>
      <c r="H42" s="42">
        <v>35</v>
      </c>
      <c r="I42" s="67">
        <v>0</v>
      </c>
      <c r="J42" s="42">
        <v>13</v>
      </c>
      <c r="K42" s="42">
        <f>(F42+G42+J42)*$K$5</f>
        <v>6.12</v>
      </c>
      <c r="L42" s="42">
        <f>(F42+G42+J42+K42)*$L$5</f>
        <v>6.6708</v>
      </c>
      <c r="M42" s="42">
        <f t="shared" si="4"/>
        <v>80.7908</v>
      </c>
      <c r="N42" s="42">
        <f t="shared" si="5"/>
        <v>323.1632</v>
      </c>
      <c r="O42" s="70" t="s">
        <v>506</v>
      </c>
    </row>
    <row r="43" s="22" customFormat="1" ht="57" customHeight="1" spans="1:15">
      <c r="A43" s="48">
        <v>2.14</v>
      </c>
      <c r="B43" s="40" t="s">
        <v>504</v>
      </c>
      <c r="C43" s="40" t="s">
        <v>508</v>
      </c>
      <c r="D43" s="38" t="s">
        <v>173</v>
      </c>
      <c r="E43" s="44">
        <v>6</v>
      </c>
      <c r="F43" s="42">
        <v>25</v>
      </c>
      <c r="G43" s="42">
        <f t="shared" si="3"/>
        <v>225</v>
      </c>
      <c r="H43" s="42">
        <v>225</v>
      </c>
      <c r="I43" s="67">
        <v>0</v>
      </c>
      <c r="J43" s="42">
        <v>10</v>
      </c>
      <c r="K43" s="42">
        <f>(F43+G43+J43)*$K$5</f>
        <v>23.4</v>
      </c>
      <c r="L43" s="42">
        <f>(F43+G43+J43+K43)*$L$5</f>
        <v>25.506</v>
      </c>
      <c r="M43" s="42">
        <f t="shared" si="4"/>
        <v>308.906</v>
      </c>
      <c r="N43" s="42">
        <f t="shared" si="5"/>
        <v>1853.436</v>
      </c>
      <c r="O43" s="70" t="s">
        <v>506</v>
      </c>
    </row>
    <row r="44" s="22" customFormat="1" ht="49" customHeight="1" spans="1:15">
      <c r="A44" s="38">
        <v>2.15</v>
      </c>
      <c r="B44" s="40" t="s">
        <v>504</v>
      </c>
      <c r="C44" s="55" t="s">
        <v>509</v>
      </c>
      <c r="D44" s="38" t="s">
        <v>173</v>
      </c>
      <c r="E44" s="44">
        <v>2</v>
      </c>
      <c r="F44" s="42">
        <v>15</v>
      </c>
      <c r="G44" s="42">
        <f t="shared" si="3"/>
        <v>90</v>
      </c>
      <c r="H44" s="42">
        <v>90</v>
      </c>
      <c r="I44" s="67">
        <v>0</v>
      </c>
      <c r="J44" s="42">
        <v>12.5</v>
      </c>
      <c r="K44" s="42">
        <f>(F44+G44+J44)*$K$5</f>
        <v>10.575</v>
      </c>
      <c r="L44" s="42">
        <f>(F44+G44+J44+K44)*$L$5</f>
        <v>11.52675</v>
      </c>
      <c r="M44" s="42">
        <f t="shared" si="4"/>
        <v>139.60175</v>
      </c>
      <c r="N44" s="42">
        <f t="shared" si="5"/>
        <v>279.2035</v>
      </c>
      <c r="O44" s="70" t="s">
        <v>506</v>
      </c>
    </row>
    <row r="45" s="22" customFormat="1" ht="49" customHeight="1" spans="1:15">
      <c r="A45" s="48">
        <v>2.16</v>
      </c>
      <c r="B45" s="40" t="s">
        <v>504</v>
      </c>
      <c r="C45" s="40" t="s">
        <v>510</v>
      </c>
      <c r="D45" s="38" t="s">
        <v>101</v>
      </c>
      <c r="E45" s="44">
        <v>49.2</v>
      </c>
      <c r="F45" s="42">
        <v>10</v>
      </c>
      <c r="G45" s="42">
        <f t="shared" si="3"/>
        <v>13.65</v>
      </c>
      <c r="H45" s="42">
        <v>13</v>
      </c>
      <c r="I45" s="67">
        <v>0.05</v>
      </c>
      <c r="J45" s="42">
        <v>8</v>
      </c>
      <c r="K45" s="42">
        <f>(F45+G45+J45)*$K$5</f>
        <v>2.8485</v>
      </c>
      <c r="L45" s="42">
        <f>(F45+G45+J45+K45)*$L$5</f>
        <v>3.104865</v>
      </c>
      <c r="M45" s="42">
        <f t="shared" si="4"/>
        <v>37.603365</v>
      </c>
      <c r="N45" s="42">
        <f t="shared" si="5"/>
        <v>1850.085558</v>
      </c>
      <c r="O45" s="70" t="s">
        <v>506</v>
      </c>
    </row>
    <row r="46" s="23" customFormat="1" ht="49" customHeight="1" spans="1:15">
      <c r="A46" s="38">
        <v>2.17</v>
      </c>
      <c r="B46" s="51" t="s">
        <v>511</v>
      </c>
      <c r="C46" s="54" t="s">
        <v>512</v>
      </c>
      <c r="D46" s="52" t="s">
        <v>440</v>
      </c>
      <c r="E46" s="53">
        <v>2</v>
      </c>
      <c r="F46" s="47">
        <v>100</v>
      </c>
      <c r="G46" s="47">
        <f t="shared" si="3"/>
        <v>750</v>
      </c>
      <c r="H46" s="47">
        <v>750</v>
      </c>
      <c r="I46" s="68">
        <v>0</v>
      </c>
      <c r="J46" s="47">
        <v>13</v>
      </c>
      <c r="K46" s="47">
        <f>(F46+G46+J46)*$K$5</f>
        <v>77.67</v>
      </c>
      <c r="L46" s="47">
        <f>(F46+G46+J46+K46)*$L$5</f>
        <v>84.6603</v>
      </c>
      <c r="M46" s="47">
        <f t="shared" si="4"/>
        <v>1025.3303</v>
      </c>
      <c r="N46" s="47">
        <f t="shared" si="5"/>
        <v>2050.6606</v>
      </c>
      <c r="O46" s="72" t="s">
        <v>513</v>
      </c>
    </row>
    <row r="47" s="22" customFormat="1" ht="49" customHeight="1" spans="1:15">
      <c r="A47" s="48">
        <v>2.18</v>
      </c>
      <c r="B47" s="40" t="s">
        <v>511</v>
      </c>
      <c r="C47" s="40" t="s">
        <v>514</v>
      </c>
      <c r="D47" s="38" t="s">
        <v>173</v>
      </c>
      <c r="E47" s="44">
        <v>3</v>
      </c>
      <c r="F47" s="42">
        <v>15</v>
      </c>
      <c r="G47" s="47">
        <f t="shared" si="3"/>
        <v>95</v>
      </c>
      <c r="H47" s="42">
        <v>95</v>
      </c>
      <c r="I47" s="67">
        <v>0</v>
      </c>
      <c r="J47" s="42">
        <v>3.03</v>
      </c>
      <c r="K47" s="42">
        <f>(F47+G47+J47)*$K$5</f>
        <v>10.1727</v>
      </c>
      <c r="L47" s="42">
        <f>(F47+G47+J47+K47)*$L$5</f>
        <v>11.088243</v>
      </c>
      <c r="M47" s="42">
        <f t="shared" si="4"/>
        <v>134.290943</v>
      </c>
      <c r="N47" s="42">
        <f t="shared" si="5"/>
        <v>402.872829</v>
      </c>
      <c r="O47" s="70" t="s">
        <v>515</v>
      </c>
    </row>
    <row r="48" s="22" customFormat="1" ht="49" customHeight="1" spans="1:15">
      <c r="A48" s="38">
        <v>2.19</v>
      </c>
      <c r="B48" s="40" t="s">
        <v>511</v>
      </c>
      <c r="C48" s="40" t="s">
        <v>516</v>
      </c>
      <c r="D48" s="38" t="s">
        <v>173</v>
      </c>
      <c r="E48" s="44">
        <v>2</v>
      </c>
      <c r="F48" s="42">
        <v>15</v>
      </c>
      <c r="G48" s="47">
        <f t="shared" si="3"/>
        <v>95</v>
      </c>
      <c r="H48" s="42">
        <v>95</v>
      </c>
      <c r="I48" s="67">
        <v>0</v>
      </c>
      <c r="J48" s="42">
        <v>3</v>
      </c>
      <c r="K48" s="42">
        <f>(F48+G48+J48)*$K$5</f>
        <v>10.17</v>
      </c>
      <c r="L48" s="42">
        <f>(F48+G48+J48+K48)*$L$5</f>
        <v>11.0853</v>
      </c>
      <c r="M48" s="42">
        <f t="shared" si="4"/>
        <v>134.2553</v>
      </c>
      <c r="N48" s="42">
        <f t="shared" si="5"/>
        <v>268.5106</v>
      </c>
      <c r="O48" s="70" t="s">
        <v>515</v>
      </c>
    </row>
    <row r="49" s="22" customFormat="1" ht="54" customHeight="1" spans="1:15">
      <c r="A49" s="48">
        <v>2.2</v>
      </c>
      <c r="B49" s="40" t="s">
        <v>511</v>
      </c>
      <c r="C49" s="40" t="s">
        <v>517</v>
      </c>
      <c r="D49" s="38" t="s">
        <v>173</v>
      </c>
      <c r="E49" s="44">
        <v>3</v>
      </c>
      <c r="F49" s="42">
        <v>15</v>
      </c>
      <c r="G49" s="47">
        <f t="shared" si="3"/>
        <v>95</v>
      </c>
      <c r="H49" s="42">
        <v>95</v>
      </c>
      <c r="I49" s="67">
        <v>0</v>
      </c>
      <c r="J49" s="42">
        <v>3</v>
      </c>
      <c r="K49" s="42">
        <f>(F49+G49+J49)*$K$5</f>
        <v>10.17</v>
      </c>
      <c r="L49" s="42">
        <f>(F49+G49+J49+K49)*$L$5</f>
        <v>11.0853</v>
      </c>
      <c r="M49" s="42">
        <f t="shared" si="4"/>
        <v>134.2553</v>
      </c>
      <c r="N49" s="42">
        <f t="shared" si="5"/>
        <v>402.7659</v>
      </c>
      <c r="O49" s="70" t="s">
        <v>515</v>
      </c>
    </row>
    <row r="50" s="22" customFormat="1" ht="49" customHeight="1" spans="1:15">
      <c r="A50" s="38">
        <v>2.21</v>
      </c>
      <c r="B50" s="40" t="s">
        <v>511</v>
      </c>
      <c r="C50" s="40" t="s">
        <v>518</v>
      </c>
      <c r="D50" s="38" t="s">
        <v>173</v>
      </c>
      <c r="E50" s="44">
        <v>2</v>
      </c>
      <c r="F50" s="42">
        <v>15</v>
      </c>
      <c r="G50" s="47">
        <f t="shared" si="3"/>
        <v>95</v>
      </c>
      <c r="H50" s="42">
        <v>95</v>
      </c>
      <c r="I50" s="67">
        <v>0</v>
      </c>
      <c r="J50" s="42">
        <v>3</v>
      </c>
      <c r="K50" s="42">
        <f>(F50+G50+J50)*$K$5</f>
        <v>10.17</v>
      </c>
      <c r="L50" s="42">
        <f>(F50+G50+J50+K50)*$L$5</f>
        <v>11.0853</v>
      </c>
      <c r="M50" s="42">
        <f t="shared" si="4"/>
        <v>134.2553</v>
      </c>
      <c r="N50" s="42">
        <f t="shared" si="5"/>
        <v>268.5106</v>
      </c>
      <c r="O50" s="70" t="s">
        <v>515</v>
      </c>
    </row>
    <row r="51" s="22" customFormat="1" ht="49" customHeight="1" spans="1:15">
      <c r="A51" s="48">
        <v>2.22</v>
      </c>
      <c r="B51" s="40" t="s">
        <v>511</v>
      </c>
      <c r="C51" s="40" t="s">
        <v>519</v>
      </c>
      <c r="D51" s="38" t="s">
        <v>173</v>
      </c>
      <c r="E51" s="44">
        <v>3</v>
      </c>
      <c r="F51" s="42">
        <v>15</v>
      </c>
      <c r="G51" s="42">
        <f t="shared" si="3"/>
        <v>95</v>
      </c>
      <c r="H51" s="42">
        <v>95</v>
      </c>
      <c r="I51" s="67">
        <v>0</v>
      </c>
      <c r="J51" s="42">
        <v>3</v>
      </c>
      <c r="K51" s="42">
        <f>(F51+G51+J51)*$K$5</f>
        <v>10.17</v>
      </c>
      <c r="L51" s="42">
        <f>(F51+G51+J51+K51)*$L$5</f>
        <v>11.0853</v>
      </c>
      <c r="M51" s="42">
        <f t="shared" si="4"/>
        <v>134.2553</v>
      </c>
      <c r="N51" s="42">
        <f t="shared" si="5"/>
        <v>402.7659</v>
      </c>
      <c r="O51" s="70" t="s">
        <v>515</v>
      </c>
    </row>
    <row r="52" s="22" customFormat="1" ht="60" customHeight="1" spans="1:15">
      <c r="A52" s="38">
        <v>2.23</v>
      </c>
      <c r="B52" s="40" t="s">
        <v>511</v>
      </c>
      <c r="C52" s="40" t="s">
        <v>520</v>
      </c>
      <c r="D52" s="38" t="s">
        <v>173</v>
      </c>
      <c r="E52" s="44">
        <v>2</v>
      </c>
      <c r="F52" s="42">
        <v>15</v>
      </c>
      <c r="G52" s="42">
        <f t="shared" si="3"/>
        <v>95</v>
      </c>
      <c r="H52" s="42">
        <v>95</v>
      </c>
      <c r="I52" s="67">
        <v>0</v>
      </c>
      <c r="J52" s="42">
        <v>3</v>
      </c>
      <c r="K52" s="42">
        <f>(F52+G52+J52)*$K$5</f>
        <v>10.17</v>
      </c>
      <c r="L52" s="42">
        <f>(F52+G52+J52+K52)*$L$5</f>
        <v>11.0853</v>
      </c>
      <c r="M52" s="42">
        <f t="shared" si="4"/>
        <v>134.2553</v>
      </c>
      <c r="N52" s="42">
        <f t="shared" si="5"/>
        <v>268.5106</v>
      </c>
      <c r="O52" s="70" t="s">
        <v>515</v>
      </c>
    </row>
    <row r="53" s="22" customFormat="1" ht="49" customHeight="1" spans="1:15">
      <c r="A53" s="48">
        <v>2.24</v>
      </c>
      <c r="B53" s="40" t="s">
        <v>511</v>
      </c>
      <c r="C53" s="40" t="s">
        <v>521</v>
      </c>
      <c r="D53" s="38" t="s">
        <v>173</v>
      </c>
      <c r="E53" s="44">
        <v>1</v>
      </c>
      <c r="F53" s="42">
        <v>20</v>
      </c>
      <c r="G53" s="42">
        <f t="shared" si="3"/>
        <v>15.8</v>
      </c>
      <c r="H53" s="42">
        <v>15.8</v>
      </c>
      <c r="I53" s="67">
        <v>0</v>
      </c>
      <c r="J53" s="42">
        <v>3.5</v>
      </c>
      <c r="K53" s="42">
        <f>(F53+G53+J53)*$K$5</f>
        <v>3.537</v>
      </c>
      <c r="L53" s="42">
        <f>(F53+G53+J53+K53)*$L$5</f>
        <v>3.85533</v>
      </c>
      <c r="M53" s="42">
        <f t="shared" si="4"/>
        <v>46.69233</v>
      </c>
      <c r="N53" s="42">
        <f t="shared" si="5"/>
        <v>46.69233</v>
      </c>
      <c r="O53" s="70" t="s">
        <v>522</v>
      </c>
    </row>
    <row r="54" s="22" customFormat="1" ht="49" customHeight="1" spans="1:15">
      <c r="A54" s="38">
        <v>2.25</v>
      </c>
      <c r="B54" s="40" t="s">
        <v>511</v>
      </c>
      <c r="C54" s="40" t="s">
        <v>523</v>
      </c>
      <c r="D54" s="38" t="s">
        <v>173</v>
      </c>
      <c r="E54" s="44">
        <v>21</v>
      </c>
      <c r="F54" s="42">
        <v>15</v>
      </c>
      <c r="G54" s="42">
        <f t="shared" si="3"/>
        <v>13.5</v>
      </c>
      <c r="H54" s="42">
        <v>13.5</v>
      </c>
      <c r="I54" s="67">
        <v>0</v>
      </c>
      <c r="J54" s="42">
        <v>3.5</v>
      </c>
      <c r="K54" s="42">
        <f>(F54+G54+J54)*$K$5</f>
        <v>2.88</v>
      </c>
      <c r="L54" s="42">
        <f>(F54+G54+J54+K54)*$L$5</f>
        <v>3.1392</v>
      </c>
      <c r="M54" s="42">
        <f t="shared" si="4"/>
        <v>38.0192</v>
      </c>
      <c r="N54" s="42">
        <f t="shared" si="5"/>
        <v>798.4032</v>
      </c>
      <c r="O54" s="70" t="s">
        <v>522</v>
      </c>
    </row>
    <row r="55" s="22" customFormat="1" ht="49" customHeight="1" spans="1:15">
      <c r="A55" s="48">
        <v>2.26</v>
      </c>
      <c r="B55" s="40" t="s">
        <v>511</v>
      </c>
      <c r="C55" s="40" t="s">
        <v>524</v>
      </c>
      <c r="D55" s="38" t="s">
        <v>173</v>
      </c>
      <c r="E55" s="44">
        <v>2</v>
      </c>
      <c r="F55" s="42">
        <v>15</v>
      </c>
      <c r="G55" s="42">
        <f t="shared" si="3"/>
        <v>25</v>
      </c>
      <c r="H55" s="42">
        <v>25</v>
      </c>
      <c r="I55" s="67">
        <v>0</v>
      </c>
      <c r="J55" s="42">
        <v>3.5</v>
      </c>
      <c r="K55" s="42">
        <f>(F55+G55+J55)*$K$5</f>
        <v>3.915</v>
      </c>
      <c r="L55" s="42">
        <f>(F55+G55+J55+K55)*$L$5</f>
        <v>4.26735</v>
      </c>
      <c r="M55" s="42">
        <f t="shared" si="4"/>
        <v>51.68235</v>
      </c>
      <c r="N55" s="42">
        <f t="shared" si="5"/>
        <v>103.3647</v>
      </c>
      <c r="O55" s="70" t="s">
        <v>522</v>
      </c>
    </row>
    <row r="56" s="22" customFormat="1" ht="49" customHeight="1" spans="1:15">
      <c r="A56" s="38">
        <v>2.27</v>
      </c>
      <c r="B56" s="40" t="s">
        <v>511</v>
      </c>
      <c r="C56" s="40" t="s">
        <v>525</v>
      </c>
      <c r="D56" s="38" t="s">
        <v>173</v>
      </c>
      <c r="E56" s="44">
        <v>6</v>
      </c>
      <c r="F56" s="42">
        <v>15</v>
      </c>
      <c r="G56" s="42">
        <v>30</v>
      </c>
      <c r="H56" s="42">
        <v>28</v>
      </c>
      <c r="I56" s="67">
        <v>0</v>
      </c>
      <c r="J56" s="42">
        <v>3.5</v>
      </c>
      <c r="K56" s="42">
        <f>(F56+G56+J56)*$K$5</f>
        <v>4.365</v>
      </c>
      <c r="L56" s="42">
        <f>(F56+G56+J56+K56)*$L$5</f>
        <v>4.75785</v>
      </c>
      <c r="M56" s="42">
        <f t="shared" si="4"/>
        <v>57.62285</v>
      </c>
      <c r="N56" s="42">
        <f t="shared" si="5"/>
        <v>345.7371</v>
      </c>
      <c r="O56" s="70" t="s">
        <v>522</v>
      </c>
    </row>
    <row r="57" s="22" customFormat="1" ht="49" customHeight="1" spans="1:15">
      <c r="A57" s="48">
        <v>2.28</v>
      </c>
      <c r="B57" s="40" t="s">
        <v>511</v>
      </c>
      <c r="C57" s="40" t="s">
        <v>526</v>
      </c>
      <c r="D57" s="38" t="s">
        <v>173</v>
      </c>
      <c r="E57" s="44">
        <v>2</v>
      </c>
      <c r="F57" s="42">
        <v>15</v>
      </c>
      <c r="G57" s="42">
        <f t="shared" ref="G57:G60" si="6">H57*(1+I57)</f>
        <v>35</v>
      </c>
      <c r="H57" s="42">
        <v>35</v>
      </c>
      <c r="I57" s="67">
        <v>0</v>
      </c>
      <c r="J57" s="42">
        <v>3.5</v>
      </c>
      <c r="K57" s="42">
        <f>(F57+G57+J57)*$K$5</f>
        <v>4.815</v>
      </c>
      <c r="L57" s="42">
        <f>(F57+G57+J57+K57)*$L$5</f>
        <v>5.24835</v>
      </c>
      <c r="M57" s="42">
        <f t="shared" si="4"/>
        <v>63.56335</v>
      </c>
      <c r="N57" s="42">
        <f t="shared" si="5"/>
        <v>127.1267</v>
      </c>
      <c r="O57" s="70" t="s">
        <v>522</v>
      </c>
    </row>
    <row r="58" s="22" customFormat="1" ht="49" customHeight="1" spans="1:15">
      <c r="A58" s="38">
        <v>2.29</v>
      </c>
      <c r="B58" s="40" t="s">
        <v>511</v>
      </c>
      <c r="C58" s="40" t="s">
        <v>527</v>
      </c>
      <c r="D58" s="38" t="s">
        <v>173</v>
      </c>
      <c r="E58" s="44">
        <v>2</v>
      </c>
      <c r="F58" s="42">
        <v>15</v>
      </c>
      <c r="G58" s="42">
        <f t="shared" si="6"/>
        <v>150</v>
      </c>
      <c r="H58" s="42">
        <v>150</v>
      </c>
      <c r="I58" s="67">
        <v>0</v>
      </c>
      <c r="J58" s="42">
        <v>3.5</v>
      </c>
      <c r="K58" s="42">
        <f>(F58+G58+J58)*$K$5</f>
        <v>15.165</v>
      </c>
      <c r="L58" s="42">
        <f>(F58+G58+J58+K58)*$L$5</f>
        <v>16.52985</v>
      </c>
      <c r="M58" s="42">
        <f t="shared" si="4"/>
        <v>200.19485</v>
      </c>
      <c r="N58" s="42">
        <f t="shared" si="5"/>
        <v>400.3897</v>
      </c>
      <c r="O58" s="70" t="s">
        <v>522</v>
      </c>
    </row>
    <row r="59" s="22" customFormat="1" ht="49" customHeight="1" spans="1:15">
      <c r="A59" s="48">
        <v>2.3</v>
      </c>
      <c r="B59" s="40" t="s">
        <v>511</v>
      </c>
      <c r="C59" s="40" t="s">
        <v>528</v>
      </c>
      <c r="D59" s="38" t="s">
        <v>173</v>
      </c>
      <c r="E59" s="44">
        <v>2</v>
      </c>
      <c r="F59" s="42">
        <v>15</v>
      </c>
      <c r="G59" s="42">
        <f t="shared" si="6"/>
        <v>31</v>
      </c>
      <c r="H59" s="42">
        <v>31</v>
      </c>
      <c r="I59" s="67">
        <v>0</v>
      </c>
      <c r="J59" s="42">
        <v>3.5</v>
      </c>
      <c r="K59" s="42">
        <f>(F59+G59+J59)*$K$5</f>
        <v>4.455</v>
      </c>
      <c r="L59" s="42">
        <f>(F59+G59+J59+K59)*$L$5</f>
        <v>4.85595</v>
      </c>
      <c r="M59" s="42">
        <f t="shared" si="4"/>
        <v>58.81095</v>
      </c>
      <c r="N59" s="42">
        <f t="shared" si="5"/>
        <v>117.6219</v>
      </c>
      <c r="O59" s="70" t="s">
        <v>522</v>
      </c>
    </row>
    <row r="60" s="23" customFormat="1" ht="49" customHeight="1" spans="1:15">
      <c r="A60" s="38">
        <v>2.31</v>
      </c>
      <c r="B60" s="51" t="s">
        <v>511</v>
      </c>
      <c r="C60" s="51" t="s">
        <v>529</v>
      </c>
      <c r="D60" s="52" t="s">
        <v>173</v>
      </c>
      <c r="E60" s="53">
        <v>1</v>
      </c>
      <c r="F60" s="42">
        <v>15</v>
      </c>
      <c r="G60" s="42">
        <f t="shared" si="6"/>
        <v>155</v>
      </c>
      <c r="H60" s="47">
        <v>155</v>
      </c>
      <c r="I60" s="68">
        <v>0</v>
      </c>
      <c r="J60" s="42">
        <v>3.5</v>
      </c>
      <c r="K60" s="47">
        <f>(F60+G60+J60)*$K$5</f>
        <v>15.615</v>
      </c>
      <c r="L60" s="47">
        <f>(F60+G60+J60+K60)*$L$5</f>
        <v>17.02035</v>
      </c>
      <c r="M60" s="47">
        <f t="shared" si="4"/>
        <v>206.13535</v>
      </c>
      <c r="N60" s="47">
        <f t="shared" si="5"/>
        <v>206.13535</v>
      </c>
      <c r="O60" s="72" t="s">
        <v>522</v>
      </c>
    </row>
    <row r="61" s="22" customFormat="1" ht="49" customHeight="1" spans="1:15">
      <c r="A61" s="48">
        <v>2.32</v>
      </c>
      <c r="B61" s="40" t="s">
        <v>511</v>
      </c>
      <c r="C61" s="40" t="s">
        <v>530</v>
      </c>
      <c r="D61" s="38" t="s">
        <v>173</v>
      </c>
      <c r="E61" s="44">
        <v>2</v>
      </c>
      <c r="F61" s="42">
        <v>15</v>
      </c>
      <c r="G61" s="42">
        <f t="shared" ref="G60:G70" si="7">H61*(1+I61)</f>
        <v>26</v>
      </c>
      <c r="H61" s="42">
        <v>26</v>
      </c>
      <c r="I61" s="67">
        <v>0</v>
      </c>
      <c r="J61" s="42">
        <v>3.5</v>
      </c>
      <c r="K61" s="42">
        <f>(F61+G61+J61)*$K$5</f>
        <v>4.005</v>
      </c>
      <c r="L61" s="42">
        <f>(F61+G61+J61+K61)*$L$5</f>
        <v>4.36545</v>
      </c>
      <c r="M61" s="42">
        <f t="shared" ref="M60:M70" si="8">F61+G61+J61+K61+L61</f>
        <v>52.87045</v>
      </c>
      <c r="N61" s="42">
        <f t="shared" ref="N60:N70" si="9">M61*E61</f>
        <v>105.7409</v>
      </c>
      <c r="O61" s="70" t="s">
        <v>522</v>
      </c>
    </row>
    <row r="62" s="22" customFormat="1" ht="57" customHeight="1" spans="1:15">
      <c r="A62" s="38">
        <v>2.33</v>
      </c>
      <c r="B62" s="40" t="s">
        <v>511</v>
      </c>
      <c r="C62" s="40" t="s">
        <v>531</v>
      </c>
      <c r="D62" s="38" t="s">
        <v>189</v>
      </c>
      <c r="E62" s="44">
        <v>1</v>
      </c>
      <c r="F62" s="42">
        <v>200</v>
      </c>
      <c r="G62" s="42">
        <f t="shared" si="7"/>
        <v>1600</v>
      </c>
      <c r="H62" s="42">
        <v>1600</v>
      </c>
      <c r="I62" s="67">
        <v>0</v>
      </c>
      <c r="J62" s="42">
        <v>20</v>
      </c>
      <c r="K62" s="42">
        <f>(F62+G62+J62)*$K$5</f>
        <v>163.8</v>
      </c>
      <c r="L62" s="42">
        <f>(F62+G62+J62+K62)*$L$5</f>
        <v>178.542</v>
      </c>
      <c r="M62" s="42">
        <f t="shared" si="8"/>
        <v>2162.342</v>
      </c>
      <c r="N62" s="42">
        <f t="shared" si="9"/>
        <v>2162.342</v>
      </c>
      <c r="O62" s="70" t="s">
        <v>532</v>
      </c>
    </row>
    <row r="63" s="22" customFormat="1" ht="49" customHeight="1" spans="1:15">
      <c r="A63" s="48">
        <v>2.34000000000001</v>
      </c>
      <c r="B63" s="40" t="s">
        <v>511</v>
      </c>
      <c r="C63" s="40" t="s">
        <v>533</v>
      </c>
      <c r="D63" s="38" t="s">
        <v>189</v>
      </c>
      <c r="E63" s="44">
        <v>1</v>
      </c>
      <c r="F63" s="42">
        <v>200</v>
      </c>
      <c r="G63" s="42">
        <f t="shared" si="7"/>
        <v>1600</v>
      </c>
      <c r="H63" s="42">
        <v>1600</v>
      </c>
      <c r="I63" s="67">
        <v>0</v>
      </c>
      <c r="J63" s="42">
        <v>25</v>
      </c>
      <c r="K63" s="42">
        <f>(F63+G63+J63)*$K$5</f>
        <v>164.25</v>
      </c>
      <c r="L63" s="42">
        <f>(F63+G63+J63+K63)*$L$5</f>
        <v>179.0325</v>
      </c>
      <c r="M63" s="42">
        <f t="shared" si="8"/>
        <v>2168.2825</v>
      </c>
      <c r="N63" s="42">
        <f t="shared" si="9"/>
        <v>2168.2825</v>
      </c>
      <c r="O63" s="70" t="s">
        <v>532</v>
      </c>
    </row>
    <row r="64" s="22" customFormat="1" ht="48" spans="1:15">
      <c r="A64" s="38">
        <v>2.35000000000001</v>
      </c>
      <c r="B64" s="40" t="s">
        <v>511</v>
      </c>
      <c r="C64" s="40" t="s">
        <v>534</v>
      </c>
      <c r="D64" s="38" t="s">
        <v>189</v>
      </c>
      <c r="E64" s="44">
        <v>1</v>
      </c>
      <c r="F64" s="42">
        <v>200</v>
      </c>
      <c r="G64" s="42">
        <f t="shared" si="7"/>
        <v>1600</v>
      </c>
      <c r="H64" s="42">
        <v>1600</v>
      </c>
      <c r="I64" s="67">
        <v>0</v>
      </c>
      <c r="J64" s="42">
        <v>25</v>
      </c>
      <c r="K64" s="42">
        <f>(F64+G64+J64)*$K$5</f>
        <v>164.25</v>
      </c>
      <c r="L64" s="42">
        <f>(F64+G64+J64+K64)*$L$5</f>
        <v>179.0325</v>
      </c>
      <c r="M64" s="42">
        <f t="shared" si="8"/>
        <v>2168.2825</v>
      </c>
      <c r="N64" s="42">
        <f t="shared" si="9"/>
        <v>2168.2825</v>
      </c>
      <c r="O64" s="70" t="s">
        <v>532</v>
      </c>
    </row>
    <row r="65" s="22" customFormat="1" ht="49" customHeight="1" spans="1:15">
      <c r="A65" s="48">
        <v>2.36000000000001</v>
      </c>
      <c r="B65" s="40" t="s">
        <v>511</v>
      </c>
      <c r="C65" s="40" t="s">
        <v>535</v>
      </c>
      <c r="D65" s="38" t="s">
        <v>189</v>
      </c>
      <c r="E65" s="44">
        <v>1</v>
      </c>
      <c r="F65" s="42">
        <v>200</v>
      </c>
      <c r="G65" s="42">
        <f t="shared" si="7"/>
        <v>6000</v>
      </c>
      <c r="H65" s="42">
        <v>6000</v>
      </c>
      <c r="I65" s="67">
        <v>0</v>
      </c>
      <c r="J65" s="42">
        <v>255</v>
      </c>
      <c r="K65" s="42">
        <f>(F65+G65+J65)*$K$5</f>
        <v>580.95</v>
      </c>
      <c r="L65" s="42">
        <f>(F65+G65+J65+K65)*$L$5</f>
        <v>633.2355</v>
      </c>
      <c r="M65" s="42">
        <f t="shared" si="8"/>
        <v>7669.1855</v>
      </c>
      <c r="N65" s="42">
        <f t="shared" si="9"/>
        <v>7669.1855</v>
      </c>
      <c r="O65" s="70" t="s">
        <v>532</v>
      </c>
    </row>
    <row r="66" s="22" customFormat="1" ht="49" customHeight="1" spans="1:15">
      <c r="A66" s="38">
        <v>2.37000000000001</v>
      </c>
      <c r="B66" s="40" t="s">
        <v>511</v>
      </c>
      <c r="C66" s="40" t="s">
        <v>536</v>
      </c>
      <c r="D66" s="38" t="s">
        <v>189</v>
      </c>
      <c r="E66" s="44">
        <v>2</v>
      </c>
      <c r="F66" s="42">
        <v>200</v>
      </c>
      <c r="G66" s="42">
        <f t="shared" si="7"/>
        <v>1500</v>
      </c>
      <c r="H66" s="42">
        <v>1500</v>
      </c>
      <c r="I66" s="67">
        <v>0</v>
      </c>
      <c r="J66" s="42">
        <v>25</v>
      </c>
      <c r="K66" s="42">
        <f>(F66+G66+J66)*$K$5</f>
        <v>155.25</v>
      </c>
      <c r="L66" s="42">
        <f>(F66+G66+J66+K66)*$L$5</f>
        <v>169.2225</v>
      </c>
      <c r="M66" s="42">
        <f t="shared" si="8"/>
        <v>2049.4725</v>
      </c>
      <c r="N66" s="42">
        <f t="shared" si="9"/>
        <v>4098.945</v>
      </c>
      <c r="O66" s="70" t="s">
        <v>532</v>
      </c>
    </row>
    <row r="67" s="22" customFormat="1" ht="49" customHeight="1" spans="1:15">
      <c r="A67" s="48">
        <v>2.38000000000001</v>
      </c>
      <c r="B67" s="40" t="s">
        <v>511</v>
      </c>
      <c r="C67" s="40" t="s">
        <v>537</v>
      </c>
      <c r="D67" s="38" t="s">
        <v>189</v>
      </c>
      <c r="E67" s="44">
        <v>1</v>
      </c>
      <c r="F67" s="42">
        <v>50</v>
      </c>
      <c r="G67" s="42">
        <f t="shared" si="7"/>
        <v>1200</v>
      </c>
      <c r="H67" s="42">
        <v>1200</v>
      </c>
      <c r="I67" s="67">
        <v>0</v>
      </c>
      <c r="J67" s="42">
        <v>35</v>
      </c>
      <c r="K67" s="42">
        <f>(F67+G67+J67)*$K$5</f>
        <v>115.65</v>
      </c>
      <c r="L67" s="42">
        <f>(F67+G67+J67+K67)*$L$5</f>
        <v>126.0585</v>
      </c>
      <c r="M67" s="42">
        <f t="shared" si="8"/>
        <v>1526.7085</v>
      </c>
      <c r="N67" s="42">
        <f t="shared" si="9"/>
        <v>1526.7085</v>
      </c>
      <c r="O67" s="70" t="s">
        <v>532</v>
      </c>
    </row>
    <row r="68" s="22" customFormat="1" ht="39" customHeight="1" spans="1:15">
      <c r="A68" s="38">
        <v>2.39000000000001</v>
      </c>
      <c r="B68" s="40" t="s">
        <v>511</v>
      </c>
      <c r="C68" s="40" t="s">
        <v>538</v>
      </c>
      <c r="D68" s="38" t="s">
        <v>331</v>
      </c>
      <c r="E68" s="31">
        <v>1</v>
      </c>
      <c r="F68" s="42">
        <v>100</v>
      </c>
      <c r="G68" s="42">
        <f t="shared" si="7"/>
        <v>650</v>
      </c>
      <c r="H68" s="42">
        <v>650</v>
      </c>
      <c r="I68" s="67">
        <v>0</v>
      </c>
      <c r="J68" s="42">
        <v>45</v>
      </c>
      <c r="K68" s="42">
        <f>(F68+G68+J68)*$K$5</f>
        <v>71.55</v>
      </c>
      <c r="L68" s="42">
        <f>(F68+G68+J68+K68)*$L$5</f>
        <v>77.9895</v>
      </c>
      <c r="M68" s="42">
        <f t="shared" si="8"/>
        <v>944.5395</v>
      </c>
      <c r="N68" s="42">
        <f t="shared" si="9"/>
        <v>944.5395</v>
      </c>
      <c r="O68" s="70" t="s">
        <v>532</v>
      </c>
    </row>
    <row r="69" s="22" customFormat="1" ht="39" customHeight="1" spans="1:15">
      <c r="A69" s="48">
        <v>2.40000000000001</v>
      </c>
      <c r="B69" s="40" t="s">
        <v>511</v>
      </c>
      <c r="C69" s="40" t="s">
        <v>539</v>
      </c>
      <c r="D69" s="38" t="s">
        <v>189</v>
      </c>
      <c r="E69" s="44">
        <v>1</v>
      </c>
      <c r="F69" s="42">
        <v>100</v>
      </c>
      <c r="G69" s="42">
        <f t="shared" si="7"/>
        <v>1350</v>
      </c>
      <c r="H69" s="42">
        <v>1350</v>
      </c>
      <c r="I69" s="67">
        <v>0</v>
      </c>
      <c r="J69" s="42">
        <v>45</v>
      </c>
      <c r="K69" s="42">
        <f>(F69+G69+J69)*$K$5</f>
        <v>134.55</v>
      </c>
      <c r="L69" s="42">
        <f>(F69+G69+J69+K69)*$L$5</f>
        <v>146.6595</v>
      </c>
      <c r="M69" s="42">
        <f t="shared" si="8"/>
        <v>1776.2095</v>
      </c>
      <c r="N69" s="42">
        <f t="shared" si="9"/>
        <v>1776.2095</v>
      </c>
      <c r="O69" s="70" t="s">
        <v>532</v>
      </c>
    </row>
    <row r="70" s="22" customFormat="1" ht="39" customHeight="1" spans="1:15">
      <c r="A70" s="38">
        <v>2.41000000000001</v>
      </c>
      <c r="B70" s="40" t="s">
        <v>511</v>
      </c>
      <c r="C70" s="40" t="s">
        <v>540</v>
      </c>
      <c r="D70" s="38" t="s">
        <v>189</v>
      </c>
      <c r="E70" s="44">
        <v>1</v>
      </c>
      <c r="F70" s="42">
        <v>100</v>
      </c>
      <c r="G70" s="42">
        <f t="shared" si="7"/>
        <v>1420</v>
      </c>
      <c r="H70" s="42">
        <v>1420</v>
      </c>
      <c r="I70" s="67">
        <v>0</v>
      </c>
      <c r="J70" s="42">
        <v>45</v>
      </c>
      <c r="K70" s="42">
        <f>(F70+G70+J70)*$K$5</f>
        <v>140.85</v>
      </c>
      <c r="L70" s="42">
        <f>(F70+G70+J70+K70)*$L$5</f>
        <v>153.5265</v>
      </c>
      <c r="M70" s="42">
        <f t="shared" si="8"/>
        <v>1859.3765</v>
      </c>
      <c r="N70" s="42">
        <f t="shared" si="9"/>
        <v>1859.3765</v>
      </c>
      <c r="O70" s="70" t="s">
        <v>532</v>
      </c>
    </row>
    <row r="71" s="20" customFormat="1" ht="27" customHeight="1" spans="1:17">
      <c r="A71" s="33" t="s">
        <v>38</v>
      </c>
      <c r="B71" s="34" t="s">
        <v>541</v>
      </c>
      <c r="C71" s="34"/>
      <c r="D71" s="35"/>
      <c r="E71" s="35"/>
      <c r="F71" s="41"/>
      <c r="G71" s="41"/>
      <c r="H71" s="41"/>
      <c r="I71" s="59"/>
      <c r="J71" s="41"/>
      <c r="K71" s="41"/>
      <c r="L71" s="41"/>
      <c r="M71" s="41"/>
      <c r="N71" s="62">
        <f>SUM(N72:N80)</f>
        <v>4390.9265155</v>
      </c>
      <c r="O71" s="63"/>
      <c r="P71" s="64"/>
      <c r="Q71" s="64"/>
    </row>
    <row r="72" s="20" customFormat="1" ht="63" customHeight="1" spans="1:15">
      <c r="A72" s="38">
        <v>1.1</v>
      </c>
      <c r="B72" s="40" t="s">
        <v>489</v>
      </c>
      <c r="C72" s="40" t="s">
        <v>493</v>
      </c>
      <c r="D72" s="38" t="s">
        <v>101</v>
      </c>
      <c r="E72" s="44">
        <v>45</v>
      </c>
      <c r="F72" s="47">
        <v>4.95</v>
      </c>
      <c r="G72" s="47">
        <f t="shared" ref="G72:G74" si="10">H72*(1+I72)</f>
        <v>1.248</v>
      </c>
      <c r="H72" s="47">
        <v>1.2</v>
      </c>
      <c r="I72" s="67">
        <v>0.04</v>
      </c>
      <c r="J72" s="47">
        <v>0.65</v>
      </c>
      <c r="K72" s="42">
        <f>(F72+G72+J72)*$K$5</f>
        <v>0.61632</v>
      </c>
      <c r="L72" s="42">
        <f>(F72+G72+J72+K72)*$L$5</f>
        <v>0.6717888</v>
      </c>
      <c r="M72" s="42">
        <f t="shared" ref="M72:M80" si="11">F72+G72+J72+K72+L72</f>
        <v>8.1361088</v>
      </c>
      <c r="N72" s="42">
        <f t="shared" ref="N72:N80" si="12">M72*E72</f>
        <v>366.124896</v>
      </c>
      <c r="O72" s="66" t="s">
        <v>491</v>
      </c>
    </row>
    <row r="73" s="20" customFormat="1" ht="46" customHeight="1" spans="1:15">
      <c r="A73" s="38">
        <v>1.2</v>
      </c>
      <c r="B73" s="55" t="s">
        <v>494</v>
      </c>
      <c r="C73" s="55" t="s">
        <v>495</v>
      </c>
      <c r="D73" s="38" t="s">
        <v>101</v>
      </c>
      <c r="E73" s="44">
        <v>120</v>
      </c>
      <c r="F73" s="47">
        <v>2.5</v>
      </c>
      <c r="G73" s="47">
        <f t="shared" si="10"/>
        <v>1.976</v>
      </c>
      <c r="H73" s="47">
        <v>1.9</v>
      </c>
      <c r="I73" s="67">
        <v>0.04</v>
      </c>
      <c r="J73" s="47">
        <v>0.15</v>
      </c>
      <c r="K73" s="42">
        <f>(F73+G73+J73)*$K$5</f>
        <v>0.41634</v>
      </c>
      <c r="L73" s="42">
        <f>(F73+G73+J73+K73)*$L$5</f>
        <v>0.4538106</v>
      </c>
      <c r="M73" s="42">
        <f t="shared" si="11"/>
        <v>5.4961506</v>
      </c>
      <c r="N73" s="42">
        <f t="shared" si="12"/>
        <v>659.538072</v>
      </c>
      <c r="O73" s="66" t="s">
        <v>496</v>
      </c>
    </row>
    <row r="74" s="20" customFormat="1" ht="46" customHeight="1" spans="1:15">
      <c r="A74" s="38">
        <v>1.3</v>
      </c>
      <c r="B74" s="55" t="s">
        <v>494</v>
      </c>
      <c r="C74" s="55" t="s">
        <v>497</v>
      </c>
      <c r="D74" s="38" t="s">
        <v>101</v>
      </c>
      <c r="E74" s="44">
        <v>30</v>
      </c>
      <c r="F74" s="42">
        <v>3</v>
      </c>
      <c r="G74" s="42">
        <f t="shared" si="10"/>
        <v>3.12</v>
      </c>
      <c r="H74" s="42">
        <v>3</v>
      </c>
      <c r="I74" s="67">
        <v>0.04</v>
      </c>
      <c r="J74" s="47">
        <v>0.15</v>
      </c>
      <c r="K74" s="42">
        <f>(F74+G74+J74)*$K$5</f>
        <v>0.5643</v>
      </c>
      <c r="L74" s="42">
        <f>(F74+G74+J74+K74)*$L$5</f>
        <v>0.615087</v>
      </c>
      <c r="M74" s="42">
        <f t="shared" si="11"/>
        <v>7.449387</v>
      </c>
      <c r="N74" s="42">
        <f t="shared" si="12"/>
        <v>223.48161</v>
      </c>
      <c r="O74" s="66" t="s">
        <v>496</v>
      </c>
    </row>
    <row r="75" s="20" customFormat="1" ht="46" customHeight="1" spans="1:15">
      <c r="A75" s="38">
        <v>1.4</v>
      </c>
      <c r="B75" s="40" t="s">
        <v>504</v>
      </c>
      <c r="C75" s="40" t="s">
        <v>542</v>
      </c>
      <c r="D75" s="38" t="s">
        <v>173</v>
      </c>
      <c r="E75" s="44">
        <v>10</v>
      </c>
      <c r="F75" s="42">
        <v>20</v>
      </c>
      <c r="G75" s="42">
        <f t="shared" ref="G72:G80" si="13">H75*(1+I75)</f>
        <v>35</v>
      </c>
      <c r="H75" s="42">
        <v>35</v>
      </c>
      <c r="I75" s="67">
        <v>0</v>
      </c>
      <c r="J75" s="42">
        <v>8</v>
      </c>
      <c r="K75" s="42">
        <f>(F75+G75+J75)*$K$5</f>
        <v>5.67</v>
      </c>
      <c r="L75" s="42">
        <f>(F75+G75+J75+K75)*$L$5</f>
        <v>6.1803</v>
      </c>
      <c r="M75" s="42">
        <f t="shared" si="11"/>
        <v>74.8503</v>
      </c>
      <c r="N75" s="42">
        <f t="shared" si="12"/>
        <v>748.503</v>
      </c>
      <c r="O75" s="66" t="s">
        <v>506</v>
      </c>
    </row>
    <row r="76" s="20" customFormat="1" ht="46" customHeight="1" spans="1:15">
      <c r="A76" s="38">
        <v>1.5</v>
      </c>
      <c r="B76" s="40" t="s">
        <v>504</v>
      </c>
      <c r="C76" s="40" t="s">
        <v>543</v>
      </c>
      <c r="D76" s="38" t="s">
        <v>173</v>
      </c>
      <c r="E76" s="44">
        <v>5</v>
      </c>
      <c r="F76" s="42">
        <v>20</v>
      </c>
      <c r="G76" s="42">
        <f t="shared" si="13"/>
        <v>35</v>
      </c>
      <c r="H76" s="42">
        <v>35</v>
      </c>
      <c r="I76" s="67">
        <v>0</v>
      </c>
      <c r="J76" s="42">
        <v>8</v>
      </c>
      <c r="K76" s="42">
        <f>(F76+G76+J76)*$K$5</f>
        <v>5.67</v>
      </c>
      <c r="L76" s="42">
        <f>(F76+G76+J76+K76)*$L$5</f>
        <v>6.1803</v>
      </c>
      <c r="M76" s="42">
        <f t="shared" si="11"/>
        <v>74.8503</v>
      </c>
      <c r="N76" s="42">
        <f t="shared" si="12"/>
        <v>374.2515</v>
      </c>
      <c r="O76" s="66" t="s">
        <v>506</v>
      </c>
    </row>
    <row r="77" s="20" customFormat="1" ht="54" customHeight="1" spans="1:15">
      <c r="A77" s="38">
        <v>1.6</v>
      </c>
      <c r="B77" s="40" t="s">
        <v>504</v>
      </c>
      <c r="C77" s="40" t="s">
        <v>544</v>
      </c>
      <c r="D77" s="38" t="s">
        <v>173</v>
      </c>
      <c r="E77" s="44">
        <v>3</v>
      </c>
      <c r="F77" s="42">
        <v>20</v>
      </c>
      <c r="G77" s="42">
        <f t="shared" si="13"/>
        <v>450</v>
      </c>
      <c r="H77" s="42">
        <v>450</v>
      </c>
      <c r="I77" s="67">
        <v>0</v>
      </c>
      <c r="J77" s="42">
        <v>8</v>
      </c>
      <c r="K77" s="42">
        <f>(F77+G77+J77)*$K$5</f>
        <v>43.02</v>
      </c>
      <c r="L77" s="42">
        <f>(F77+G77+J77+K77)*$L$5</f>
        <v>46.8918</v>
      </c>
      <c r="M77" s="42">
        <f t="shared" si="11"/>
        <v>567.9118</v>
      </c>
      <c r="N77" s="42">
        <f t="shared" si="12"/>
        <v>1703.7354</v>
      </c>
      <c r="O77" s="66" t="s">
        <v>506</v>
      </c>
    </row>
    <row r="78" s="20" customFormat="1" ht="46" customHeight="1" spans="1:15">
      <c r="A78" s="38">
        <v>1.7</v>
      </c>
      <c r="B78" s="40" t="s">
        <v>504</v>
      </c>
      <c r="C78" s="40" t="s">
        <v>510</v>
      </c>
      <c r="D78" s="38" t="s">
        <v>101</v>
      </c>
      <c r="E78" s="44">
        <v>4.5</v>
      </c>
      <c r="F78" s="42">
        <v>15</v>
      </c>
      <c r="G78" s="42">
        <f t="shared" si="13"/>
        <v>15.75</v>
      </c>
      <c r="H78" s="42">
        <v>15</v>
      </c>
      <c r="I78" s="67">
        <v>0.05</v>
      </c>
      <c r="J78" s="42">
        <v>8</v>
      </c>
      <c r="K78" s="42">
        <f>(F78+G78+J78)*$K$5</f>
        <v>3.4875</v>
      </c>
      <c r="L78" s="42">
        <f>(F78+G78+J78+K78)*$L$5</f>
        <v>3.801375</v>
      </c>
      <c r="M78" s="42">
        <f t="shared" si="11"/>
        <v>46.038875</v>
      </c>
      <c r="N78" s="42">
        <f t="shared" si="12"/>
        <v>207.1749375</v>
      </c>
      <c r="O78" s="66" t="s">
        <v>506</v>
      </c>
    </row>
    <row r="79" s="20" customFormat="1" ht="46" customHeight="1" spans="1:15">
      <c r="A79" s="38">
        <v>1.8</v>
      </c>
      <c r="B79" s="40" t="s">
        <v>511</v>
      </c>
      <c r="C79" s="40" t="s">
        <v>545</v>
      </c>
      <c r="D79" s="38" t="s">
        <v>173</v>
      </c>
      <c r="E79" s="44">
        <v>1</v>
      </c>
      <c r="F79" s="42">
        <v>15</v>
      </c>
      <c r="G79" s="42">
        <f t="shared" si="13"/>
        <v>20</v>
      </c>
      <c r="H79" s="42">
        <v>20</v>
      </c>
      <c r="I79" s="67">
        <v>0</v>
      </c>
      <c r="J79" s="42">
        <v>8</v>
      </c>
      <c r="K79" s="42">
        <f>(F79+G79+J79)*$K$5</f>
        <v>3.87</v>
      </c>
      <c r="L79" s="42">
        <f>(F79+G79+J79+K79)*$L$5</f>
        <v>4.2183</v>
      </c>
      <c r="M79" s="42">
        <f t="shared" si="11"/>
        <v>51.0883</v>
      </c>
      <c r="N79" s="42">
        <f t="shared" si="12"/>
        <v>51.0883</v>
      </c>
      <c r="O79" s="66" t="s">
        <v>522</v>
      </c>
    </row>
    <row r="80" s="22" customFormat="1" ht="49" customHeight="1" spans="1:15">
      <c r="A80" s="38">
        <v>1.9</v>
      </c>
      <c r="B80" s="40" t="s">
        <v>511</v>
      </c>
      <c r="C80" s="40" t="s">
        <v>523</v>
      </c>
      <c r="D80" s="38" t="s">
        <v>173</v>
      </c>
      <c r="E80" s="44">
        <v>1</v>
      </c>
      <c r="F80" s="42">
        <v>15</v>
      </c>
      <c r="G80" s="42">
        <f t="shared" si="13"/>
        <v>25</v>
      </c>
      <c r="H80" s="42">
        <v>25</v>
      </c>
      <c r="I80" s="67">
        <v>0</v>
      </c>
      <c r="J80" s="42">
        <v>8</v>
      </c>
      <c r="K80" s="42">
        <f>(F80+G80+J80)*$K$5</f>
        <v>4.32</v>
      </c>
      <c r="L80" s="42">
        <f>(F80+G80+J80+K80)*$L$5</f>
        <v>4.7088</v>
      </c>
      <c r="M80" s="42">
        <f t="shared" si="11"/>
        <v>57.0288</v>
      </c>
      <c r="N80" s="42">
        <f t="shared" si="12"/>
        <v>57.0288</v>
      </c>
      <c r="O80" s="70" t="s">
        <v>522</v>
      </c>
    </row>
    <row r="81" s="20" customFormat="1" ht="27" customHeight="1" spans="1:17">
      <c r="A81" s="33" t="s">
        <v>43</v>
      </c>
      <c r="B81" s="34" t="s">
        <v>546</v>
      </c>
      <c r="C81" s="34"/>
      <c r="D81" s="35"/>
      <c r="E81" s="35"/>
      <c r="F81" s="41"/>
      <c r="G81" s="41"/>
      <c r="H81" s="41"/>
      <c r="I81" s="59"/>
      <c r="J81" s="41"/>
      <c r="K81" s="41"/>
      <c r="L81" s="41"/>
      <c r="M81" s="41"/>
      <c r="N81" s="62">
        <f>SUM(N82:N94)</f>
        <v>12870.94571175</v>
      </c>
      <c r="O81" s="63"/>
      <c r="P81" s="64"/>
      <c r="Q81" s="64"/>
    </row>
    <row r="82" s="21" customFormat="1" ht="63" customHeight="1" spans="1:15">
      <c r="A82" s="38">
        <v>1.1</v>
      </c>
      <c r="B82" s="51" t="s">
        <v>489</v>
      </c>
      <c r="C82" s="51" t="s">
        <v>490</v>
      </c>
      <c r="D82" s="52" t="s">
        <v>101</v>
      </c>
      <c r="E82" s="53">
        <v>200</v>
      </c>
      <c r="F82" s="47">
        <v>4.43</v>
      </c>
      <c r="G82" s="47">
        <f t="shared" ref="G82:G85" si="14">H82*(1+I82)</f>
        <v>1.248</v>
      </c>
      <c r="H82" s="47">
        <v>1.2</v>
      </c>
      <c r="I82" s="67">
        <v>0.04</v>
      </c>
      <c r="J82" s="71">
        <v>0.35</v>
      </c>
      <c r="K82" s="47">
        <f>(F82+G82+J82)*$K$5</f>
        <v>0.54252</v>
      </c>
      <c r="L82" s="47">
        <f>(F82+G82+J82+K82)*$L$5</f>
        <v>0.5913468</v>
      </c>
      <c r="M82" s="47">
        <f>F82+G82+J82+K82+L82</f>
        <v>7.1618668</v>
      </c>
      <c r="N82" s="47">
        <f>M82*E82</f>
        <v>1432.37336</v>
      </c>
      <c r="O82" s="69" t="s">
        <v>491</v>
      </c>
    </row>
    <row r="83" s="21" customFormat="1" ht="46" customHeight="1" spans="1:15">
      <c r="A83" s="38">
        <v>1.2</v>
      </c>
      <c r="B83" s="54" t="s">
        <v>494</v>
      </c>
      <c r="C83" s="54" t="s">
        <v>495</v>
      </c>
      <c r="D83" s="52" t="s">
        <v>101</v>
      </c>
      <c r="E83" s="53">
        <v>700</v>
      </c>
      <c r="F83" s="47">
        <v>2.5</v>
      </c>
      <c r="G83" s="42">
        <f t="shared" si="14"/>
        <v>1.9425</v>
      </c>
      <c r="H83" s="47">
        <v>1.85</v>
      </c>
      <c r="I83" s="68">
        <v>0.05</v>
      </c>
      <c r="J83" s="47">
        <v>0.1</v>
      </c>
      <c r="K83" s="47">
        <f>(F83+G83+J83)*$K$5</f>
        <v>0.408825</v>
      </c>
      <c r="L83" s="47">
        <f>(F83+G83+J83+K83)*$L$5</f>
        <v>0.44561925</v>
      </c>
      <c r="M83" s="47">
        <f t="shared" ref="M82:M94" si="15">F83+G83+J83+K83+L83</f>
        <v>5.39694425</v>
      </c>
      <c r="N83" s="47">
        <f t="shared" ref="N82:N94" si="16">M83*E83</f>
        <v>3777.860975</v>
      </c>
      <c r="O83" s="69" t="s">
        <v>496</v>
      </c>
    </row>
    <row r="84" s="20" customFormat="1" ht="46" customHeight="1" spans="1:15">
      <c r="A84" s="38">
        <v>1.3</v>
      </c>
      <c r="B84" s="55" t="s">
        <v>494</v>
      </c>
      <c r="C84" s="55" t="s">
        <v>497</v>
      </c>
      <c r="D84" s="38" t="s">
        <v>101</v>
      </c>
      <c r="E84" s="44">
        <v>45</v>
      </c>
      <c r="F84" s="42">
        <v>3</v>
      </c>
      <c r="G84" s="42">
        <f t="shared" si="14"/>
        <v>3.12</v>
      </c>
      <c r="H84" s="42">
        <v>3</v>
      </c>
      <c r="I84" s="67">
        <v>0.04</v>
      </c>
      <c r="J84" s="47">
        <v>0.15</v>
      </c>
      <c r="K84" s="42">
        <f>(F84+G84+J84)*$K$5</f>
        <v>0.5643</v>
      </c>
      <c r="L84" s="42">
        <f>(F84+G84+J84+K84)*$L$5</f>
        <v>0.615087</v>
      </c>
      <c r="M84" s="42">
        <f t="shared" si="15"/>
        <v>7.449387</v>
      </c>
      <c r="N84" s="42">
        <f t="shared" si="16"/>
        <v>335.222415</v>
      </c>
      <c r="O84" s="66" t="s">
        <v>496</v>
      </c>
    </row>
    <row r="85" s="20" customFormat="1" ht="46" customHeight="1" spans="1:15">
      <c r="A85" s="38">
        <v>1.4</v>
      </c>
      <c r="B85" s="40" t="s">
        <v>504</v>
      </c>
      <c r="C85" s="40" t="s">
        <v>547</v>
      </c>
      <c r="D85" s="38" t="s">
        <v>173</v>
      </c>
      <c r="E85" s="44">
        <v>52</v>
      </c>
      <c r="F85" s="42">
        <v>20</v>
      </c>
      <c r="G85" s="42">
        <f t="shared" si="14"/>
        <v>35</v>
      </c>
      <c r="H85" s="42">
        <v>35</v>
      </c>
      <c r="I85" s="67">
        <v>0</v>
      </c>
      <c r="J85" s="42">
        <v>8</v>
      </c>
      <c r="K85" s="42">
        <f>(F85+G85+J85)*$K$5</f>
        <v>5.67</v>
      </c>
      <c r="L85" s="42">
        <f>(F85+G85+J85+K85)*$L$5</f>
        <v>6.1803</v>
      </c>
      <c r="M85" s="42">
        <f t="shared" si="15"/>
        <v>74.8503</v>
      </c>
      <c r="N85" s="42">
        <f t="shared" si="16"/>
        <v>3892.2156</v>
      </c>
      <c r="O85" s="66" t="s">
        <v>506</v>
      </c>
    </row>
    <row r="86" s="20" customFormat="1" ht="46" customHeight="1" spans="1:15">
      <c r="A86" s="38">
        <v>1.5</v>
      </c>
      <c r="B86" s="40" t="s">
        <v>504</v>
      </c>
      <c r="C86" s="40" t="s">
        <v>548</v>
      </c>
      <c r="D86" s="38" t="s">
        <v>173</v>
      </c>
      <c r="E86" s="44">
        <v>11</v>
      </c>
      <c r="F86" s="42">
        <v>20</v>
      </c>
      <c r="G86" s="42">
        <f t="shared" ref="G82:G94" si="17">H86*(1+I86)</f>
        <v>35</v>
      </c>
      <c r="H86" s="42">
        <v>35</v>
      </c>
      <c r="I86" s="67">
        <v>0</v>
      </c>
      <c r="J86" s="42">
        <v>8.5</v>
      </c>
      <c r="K86" s="42">
        <f>(F86+G86+J86)*$K$5</f>
        <v>5.715</v>
      </c>
      <c r="L86" s="42">
        <f>(F86+G86+J86+K86)*$L$5</f>
        <v>6.22935</v>
      </c>
      <c r="M86" s="42">
        <f t="shared" si="15"/>
        <v>75.44435</v>
      </c>
      <c r="N86" s="42">
        <f t="shared" si="16"/>
        <v>829.88785</v>
      </c>
      <c r="O86" s="66" t="s">
        <v>506</v>
      </c>
    </row>
    <row r="87" s="20" customFormat="1" ht="46" customHeight="1" spans="1:15">
      <c r="A87" s="38">
        <v>1.6</v>
      </c>
      <c r="B87" s="40" t="s">
        <v>504</v>
      </c>
      <c r="C87" s="40" t="s">
        <v>543</v>
      </c>
      <c r="D87" s="38" t="s">
        <v>173</v>
      </c>
      <c r="E87" s="44">
        <v>6</v>
      </c>
      <c r="F87" s="42">
        <v>20</v>
      </c>
      <c r="G87" s="42">
        <f t="shared" si="17"/>
        <v>35</v>
      </c>
      <c r="H87" s="42">
        <v>35</v>
      </c>
      <c r="I87" s="67">
        <v>0</v>
      </c>
      <c r="J87" s="42">
        <v>8.5</v>
      </c>
      <c r="K87" s="42">
        <f>(F87+G87+J87)*$K$5</f>
        <v>5.715</v>
      </c>
      <c r="L87" s="42">
        <f>(F87+G87+J87+K87)*$L$5</f>
        <v>6.22935</v>
      </c>
      <c r="M87" s="42">
        <f t="shared" si="15"/>
        <v>75.44435</v>
      </c>
      <c r="N87" s="42">
        <f t="shared" si="16"/>
        <v>452.6661</v>
      </c>
      <c r="O87" s="66" t="s">
        <v>506</v>
      </c>
    </row>
    <row r="88" s="21" customFormat="1" ht="46" customHeight="1" spans="1:15">
      <c r="A88" s="38">
        <v>1.7</v>
      </c>
      <c r="B88" s="51" t="s">
        <v>504</v>
      </c>
      <c r="C88" s="51" t="s">
        <v>510</v>
      </c>
      <c r="D88" s="52" t="s">
        <v>101</v>
      </c>
      <c r="E88" s="53">
        <v>16.53</v>
      </c>
      <c r="F88" s="42">
        <v>15</v>
      </c>
      <c r="G88" s="42">
        <f t="shared" si="17"/>
        <v>15.75</v>
      </c>
      <c r="H88" s="42">
        <v>15</v>
      </c>
      <c r="I88" s="67">
        <v>0.05</v>
      </c>
      <c r="J88" s="42">
        <v>8</v>
      </c>
      <c r="K88" s="42">
        <f>(F88+G88+J88)*$K$5</f>
        <v>3.4875</v>
      </c>
      <c r="L88" s="47">
        <f>(F88+G88+J88+K88)*$L$5</f>
        <v>3.801375</v>
      </c>
      <c r="M88" s="47">
        <f t="shared" si="15"/>
        <v>46.038875</v>
      </c>
      <c r="N88" s="47">
        <f t="shared" si="16"/>
        <v>761.02260375</v>
      </c>
      <c r="O88" s="69" t="s">
        <v>506</v>
      </c>
    </row>
    <row r="89" s="20" customFormat="1" ht="46" customHeight="1" spans="1:15">
      <c r="A89" s="38">
        <v>1.8</v>
      </c>
      <c r="B89" s="40" t="s">
        <v>511</v>
      </c>
      <c r="C89" s="40" t="s">
        <v>549</v>
      </c>
      <c r="D89" s="38" t="s">
        <v>173</v>
      </c>
      <c r="E89" s="44">
        <v>1</v>
      </c>
      <c r="F89" s="42">
        <v>15</v>
      </c>
      <c r="G89" s="42">
        <f t="shared" si="17"/>
        <v>15</v>
      </c>
      <c r="H89" s="42">
        <v>15</v>
      </c>
      <c r="I89" s="67">
        <v>0</v>
      </c>
      <c r="J89" s="42">
        <v>8</v>
      </c>
      <c r="K89" s="42">
        <f>(F89+G89+J89)*$K$5</f>
        <v>3.42</v>
      </c>
      <c r="L89" s="42">
        <f>(F89+G89+J89+K89)*$L$5</f>
        <v>3.7278</v>
      </c>
      <c r="M89" s="42">
        <f t="shared" si="15"/>
        <v>45.1478</v>
      </c>
      <c r="N89" s="42">
        <f t="shared" si="16"/>
        <v>45.1478</v>
      </c>
      <c r="O89" s="66" t="s">
        <v>522</v>
      </c>
    </row>
    <row r="90" s="20" customFormat="1" ht="46" customHeight="1" spans="1:15">
      <c r="A90" s="38">
        <v>1.9</v>
      </c>
      <c r="B90" s="40" t="s">
        <v>511</v>
      </c>
      <c r="C90" s="40" t="s">
        <v>550</v>
      </c>
      <c r="D90" s="38" t="s">
        <v>173</v>
      </c>
      <c r="E90" s="44">
        <v>4</v>
      </c>
      <c r="F90" s="42">
        <v>15</v>
      </c>
      <c r="G90" s="42">
        <f t="shared" si="17"/>
        <v>15</v>
      </c>
      <c r="H90" s="42">
        <v>15</v>
      </c>
      <c r="I90" s="67">
        <v>0</v>
      </c>
      <c r="J90" s="42">
        <v>8</v>
      </c>
      <c r="K90" s="42">
        <f>(F90+G90+J90)*$K$5</f>
        <v>3.42</v>
      </c>
      <c r="L90" s="42">
        <f>(F90+G90+J90+K90)*$L$5</f>
        <v>3.7278</v>
      </c>
      <c r="M90" s="42">
        <f t="shared" si="15"/>
        <v>45.1478</v>
      </c>
      <c r="N90" s="42">
        <f t="shared" si="16"/>
        <v>180.5912</v>
      </c>
      <c r="O90" s="66" t="s">
        <v>522</v>
      </c>
    </row>
    <row r="91" s="20" customFormat="1" ht="46" customHeight="1" spans="1:15">
      <c r="A91" s="48">
        <v>1.1</v>
      </c>
      <c r="B91" s="40" t="s">
        <v>511</v>
      </c>
      <c r="C91" s="40" t="s">
        <v>551</v>
      </c>
      <c r="D91" s="38" t="s">
        <v>173</v>
      </c>
      <c r="E91" s="44">
        <v>1</v>
      </c>
      <c r="F91" s="42">
        <v>15</v>
      </c>
      <c r="G91" s="42">
        <f t="shared" si="17"/>
        <v>15</v>
      </c>
      <c r="H91" s="42">
        <v>15</v>
      </c>
      <c r="I91" s="67">
        <v>0</v>
      </c>
      <c r="J91" s="42">
        <v>8</v>
      </c>
      <c r="K91" s="42">
        <f>(F91+G91+J91)*$K$5</f>
        <v>3.42</v>
      </c>
      <c r="L91" s="42">
        <f>(F91+G91+J91+K91)*$L$5</f>
        <v>3.7278</v>
      </c>
      <c r="M91" s="42">
        <f t="shared" si="15"/>
        <v>45.1478</v>
      </c>
      <c r="N91" s="42">
        <f t="shared" si="16"/>
        <v>45.1478</v>
      </c>
      <c r="O91" s="66" t="s">
        <v>522</v>
      </c>
    </row>
    <row r="92" s="23" customFormat="1" ht="49" customHeight="1" spans="1:15">
      <c r="A92" s="38">
        <v>1.11</v>
      </c>
      <c r="B92" s="51" t="s">
        <v>511</v>
      </c>
      <c r="C92" s="51" t="s">
        <v>523</v>
      </c>
      <c r="D92" s="52" t="s">
        <v>173</v>
      </c>
      <c r="E92" s="53">
        <v>6</v>
      </c>
      <c r="F92" s="42">
        <v>15</v>
      </c>
      <c r="G92" s="47">
        <f t="shared" si="17"/>
        <v>15</v>
      </c>
      <c r="H92" s="47">
        <v>15</v>
      </c>
      <c r="I92" s="68">
        <v>0</v>
      </c>
      <c r="J92" s="42">
        <v>8</v>
      </c>
      <c r="K92" s="47">
        <f>(F92+G92+J92)*$K$5</f>
        <v>3.42</v>
      </c>
      <c r="L92" s="47">
        <f>(F92+G92+J92+K92)*$L$5</f>
        <v>3.7278</v>
      </c>
      <c r="M92" s="47">
        <f t="shared" si="15"/>
        <v>45.1478</v>
      </c>
      <c r="N92" s="47">
        <f t="shared" si="16"/>
        <v>270.8868</v>
      </c>
      <c r="O92" s="72" t="s">
        <v>522</v>
      </c>
    </row>
    <row r="93" s="23" customFormat="1" ht="49" customHeight="1" spans="1:15">
      <c r="A93" s="38">
        <v>1.12</v>
      </c>
      <c r="B93" s="51" t="s">
        <v>511</v>
      </c>
      <c r="C93" s="51" t="s">
        <v>527</v>
      </c>
      <c r="D93" s="52" t="s">
        <v>173</v>
      </c>
      <c r="E93" s="53">
        <v>4</v>
      </c>
      <c r="F93" s="42">
        <v>15</v>
      </c>
      <c r="G93" s="47">
        <f t="shared" si="17"/>
        <v>145</v>
      </c>
      <c r="H93" s="47">
        <v>145</v>
      </c>
      <c r="I93" s="68">
        <v>0</v>
      </c>
      <c r="J93" s="42">
        <v>8</v>
      </c>
      <c r="K93" s="47">
        <f>(F93+G93+J93)*$K$5</f>
        <v>15.12</v>
      </c>
      <c r="L93" s="47">
        <f>(F93+G93+J93+K93)*$L$5</f>
        <v>16.4808</v>
      </c>
      <c r="M93" s="47">
        <f t="shared" si="15"/>
        <v>199.6008</v>
      </c>
      <c r="N93" s="47">
        <f t="shared" si="16"/>
        <v>798.4032</v>
      </c>
      <c r="O93" s="72" t="s">
        <v>522</v>
      </c>
    </row>
    <row r="94" s="23" customFormat="1" ht="49" customHeight="1" spans="1:15">
      <c r="A94" s="38">
        <v>1.13</v>
      </c>
      <c r="B94" s="51" t="s">
        <v>511</v>
      </c>
      <c r="C94" s="51" t="s">
        <v>552</v>
      </c>
      <c r="D94" s="52" t="s">
        <v>173</v>
      </c>
      <c r="E94" s="53">
        <v>4</v>
      </c>
      <c r="F94" s="71">
        <v>2.88</v>
      </c>
      <c r="G94" s="47">
        <f t="shared" si="17"/>
        <v>4.96</v>
      </c>
      <c r="H94" s="47">
        <v>4.96</v>
      </c>
      <c r="I94" s="74">
        <v>0</v>
      </c>
      <c r="J94" s="71">
        <v>2.58</v>
      </c>
      <c r="K94" s="47">
        <f>(F94+G94+J94)*$K$5</f>
        <v>0.9378</v>
      </c>
      <c r="L94" s="47">
        <f>(F94+G94+J94+K94)*$L$5</f>
        <v>1.022202</v>
      </c>
      <c r="M94" s="47">
        <f t="shared" si="15"/>
        <v>12.380002</v>
      </c>
      <c r="N94" s="47">
        <f t="shared" si="16"/>
        <v>49.520008</v>
      </c>
      <c r="O94" s="72" t="s">
        <v>522</v>
      </c>
    </row>
    <row r="95" s="24" customFormat="1" ht="21" customHeight="1" spans="1:15">
      <c r="A95" s="73" t="s">
        <v>47</v>
      </c>
      <c r="B95" s="34" t="s">
        <v>553</v>
      </c>
      <c r="C95" s="34" t="s">
        <v>174</v>
      </c>
      <c r="D95" s="73"/>
      <c r="E95" s="73"/>
      <c r="F95" s="73"/>
      <c r="G95" s="73"/>
      <c r="H95" s="41"/>
      <c r="I95" s="73"/>
      <c r="J95" s="73"/>
      <c r="K95" s="73"/>
      <c r="L95" s="73"/>
      <c r="M95" s="73"/>
      <c r="N95" s="75">
        <f>N81+N71+N6</f>
        <v>176347.41669925</v>
      </c>
      <c r="O95" s="76"/>
    </row>
  </sheetData>
  <autoFilter ref="A5:P95">
    <extLst/>
  </autoFilter>
  <mergeCells count="19">
    <mergeCell ref="A1:O1"/>
    <mergeCell ref="A2:F2"/>
    <mergeCell ref="G2:M2"/>
    <mergeCell ref="N2:O2"/>
    <mergeCell ref="F3:L3"/>
    <mergeCell ref="B6:C6"/>
    <mergeCell ref="B71:C71"/>
    <mergeCell ref="B81:C81"/>
    <mergeCell ref="B95:C95"/>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78"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554</v>
      </c>
      <c r="B1" s="6"/>
      <c r="C1" s="5"/>
      <c r="D1" s="5"/>
      <c r="E1" s="5"/>
      <c r="F1" s="5"/>
      <c r="G1" s="5"/>
      <c r="I1" s="18" t="s">
        <v>555</v>
      </c>
      <c r="J1" s="6"/>
      <c r="K1" s="5"/>
      <c r="L1" s="5"/>
      <c r="M1" s="5"/>
      <c r="N1" s="5"/>
      <c r="O1" s="5"/>
      <c r="Q1" s="18" t="s">
        <v>556</v>
      </c>
      <c r="R1" s="6"/>
      <c r="S1" s="5"/>
      <c r="T1" s="5"/>
      <c r="U1" s="5"/>
      <c r="V1" s="5"/>
      <c r="W1" s="5"/>
      <c r="Y1" s="18" t="s">
        <v>557</v>
      </c>
      <c r="Z1" s="6"/>
      <c r="AA1" s="5"/>
      <c r="AB1" s="5"/>
      <c r="AC1" s="5"/>
      <c r="AD1" s="5"/>
      <c r="AE1" s="5"/>
    </row>
    <row r="2" s="1" customFormat="1" ht="38.1" customHeight="1" spans="1:31">
      <c r="A2" s="7" t="s">
        <v>1</v>
      </c>
      <c r="B2" s="8" t="s">
        <v>28</v>
      </c>
      <c r="C2" s="7" t="s">
        <v>29</v>
      </c>
      <c r="D2" s="7" t="s">
        <v>558</v>
      </c>
      <c r="E2" s="7" t="s">
        <v>559</v>
      </c>
      <c r="F2" s="7" t="s">
        <v>174</v>
      </c>
      <c r="G2" s="7" t="s">
        <v>32</v>
      </c>
      <c r="I2" s="7" t="s">
        <v>1</v>
      </c>
      <c r="J2" s="8" t="s">
        <v>28</v>
      </c>
      <c r="K2" s="7" t="s">
        <v>29</v>
      </c>
      <c r="L2" s="7" t="s">
        <v>558</v>
      </c>
      <c r="M2" s="7" t="s">
        <v>559</v>
      </c>
      <c r="N2" s="7" t="s">
        <v>174</v>
      </c>
      <c r="O2" s="7" t="s">
        <v>32</v>
      </c>
      <c r="Q2" s="7" t="s">
        <v>1</v>
      </c>
      <c r="R2" s="8" t="s">
        <v>28</v>
      </c>
      <c r="S2" s="7" t="s">
        <v>29</v>
      </c>
      <c r="T2" s="7" t="s">
        <v>558</v>
      </c>
      <c r="U2" s="7" t="s">
        <v>559</v>
      </c>
      <c r="V2" s="7" t="s">
        <v>174</v>
      </c>
      <c r="W2" s="7" t="s">
        <v>32</v>
      </c>
      <c r="Y2" s="7" t="s">
        <v>1</v>
      </c>
      <c r="Z2" s="8" t="s">
        <v>28</v>
      </c>
      <c r="AA2" s="7" t="s">
        <v>29</v>
      </c>
      <c r="AB2" s="7" t="s">
        <v>558</v>
      </c>
      <c r="AC2" s="7" t="s">
        <v>559</v>
      </c>
      <c r="AD2" s="7" t="s">
        <v>174</v>
      </c>
      <c r="AE2" s="7" t="s">
        <v>32</v>
      </c>
    </row>
    <row r="3" s="2" customFormat="1" ht="38.1" customHeight="1" spans="1:31">
      <c r="A3" s="7"/>
      <c r="B3" s="9" t="s">
        <v>560</v>
      </c>
      <c r="C3" s="10"/>
      <c r="D3" s="10"/>
      <c r="E3" s="10"/>
      <c r="F3" s="10"/>
      <c r="G3" s="10"/>
      <c r="I3" s="7"/>
      <c r="J3" s="9" t="s">
        <v>560</v>
      </c>
      <c r="K3" s="10"/>
      <c r="L3" s="10"/>
      <c r="M3" s="10"/>
      <c r="N3" s="10"/>
      <c r="O3" s="10"/>
      <c r="Q3" s="7"/>
      <c r="R3" s="9" t="s">
        <v>560</v>
      </c>
      <c r="S3" s="10"/>
      <c r="T3" s="10"/>
      <c r="U3" s="10"/>
      <c r="V3" s="10"/>
      <c r="W3" s="10"/>
      <c r="Y3" s="7"/>
      <c r="Z3" s="9" t="s">
        <v>560</v>
      </c>
      <c r="AA3" s="10"/>
      <c r="AB3" s="10"/>
      <c r="AC3" s="10"/>
      <c r="AD3" s="10"/>
      <c r="AE3" s="10"/>
    </row>
    <row r="4" ht="48.95" customHeight="1" spans="1:31">
      <c r="A4" s="11">
        <v>1</v>
      </c>
      <c r="B4" s="12" t="s">
        <v>561</v>
      </c>
      <c r="C4" s="13" t="s">
        <v>562</v>
      </c>
      <c r="D4" s="14">
        <v>2</v>
      </c>
      <c r="E4" s="14"/>
      <c r="F4" s="14"/>
      <c r="G4" s="14"/>
      <c r="I4" s="11">
        <v>1</v>
      </c>
      <c r="J4" s="12" t="s">
        <v>561</v>
      </c>
      <c r="K4" s="13" t="s">
        <v>562</v>
      </c>
      <c r="L4" s="14">
        <v>2</v>
      </c>
      <c r="M4" s="14"/>
      <c r="N4" s="14"/>
      <c r="O4" s="14"/>
      <c r="Q4" s="11">
        <v>1</v>
      </c>
      <c r="R4" s="12" t="s">
        <v>561</v>
      </c>
      <c r="S4" s="13" t="s">
        <v>562</v>
      </c>
      <c r="T4" s="14">
        <v>2</v>
      </c>
      <c r="U4" s="14"/>
      <c r="V4" s="14"/>
      <c r="W4" s="14"/>
      <c r="Y4" s="11">
        <v>1</v>
      </c>
      <c r="Z4" s="12" t="s">
        <v>561</v>
      </c>
      <c r="AA4" s="13" t="s">
        <v>562</v>
      </c>
      <c r="AB4" s="14">
        <v>2</v>
      </c>
      <c r="AC4" s="14"/>
      <c r="AD4" s="14"/>
      <c r="AE4" s="14"/>
    </row>
    <row r="5" ht="48.95" customHeight="1" spans="1:31">
      <c r="A5" s="11">
        <v>3</v>
      </c>
      <c r="B5" s="15" t="s">
        <v>563</v>
      </c>
      <c r="C5" s="14" t="s">
        <v>101</v>
      </c>
      <c r="D5" s="14">
        <f>5.17*2</f>
        <v>10.34</v>
      </c>
      <c r="E5" s="14">
        <v>30.62</v>
      </c>
      <c r="F5" s="14">
        <f>E5*D5</f>
        <v>316.6108</v>
      </c>
      <c r="G5" s="14"/>
      <c r="I5" s="11">
        <v>3</v>
      </c>
      <c r="J5" s="15" t="s">
        <v>563</v>
      </c>
      <c r="K5" s="14" t="s">
        <v>101</v>
      </c>
      <c r="L5" s="14">
        <f>5.17*2</f>
        <v>10.34</v>
      </c>
      <c r="M5" s="14">
        <v>30.62</v>
      </c>
      <c r="N5" s="14">
        <f>M5*L5</f>
        <v>316.6108</v>
      </c>
      <c r="O5" s="14"/>
      <c r="Q5" s="11">
        <v>3</v>
      </c>
      <c r="R5" s="15" t="s">
        <v>563</v>
      </c>
      <c r="S5" s="14" t="s">
        <v>101</v>
      </c>
      <c r="T5" s="14">
        <f>5.17*2</f>
        <v>10.34</v>
      </c>
      <c r="U5" s="14">
        <v>30.62</v>
      </c>
      <c r="V5" s="14">
        <f>U5*T5</f>
        <v>316.6108</v>
      </c>
      <c r="W5" s="14"/>
      <c r="Y5" s="11">
        <v>3</v>
      </c>
      <c r="Z5" s="15" t="s">
        <v>563</v>
      </c>
      <c r="AA5" s="14" t="s">
        <v>101</v>
      </c>
      <c r="AB5" s="14">
        <f>5.17*2</f>
        <v>10.34</v>
      </c>
      <c r="AC5" s="14">
        <v>30.62</v>
      </c>
      <c r="AD5" s="14">
        <f>AC5*AB5</f>
        <v>316.6108</v>
      </c>
      <c r="AE5" s="14"/>
    </row>
    <row r="6" ht="48.95" customHeight="1" spans="1:31">
      <c r="A6" s="11">
        <v>4</v>
      </c>
      <c r="B6" s="15" t="s">
        <v>564</v>
      </c>
      <c r="C6" s="14" t="s">
        <v>101</v>
      </c>
      <c r="D6" s="14">
        <f>5.17*8</f>
        <v>41.36</v>
      </c>
      <c r="E6" s="14">
        <v>8</v>
      </c>
      <c r="F6" s="14">
        <f>E6*D6</f>
        <v>330.88</v>
      </c>
      <c r="G6" s="14"/>
      <c r="I6" s="11">
        <v>4</v>
      </c>
      <c r="J6" s="15" t="s">
        <v>564</v>
      </c>
      <c r="K6" s="14" t="s">
        <v>101</v>
      </c>
      <c r="L6" s="14">
        <f>5.17*8</f>
        <v>41.36</v>
      </c>
      <c r="M6" s="14">
        <v>8</v>
      </c>
      <c r="N6" s="14">
        <f>M6*L6</f>
        <v>330.88</v>
      </c>
      <c r="O6" s="14"/>
      <c r="Q6" s="11">
        <v>4</v>
      </c>
      <c r="R6" s="15" t="s">
        <v>564</v>
      </c>
      <c r="S6" s="14" t="s">
        <v>101</v>
      </c>
      <c r="T6" s="14">
        <f>5.17*8</f>
        <v>41.36</v>
      </c>
      <c r="U6" s="14">
        <v>8</v>
      </c>
      <c r="V6" s="14">
        <f>U6*T6</f>
        <v>330.88</v>
      </c>
      <c r="W6" s="14"/>
      <c r="Y6" s="11">
        <v>4</v>
      </c>
      <c r="Z6" s="15" t="s">
        <v>564</v>
      </c>
      <c r="AA6" s="14" t="s">
        <v>101</v>
      </c>
      <c r="AB6" s="14">
        <f>5.17*8</f>
        <v>41.36</v>
      </c>
      <c r="AC6" s="14">
        <v>8</v>
      </c>
      <c r="AD6" s="14">
        <f>AC6*AB6</f>
        <v>330.88</v>
      </c>
      <c r="AE6" s="14"/>
    </row>
    <row r="7" ht="48.95" customHeight="1" spans="1:31">
      <c r="A7" s="11">
        <v>5</v>
      </c>
      <c r="B7" s="15" t="s">
        <v>565</v>
      </c>
      <c r="C7" s="14" t="s">
        <v>101</v>
      </c>
      <c r="D7" s="14">
        <f>(0.575+0.495+0.858+0.11+0.19+0.787+0.148+0.148+0.475+0.675+0.495+0.855)*6</f>
        <v>34.866</v>
      </c>
      <c r="E7" s="14">
        <v>3.06</v>
      </c>
      <c r="F7" s="14">
        <f t="shared" ref="F7:F21" si="0">E7*D7</f>
        <v>106.68996</v>
      </c>
      <c r="G7" s="14"/>
      <c r="I7" s="11">
        <v>5</v>
      </c>
      <c r="J7" s="15" t="s">
        <v>565</v>
      </c>
      <c r="K7" s="14" t="s">
        <v>101</v>
      </c>
      <c r="L7" s="14">
        <f>(0.575+0.495+0.858+0.11+0.19+0.787+0.148+0.148+0.475+0.675+0.495+0.855)*6</f>
        <v>34.866</v>
      </c>
      <c r="M7" s="14">
        <v>3.06</v>
      </c>
      <c r="N7" s="14">
        <f t="shared" ref="N7:N16" si="1">M7*L7</f>
        <v>106.68996</v>
      </c>
      <c r="O7" s="14"/>
      <c r="Q7" s="11">
        <v>5</v>
      </c>
      <c r="R7" s="15" t="s">
        <v>565</v>
      </c>
      <c r="S7" s="14" t="s">
        <v>101</v>
      </c>
      <c r="T7" s="14">
        <f>(0.575+0.495+0.858+0.11+0.19+0.787+0.148+0.148+0.475+0.675+0.495+0.855)*6</f>
        <v>34.866</v>
      </c>
      <c r="U7" s="14">
        <v>3.06</v>
      </c>
      <c r="V7" s="14">
        <f t="shared" ref="V7:V16" si="2">U7*T7</f>
        <v>106.68996</v>
      </c>
      <c r="W7" s="14"/>
      <c r="Y7" s="11">
        <v>5</v>
      </c>
      <c r="Z7" s="15" t="s">
        <v>565</v>
      </c>
      <c r="AA7" s="14" t="s">
        <v>101</v>
      </c>
      <c r="AB7" s="14">
        <f>(0.575+0.495+0.858+0.11+0.19+0.787+0.148+0.148+0.475+0.675+0.495+0.855)*6</f>
        <v>34.866</v>
      </c>
      <c r="AC7" s="14">
        <v>3.06</v>
      </c>
      <c r="AD7" s="14">
        <f t="shared" ref="AD7:AD16" si="3">AC7*AB7</f>
        <v>106.68996</v>
      </c>
      <c r="AE7" s="14"/>
    </row>
    <row r="8" ht="48.95" customHeight="1" spans="1:31">
      <c r="A8" s="11">
        <v>6</v>
      </c>
      <c r="B8" s="15" t="s">
        <v>566</v>
      </c>
      <c r="C8" s="14" t="s">
        <v>101</v>
      </c>
      <c r="D8" s="14">
        <f>(0.185*2+0.085*2+0.11*2+0.135+0.11*2+0.185*2+0.085*2+0.135)*6</f>
        <v>10.74</v>
      </c>
      <c r="E8" s="14">
        <v>10</v>
      </c>
      <c r="F8" s="14">
        <f t="shared" si="0"/>
        <v>107.4</v>
      </c>
      <c r="G8" s="14"/>
      <c r="I8" s="11">
        <v>6</v>
      </c>
      <c r="J8" s="15" t="s">
        <v>566</v>
      </c>
      <c r="K8" s="14" t="s">
        <v>101</v>
      </c>
      <c r="L8" s="14">
        <f>(0.185*2+0.085*2+0.11*2+0.135+0.11*2+0.185*2+0.085*2+0.135)*6</f>
        <v>10.74</v>
      </c>
      <c r="M8" s="14">
        <v>10</v>
      </c>
      <c r="N8" s="14">
        <f t="shared" si="1"/>
        <v>107.4</v>
      </c>
      <c r="O8" s="14"/>
      <c r="Q8" s="11">
        <v>6</v>
      </c>
      <c r="R8" s="15" t="s">
        <v>566</v>
      </c>
      <c r="S8" s="14" t="s">
        <v>101</v>
      </c>
      <c r="T8" s="14">
        <f>(0.185*2+0.085*2+0.11*2+0.135+0.11*2+0.185*2+0.085*2+0.135)*6</f>
        <v>10.74</v>
      </c>
      <c r="U8" s="14">
        <v>10</v>
      </c>
      <c r="V8" s="14">
        <f t="shared" si="2"/>
        <v>107.4</v>
      </c>
      <c r="W8" s="14"/>
      <c r="Y8" s="11">
        <v>6</v>
      </c>
      <c r="Z8" s="15" t="s">
        <v>566</v>
      </c>
      <c r="AA8" s="14" t="s">
        <v>101</v>
      </c>
      <c r="AB8" s="14">
        <f>(0.185*2+0.085*2+0.11*2+0.135+0.11*2+0.185*2+0.085*2+0.135)*6</f>
        <v>10.74</v>
      </c>
      <c r="AC8" s="14">
        <v>10</v>
      </c>
      <c r="AD8" s="14">
        <f t="shared" si="3"/>
        <v>107.4</v>
      </c>
      <c r="AE8" s="14"/>
    </row>
    <row r="9" ht="78" customHeight="1" spans="1:31">
      <c r="A9" s="11">
        <v>7</v>
      </c>
      <c r="B9" s="12" t="s">
        <v>567</v>
      </c>
      <c r="C9" s="13" t="s">
        <v>562</v>
      </c>
      <c r="D9" s="14">
        <f>6*6</f>
        <v>36</v>
      </c>
      <c r="E9" s="14"/>
      <c r="F9" s="14">
        <f t="shared" si="0"/>
        <v>0</v>
      </c>
      <c r="G9" s="14"/>
      <c r="I9" s="11">
        <v>7</v>
      </c>
      <c r="J9" s="12" t="s">
        <v>567</v>
      </c>
      <c r="K9" s="13" t="s">
        <v>562</v>
      </c>
      <c r="L9" s="14">
        <f>6*6</f>
        <v>36</v>
      </c>
      <c r="M9" s="14"/>
      <c r="N9" s="14">
        <f t="shared" si="1"/>
        <v>0</v>
      </c>
      <c r="O9" s="14"/>
      <c r="Q9" s="11">
        <v>7</v>
      </c>
      <c r="R9" s="12" t="s">
        <v>567</v>
      </c>
      <c r="S9" s="13" t="s">
        <v>562</v>
      </c>
      <c r="T9" s="14">
        <f>6*6</f>
        <v>36</v>
      </c>
      <c r="U9" s="14"/>
      <c r="V9" s="14">
        <f t="shared" si="2"/>
        <v>0</v>
      </c>
      <c r="W9" s="14"/>
      <c r="Y9" s="11">
        <v>7</v>
      </c>
      <c r="Z9" s="12" t="s">
        <v>567</v>
      </c>
      <c r="AA9" s="13" t="s">
        <v>562</v>
      </c>
      <c r="AB9" s="14">
        <f>6*6</f>
        <v>36</v>
      </c>
      <c r="AC9" s="14"/>
      <c r="AD9" s="14">
        <f t="shared" si="3"/>
        <v>0</v>
      </c>
      <c r="AE9" s="14"/>
    </row>
    <row r="10" ht="78" customHeight="1" spans="1:31">
      <c r="A10" s="11"/>
      <c r="B10" s="12" t="s">
        <v>568</v>
      </c>
      <c r="C10" s="13"/>
      <c r="D10" s="14">
        <f>0.21*7</f>
        <v>1.47</v>
      </c>
      <c r="E10" s="14">
        <v>3.06</v>
      </c>
      <c r="F10" s="14">
        <f t="shared" si="0"/>
        <v>4.4982</v>
      </c>
      <c r="G10" s="14"/>
      <c r="I10" s="11"/>
      <c r="J10" s="12" t="s">
        <v>568</v>
      </c>
      <c r="K10" s="13"/>
      <c r="L10" s="14">
        <f>0.21*7</f>
        <v>1.47</v>
      </c>
      <c r="M10" s="14">
        <v>3.06</v>
      </c>
      <c r="N10" s="14">
        <f t="shared" si="1"/>
        <v>4.4982</v>
      </c>
      <c r="O10" s="14"/>
      <c r="Q10" s="11"/>
      <c r="R10" s="12" t="s">
        <v>568</v>
      </c>
      <c r="S10" s="13"/>
      <c r="T10" s="14">
        <f>0.21*7</f>
        <v>1.47</v>
      </c>
      <c r="U10" s="14">
        <v>3.06</v>
      </c>
      <c r="V10" s="14">
        <f t="shared" si="2"/>
        <v>4.4982</v>
      </c>
      <c r="W10" s="14"/>
      <c r="Y10" s="11"/>
      <c r="Z10" s="12" t="s">
        <v>568</v>
      </c>
      <c r="AA10" s="13"/>
      <c r="AB10" s="14">
        <f>0.21*7</f>
        <v>1.47</v>
      </c>
      <c r="AC10" s="14">
        <v>3.06</v>
      </c>
      <c r="AD10" s="14">
        <f t="shared" si="3"/>
        <v>4.4982</v>
      </c>
      <c r="AE10" s="14"/>
    </row>
    <row r="11" ht="42" customHeight="1" spans="1:31">
      <c r="A11" s="11"/>
      <c r="B11" s="16" t="s">
        <v>569</v>
      </c>
      <c r="C11" s="13"/>
      <c r="D11" s="14"/>
      <c r="E11" s="14"/>
      <c r="F11" s="14">
        <f t="shared" si="0"/>
        <v>0</v>
      </c>
      <c r="G11" s="14"/>
      <c r="I11" s="11"/>
      <c r="J11" s="16" t="s">
        <v>569</v>
      </c>
      <c r="K11" s="13"/>
      <c r="L11" s="14"/>
      <c r="M11" s="14"/>
      <c r="N11" s="14">
        <f t="shared" si="1"/>
        <v>0</v>
      </c>
      <c r="O11" s="14"/>
      <c r="Q11" s="11"/>
      <c r="R11" s="16" t="s">
        <v>569</v>
      </c>
      <c r="S11" s="13"/>
      <c r="T11" s="14"/>
      <c r="U11" s="14"/>
      <c r="V11" s="14">
        <f t="shared" si="2"/>
        <v>0</v>
      </c>
      <c r="W11" s="14"/>
      <c r="Y11" s="11"/>
      <c r="Z11" s="16" t="s">
        <v>569</v>
      </c>
      <c r="AA11" s="13"/>
      <c r="AB11" s="14"/>
      <c r="AC11" s="14"/>
      <c r="AD11" s="14">
        <f t="shared" si="3"/>
        <v>0</v>
      </c>
      <c r="AE11" s="14"/>
    </row>
    <row r="12" ht="48.95" customHeight="1" spans="1:31">
      <c r="A12" s="11">
        <v>1</v>
      </c>
      <c r="B12" s="15" t="s">
        <v>565</v>
      </c>
      <c r="C12" s="14" t="s">
        <v>101</v>
      </c>
      <c r="D12" s="14">
        <f>(0.547+0.156+0.686+1.112+1.137)*2+1.13*4+(0.547+0.156+0.686)*3*2+(1.55+1.7+1.055)*3</f>
        <v>33.045</v>
      </c>
      <c r="E12" s="14"/>
      <c r="F12" s="14">
        <f t="shared" si="0"/>
        <v>0</v>
      </c>
      <c r="G12" s="14"/>
      <c r="I12" s="11">
        <v>1</v>
      </c>
      <c r="J12" s="15" t="s">
        <v>565</v>
      </c>
      <c r="K12" s="14" t="s">
        <v>101</v>
      </c>
      <c r="L12" s="14">
        <f>(0.547+0.156+0.686+1.112+1.137)*2+1.13*4+(0.547+0.156+0.686)*3*2+(1.55+1.7+1.055)*3</f>
        <v>33.045</v>
      </c>
      <c r="M12" s="14">
        <f>M10</f>
        <v>3.06</v>
      </c>
      <c r="N12" s="14">
        <f t="shared" si="1"/>
        <v>101.1177</v>
      </c>
      <c r="O12" s="14"/>
      <c r="Q12" s="11">
        <v>1</v>
      </c>
      <c r="R12" s="15" t="s">
        <v>565</v>
      </c>
      <c r="S12" s="14" t="s">
        <v>101</v>
      </c>
      <c r="T12" s="14">
        <f>(0.547+0.156+0.686+1.112+1.137)*2+1.13*4+(0.547+0.156+0.686)*3*2+(1.55+1.7+1.055)*3</f>
        <v>33.045</v>
      </c>
      <c r="U12" s="14">
        <f>U10</f>
        <v>3.06</v>
      </c>
      <c r="V12" s="14">
        <f t="shared" si="2"/>
        <v>101.1177</v>
      </c>
      <c r="W12" s="14"/>
      <c r="Y12" s="11">
        <v>1</v>
      </c>
      <c r="Z12" s="15" t="s">
        <v>565</v>
      </c>
      <c r="AA12" s="14" t="s">
        <v>101</v>
      </c>
      <c r="AB12" s="14">
        <f>(0.547+0.156+0.686+1.112)*2+(0.547+0.156+0.686)*3*2+(1.55+1.055)*3</f>
        <v>21.151</v>
      </c>
      <c r="AC12" s="14">
        <f>AC10</f>
        <v>3.06</v>
      </c>
      <c r="AD12" s="14">
        <f t="shared" si="3"/>
        <v>64.72206</v>
      </c>
      <c r="AE12" s="14"/>
    </row>
    <row r="13" ht="48.95" customHeight="1" spans="1:31">
      <c r="A13" s="11"/>
      <c r="B13" s="12" t="s">
        <v>570</v>
      </c>
      <c r="C13" s="13" t="s">
        <v>562</v>
      </c>
      <c r="D13" s="14">
        <f>3*2</f>
        <v>6</v>
      </c>
      <c r="E13" s="14"/>
      <c r="F13" s="14">
        <f t="shared" si="0"/>
        <v>0</v>
      </c>
      <c r="G13" s="14"/>
      <c r="I13" s="11"/>
      <c r="J13" s="12" t="s">
        <v>570</v>
      </c>
      <c r="K13" s="13" t="s">
        <v>562</v>
      </c>
      <c r="L13" s="14">
        <f>3*2</f>
        <v>6</v>
      </c>
      <c r="M13" s="14"/>
      <c r="N13" s="14">
        <f t="shared" si="1"/>
        <v>0</v>
      </c>
      <c r="O13" s="14"/>
      <c r="Q13" s="11"/>
      <c r="R13" s="12" t="s">
        <v>570</v>
      </c>
      <c r="S13" s="13" t="s">
        <v>562</v>
      </c>
      <c r="T13" s="14">
        <f>3*2</f>
        <v>6</v>
      </c>
      <c r="U13" s="14"/>
      <c r="V13" s="14">
        <f t="shared" si="2"/>
        <v>0</v>
      </c>
      <c r="W13" s="14"/>
      <c r="Y13" s="11"/>
      <c r="Z13" s="12" t="s">
        <v>570</v>
      </c>
      <c r="AA13" s="13" t="s">
        <v>562</v>
      </c>
      <c r="AB13" s="14">
        <f>3*2</f>
        <v>6</v>
      </c>
      <c r="AC13" s="14"/>
      <c r="AD13" s="14">
        <f t="shared" si="3"/>
        <v>0</v>
      </c>
      <c r="AE13" s="14"/>
    </row>
    <row r="14" ht="48.95" customHeight="1" spans="1:31">
      <c r="A14" s="11"/>
      <c r="B14" s="16" t="s">
        <v>571</v>
      </c>
      <c r="C14" s="14"/>
      <c r="D14" s="14"/>
      <c r="E14" s="14"/>
      <c r="F14" s="14">
        <f t="shared" si="0"/>
        <v>0</v>
      </c>
      <c r="G14" s="14"/>
      <c r="I14" s="11"/>
      <c r="J14" s="16" t="s">
        <v>571</v>
      </c>
      <c r="K14" s="14"/>
      <c r="L14" s="14"/>
      <c r="M14" s="14"/>
      <c r="N14" s="14">
        <f t="shared" si="1"/>
        <v>0</v>
      </c>
      <c r="O14" s="14"/>
      <c r="Q14" s="11"/>
      <c r="R14" s="16" t="s">
        <v>571</v>
      </c>
      <c r="S14" s="14"/>
      <c r="T14" s="14"/>
      <c r="U14" s="14"/>
      <c r="V14" s="14">
        <f t="shared" si="2"/>
        <v>0</v>
      </c>
      <c r="W14" s="14"/>
      <c r="Y14" s="11"/>
      <c r="Z14" s="16" t="s">
        <v>571</v>
      </c>
      <c r="AA14" s="14"/>
      <c r="AB14" s="14"/>
      <c r="AC14" s="14"/>
      <c r="AD14" s="14">
        <f t="shared" si="3"/>
        <v>0</v>
      </c>
      <c r="AE14" s="14"/>
    </row>
    <row r="15" ht="48.95" customHeight="1" spans="1:31">
      <c r="A15" s="11"/>
      <c r="B15" s="15" t="s">
        <v>565</v>
      </c>
      <c r="C15" s="14" t="s">
        <v>101</v>
      </c>
      <c r="D15" s="14">
        <f>(0.543+0.156+0.686+1.112+1.133*2+0.296*3)*3+3.98*3+(1.55+1.7+1.055)*3</f>
        <v>41.808</v>
      </c>
      <c r="E15" s="14">
        <v>3.06</v>
      </c>
      <c r="F15" s="14">
        <f t="shared" si="0"/>
        <v>127.93248</v>
      </c>
      <c r="G15" s="14"/>
      <c r="I15" s="11"/>
      <c r="J15" s="15" t="s">
        <v>565</v>
      </c>
      <c r="K15" s="14" t="s">
        <v>101</v>
      </c>
      <c r="L15" s="14">
        <f>(0.543+0.156+0.686+1.112+1.133*2+0.296*3)*3+3.98*3+(1.55+1.7+1.055)*3</f>
        <v>41.808</v>
      </c>
      <c r="M15" s="14">
        <v>3.06</v>
      </c>
      <c r="N15" s="14">
        <f t="shared" si="1"/>
        <v>127.93248</v>
      </c>
      <c r="O15" s="14"/>
      <c r="Q15" s="11"/>
      <c r="R15" s="15" t="s">
        <v>565</v>
      </c>
      <c r="S15" s="14" t="s">
        <v>101</v>
      </c>
      <c r="T15" s="14">
        <f>(0.543+0.156+0.686+1.112+1.133*2+0.296*3)*3+3.98*3+(1.55+1.7+1.055)*3</f>
        <v>41.808</v>
      </c>
      <c r="U15" s="14">
        <v>3.06</v>
      </c>
      <c r="V15" s="14">
        <f t="shared" si="2"/>
        <v>127.93248</v>
      </c>
      <c r="W15" s="14"/>
      <c r="Y15" s="11"/>
      <c r="Z15" s="15" t="s">
        <v>565</v>
      </c>
      <c r="AA15" s="14" t="s">
        <v>101</v>
      </c>
      <c r="AB15" s="14">
        <f>(0.543+0.156+0.686+1.112+1.133*2+0.296*3)*3+3.98*3+(1.55+1.7+1.055)*3</f>
        <v>41.808</v>
      </c>
      <c r="AC15" s="14">
        <v>3.06</v>
      </c>
      <c r="AD15" s="14">
        <f t="shared" si="3"/>
        <v>127.93248</v>
      </c>
      <c r="AE15" s="14"/>
    </row>
    <row r="16" ht="48.95" customHeight="1" spans="1:31">
      <c r="A16" s="11"/>
      <c r="B16" s="12" t="s">
        <v>572</v>
      </c>
      <c r="C16" s="13" t="s">
        <v>562</v>
      </c>
      <c r="D16" s="14">
        <f>5*3</f>
        <v>15</v>
      </c>
      <c r="E16" s="14"/>
      <c r="F16" s="14">
        <f t="shared" si="0"/>
        <v>0</v>
      </c>
      <c r="G16" s="14"/>
      <c r="I16" s="11"/>
      <c r="J16" s="12" t="s">
        <v>572</v>
      </c>
      <c r="K16" s="13" t="s">
        <v>562</v>
      </c>
      <c r="L16" s="14">
        <f>5*3</f>
        <v>15</v>
      </c>
      <c r="M16" s="14"/>
      <c r="N16" s="14">
        <f t="shared" si="1"/>
        <v>0</v>
      </c>
      <c r="O16" s="14"/>
      <c r="Q16" s="11"/>
      <c r="R16" s="12" t="s">
        <v>572</v>
      </c>
      <c r="S16" s="13" t="s">
        <v>562</v>
      </c>
      <c r="T16" s="14">
        <f>5*3</f>
        <v>15</v>
      </c>
      <c r="U16" s="14"/>
      <c r="V16" s="14">
        <f t="shared" si="2"/>
        <v>0</v>
      </c>
      <c r="W16" s="14"/>
      <c r="Y16" s="11"/>
      <c r="Z16" s="12" t="s">
        <v>572</v>
      </c>
      <c r="AA16" s="13" t="s">
        <v>562</v>
      </c>
      <c r="AB16" s="14">
        <f>5*3</f>
        <v>15</v>
      </c>
      <c r="AC16" s="14"/>
      <c r="AD16" s="14">
        <f t="shared" si="3"/>
        <v>0</v>
      </c>
      <c r="AE16" s="14"/>
    </row>
    <row r="17" ht="48.95" customHeight="1" spans="1:31">
      <c r="A17" s="11"/>
      <c r="B17" s="17" t="s">
        <v>573</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574</v>
      </c>
      <c r="C18" s="14" t="s">
        <v>101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575</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576</v>
      </c>
      <c r="C20" s="13" t="s">
        <v>562</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577</v>
      </c>
      <c r="C21" s="14" t="s">
        <v>101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174</v>
      </c>
      <c r="C22" s="14" t="s">
        <v>578</v>
      </c>
      <c r="D22" s="14"/>
      <c r="E22" s="14"/>
      <c r="F22" s="14">
        <f>SUM(F3:F21)</f>
        <v>1343.13132</v>
      </c>
      <c r="G22" s="14"/>
      <c r="I22" s="11"/>
      <c r="J22" s="17" t="s">
        <v>174</v>
      </c>
      <c r="K22" s="14" t="s">
        <v>578</v>
      </c>
      <c r="L22" s="14"/>
      <c r="M22" s="14"/>
      <c r="N22" s="14">
        <f>SUM(N3:N21)</f>
        <v>1095.12914</v>
      </c>
      <c r="O22" s="14"/>
      <c r="Q22" s="11"/>
      <c r="R22" s="17" t="s">
        <v>174</v>
      </c>
      <c r="S22" s="14" t="s">
        <v>578</v>
      </c>
      <c r="T22" s="14"/>
      <c r="U22" s="14"/>
      <c r="V22" s="14">
        <f>SUM(V3:V21)</f>
        <v>1095.12914</v>
      </c>
      <c r="W22" s="14"/>
      <c r="Y22" s="11"/>
      <c r="Z22" s="17" t="s">
        <v>174</v>
      </c>
      <c r="AA22" s="14" t="s">
        <v>578</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tabSelected="1" workbookViewId="0">
      <selection activeCell="M10" sqref="M10"/>
    </sheetView>
  </sheetViews>
  <sheetFormatPr defaultColWidth="9.14285714285714" defaultRowHeight="12.75"/>
  <cols>
    <col min="1" max="1" width="3.04761904761905" style="184" customWidth="1"/>
    <col min="2" max="2" width="11.5714285714286" style="182" customWidth="1"/>
    <col min="3" max="3" width="12.2857142857143" style="182" customWidth="1"/>
    <col min="4" max="4" width="9.78095238095238" style="182" customWidth="1"/>
    <col min="5" max="5" width="11.8571428571429" style="182" customWidth="1"/>
    <col min="6" max="6" width="12.0761904761905" style="182" customWidth="1"/>
    <col min="7" max="7" width="9.43809523809524" style="182" customWidth="1"/>
    <col min="8" max="8" width="11.8571428571429" style="182" customWidth="1"/>
    <col min="9" max="9" width="11.447619047619" style="182" customWidth="1"/>
    <col min="10" max="10" width="8.85714285714286" style="182" customWidth="1"/>
    <col min="11" max="11" width="12" style="182" customWidth="1"/>
    <col min="12" max="12" width="12.4285714285714" style="182" customWidth="1"/>
    <col min="13" max="13" width="10.7619047619048" style="182" customWidth="1"/>
    <col min="14" max="15" width="8.88571428571429" style="182" hidden="1" customWidth="1"/>
    <col min="16" max="16" width="12.7714285714286" style="182" hidden="1" customWidth="1"/>
    <col min="17" max="16384" width="8.88571428571429" style="182"/>
  </cols>
  <sheetData>
    <row r="1" s="181" customFormat="1" ht="15" customHeight="1" spans="1:16">
      <c r="A1" s="185" t="s">
        <v>0</v>
      </c>
      <c r="B1" s="186"/>
      <c r="C1" s="187"/>
      <c r="D1" s="187"/>
      <c r="E1" s="188"/>
      <c r="F1" s="188"/>
      <c r="G1" s="188"/>
      <c r="H1" s="188"/>
      <c r="I1" s="188"/>
      <c r="J1" s="188"/>
      <c r="K1" s="188"/>
      <c r="L1" s="207"/>
      <c r="M1" s="188"/>
      <c r="N1" s="208"/>
      <c r="O1" s="208"/>
      <c r="P1" s="208"/>
    </row>
    <row r="2" s="181" customFormat="1" ht="15" customHeight="1" spans="1:16">
      <c r="A2" s="189" t="s">
        <v>1</v>
      </c>
      <c r="B2" s="189" t="s">
        <v>2</v>
      </c>
      <c r="C2" s="190" t="s">
        <v>3</v>
      </c>
      <c r="D2" s="190" t="s">
        <v>4</v>
      </c>
      <c r="E2" s="191" t="s">
        <v>5</v>
      </c>
      <c r="F2" s="190" t="s">
        <v>6</v>
      </c>
      <c r="G2" s="190"/>
      <c r="H2" s="190"/>
      <c r="I2" s="190" t="s">
        <v>7</v>
      </c>
      <c r="J2" s="190"/>
      <c r="K2" s="190"/>
      <c r="L2" s="209" t="s">
        <v>8</v>
      </c>
      <c r="M2" s="190"/>
      <c r="N2" s="189" t="s">
        <v>9</v>
      </c>
      <c r="O2" s="189" t="s">
        <v>10</v>
      </c>
      <c r="P2" s="189" t="s">
        <v>11</v>
      </c>
    </row>
    <row r="3" s="181" customFormat="1" ht="26" customHeight="1" spans="1:16">
      <c r="A3" s="189"/>
      <c r="B3" s="189"/>
      <c r="C3" s="190"/>
      <c r="D3" s="190"/>
      <c r="E3" s="191"/>
      <c r="F3" s="190" t="s">
        <v>12</v>
      </c>
      <c r="G3" s="190" t="s">
        <v>12</v>
      </c>
      <c r="H3" s="190" t="s">
        <v>13</v>
      </c>
      <c r="I3" s="190" t="s">
        <v>14</v>
      </c>
      <c r="J3" s="190" t="s">
        <v>15</v>
      </c>
      <c r="K3" s="190" t="s">
        <v>16</v>
      </c>
      <c r="L3" s="209" t="s">
        <v>17</v>
      </c>
      <c r="M3" s="190" t="s">
        <v>18</v>
      </c>
      <c r="N3" s="189"/>
      <c r="O3" s="189"/>
      <c r="P3" s="189"/>
    </row>
    <row r="4" s="181" customFormat="1" ht="22" customHeight="1" spans="1:16">
      <c r="A4" s="192">
        <v>1</v>
      </c>
      <c r="B4" s="193" t="s">
        <v>19</v>
      </c>
      <c r="C4" s="194">
        <f>'01、汇总表'!E3</f>
        <v>72160.609288434</v>
      </c>
      <c r="D4" s="194">
        <v>1</v>
      </c>
      <c r="E4" s="194">
        <f t="shared" ref="E4:E9" si="0">C4</f>
        <v>72160.609288434</v>
      </c>
      <c r="F4" s="194">
        <v>0</v>
      </c>
      <c r="G4" s="194">
        <v>0</v>
      </c>
      <c r="H4" s="194">
        <v>61336.5178951689</v>
      </c>
      <c r="I4" s="194">
        <v>1</v>
      </c>
      <c r="J4" s="210">
        <v>0.85</v>
      </c>
      <c r="K4" s="211">
        <f>E4*I4*J4-H4</f>
        <v>0</v>
      </c>
      <c r="L4" s="194">
        <f t="shared" ref="L4:L10" si="1">K4+H4</f>
        <v>61336.5178951689</v>
      </c>
      <c r="M4" s="210">
        <f t="shared" ref="M4:M9" si="2">L4/C4</f>
        <v>0.85</v>
      </c>
      <c r="N4" s="212"/>
      <c r="O4" s="212"/>
      <c r="P4" s="212"/>
    </row>
    <row r="5" s="181" customFormat="1" ht="22" customHeight="1" spans="1:16">
      <c r="A5" s="192">
        <v>2</v>
      </c>
      <c r="B5" s="193" t="str">
        <f>'01、汇总表'!B7</f>
        <v>架空层</v>
      </c>
      <c r="C5" s="194">
        <f>'01、汇总表'!E7</f>
        <v>92975.0533433632</v>
      </c>
      <c r="D5" s="194">
        <v>1</v>
      </c>
      <c r="E5" s="194">
        <f t="shared" si="0"/>
        <v>92975.0533433632</v>
      </c>
      <c r="F5" s="194">
        <v>0</v>
      </c>
      <c r="G5" s="194">
        <v>0</v>
      </c>
      <c r="H5" s="194">
        <v>79028.7953418588</v>
      </c>
      <c r="I5" s="194">
        <v>1</v>
      </c>
      <c r="J5" s="210">
        <v>0.85</v>
      </c>
      <c r="K5" s="211">
        <f t="shared" ref="K4:K10" si="3">E5*I5*J5-H5</f>
        <v>0</v>
      </c>
      <c r="L5" s="194">
        <f t="shared" si="1"/>
        <v>79028.7953418588</v>
      </c>
      <c r="M5" s="210">
        <f t="shared" si="2"/>
        <v>0.85</v>
      </c>
      <c r="N5" s="212"/>
      <c r="O5" s="212"/>
      <c r="P5" s="212"/>
    </row>
    <row r="6" s="181" customFormat="1" ht="22" customHeight="1" spans="1:16">
      <c r="A6" s="192">
        <v>3</v>
      </c>
      <c r="B6" s="193" t="str">
        <f>'01、汇总表'!B11</f>
        <v>门头装饰工程</v>
      </c>
      <c r="C6" s="194">
        <f>'01、汇总表'!E11</f>
        <v>119274.917270547</v>
      </c>
      <c r="D6" s="194">
        <v>1</v>
      </c>
      <c r="E6" s="194">
        <f t="shared" si="0"/>
        <v>119274.917270547</v>
      </c>
      <c r="F6" s="194">
        <v>0</v>
      </c>
      <c r="G6" s="194">
        <v>0</v>
      </c>
      <c r="H6" s="194">
        <v>101383.679679965</v>
      </c>
      <c r="I6" s="194">
        <v>1</v>
      </c>
      <c r="J6" s="210">
        <v>0.85</v>
      </c>
      <c r="K6" s="211">
        <f t="shared" si="3"/>
        <v>3.20142135024071e-10</v>
      </c>
      <c r="L6" s="194">
        <f t="shared" si="1"/>
        <v>101383.679679965</v>
      </c>
      <c r="M6" s="210">
        <f t="shared" si="2"/>
        <v>0.85</v>
      </c>
      <c r="N6" s="212"/>
      <c r="O6" s="212"/>
      <c r="P6" s="212"/>
    </row>
    <row r="7" s="181" customFormat="1" ht="30" customHeight="1" spans="1:16">
      <c r="A7" s="192">
        <v>4</v>
      </c>
      <c r="B7" s="193" t="str">
        <f>'01、汇总表'!B14</f>
        <v>样板间装饰工程</v>
      </c>
      <c r="C7" s="194">
        <f>'01、汇总表'!E14</f>
        <v>199273.44211315</v>
      </c>
      <c r="D7" s="194">
        <v>1</v>
      </c>
      <c r="E7" s="194">
        <f t="shared" si="0"/>
        <v>199273.44211315</v>
      </c>
      <c r="F7" s="194">
        <v>0</v>
      </c>
      <c r="G7" s="194">
        <v>0</v>
      </c>
      <c r="H7" s="194">
        <v>169382.425796177</v>
      </c>
      <c r="I7" s="194">
        <v>1</v>
      </c>
      <c r="J7" s="210">
        <v>0.85</v>
      </c>
      <c r="K7" s="211">
        <f t="shared" si="3"/>
        <v>0</v>
      </c>
      <c r="L7" s="194">
        <f t="shared" si="1"/>
        <v>169382.425796177</v>
      </c>
      <c r="M7" s="210">
        <f t="shared" si="2"/>
        <v>0.85</v>
      </c>
      <c r="N7" s="212"/>
      <c r="O7" s="212"/>
      <c r="P7" s="212"/>
    </row>
    <row r="8" s="181" customFormat="1" ht="22" customHeight="1" spans="1:16">
      <c r="A8" s="192">
        <v>5</v>
      </c>
      <c r="B8" s="193" t="str">
        <f>'01、汇总表'!B19</f>
        <v>软装工程</v>
      </c>
      <c r="C8" s="194">
        <f>'01、汇总表'!E19</f>
        <v>154481</v>
      </c>
      <c r="D8" s="194">
        <v>1</v>
      </c>
      <c r="E8" s="194">
        <f t="shared" si="0"/>
        <v>154481</v>
      </c>
      <c r="F8" s="194">
        <v>0</v>
      </c>
      <c r="G8" s="194">
        <v>0</v>
      </c>
      <c r="H8" s="194">
        <v>131308.85</v>
      </c>
      <c r="I8" s="194">
        <v>1</v>
      </c>
      <c r="J8" s="210">
        <v>0.85</v>
      </c>
      <c r="K8" s="211">
        <f t="shared" si="3"/>
        <v>0</v>
      </c>
      <c r="L8" s="194">
        <f t="shared" si="1"/>
        <v>131308.85</v>
      </c>
      <c r="M8" s="210">
        <f t="shared" si="2"/>
        <v>0.85</v>
      </c>
      <c r="N8" s="212"/>
      <c r="O8" s="212"/>
      <c r="P8" s="212"/>
    </row>
    <row r="9" s="181" customFormat="1" ht="22" customHeight="1" spans="1:16">
      <c r="A9" s="192">
        <v>6</v>
      </c>
      <c r="B9" s="193" t="str">
        <f>'01、汇总表'!B22</f>
        <v>安装工程</v>
      </c>
      <c r="C9" s="194">
        <f>'01、汇总表'!E22</f>
        <v>176347.41669925</v>
      </c>
      <c r="D9" s="194">
        <v>1</v>
      </c>
      <c r="E9" s="194">
        <f t="shared" si="0"/>
        <v>176347.41669925</v>
      </c>
      <c r="F9" s="194">
        <v>0</v>
      </c>
      <c r="G9" s="194">
        <v>0</v>
      </c>
      <c r="H9" s="194">
        <v>149895.304194362</v>
      </c>
      <c r="I9" s="194">
        <v>1</v>
      </c>
      <c r="J9" s="210">
        <v>0.85</v>
      </c>
      <c r="K9" s="211">
        <f t="shared" si="3"/>
        <v>0</v>
      </c>
      <c r="L9" s="194">
        <f t="shared" si="1"/>
        <v>149895.304194362</v>
      </c>
      <c r="M9" s="210">
        <f t="shared" si="2"/>
        <v>0.85</v>
      </c>
      <c r="N9" s="212"/>
      <c r="O9" s="212"/>
      <c r="P9" s="212"/>
    </row>
    <row r="10" s="181" customFormat="1" ht="45" customHeight="1" spans="1:16">
      <c r="A10" s="192">
        <v>7</v>
      </c>
      <c r="B10" s="193" t="s">
        <v>20</v>
      </c>
      <c r="C10" s="194">
        <v>124200</v>
      </c>
      <c r="D10" s="194">
        <v>1</v>
      </c>
      <c r="E10" s="194">
        <v>124200</v>
      </c>
      <c r="F10" s="194"/>
      <c r="G10" s="194"/>
      <c r="H10" s="194"/>
      <c r="I10" s="194">
        <v>1</v>
      </c>
      <c r="J10" s="210">
        <v>0.85</v>
      </c>
      <c r="K10" s="211">
        <f t="shared" si="3"/>
        <v>105570</v>
      </c>
      <c r="L10" s="194">
        <f t="shared" si="1"/>
        <v>105570</v>
      </c>
      <c r="M10" s="210">
        <f>L10/C10</f>
        <v>0.85</v>
      </c>
      <c r="N10" s="212"/>
      <c r="O10" s="212"/>
      <c r="P10" s="212"/>
    </row>
    <row r="11" s="181" customFormat="1" ht="22" customHeight="1" spans="1:16">
      <c r="A11" s="192">
        <v>8</v>
      </c>
      <c r="B11" s="193"/>
      <c r="C11" s="194">
        <f>SUM(C4:C10)</f>
        <v>938712.438714744</v>
      </c>
      <c r="D11" s="194"/>
      <c r="E11" s="194"/>
      <c r="F11" s="194"/>
      <c r="G11" s="194"/>
      <c r="H11" s="194"/>
      <c r="I11" s="194"/>
      <c r="J11" s="210"/>
      <c r="K11" s="211"/>
      <c r="L11" s="194"/>
      <c r="M11" s="210"/>
      <c r="N11" s="212"/>
      <c r="O11" s="212"/>
      <c r="P11" s="212"/>
    </row>
    <row r="12" s="181" customFormat="1" ht="22" customHeight="1" spans="1:16">
      <c r="A12" s="192">
        <v>9</v>
      </c>
      <c r="B12" s="195" t="s">
        <v>21</v>
      </c>
      <c r="C12" s="196"/>
      <c r="D12" s="196"/>
      <c r="E12" s="197"/>
      <c r="F12" s="194"/>
      <c r="G12" s="194"/>
      <c r="H12" s="194"/>
      <c r="I12" s="194"/>
      <c r="J12" s="210"/>
      <c r="K12" s="211"/>
      <c r="L12" s="194"/>
      <c r="M12" s="210"/>
      <c r="N12" s="212"/>
      <c r="O12" s="212"/>
      <c r="P12" s="212"/>
    </row>
    <row r="13" s="181" customFormat="1" ht="15" customHeight="1" spans="1:18">
      <c r="A13" s="192">
        <v>10</v>
      </c>
      <c r="B13" s="198" t="s">
        <v>22</v>
      </c>
      <c r="C13" s="199"/>
      <c r="D13" s="199"/>
      <c r="E13" s="200"/>
      <c r="F13" s="194">
        <v>0</v>
      </c>
      <c r="G13" s="201"/>
      <c r="H13" s="194">
        <f>SUM(H4:H12)</f>
        <v>692335.572907532</v>
      </c>
      <c r="I13" s="201"/>
      <c r="J13" s="201"/>
      <c r="K13" s="194">
        <f>SUM(K4:K12)</f>
        <v>105570</v>
      </c>
      <c r="L13" s="194">
        <f>SUM(L4:L12)</f>
        <v>797905.572907533</v>
      </c>
      <c r="M13" s="213">
        <f>L13/C11</f>
        <v>0.85</v>
      </c>
      <c r="N13" s="194"/>
      <c r="O13" s="194"/>
      <c r="P13" s="194"/>
      <c r="Q13" s="214"/>
      <c r="R13" s="214"/>
    </row>
    <row r="14" s="182" customFormat="1" ht="15" customHeight="1" spans="1:18">
      <c r="A14" s="184"/>
      <c r="L14" s="214"/>
      <c r="M14" s="214"/>
      <c r="N14" s="214"/>
      <c r="O14" s="214"/>
      <c r="P14" s="214"/>
      <c r="Q14" s="214"/>
      <c r="R14" s="214"/>
    </row>
    <row r="15" s="183" customFormat="1" ht="26.25" customHeight="1" spans="1:15">
      <c r="A15" s="202"/>
      <c r="B15" s="203"/>
      <c r="C15" s="203" t="s">
        <v>23</v>
      </c>
      <c r="D15" s="203"/>
      <c r="E15" s="203"/>
      <c r="F15" s="204"/>
      <c r="G15" s="205" t="s">
        <v>24</v>
      </c>
      <c r="H15" s="206"/>
      <c r="I15" s="205"/>
      <c r="J15" s="215"/>
      <c r="K15" s="216"/>
      <c r="L15" s="217" t="s">
        <v>25</v>
      </c>
      <c r="M15" s="218"/>
      <c r="N15" s="203"/>
      <c r="O15" s="203"/>
    </row>
  </sheetData>
  <mergeCells count="16">
    <mergeCell ref="A1:P1"/>
    <mergeCell ref="F2:H2"/>
    <mergeCell ref="I2:K2"/>
    <mergeCell ref="L2:M2"/>
    <mergeCell ref="B13:E13"/>
    <mergeCell ref="G15:I15"/>
    <mergeCell ref="J15:K15"/>
    <mergeCell ref="L15:M15"/>
    <mergeCell ref="A2:A3"/>
    <mergeCell ref="B2:B3"/>
    <mergeCell ref="C2:C3"/>
    <mergeCell ref="D2:D3"/>
    <mergeCell ref="E2:E3"/>
    <mergeCell ref="N2:N3"/>
    <mergeCell ref="O2:O3"/>
    <mergeCell ref="P2:P3"/>
  </mergeCells>
  <pageMargins left="0.75" right="0.75" top="1" bottom="1" header="0.5" footer="0.5"/>
  <pageSetup paperSize="9" scale="9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view="pageBreakPreview" zoomScaleNormal="100" workbookViewId="0">
      <selection activeCell="E6" sqref="E6"/>
    </sheetView>
  </sheetViews>
  <sheetFormatPr defaultColWidth="8.85714285714286" defaultRowHeight="12.75"/>
  <cols>
    <col min="1" max="1" width="8.85714285714286" style="4"/>
    <col min="2" max="2" width="24.4285714285714" style="171" customWidth="1"/>
    <col min="3" max="3" width="8.14285714285714" style="171" customWidth="1"/>
    <col min="4" max="4" width="17.4285714285714" style="4" customWidth="1"/>
    <col min="5" max="5" width="17.1428571428571" style="4" customWidth="1"/>
    <col min="6" max="6" width="10.2857142857143" style="4" customWidth="1"/>
    <col min="7" max="7" width="8.85714285714286" style="4"/>
    <col min="8" max="10" width="14.5714285714286" style="4"/>
    <col min="11" max="11" width="9.57142857142857" style="4"/>
    <col min="12" max="13" width="14.5714285714286" style="4"/>
    <col min="14" max="15" width="8.85714285714286" style="4"/>
    <col min="16" max="18" width="14.5714285714286" style="4"/>
    <col min="19" max="16384" width="8.85714285714286" style="4"/>
  </cols>
  <sheetData>
    <row r="1" s="170" customFormat="1" ht="48" customHeight="1" spans="1:6">
      <c r="A1" s="172" t="s">
        <v>26</v>
      </c>
      <c r="B1" s="172"/>
      <c r="C1" s="172"/>
      <c r="D1" s="172"/>
      <c r="E1" s="172"/>
      <c r="F1" s="172"/>
    </row>
    <row r="2" s="170" customFormat="1" ht="30" customHeight="1" spans="1:6">
      <c r="A2" s="173" t="s">
        <v>27</v>
      </c>
      <c r="B2" s="173" t="s">
        <v>28</v>
      </c>
      <c r="C2" s="173" t="s">
        <v>29</v>
      </c>
      <c r="D2" s="174" t="s">
        <v>30</v>
      </c>
      <c r="E2" s="174" t="s">
        <v>31</v>
      </c>
      <c r="F2" s="175" t="s">
        <v>32</v>
      </c>
    </row>
    <row r="3" s="170" customFormat="1" ht="30" customHeight="1" spans="1:12">
      <c r="A3" s="176" t="s">
        <v>33</v>
      </c>
      <c r="B3" s="176" t="s">
        <v>19</v>
      </c>
      <c r="C3" s="173"/>
      <c r="D3" s="174"/>
      <c r="E3" s="174">
        <f>SUM(E4:E6)</f>
        <v>72160.609288434</v>
      </c>
      <c r="F3" s="177"/>
      <c r="L3" s="170">
        <f>E3*0.05</f>
        <v>3608.0304644217</v>
      </c>
    </row>
    <row r="4" s="170" customFormat="1" ht="30" customHeight="1" spans="1:9">
      <c r="A4" s="178">
        <v>1.1</v>
      </c>
      <c r="B4" s="178" t="s">
        <v>34</v>
      </c>
      <c r="C4" s="178" t="s">
        <v>35</v>
      </c>
      <c r="D4" s="50">
        <f>'02、3#楼大堂及架空层装饰工程'!M6</f>
        <v>7958.82586445</v>
      </c>
      <c r="E4" s="50">
        <f>D4</f>
        <v>7958.82586445</v>
      </c>
      <c r="F4" s="9"/>
      <c r="I4" s="170">
        <f>E4*0.8</f>
        <v>6367.06069156</v>
      </c>
    </row>
    <row r="5" s="170" customFormat="1" ht="30" customHeight="1" spans="1:9">
      <c r="A5" s="178">
        <v>1.2</v>
      </c>
      <c r="B5" s="178" t="s">
        <v>36</v>
      </c>
      <c r="C5" s="178" t="s">
        <v>35</v>
      </c>
      <c r="D5" s="50">
        <f>'02、3#楼大堂及架空层装饰工程'!M9</f>
        <v>7175.38440775</v>
      </c>
      <c r="E5" s="50">
        <f>D5</f>
        <v>7175.38440775</v>
      </c>
      <c r="F5" s="9"/>
      <c r="I5" s="170">
        <f>E3/39</f>
        <v>1850.27203303677</v>
      </c>
    </row>
    <row r="6" s="170" customFormat="1" ht="30" customHeight="1" spans="1:9">
      <c r="A6" s="178">
        <v>1.3</v>
      </c>
      <c r="B6" s="178" t="s">
        <v>37</v>
      </c>
      <c r="C6" s="178" t="s">
        <v>35</v>
      </c>
      <c r="D6" s="50">
        <f>'02、3#楼大堂及架空层装饰工程'!M11</f>
        <v>57026.399016234</v>
      </c>
      <c r="E6" s="50">
        <f>D6</f>
        <v>57026.399016234</v>
      </c>
      <c r="F6" s="9"/>
      <c r="I6" s="170">
        <f>E3*0.8</f>
        <v>57728.4874307472</v>
      </c>
    </row>
    <row r="7" s="170" customFormat="1" ht="30" customHeight="1" spans="1:12">
      <c r="A7" s="39" t="s">
        <v>38</v>
      </c>
      <c r="B7" s="39" t="s">
        <v>39</v>
      </c>
      <c r="C7" s="178" t="s">
        <v>35</v>
      </c>
      <c r="D7" s="50"/>
      <c r="E7" s="174">
        <f>SUM(E8:E10)</f>
        <v>92975.0533433632</v>
      </c>
      <c r="F7" s="179"/>
      <c r="I7" s="170">
        <f>E7*0.8</f>
        <v>74380.0426746906</v>
      </c>
      <c r="L7" s="170">
        <f>E7*0.05</f>
        <v>4648.75266716816</v>
      </c>
    </row>
    <row r="8" s="170" customFormat="1" ht="30" customHeight="1" spans="1:6">
      <c r="A8" s="178">
        <v>2.1</v>
      </c>
      <c r="B8" s="178" t="s">
        <v>40</v>
      </c>
      <c r="C8" s="178" t="s">
        <v>35</v>
      </c>
      <c r="D8" s="50">
        <f>'02、3#楼大堂及架空层装饰工程'!M43</f>
        <v>20296.36992285</v>
      </c>
      <c r="E8" s="50">
        <f>D8</f>
        <v>20296.36992285</v>
      </c>
      <c r="F8" s="179"/>
    </row>
    <row r="9" s="170" customFormat="1" ht="30" customHeight="1" spans="1:6">
      <c r="A9" s="178">
        <v>2.2</v>
      </c>
      <c r="B9" s="178" t="s">
        <v>41</v>
      </c>
      <c r="C9" s="178" t="s">
        <v>35</v>
      </c>
      <c r="D9" s="50">
        <f>'02、3#楼大堂及架空层装饰工程'!M48</f>
        <v>17434.66949125</v>
      </c>
      <c r="E9" s="50">
        <f>D9</f>
        <v>17434.66949125</v>
      </c>
      <c r="F9" s="179"/>
    </row>
    <row r="10" s="170" customFormat="1" ht="30" customHeight="1" spans="1:6">
      <c r="A10" s="178">
        <v>2.3</v>
      </c>
      <c r="B10" s="178" t="s">
        <v>42</v>
      </c>
      <c r="C10" s="178" t="s">
        <v>35</v>
      </c>
      <c r="D10" s="50">
        <f>'02、3#楼大堂及架空层装饰工程'!M50</f>
        <v>55244.0139292632</v>
      </c>
      <c r="E10" s="50">
        <f>D10</f>
        <v>55244.0139292632</v>
      </c>
      <c r="F10" s="179"/>
    </row>
    <row r="11" s="170" customFormat="1" ht="30" customHeight="1" spans="1:12">
      <c r="A11" s="39" t="s">
        <v>43</v>
      </c>
      <c r="B11" s="39" t="s">
        <v>44</v>
      </c>
      <c r="C11" s="178"/>
      <c r="D11" s="50"/>
      <c r="E11" s="174">
        <f>SUM(E12:E13)</f>
        <v>119274.917270547</v>
      </c>
      <c r="F11" s="179"/>
      <c r="I11" s="170">
        <f>E11*0.8</f>
        <v>95419.9338164373</v>
      </c>
      <c r="L11" s="170">
        <f>E11*0.05</f>
        <v>5963.74586352733</v>
      </c>
    </row>
    <row r="12" s="170" customFormat="1" ht="30" customHeight="1" spans="1:6">
      <c r="A12" s="178">
        <v>3.1</v>
      </c>
      <c r="B12" s="178" t="s">
        <v>45</v>
      </c>
      <c r="C12" s="178" t="s">
        <v>35</v>
      </c>
      <c r="D12" s="50">
        <f>'03、3#楼大堂及架空层门头装饰工程'!M6</f>
        <v>55483.4430809068</v>
      </c>
      <c r="E12" s="50">
        <f>D12</f>
        <v>55483.4430809068</v>
      </c>
      <c r="F12" s="179"/>
    </row>
    <row r="13" s="170" customFormat="1" ht="30" customHeight="1" spans="1:6">
      <c r="A13" s="178">
        <v>3.2</v>
      </c>
      <c r="B13" s="178" t="s">
        <v>46</v>
      </c>
      <c r="C13" s="178" t="s">
        <v>35</v>
      </c>
      <c r="D13" s="50">
        <f>'03、3#楼大堂及架空层门头装饰工程'!M13</f>
        <v>63791.4741896398</v>
      </c>
      <c r="E13" s="50">
        <f>D13</f>
        <v>63791.4741896398</v>
      </c>
      <c r="F13" s="179"/>
    </row>
    <row r="14" s="170" customFormat="1" ht="30" customHeight="1" spans="1:12">
      <c r="A14" s="39" t="s">
        <v>47</v>
      </c>
      <c r="B14" s="39" t="s">
        <v>48</v>
      </c>
      <c r="C14" s="178"/>
      <c r="D14" s="50"/>
      <c r="E14" s="174">
        <f>SUM(E15:E18)</f>
        <v>199273.44211315</v>
      </c>
      <c r="F14" s="179"/>
      <c r="J14" s="170">
        <f>E14*0.8</f>
        <v>159418.75369052</v>
      </c>
      <c r="L14" s="170">
        <f>E14*0.05</f>
        <v>9963.67210565748</v>
      </c>
    </row>
    <row r="15" s="170" customFormat="1" ht="30" customHeight="1" spans="1:8">
      <c r="A15" s="178">
        <v>4.1</v>
      </c>
      <c r="B15" s="178" t="s">
        <v>49</v>
      </c>
      <c r="C15" s="178" t="s">
        <v>35</v>
      </c>
      <c r="D15" s="50">
        <f>'04、样板间装饰工程'!M6</f>
        <v>25291.8747865</v>
      </c>
      <c r="E15" s="50">
        <f>D15</f>
        <v>25291.8747865</v>
      </c>
      <c r="F15" s="179"/>
      <c r="H15" s="170">
        <f>E14+E21+E23</f>
        <v>467917.98658515</v>
      </c>
    </row>
    <row r="16" s="170" customFormat="1" ht="30" customHeight="1" spans="1:10">
      <c r="A16" s="178">
        <v>4.2</v>
      </c>
      <c r="B16" s="178" t="s">
        <v>50</v>
      </c>
      <c r="C16" s="178" t="s">
        <v>35</v>
      </c>
      <c r="D16" s="50">
        <f>'04、样板间装饰工程'!M14</f>
        <v>19928.62956728</v>
      </c>
      <c r="E16" s="50">
        <f>D16</f>
        <v>19928.62956728</v>
      </c>
      <c r="F16" s="179"/>
      <c r="H16" s="170">
        <f>H15-16000</f>
        <v>451917.98658515</v>
      </c>
      <c r="J16" s="170">
        <f>H15/110</f>
        <v>4253.79987804682</v>
      </c>
    </row>
    <row r="17" s="170" customFormat="1" ht="30" customHeight="1" spans="1:10">
      <c r="A17" s="178">
        <v>4.3</v>
      </c>
      <c r="B17" s="178" t="s">
        <v>51</v>
      </c>
      <c r="C17" s="178" t="s">
        <v>35</v>
      </c>
      <c r="D17" s="50">
        <f>'04、样板间装饰工程'!M23</f>
        <v>121032.8008447</v>
      </c>
      <c r="E17" s="50">
        <f>D17</f>
        <v>121032.8008447</v>
      </c>
      <c r="F17" s="179"/>
      <c r="J17" s="170">
        <f>H17/110</f>
        <v>0</v>
      </c>
    </row>
    <row r="18" s="170" customFormat="1" ht="30" customHeight="1" spans="1:6">
      <c r="A18" s="178">
        <v>4.4</v>
      </c>
      <c r="B18" s="178" t="s">
        <v>52</v>
      </c>
      <c r="C18" s="178" t="s">
        <v>35</v>
      </c>
      <c r="D18" s="50">
        <f>'04、样板间装饰工程'!M80</f>
        <v>33020.1369146696</v>
      </c>
      <c r="E18" s="50">
        <f>D18</f>
        <v>33020.1369146696</v>
      </c>
      <c r="F18" s="179"/>
    </row>
    <row r="19" s="170" customFormat="1" ht="30" customHeight="1" spans="1:12">
      <c r="A19" s="39" t="s">
        <v>53</v>
      </c>
      <c r="B19" s="39" t="s">
        <v>54</v>
      </c>
      <c r="C19" s="178"/>
      <c r="D19" s="50"/>
      <c r="E19" s="174">
        <f>SUM(E20:E21)</f>
        <v>154481</v>
      </c>
      <c r="F19" s="179"/>
      <c r="I19" s="170">
        <f>E19*0.3</f>
        <v>46344.3</v>
      </c>
      <c r="K19" s="170">
        <f>E19*0.3</f>
        <v>46344.3</v>
      </c>
      <c r="L19" s="170">
        <f>E19*0.37</f>
        <v>57157.97</v>
      </c>
    </row>
    <row r="20" s="170" customFormat="1" ht="30" customHeight="1" spans="1:6">
      <c r="A20" s="178">
        <v>5.1</v>
      </c>
      <c r="B20" s="178" t="s">
        <v>55</v>
      </c>
      <c r="C20" s="178" t="s">
        <v>35</v>
      </c>
      <c r="D20" s="50"/>
      <c r="E20" s="50">
        <f>'05-1、3#楼架空层软装清单'!J22</f>
        <v>44922</v>
      </c>
      <c r="F20" s="179"/>
    </row>
    <row r="21" s="170" customFormat="1" ht="30" customHeight="1" spans="1:16">
      <c r="A21" s="178">
        <v>5.2</v>
      </c>
      <c r="B21" s="178" t="s">
        <v>56</v>
      </c>
      <c r="C21" s="178" t="s">
        <v>35</v>
      </c>
      <c r="D21" s="50"/>
      <c r="E21" s="50">
        <f>'05-2、3#楼室内样板间软装清单'!J49</f>
        <v>109559</v>
      </c>
      <c r="F21" s="179"/>
      <c r="P21" s="170">
        <v>710873.3</v>
      </c>
    </row>
    <row r="22" s="170" customFormat="1" ht="30" customHeight="1" spans="1:13">
      <c r="A22" s="39" t="s">
        <v>57</v>
      </c>
      <c r="B22" s="39" t="s">
        <v>58</v>
      </c>
      <c r="C22" s="178" t="s">
        <v>35</v>
      </c>
      <c r="D22" s="50"/>
      <c r="E22" s="174">
        <f>SUM(E23:E25)</f>
        <v>176347.41669925</v>
      </c>
      <c r="F22" s="179"/>
      <c r="M22" s="170">
        <f>E22*0.05</f>
        <v>8817.37083496251</v>
      </c>
    </row>
    <row r="23" s="170" customFormat="1" ht="30" customHeight="1" spans="1:13">
      <c r="A23" s="178">
        <v>6.1</v>
      </c>
      <c r="B23" s="178" t="s">
        <v>59</v>
      </c>
      <c r="C23" s="178" t="s">
        <v>35</v>
      </c>
      <c r="D23" s="50">
        <f>'06、安装工程'!N6</f>
        <v>159085.544472</v>
      </c>
      <c r="E23" s="50">
        <f>D23</f>
        <v>159085.544472</v>
      </c>
      <c r="F23" s="179"/>
      <c r="H23" s="170">
        <f>E23+E21+E14</f>
        <v>467917.98658515</v>
      </c>
      <c r="J23" s="170">
        <f>E23*0.8</f>
        <v>127268.4355776</v>
      </c>
      <c r="M23" s="170">
        <f>M22+L19+L14+L11+L7+L3</f>
        <v>90159.5419357372</v>
      </c>
    </row>
    <row r="24" s="170" customFormat="1" ht="30" customHeight="1" spans="1:18">
      <c r="A24" s="178">
        <v>6.2</v>
      </c>
      <c r="B24" s="178" t="s">
        <v>60</v>
      </c>
      <c r="C24" s="178" t="s">
        <v>35</v>
      </c>
      <c r="D24" s="50">
        <f>'06、安装工程'!N71</f>
        <v>4390.9265155</v>
      </c>
      <c r="E24" s="50">
        <f>D24</f>
        <v>4390.9265155</v>
      </c>
      <c r="F24" s="179"/>
      <c r="J24" s="170">
        <f>E24*0.8</f>
        <v>3512.7412124</v>
      </c>
      <c r="P24" s="170">
        <f>E26*0.97</f>
        <v>790077.065553301</v>
      </c>
      <c r="R24" s="170">
        <f>P24-P21</f>
        <v>79203.7655533011</v>
      </c>
    </row>
    <row r="25" s="170" customFormat="1" ht="30" customHeight="1" spans="1:13">
      <c r="A25" s="178">
        <v>6.3</v>
      </c>
      <c r="B25" s="178" t="s">
        <v>39</v>
      </c>
      <c r="C25" s="178" t="s">
        <v>35</v>
      </c>
      <c r="D25" s="50">
        <f>'06、安装工程'!N81</f>
        <v>12870.94571175</v>
      </c>
      <c r="E25" s="50">
        <f>D25</f>
        <v>12870.94571175</v>
      </c>
      <c r="F25" s="179"/>
      <c r="J25" s="170">
        <f>E25*0.8</f>
        <v>10296.7565694</v>
      </c>
      <c r="M25" s="170">
        <f>J25+J24+J14+I11+I7+I6</f>
        <v>400756.715394195</v>
      </c>
    </row>
    <row r="26" s="170" customFormat="1" ht="30" customHeight="1" spans="1:17">
      <c r="A26" s="39" t="s">
        <v>31</v>
      </c>
      <c r="B26" s="39"/>
      <c r="C26" s="39"/>
      <c r="D26" s="39"/>
      <c r="E26" s="180">
        <f>E22+E7+E3+E11+E14+E19</f>
        <v>814512.438714743</v>
      </c>
      <c r="F26" s="9"/>
      <c r="Q26" s="170">
        <f>E26-P24</f>
        <v>24435.3731614423</v>
      </c>
    </row>
    <row r="27" spans="8:8">
      <c r="H27" s="4">
        <f>E26*0.85</f>
        <v>692335.572907532</v>
      </c>
    </row>
  </sheetData>
  <mergeCells count="2">
    <mergeCell ref="A1:F1"/>
    <mergeCell ref="A26:B26"/>
  </mergeCells>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4"/>
  <sheetViews>
    <sheetView view="pageBreakPreview" zoomScaleNormal="100" workbookViewId="0">
      <pane ySplit="5" topLeftCell="A18" activePane="bottomLeft" state="frozen"/>
      <selection/>
      <selection pane="bottomLeft" activeCell="D26" sqref="D26"/>
    </sheetView>
  </sheetViews>
  <sheetFormatPr defaultColWidth="9" defaultRowHeight="11.25"/>
  <cols>
    <col min="1" max="1" width="5.28571428571429" style="156" customWidth="1"/>
    <col min="2" max="2" width="9.43809523809524" style="156" customWidth="1"/>
    <col min="3" max="3" width="31.1333333333333" style="156" customWidth="1"/>
    <col min="4" max="4" width="6.42857142857143" style="156" customWidth="1"/>
    <col min="5" max="5" width="9.16190476190476" style="163" customWidth="1"/>
    <col min="6" max="6" width="7.28571428571429" style="156" customWidth="1"/>
    <col min="7" max="7" width="11.0857142857143" style="156" customWidth="1"/>
    <col min="8" max="8" width="7.37142857142857" style="156" customWidth="1"/>
    <col min="9" max="9" width="5.85714285714286" style="156" customWidth="1"/>
    <col min="10" max="10" width="8.69523809523809" style="156" customWidth="1"/>
    <col min="11" max="11" width="8.57142857142857" style="156" customWidth="1"/>
    <col min="12" max="12" width="8.14285714285714" style="156" customWidth="1"/>
    <col min="13" max="13" width="10.1142857142857" style="156" customWidth="1"/>
    <col min="14" max="14" width="11.1714285714286" style="156" customWidth="1"/>
    <col min="15" max="15" width="8.57142857142857" style="156" customWidth="1"/>
    <col min="16" max="16" width="12.2857142857143" style="158" customWidth="1"/>
    <col min="17" max="18" width="11" style="156"/>
    <col min="19" max="16384" width="9" style="156"/>
  </cols>
  <sheetData>
    <row r="1" s="155" customFormat="1" ht="25.5" spans="1:20">
      <c r="A1" s="28" t="s">
        <v>61</v>
      </c>
      <c r="B1" s="28"/>
      <c r="C1" s="28"/>
      <c r="D1" s="28"/>
      <c r="E1" s="56"/>
      <c r="F1" s="28"/>
      <c r="G1" s="28"/>
      <c r="H1" s="28"/>
      <c r="I1" s="28"/>
      <c r="J1" s="28"/>
      <c r="K1" s="28"/>
      <c r="L1" s="28"/>
      <c r="M1" s="28"/>
      <c r="N1" s="28"/>
      <c r="O1" s="28"/>
      <c r="P1" s="27"/>
      <c r="Q1" s="19"/>
      <c r="R1" s="19"/>
      <c r="S1" s="19"/>
      <c r="T1" s="19"/>
    </row>
    <row r="2" s="155" customFormat="1" spans="1:20">
      <c r="A2" s="29" t="s">
        <v>62</v>
      </c>
      <c r="B2" s="29"/>
      <c r="C2" s="29"/>
      <c r="D2" s="29"/>
      <c r="E2" s="164"/>
      <c r="F2" s="29"/>
      <c r="G2" s="29"/>
      <c r="H2" s="29"/>
      <c r="I2" s="29"/>
      <c r="J2" s="29"/>
      <c r="K2" s="29"/>
      <c r="L2" s="29"/>
      <c r="M2" s="29"/>
      <c r="N2" s="29"/>
      <c r="O2" s="29"/>
      <c r="P2" s="27"/>
      <c r="Q2" s="19"/>
      <c r="R2" s="19"/>
      <c r="S2" s="19"/>
      <c r="T2" s="19"/>
    </row>
    <row r="3" s="155" customFormat="1" spans="1:20">
      <c r="A3" s="32" t="s">
        <v>1</v>
      </c>
      <c r="B3" s="32" t="s">
        <v>63</v>
      </c>
      <c r="C3" s="32" t="s">
        <v>64</v>
      </c>
      <c r="D3" s="32" t="s">
        <v>29</v>
      </c>
      <c r="E3" s="143" t="s">
        <v>65</v>
      </c>
      <c r="F3" s="32" t="s">
        <v>66</v>
      </c>
      <c r="G3" s="32"/>
      <c r="H3" s="32"/>
      <c r="I3" s="32"/>
      <c r="J3" s="32"/>
      <c r="K3" s="32"/>
      <c r="L3" s="32"/>
      <c r="M3" s="32" t="s">
        <v>67</v>
      </c>
      <c r="N3" s="32" t="s">
        <v>68</v>
      </c>
      <c r="O3" s="32" t="s">
        <v>69</v>
      </c>
      <c r="P3" s="27"/>
      <c r="Q3" s="19"/>
      <c r="R3" s="19"/>
      <c r="S3" s="19"/>
      <c r="T3" s="19"/>
    </row>
    <row r="4" s="155" customFormat="1" ht="45" spans="1:20">
      <c r="A4" s="32"/>
      <c r="B4" s="32"/>
      <c r="C4" s="32"/>
      <c r="D4" s="32"/>
      <c r="E4" s="143"/>
      <c r="F4" s="32" t="s">
        <v>70</v>
      </c>
      <c r="G4" s="32" t="s">
        <v>71</v>
      </c>
      <c r="H4" s="32" t="s">
        <v>72</v>
      </c>
      <c r="I4" s="32" t="s">
        <v>73</v>
      </c>
      <c r="J4" s="32" t="s">
        <v>74</v>
      </c>
      <c r="K4" s="32" t="s">
        <v>75</v>
      </c>
      <c r="L4" s="32" t="s">
        <v>76</v>
      </c>
      <c r="M4" s="32"/>
      <c r="N4" s="32"/>
      <c r="O4" s="32"/>
      <c r="P4" s="27"/>
      <c r="Q4" s="19"/>
      <c r="R4" s="19"/>
      <c r="S4" s="19"/>
      <c r="T4" s="19"/>
    </row>
    <row r="5" s="155" customFormat="1" spans="1:20">
      <c r="A5" s="32"/>
      <c r="B5" s="32"/>
      <c r="C5" s="32"/>
      <c r="D5" s="32"/>
      <c r="E5" s="143"/>
      <c r="F5" s="32"/>
      <c r="G5" s="32" t="s">
        <v>77</v>
      </c>
      <c r="H5" s="32" t="s">
        <v>78</v>
      </c>
      <c r="I5" s="32" t="s">
        <v>79</v>
      </c>
      <c r="J5" s="32"/>
      <c r="K5" s="59">
        <v>0.09</v>
      </c>
      <c r="L5" s="59">
        <v>0.09</v>
      </c>
      <c r="M5" s="32"/>
      <c r="N5" s="32"/>
      <c r="O5" s="32"/>
      <c r="P5" s="27"/>
      <c r="Q5" s="19"/>
      <c r="R5" s="19"/>
      <c r="S5" s="19"/>
      <c r="T5" s="19"/>
    </row>
    <row r="6" s="155" customFormat="1" ht="22.5" spans="1:20">
      <c r="A6" s="32">
        <v>1</v>
      </c>
      <c r="B6" s="32" t="s">
        <v>80</v>
      </c>
      <c r="C6" s="32"/>
      <c r="D6" s="32"/>
      <c r="E6" s="143"/>
      <c r="F6" s="139"/>
      <c r="G6" s="138"/>
      <c r="H6" s="139"/>
      <c r="I6" s="162"/>
      <c r="J6" s="138"/>
      <c r="K6" s="138"/>
      <c r="L6" s="138"/>
      <c r="M6" s="138">
        <f>SUM(N7:N8)</f>
        <v>7958.82586445</v>
      </c>
      <c r="N6" s="138"/>
      <c r="O6" s="143"/>
      <c r="P6" s="27"/>
      <c r="Q6" s="19"/>
      <c r="R6" s="19"/>
      <c r="S6" s="19"/>
      <c r="T6" s="19"/>
    </row>
    <row r="7" s="155" customFormat="1" ht="74" customHeight="1" spans="1:20">
      <c r="A7" s="32">
        <v>2</v>
      </c>
      <c r="B7" s="32" t="s">
        <v>81</v>
      </c>
      <c r="C7" s="32" t="s">
        <v>82</v>
      </c>
      <c r="D7" s="32" t="s">
        <v>83</v>
      </c>
      <c r="E7" s="138">
        <v>37.817</v>
      </c>
      <c r="F7" s="139">
        <v>55</v>
      </c>
      <c r="G7" s="138">
        <f>(1+I7)*H7</f>
        <v>66</v>
      </c>
      <c r="H7" s="139">
        <v>60</v>
      </c>
      <c r="I7" s="59">
        <v>0.1</v>
      </c>
      <c r="J7" s="138">
        <v>45</v>
      </c>
      <c r="K7" s="138">
        <f>(F7+G7+J7)*$K$5</f>
        <v>14.94</v>
      </c>
      <c r="L7" s="138">
        <f>(F7+G7+J7+K7)*$L$5</f>
        <v>16.2846</v>
      </c>
      <c r="M7" s="138">
        <f t="shared" ref="M7:M10" si="0">F7+G7+J7+K7+L7</f>
        <v>197.2246</v>
      </c>
      <c r="N7" s="138">
        <f t="shared" ref="N7:N10" si="1">E7*M7</f>
        <v>7458.4426982</v>
      </c>
      <c r="O7" s="143" t="s">
        <v>84</v>
      </c>
      <c r="P7" s="27"/>
      <c r="Q7" s="19"/>
      <c r="R7" s="19"/>
      <c r="S7" s="19"/>
      <c r="T7" s="19"/>
    </row>
    <row r="8" s="155" customFormat="1" ht="79" customHeight="1" spans="1:20">
      <c r="A8" s="32">
        <v>3</v>
      </c>
      <c r="B8" s="32" t="s">
        <v>85</v>
      </c>
      <c r="C8" s="32" t="s">
        <v>86</v>
      </c>
      <c r="D8" s="32" t="s">
        <v>83</v>
      </c>
      <c r="E8" s="138">
        <f>0.25*1.1*3</f>
        <v>0.825</v>
      </c>
      <c r="F8" s="139">
        <v>118</v>
      </c>
      <c r="G8" s="138">
        <f t="shared" ref="G7:G10" si="2">H8*(1+I8)</f>
        <v>367.5</v>
      </c>
      <c r="H8" s="139">
        <v>350</v>
      </c>
      <c r="I8" s="59">
        <v>0.05</v>
      </c>
      <c r="J8" s="138">
        <v>25</v>
      </c>
      <c r="K8" s="138">
        <f>(F8+G8+J8)*$K$5</f>
        <v>45.945</v>
      </c>
      <c r="L8" s="138">
        <f>(F8+G8+J8+K8)*$L$5</f>
        <v>50.08005</v>
      </c>
      <c r="M8" s="138">
        <f t="shared" si="0"/>
        <v>606.52505</v>
      </c>
      <c r="N8" s="138">
        <f t="shared" si="1"/>
        <v>500.38316625</v>
      </c>
      <c r="O8" s="143"/>
      <c r="P8" s="27"/>
      <c r="Q8" s="19"/>
      <c r="R8" s="19"/>
      <c r="S8" s="19"/>
      <c r="T8" s="19"/>
    </row>
    <row r="9" s="155" customFormat="1" spans="1:20">
      <c r="A9" s="32"/>
      <c r="B9" s="32" t="s">
        <v>87</v>
      </c>
      <c r="C9" s="32"/>
      <c r="D9" s="32"/>
      <c r="E9" s="143"/>
      <c r="F9" s="139"/>
      <c r="G9" s="138"/>
      <c r="H9" s="139"/>
      <c r="I9" s="162"/>
      <c r="J9" s="138"/>
      <c r="K9" s="138"/>
      <c r="L9" s="138"/>
      <c r="M9" s="138">
        <f>SUM(N10:N10)</f>
        <v>7175.38440775</v>
      </c>
      <c r="N9" s="138"/>
      <c r="O9" s="143"/>
      <c r="P9" s="27"/>
      <c r="Q9" s="19"/>
      <c r="R9" s="19"/>
      <c r="S9" s="19"/>
      <c r="T9" s="19"/>
    </row>
    <row r="10" s="155" customFormat="1" ht="168" customHeight="1" spans="1:20">
      <c r="A10" s="32">
        <v>4</v>
      </c>
      <c r="B10" s="32" t="s">
        <v>88</v>
      </c>
      <c r="C10" s="32" t="s">
        <v>89</v>
      </c>
      <c r="D10" s="32" t="s">
        <v>83</v>
      </c>
      <c r="E10" s="138">
        <v>37.57</v>
      </c>
      <c r="F10" s="139">
        <v>58</v>
      </c>
      <c r="G10" s="138">
        <f t="shared" si="2"/>
        <v>57.75</v>
      </c>
      <c r="H10" s="139">
        <v>55</v>
      </c>
      <c r="I10" s="59">
        <v>0.05</v>
      </c>
      <c r="J10" s="138">
        <v>45</v>
      </c>
      <c r="K10" s="138">
        <f>(F10+G10+J10)*$K$5</f>
        <v>14.4675</v>
      </c>
      <c r="L10" s="138">
        <f>(F10+G10+J10+K10)*$L$5</f>
        <v>15.769575</v>
      </c>
      <c r="M10" s="138">
        <f t="shared" si="0"/>
        <v>190.987075</v>
      </c>
      <c r="N10" s="138">
        <f t="shared" si="1"/>
        <v>7175.38440775</v>
      </c>
      <c r="O10" s="143"/>
      <c r="P10" s="27"/>
      <c r="Q10" s="19"/>
      <c r="R10" s="19"/>
      <c r="S10" s="19"/>
      <c r="T10" s="19"/>
    </row>
    <row r="11" s="155" customFormat="1" spans="1:20">
      <c r="A11" s="32"/>
      <c r="B11" s="32" t="s">
        <v>90</v>
      </c>
      <c r="C11" s="32"/>
      <c r="D11" s="32"/>
      <c r="E11" s="143"/>
      <c r="F11" s="139"/>
      <c r="G11" s="138"/>
      <c r="H11" s="139"/>
      <c r="I11" s="162"/>
      <c r="J11" s="138"/>
      <c r="K11" s="138"/>
      <c r="L11" s="138"/>
      <c r="M11" s="138">
        <f>SUM(N13:N42)</f>
        <v>57026.399016234</v>
      </c>
      <c r="N11" s="138"/>
      <c r="O11" s="143"/>
      <c r="P11" s="27"/>
      <c r="Q11" s="19"/>
      <c r="R11" s="19"/>
      <c r="S11" s="19"/>
      <c r="T11" s="19"/>
    </row>
    <row r="12" s="155" customFormat="1" ht="22.5" spans="1:20">
      <c r="A12" s="32"/>
      <c r="B12" s="32" t="s">
        <v>91</v>
      </c>
      <c r="C12" s="32"/>
      <c r="D12" s="32"/>
      <c r="E12" s="143"/>
      <c r="F12" s="139"/>
      <c r="G12" s="138"/>
      <c r="H12" s="139"/>
      <c r="I12" s="162"/>
      <c r="J12" s="138"/>
      <c r="K12" s="138"/>
      <c r="L12" s="138"/>
      <c r="M12" s="138"/>
      <c r="N12" s="138"/>
      <c r="O12" s="143"/>
      <c r="P12" s="27"/>
      <c r="Q12" s="19"/>
      <c r="R12" s="19"/>
      <c r="S12" s="19"/>
      <c r="T12" s="19"/>
    </row>
    <row r="13" s="155" customFormat="1" ht="78" customHeight="1" spans="1:20">
      <c r="A13" s="32">
        <v>5</v>
      </c>
      <c r="B13" s="32" t="s">
        <v>92</v>
      </c>
      <c r="C13" s="32" t="s">
        <v>93</v>
      </c>
      <c r="D13" s="32" t="s">
        <v>83</v>
      </c>
      <c r="E13" s="143">
        <f>3.35*4.1</f>
        <v>13.735</v>
      </c>
      <c r="F13" s="139">
        <v>80</v>
      </c>
      <c r="G13" s="138">
        <f>H13*(1+I13)</f>
        <v>714</v>
      </c>
      <c r="H13" s="139">
        <v>680</v>
      </c>
      <c r="I13" s="59">
        <v>0.05</v>
      </c>
      <c r="J13" s="138">
        <v>95</v>
      </c>
      <c r="K13" s="138">
        <f>(F13+G13+J13)*$K$5</f>
        <v>80.01</v>
      </c>
      <c r="L13" s="138">
        <f>(F13+G13+J13+K13)*$L$5</f>
        <v>87.2109</v>
      </c>
      <c r="M13" s="138">
        <f t="shared" ref="M13:M18" si="3">F13+G13+J13+K13+L13</f>
        <v>1056.2209</v>
      </c>
      <c r="N13" s="138">
        <f t="shared" ref="N13:N18" si="4">E13*M13</f>
        <v>14507.1940615</v>
      </c>
      <c r="O13" s="143" t="s">
        <v>94</v>
      </c>
      <c r="P13" s="27"/>
      <c r="Q13" s="19"/>
      <c r="R13" s="19"/>
      <c r="S13" s="19"/>
      <c r="T13" s="19"/>
    </row>
    <row r="14" s="155" customFormat="1" ht="22.5" spans="1:20">
      <c r="A14" s="32"/>
      <c r="B14" s="32" t="s">
        <v>95</v>
      </c>
      <c r="C14" s="32"/>
      <c r="D14" s="32"/>
      <c r="E14" s="143"/>
      <c r="F14" s="139"/>
      <c r="G14" s="138"/>
      <c r="H14" s="139"/>
      <c r="I14" s="162"/>
      <c r="J14" s="138"/>
      <c r="K14" s="138"/>
      <c r="L14" s="138"/>
      <c r="M14" s="138"/>
      <c r="N14" s="138"/>
      <c r="O14" s="143"/>
      <c r="P14" s="27"/>
      <c r="Q14" s="19"/>
      <c r="R14" s="19"/>
      <c r="S14" s="19"/>
      <c r="T14" s="19"/>
    </row>
    <row r="15" s="155" customFormat="1" ht="75" customHeight="1" spans="1:20">
      <c r="A15" s="32">
        <v>6</v>
      </c>
      <c r="B15" s="32" t="s">
        <v>96</v>
      </c>
      <c r="C15" s="32" t="s">
        <v>97</v>
      </c>
      <c r="D15" s="32" t="s">
        <v>83</v>
      </c>
      <c r="E15" s="143">
        <f>(2.4)*4.1</f>
        <v>9.84</v>
      </c>
      <c r="F15" s="139">
        <v>175</v>
      </c>
      <c r="G15" s="138">
        <f t="shared" ref="G13:G18" si="5">H15*(1+I15)</f>
        <v>308</v>
      </c>
      <c r="H15" s="139">
        <v>280</v>
      </c>
      <c r="I15" s="59">
        <v>0.1</v>
      </c>
      <c r="J15" s="138">
        <v>80</v>
      </c>
      <c r="K15" s="138">
        <f>(F15+G15+J15)*$K$5</f>
        <v>50.67</v>
      </c>
      <c r="L15" s="138">
        <f>(F15+G15+J15+K15)*$L$5</f>
        <v>55.2303</v>
      </c>
      <c r="M15" s="138">
        <f t="shared" si="3"/>
        <v>668.9003</v>
      </c>
      <c r="N15" s="138">
        <f t="shared" si="4"/>
        <v>6581.978952</v>
      </c>
      <c r="O15" s="143"/>
      <c r="P15" s="27"/>
      <c r="Q15" s="19"/>
      <c r="R15" s="19"/>
      <c r="S15" s="19"/>
      <c r="T15" s="19"/>
    </row>
    <row r="16" s="155" customFormat="1" ht="74" customHeight="1" spans="1:20">
      <c r="A16" s="32">
        <v>7</v>
      </c>
      <c r="B16" s="32" t="s">
        <v>96</v>
      </c>
      <c r="C16" s="32" t="s">
        <v>98</v>
      </c>
      <c r="D16" s="32" t="s">
        <v>83</v>
      </c>
      <c r="E16" s="143">
        <f>0.88*4.1+0.5*1.85+0.88*2.22</f>
        <v>6.4866</v>
      </c>
      <c r="F16" s="139">
        <v>175</v>
      </c>
      <c r="G16" s="138">
        <f t="shared" si="5"/>
        <v>308</v>
      </c>
      <c r="H16" s="139">
        <v>280</v>
      </c>
      <c r="I16" s="59">
        <v>0.1</v>
      </c>
      <c r="J16" s="138">
        <v>80</v>
      </c>
      <c r="K16" s="138">
        <f>(F16+G16+J16)*$K$5</f>
        <v>50.67</v>
      </c>
      <c r="L16" s="138">
        <f>(F16+G16+J16+K16)*$L$5</f>
        <v>55.2303</v>
      </c>
      <c r="M16" s="138">
        <f t="shared" si="3"/>
        <v>668.9003</v>
      </c>
      <c r="N16" s="138">
        <f t="shared" si="4"/>
        <v>4338.88868598</v>
      </c>
      <c r="O16" s="143" t="s">
        <v>84</v>
      </c>
      <c r="P16" s="27"/>
      <c r="Q16" s="19"/>
      <c r="R16" s="19"/>
      <c r="S16" s="19"/>
      <c r="T16" s="19"/>
    </row>
    <row r="17" s="155" customFormat="1" ht="51" customHeight="1" spans="1:20">
      <c r="A17" s="32">
        <v>8</v>
      </c>
      <c r="B17" s="32" t="s">
        <v>99</v>
      </c>
      <c r="C17" s="32" t="s">
        <v>100</v>
      </c>
      <c r="D17" s="32" t="s">
        <v>101</v>
      </c>
      <c r="E17" s="143">
        <f>4.1*2+2.4*2</f>
        <v>13</v>
      </c>
      <c r="F17" s="139">
        <v>18</v>
      </c>
      <c r="G17" s="138">
        <f t="shared" si="5"/>
        <v>25.75</v>
      </c>
      <c r="H17" s="139">
        <v>25</v>
      </c>
      <c r="I17" s="59">
        <v>0.03</v>
      </c>
      <c r="J17" s="138">
        <v>8</v>
      </c>
      <c r="K17" s="138">
        <f>(F17+G17+J17)*$K$5</f>
        <v>4.6575</v>
      </c>
      <c r="L17" s="138">
        <f>(F17+G17+J17+K17)*$L$5</f>
        <v>5.076675</v>
      </c>
      <c r="M17" s="138">
        <f t="shared" si="3"/>
        <v>61.484175</v>
      </c>
      <c r="N17" s="138">
        <f t="shared" si="4"/>
        <v>799.294275</v>
      </c>
      <c r="O17" s="143"/>
      <c r="P17" s="27"/>
      <c r="Q17" s="19"/>
      <c r="R17" s="19"/>
      <c r="S17" s="19"/>
      <c r="T17" s="19"/>
    </row>
    <row r="18" s="155" customFormat="1" ht="66" customHeight="1" spans="1:20">
      <c r="A18" s="32">
        <v>9</v>
      </c>
      <c r="B18" s="32" t="s">
        <v>102</v>
      </c>
      <c r="C18" s="32" t="s">
        <v>103</v>
      </c>
      <c r="D18" s="32" t="s">
        <v>101</v>
      </c>
      <c r="E18" s="143">
        <f>0.05+0.88+0.88</f>
        <v>1.81</v>
      </c>
      <c r="F18" s="139">
        <v>18</v>
      </c>
      <c r="G18" s="138">
        <f t="shared" si="5"/>
        <v>25.75</v>
      </c>
      <c r="H18" s="139">
        <v>25</v>
      </c>
      <c r="I18" s="59">
        <v>0.03</v>
      </c>
      <c r="J18" s="138">
        <v>8</v>
      </c>
      <c r="K18" s="138">
        <f>(F18+G18+J18)*$K$5</f>
        <v>4.6575</v>
      </c>
      <c r="L18" s="138">
        <f>(F18+G18+J18+K18)*$L$5</f>
        <v>5.076675</v>
      </c>
      <c r="M18" s="138">
        <f t="shared" si="3"/>
        <v>61.484175</v>
      </c>
      <c r="N18" s="138">
        <f t="shared" si="4"/>
        <v>111.28635675</v>
      </c>
      <c r="O18" s="143"/>
      <c r="P18" s="27"/>
      <c r="Q18" s="19"/>
      <c r="R18" s="19"/>
      <c r="S18" s="19"/>
      <c r="T18" s="19"/>
    </row>
    <row r="19" s="155" customFormat="1" ht="22.5" spans="1:20">
      <c r="A19" s="32"/>
      <c r="B19" s="32" t="s">
        <v>104</v>
      </c>
      <c r="C19" s="32"/>
      <c r="D19" s="32"/>
      <c r="E19" s="143"/>
      <c r="F19" s="139"/>
      <c r="G19" s="138"/>
      <c r="H19" s="139"/>
      <c r="I19" s="162"/>
      <c r="J19" s="138"/>
      <c r="K19" s="138"/>
      <c r="L19" s="138"/>
      <c r="M19" s="138"/>
      <c r="N19" s="138"/>
      <c r="O19" s="143"/>
      <c r="P19" s="27"/>
      <c r="Q19" s="19"/>
      <c r="R19" s="19"/>
      <c r="S19" s="19"/>
      <c r="T19" s="19"/>
    </row>
    <row r="20" s="155" customFormat="1" ht="66" customHeight="1" spans="1:20">
      <c r="A20" s="32">
        <v>10</v>
      </c>
      <c r="B20" s="32" t="s">
        <v>105</v>
      </c>
      <c r="C20" s="32" t="s">
        <v>106</v>
      </c>
      <c r="D20" s="32" t="s">
        <v>83</v>
      </c>
      <c r="E20" s="143">
        <f>4.1*3.17+0.15*0.37</f>
        <v>13.0525</v>
      </c>
      <c r="F20" s="139">
        <v>100</v>
      </c>
      <c r="G20" s="138">
        <f>H20*(1+I20)</f>
        <v>66</v>
      </c>
      <c r="H20" s="139">
        <v>60</v>
      </c>
      <c r="I20" s="59">
        <v>0.1</v>
      </c>
      <c r="J20" s="138">
        <v>80</v>
      </c>
      <c r="K20" s="138">
        <f>(F20+G20+J20)*$K$5</f>
        <v>22.14</v>
      </c>
      <c r="L20" s="138">
        <f>(F20+G20+J20+K20)*$L$5</f>
        <v>24.1326</v>
      </c>
      <c r="M20" s="138">
        <f t="shared" ref="M20:M26" si="6">F20+G20+J20+K20+L20</f>
        <v>292.2726</v>
      </c>
      <c r="N20" s="138">
        <f t="shared" ref="N20:N26" si="7">E20*M20</f>
        <v>3814.8881115</v>
      </c>
      <c r="O20" s="143"/>
      <c r="P20" s="27"/>
      <c r="Q20" s="19"/>
      <c r="R20" s="19"/>
      <c r="S20" s="19"/>
      <c r="T20" s="19"/>
    </row>
    <row r="21" s="155" customFormat="1" ht="57" customHeight="1" spans="1:20">
      <c r="A21" s="32">
        <v>11</v>
      </c>
      <c r="B21" s="32" t="s">
        <v>102</v>
      </c>
      <c r="C21" s="32" t="s">
        <v>107</v>
      </c>
      <c r="D21" s="32" t="s">
        <v>101</v>
      </c>
      <c r="E21" s="143">
        <v>3.17</v>
      </c>
      <c r="F21" s="139">
        <v>18</v>
      </c>
      <c r="G21" s="138">
        <f t="shared" ref="G21:G26" si="8">H21*(1+I21)</f>
        <v>25.75</v>
      </c>
      <c r="H21" s="139">
        <v>25</v>
      </c>
      <c r="I21" s="59">
        <v>0.03</v>
      </c>
      <c r="J21" s="138">
        <v>8</v>
      </c>
      <c r="K21" s="138">
        <f>(F21+G21+J21)*$K$5</f>
        <v>4.6575</v>
      </c>
      <c r="L21" s="138">
        <f>(F21+G21+J21+K21)*$L$5</f>
        <v>5.076675</v>
      </c>
      <c r="M21" s="138">
        <f t="shared" si="6"/>
        <v>61.484175</v>
      </c>
      <c r="N21" s="138">
        <f t="shared" si="7"/>
        <v>194.90483475</v>
      </c>
      <c r="O21" s="143"/>
      <c r="P21" s="27"/>
      <c r="Q21" s="19"/>
      <c r="R21" s="19"/>
      <c r="S21" s="19"/>
      <c r="T21" s="19"/>
    </row>
    <row r="22" s="155" customFormat="1" ht="34" customHeight="1" spans="1:20">
      <c r="A22" s="32"/>
      <c r="B22" s="32" t="s">
        <v>108</v>
      </c>
      <c r="C22" s="32"/>
      <c r="D22" s="32"/>
      <c r="E22" s="143"/>
      <c r="F22" s="139"/>
      <c r="G22" s="138"/>
      <c r="H22" s="139">
        <v>27</v>
      </c>
      <c r="I22" s="162"/>
      <c r="J22" s="138"/>
      <c r="K22" s="138"/>
      <c r="L22" s="138"/>
      <c r="M22" s="138"/>
      <c r="N22" s="138"/>
      <c r="O22" s="143"/>
      <c r="P22" s="27"/>
      <c r="Q22" s="19"/>
      <c r="R22" s="19"/>
      <c r="S22" s="19"/>
      <c r="T22" s="19"/>
    </row>
    <row r="23" s="155" customFormat="1" ht="64" customHeight="1" spans="1:20">
      <c r="A23" s="32">
        <v>12</v>
      </c>
      <c r="B23" s="32" t="s">
        <v>105</v>
      </c>
      <c r="C23" s="32" t="s">
        <v>106</v>
      </c>
      <c r="D23" s="32" t="s">
        <v>83</v>
      </c>
      <c r="E23" s="143">
        <f>1.85*0.32+4.1*(1.23+2.8)-0.2*4.1*3</f>
        <v>14.655</v>
      </c>
      <c r="F23" s="139">
        <v>100</v>
      </c>
      <c r="G23" s="138">
        <f t="shared" si="8"/>
        <v>66</v>
      </c>
      <c r="H23" s="139">
        <v>60</v>
      </c>
      <c r="I23" s="59">
        <v>0.1</v>
      </c>
      <c r="J23" s="138">
        <v>80</v>
      </c>
      <c r="K23" s="138">
        <f>(F23+G23+J23)*$K$5</f>
        <v>22.14</v>
      </c>
      <c r="L23" s="138">
        <f>(F23+G23+J23+K23)*$L$5</f>
        <v>24.1326</v>
      </c>
      <c r="M23" s="138">
        <f t="shared" si="6"/>
        <v>292.2726</v>
      </c>
      <c r="N23" s="138">
        <f t="shared" si="7"/>
        <v>4283.254953</v>
      </c>
      <c r="O23" s="143"/>
      <c r="P23" s="27"/>
      <c r="Q23" s="19"/>
      <c r="R23" s="19"/>
      <c r="S23" s="19"/>
      <c r="T23" s="19"/>
    </row>
    <row r="24" s="155" customFormat="1" ht="64" customHeight="1" spans="1:20">
      <c r="A24" s="32">
        <v>13</v>
      </c>
      <c r="B24" s="32" t="s">
        <v>102</v>
      </c>
      <c r="C24" s="32" t="s">
        <v>103</v>
      </c>
      <c r="D24" s="32" t="s">
        <v>101</v>
      </c>
      <c r="E24" s="143">
        <v>4.03</v>
      </c>
      <c r="F24" s="139">
        <v>18</v>
      </c>
      <c r="G24" s="138">
        <f t="shared" si="8"/>
        <v>20.6</v>
      </c>
      <c r="H24" s="139">
        <v>20</v>
      </c>
      <c r="I24" s="59">
        <v>0.03</v>
      </c>
      <c r="J24" s="138">
        <v>8</v>
      </c>
      <c r="K24" s="138">
        <f>(F24+G24+J24)*$K$5</f>
        <v>4.194</v>
      </c>
      <c r="L24" s="138">
        <f>(F24+G24+J24+K24)*$L$5</f>
        <v>4.57146</v>
      </c>
      <c r="M24" s="138">
        <f t="shared" si="6"/>
        <v>55.36546</v>
      </c>
      <c r="N24" s="138">
        <f t="shared" si="7"/>
        <v>223.1228038</v>
      </c>
      <c r="O24" s="143"/>
      <c r="P24" s="27"/>
      <c r="Q24" s="19"/>
      <c r="R24" s="19"/>
      <c r="S24" s="19"/>
      <c r="T24" s="19"/>
    </row>
    <row r="25" s="155" customFormat="1" ht="55" customHeight="1" spans="1:20">
      <c r="A25" s="32">
        <v>14</v>
      </c>
      <c r="B25" s="32" t="s">
        <v>99</v>
      </c>
      <c r="C25" s="32" t="s">
        <v>109</v>
      </c>
      <c r="D25" s="32" t="s">
        <v>101</v>
      </c>
      <c r="E25" s="143">
        <f>4.1*2+2.4*2</f>
        <v>13</v>
      </c>
      <c r="F25" s="139">
        <v>18</v>
      </c>
      <c r="G25" s="138">
        <f t="shared" si="8"/>
        <v>20.6</v>
      </c>
      <c r="H25" s="139">
        <v>20</v>
      </c>
      <c r="I25" s="59">
        <v>0.03</v>
      </c>
      <c r="J25" s="138">
        <v>8</v>
      </c>
      <c r="K25" s="138">
        <f>(F25+G25+J25)*$K$5</f>
        <v>4.194</v>
      </c>
      <c r="L25" s="138">
        <f>(F25+G25+J25+K25)*$L$5</f>
        <v>4.57146</v>
      </c>
      <c r="M25" s="138">
        <f t="shared" si="6"/>
        <v>55.36546</v>
      </c>
      <c r="N25" s="138">
        <f t="shared" si="7"/>
        <v>719.75098</v>
      </c>
      <c r="O25" s="143"/>
      <c r="P25" s="27"/>
      <c r="Q25" s="19"/>
      <c r="R25" s="19"/>
      <c r="S25" s="19"/>
      <c r="T25" s="19"/>
    </row>
    <row r="26" s="155" customFormat="1" ht="89" customHeight="1" spans="1:20">
      <c r="A26" s="32">
        <v>15</v>
      </c>
      <c r="B26" s="32" t="s">
        <v>105</v>
      </c>
      <c r="C26" s="32" t="s">
        <v>106</v>
      </c>
      <c r="D26" s="32" t="s">
        <v>83</v>
      </c>
      <c r="E26" s="143">
        <f>0.2*4.1*3</f>
        <v>2.46</v>
      </c>
      <c r="F26" s="139">
        <v>100</v>
      </c>
      <c r="G26" s="138">
        <f t="shared" si="8"/>
        <v>66</v>
      </c>
      <c r="H26" s="139">
        <v>60</v>
      </c>
      <c r="I26" s="59">
        <v>0.1</v>
      </c>
      <c r="J26" s="138">
        <v>80</v>
      </c>
      <c r="K26" s="138">
        <f>(F26+G26+J26)*$K$5</f>
        <v>22.14</v>
      </c>
      <c r="L26" s="138">
        <f>(F26+G26+J26+K26)*$L$5</f>
        <v>24.1326</v>
      </c>
      <c r="M26" s="138">
        <f t="shared" si="6"/>
        <v>292.2726</v>
      </c>
      <c r="N26" s="138">
        <f t="shared" si="7"/>
        <v>718.990596</v>
      </c>
      <c r="O26" s="143"/>
      <c r="P26" s="27"/>
      <c r="Q26" s="19"/>
      <c r="R26" s="19"/>
      <c r="S26" s="19"/>
      <c r="T26" s="19"/>
    </row>
    <row r="27" s="155" customFormat="1" ht="22.5" spans="1:20">
      <c r="A27" s="32">
        <v>16</v>
      </c>
      <c r="B27" s="32" t="s">
        <v>110</v>
      </c>
      <c r="C27" s="32" t="s">
        <v>111</v>
      </c>
      <c r="D27" s="32" t="s">
        <v>83</v>
      </c>
      <c r="E27" s="143"/>
      <c r="F27" s="139"/>
      <c r="G27" s="165"/>
      <c r="H27" s="166"/>
      <c r="I27" s="167"/>
      <c r="J27" s="165"/>
      <c r="K27" s="165"/>
      <c r="L27" s="165"/>
      <c r="M27" s="168"/>
      <c r="N27" s="165"/>
      <c r="O27" s="143"/>
      <c r="P27" s="27"/>
      <c r="Q27" s="19"/>
      <c r="R27" s="19"/>
      <c r="S27" s="19"/>
      <c r="T27" s="19"/>
    </row>
    <row r="28" s="155" customFormat="1" ht="22.5" spans="1:20">
      <c r="A28" s="32"/>
      <c r="B28" s="32" t="s">
        <v>112</v>
      </c>
      <c r="C28" s="32"/>
      <c r="D28" s="32"/>
      <c r="E28" s="143"/>
      <c r="F28" s="139"/>
      <c r="G28" s="138"/>
      <c r="H28" s="139"/>
      <c r="I28" s="162"/>
      <c r="J28" s="138"/>
      <c r="K28" s="138"/>
      <c r="L28" s="138"/>
      <c r="M28" s="138"/>
      <c r="N28" s="138"/>
      <c r="O28" s="143"/>
      <c r="P28" s="27"/>
      <c r="Q28" s="19"/>
      <c r="R28" s="19"/>
      <c r="S28" s="19"/>
      <c r="T28" s="19"/>
    </row>
    <row r="29" s="155" customFormat="1" ht="74" customHeight="1" spans="1:20">
      <c r="A29" s="32">
        <v>17</v>
      </c>
      <c r="B29" s="32" t="s">
        <v>105</v>
      </c>
      <c r="C29" s="32" t="s">
        <v>106</v>
      </c>
      <c r="D29" s="32" t="s">
        <v>83</v>
      </c>
      <c r="E29" s="143">
        <f>(0.19+1.25+0.73+3.46+0.9+1.34+0.3+0.53)*2.47-0.65*7-0.9*1.8*2-0.25*0.53+1.19*0.4</f>
        <v>14.0425</v>
      </c>
      <c r="F29" s="139">
        <v>100</v>
      </c>
      <c r="G29" s="138">
        <f>H29*(1+I29)</f>
        <v>66</v>
      </c>
      <c r="H29" s="139">
        <v>60</v>
      </c>
      <c r="I29" s="59">
        <v>0.1</v>
      </c>
      <c r="J29" s="138">
        <v>80</v>
      </c>
      <c r="K29" s="138">
        <f>(F29+G29+J29)*$K$5</f>
        <v>22.14</v>
      </c>
      <c r="L29" s="138">
        <f>(F29+G29+J29+K29)*$L$5</f>
        <v>24.1326</v>
      </c>
      <c r="M29" s="138">
        <f t="shared" ref="M29:M33" si="9">F29+G29+J29+K29+L29</f>
        <v>292.2726</v>
      </c>
      <c r="N29" s="138">
        <f t="shared" ref="N29:N33" si="10">E29*M29</f>
        <v>4104.2379855</v>
      </c>
      <c r="O29" s="143"/>
      <c r="P29" s="27"/>
      <c r="Q29" s="19"/>
      <c r="R29" s="19"/>
      <c r="S29" s="19"/>
      <c r="T29" s="19"/>
    </row>
    <row r="30" s="155" customFormat="1" ht="55" customHeight="1" spans="1:20">
      <c r="A30" s="32">
        <v>18</v>
      </c>
      <c r="B30" s="32" t="s">
        <v>113</v>
      </c>
      <c r="C30" s="32" t="s">
        <v>114</v>
      </c>
      <c r="D30" s="32" t="s">
        <v>83</v>
      </c>
      <c r="E30" s="143">
        <f>0.9*1.8*2+0.65</f>
        <v>3.89</v>
      </c>
      <c r="F30" s="139">
        <v>195</v>
      </c>
      <c r="G30" s="138">
        <f>H30*(1+I30)</f>
        <v>308</v>
      </c>
      <c r="H30" s="139">
        <v>280</v>
      </c>
      <c r="I30" s="59">
        <v>0.1</v>
      </c>
      <c r="J30" s="138">
        <v>80</v>
      </c>
      <c r="K30" s="138">
        <f>(F30+G30+J30)*$K$5</f>
        <v>52.47</v>
      </c>
      <c r="L30" s="138">
        <f>(F30+G30+J30+K30)*$L$5</f>
        <v>57.1923</v>
      </c>
      <c r="M30" s="138">
        <f t="shared" si="9"/>
        <v>692.6623</v>
      </c>
      <c r="N30" s="138">
        <f t="shared" si="10"/>
        <v>2694.456347</v>
      </c>
      <c r="O30" s="143"/>
      <c r="P30" s="27"/>
      <c r="Q30" s="19"/>
      <c r="R30" s="19"/>
      <c r="S30" s="19"/>
      <c r="T30" s="19"/>
    </row>
    <row r="31" s="155" customFormat="1" ht="78" customHeight="1" spans="1:20">
      <c r="A31" s="32">
        <v>19</v>
      </c>
      <c r="B31" s="32" t="s">
        <v>115</v>
      </c>
      <c r="C31" s="32" t="s">
        <v>116</v>
      </c>
      <c r="D31" s="32" t="s">
        <v>83</v>
      </c>
      <c r="E31" s="143">
        <f>(0.45+0.42)*2.47</f>
        <v>2.1489</v>
      </c>
      <c r="F31" s="139">
        <v>100</v>
      </c>
      <c r="G31" s="138">
        <f t="shared" ref="G29:G33" si="11">H31*(1+I31)</f>
        <v>294</v>
      </c>
      <c r="H31" s="139">
        <v>280</v>
      </c>
      <c r="I31" s="59">
        <v>0.05</v>
      </c>
      <c r="J31" s="138">
        <v>40</v>
      </c>
      <c r="K31" s="138">
        <f>(F31+G31+J31)*$K$5</f>
        <v>39.06</v>
      </c>
      <c r="L31" s="138">
        <f>(F31+G31+J31+K31)*$L$5</f>
        <v>42.5754</v>
      </c>
      <c r="M31" s="138">
        <f t="shared" si="9"/>
        <v>515.6354</v>
      </c>
      <c r="N31" s="138">
        <f t="shared" si="10"/>
        <v>1108.04891106</v>
      </c>
      <c r="O31" s="143" t="s">
        <v>84</v>
      </c>
      <c r="P31" s="27"/>
      <c r="Q31" s="19"/>
      <c r="R31" s="19"/>
      <c r="S31" s="19"/>
      <c r="T31" s="19"/>
    </row>
    <row r="32" s="155" customFormat="1" ht="57" customHeight="1" spans="1:20">
      <c r="A32" s="32">
        <v>20</v>
      </c>
      <c r="B32" s="32" t="s">
        <v>117</v>
      </c>
      <c r="C32" s="32" t="s">
        <v>118</v>
      </c>
      <c r="D32" s="32" t="s">
        <v>83</v>
      </c>
      <c r="E32" s="143">
        <f>1.1*0.4+0.23*2.07*2+0.02*2.07*2</f>
        <v>1.475</v>
      </c>
      <c r="F32" s="139">
        <v>115</v>
      </c>
      <c r="G32" s="138">
        <f t="shared" si="11"/>
        <v>247.2</v>
      </c>
      <c r="H32" s="139">
        <v>240</v>
      </c>
      <c r="I32" s="59">
        <v>0.03</v>
      </c>
      <c r="J32" s="138">
        <v>15</v>
      </c>
      <c r="K32" s="138">
        <f>(F32+G32+J32)*$K$5</f>
        <v>33.948</v>
      </c>
      <c r="L32" s="138">
        <f>(F32+G32+J32+K32)*$L$5</f>
        <v>37.00332</v>
      </c>
      <c r="M32" s="138">
        <f t="shared" si="9"/>
        <v>448.15132</v>
      </c>
      <c r="N32" s="138">
        <f t="shared" si="10"/>
        <v>661.023197</v>
      </c>
      <c r="O32" s="143"/>
      <c r="P32" s="27"/>
      <c r="Q32" s="19"/>
      <c r="R32" s="19"/>
      <c r="S32" s="19"/>
      <c r="T32" s="19"/>
    </row>
    <row r="33" s="155" customFormat="1" ht="66" customHeight="1" spans="1:20">
      <c r="A33" s="32">
        <v>21</v>
      </c>
      <c r="B33" s="32" t="s">
        <v>102</v>
      </c>
      <c r="C33" s="32" t="s">
        <v>103</v>
      </c>
      <c r="D33" s="32" t="s">
        <v>101</v>
      </c>
      <c r="E33" s="143">
        <f>(0.19+1.25+0.73+3.46+0.9+1.34+0.3+0.53)+0.45+0.42</f>
        <v>9.57</v>
      </c>
      <c r="F33" s="139">
        <v>20</v>
      </c>
      <c r="G33" s="138">
        <f t="shared" si="11"/>
        <v>20.6</v>
      </c>
      <c r="H33" s="139">
        <v>20</v>
      </c>
      <c r="I33" s="59">
        <v>0.03</v>
      </c>
      <c r="J33" s="138">
        <v>8</v>
      </c>
      <c r="K33" s="138">
        <f>(F33+G33+J33)*$K$5</f>
        <v>4.374</v>
      </c>
      <c r="L33" s="138">
        <f>(F33+G33+J33+K33)*$L$5</f>
        <v>4.76766</v>
      </c>
      <c r="M33" s="138">
        <f t="shared" si="9"/>
        <v>57.74166</v>
      </c>
      <c r="N33" s="138">
        <f t="shared" si="10"/>
        <v>552.5876862</v>
      </c>
      <c r="O33" s="143"/>
      <c r="P33" s="27"/>
      <c r="Q33" s="19"/>
      <c r="R33" s="19"/>
      <c r="S33" s="19"/>
      <c r="T33" s="19"/>
    </row>
    <row r="34" s="155" customFormat="1" ht="22.5" spans="1:20">
      <c r="A34" s="32"/>
      <c r="B34" s="32" t="s">
        <v>119</v>
      </c>
      <c r="C34" s="32"/>
      <c r="D34" s="32"/>
      <c r="E34" s="143"/>
      <c r="F34" s="139"/>
      <c r="G34" s="138"/>
      <c r="H34" s="139"/>
      <c r="I34" s="162"/>
      <c r="J34" s="138"/>
      <c r="K34" s="138"/>
      <c r="L34" s="138"/>
      <c r="M34" s="138"/>
      <c r="N34" s="138"/>
      <c r="O34" s="143"/>
      <c r="P34" s="27"/>
      <c r="Q34" s="19"/>
      <c r="R34" s="19"/>
      <c r="S34" s="19"/>
      <c r="T34" s="19"/>
    </row>
    <row r="35" s="155" customFormat="1" ht="77" customHeight="1" spans="1:20">
      <c r="A35" s="32">
        <v>22</v>
      </c>
      <c r="B35" s="32" t="s">
        <v>105</v>
      </c>
      <c r="C35" s="32" t="s">
        <v>106</v>
      </c>
      <c r="D35" s="32" t="s">
        <v>83</v>
      </c>
      <c r="E35" s="143">
        <f>2.44*2.16+2.47*0.8+3.6*2.25-0.8*1.95+0.28*2.25+7.8*2.47-1.1*2.27*2</f>
        <v>28.6884</v>
      </c>
      <c r="F35" s="139">
        <v>100</v>
      </c>
      <c r="G35" s="138">
        <f>H35*(1+I35)</f>
        <v>66</v>
      </c>
      <c r="H35" s="139">
        <v>60</v>
      </c>
      <c r="I35" s="59">
        <v>0.1</v>
      </c>
      <c r="J35" s="138">
        <v>80</v>
      </c>
      <c r="K35" s="138">
        <f>(F35+G35+J35)*$K$5</f>
        <v>22.14</v>
      </c>
      <c r="L35" s="138">
        <f>(F35+G35+J35+K35)*$L$5</f>
        <v>24.1326</v>
      </c>
      <c r="M35" s="138">
        <f t="shared" ref="M35:M37" si="12">F35+G35+J35+K35+L35</f>
        <v>292.2726</v>
      </c>
      <c r="N35" s="138">
        <f t="shared" ref="N35:N37" si="13">E35*M35</f>
        <v>8384.83325784</v>
      </c>
      <c r="O35" s="143"/>
      <c r="P35" s="27"/>
      <c r="Q35" s="19"/>
      <c r="R35" s="19"/>
      <c r="S35" s="19"/>
      <c r="T35" s="19"/>
    </row>
    <row r="36" s="155" customFormat="1" ht="53" customHeight="1" spans="1:20">
      <c r="A36" s="32">
        <v>23</v>
      </c>
      <c r="B36" s="32" t="s">
        <v>99</v>
      </c>
      <c r="C36" s="32" t="s">
        <v>109</v>
      </c>
      <c r="D36" s="32" t="s">
        <v>101</v>
      </c>
      <c r="E36" s="143">
        <f>2.47*2</f>
        <v>4.94</v>
      </c>
      <c r="F36" s="139">
        <v>20</v>
      </c>
      <c r="G36" s="138">
        <f t="shared" ref="G35:G37" si="14">H36*(1+I36)</f>
        <v>20.6</v>
      </c>
      <c r="H36" s="139">
        <v>20</v>
      </c>
      <c r="I36" s="59">
        <v>0.03</v>
      </c>
      <c r="J36" s="138">
        <v>8</v>
      </c>
      <c r="K36" s="138">
        <f>(F36+G36+J36)*$K$5</f>
        <v>4.374</v>
      </c>
      <c r="L36" s="138">
        <f>(F36+G36+J36+K36)*$L$5</f>
        <v>4.76766</v>
      </c>
      <c r="M36" s="138">
        <f t="shared" si="12"/>
        <v>57.74166</v>
      </c>
      <c r="N36" s="138">
        <f t="shared" si="13"/>
        <v>285.2438004</v>
      </c>
      <c r="O36" s="143"/>
      <c r="P36" s="27"/>
      <c r="Q36" s="19"/>
      <c r="R36" s="19"/>
      <c r="S36" s="19"/>
      <c r="T36" s="19"/>
    </row>
    <row r="37" s="155" customFormat="1" ht="66" customHeight="1" spans="1:20">
      <c r="A37" s="32">
        <v>24</v>
      </c>
      <c r="B37" s="32" t="s">
        <v>102</v>
      </c>
      <c r="C37" s="32" t="s">
        <v>103</v>
      </c>
      <c r="D37" s="32" t="s">
        <v>101</v>
      </c>
      <c r="E37" s="143">
        <f>1.94+0.2+7.91+0.67+0.9+0.07</f>
        <v>11.69</v>
      </c>
      <c r="F37" s="139">
        <v>20</v>
      </c>
      <c r="G37" s="138">
        <f t="shared" si="14"/>
        <v>25.75</v>
      </c>
      <c r="H37" s="139">
        <v>25</v>
      </c>
      <c r="I37" s="59">
        <v>0.03</v>
      </c>
      <c r="J37" s="138">
        <v>8</v>
      </c>
      <c r="K37" s="138">
        <f>(F37+G37+J37)*$K$5</f>
        <v>4.8375</v>
      </c>
      <c r="L37" s="138">
        <f>(F37+G37+J37+K37)*$L$5</f>
        <v>5.272875</v>
      </c>
      <c r="M37" s="138">
        <f t="shared" si="12"/>
        <v>63.860375</v>
      </c>
      <c r="N37" s="138">
        <f t="shared" si="13"/>
        <v>746.52778375</v>
      </c>
      <c r="O37" s="143"/>
      <c r="P37" s="27"/>
      <c r="Q37" s="19"/>
      <c r="R37" s="19"/>
      <c r="S37" s="19"/>
      <c r="T37" s="19"/>
    </row>
    <row r="38" s="155" customFormat="1" ht="22.5" spans="1:20">
      <c r="A38" s="32"/>
      <c r="B38" s="32" t="s">
        <v>120</v>
      </c>
      <c r="C38" s="32"/>
      <c r="D38" s="32"/>
      <c r="E38" s="143"/>
      <c r="F38" s="139"/>
      <c r="G38" s="138"/>
      <c r="H38" s="139"/>
      <c r="I38" s="162"/>
      <c r="J38" s="138"/>
      <c r="K38" s="138"/>
      <c r="L38" s="138"/>
      <c r="M38" s="138"/>
      <c r="N38" s="138"/>
      <c r="O38" s="143"/>
      <c r="P38" s="27"/>
      <c r="Q38" s="19"/>
      <c r="R38" s="19"/>
      <c r="S38" s="19"/>
      <c r="T38" s="19"/>
    </row>
    <row r="39" s="155" customFormat="1" ht="85" customHeight="1" spans="1:20">
      <c r="A39" s="32">
        <v>25</v>
      </c>
      <c r="B39" s="32" t="s">
        <v>105</v>
      </c>
      <c r="C39" s="32" t="s">
        <v>106</v>
      </c>
      <c r="D39" s="32" t="s">
        <v>83</v>
      </c>
      <c r="E39" s="143">
        <f>1.22*2.47+0.32*2.47</f>
        <v>3.8038</v>
      </c>
      <c r="F39" s="139">
        <v>100</v>
      </c>
      <c r="G39" s="138">
        <f>H39*(1+I39)</f>
        <v>66</v>
      </c>
      <c r="H39" s="139">
        <v>60</v>
      </c>
      <c r="I39" s="59">
        <v>0.1</v>
      </c>
      <c r="J39" s="138">
        <v>80</v>
      </c>
      <c r="K39" s="138">
        <f>(F39+G39+J39)*$K$5</f>
        <v>22.14</v>
      </c>
      <c r="L39" s="138">
        <f>(F39+G39+J39+K39)*$L$5</f>
        <v>24.1326</v>
      </c>
      <c r="M39" s="138">
        <f t="shared" ref="M39:M42" si="15">F39+G39+J39+K39+L39</f>
        <v>292.2726</v>
      </c>
      <c r="N39" s="138">
        <f t="shared" ref="N39:N42" si="16">E39*M39</f>
        <v>1111.74651588</v>
      </c>
      <c r="O39" s="143"/>
      <c r="P39" s="27"/>
      <c r="Q39" s="19"/>
      <c r="R39" s="19"/>
      <c r="S39" s="19"/>
      <c r="T39" s="19"/>
    </row>
    <row r="40" s="155" customFormat="1" ht="55" customHeight="1" spans="1:20">
      <c r="A40" s="32">
        <v>26</v>
      </c>
      <c r="B40" s="32" t="s">
        <v>99</v>
      </c>
      <c r="C40" s="32" t="s">
        <v>109</v>
      </c>
      <c r="D40" s="32" t="s">
        <v>101</v>
      </c>
      <c r="E40" s="143">
        <f>2.47*2</f>
        <v>4.94</v>
      </c>
      <c r="F40" s="139">
        <v>20</v>
      </c>
      <c r="G40" s="138">
        <f t="shared" ref="G39:G42" si="17">H40*(1+I40)</f>
        <v>20.6</v>
      </c>
      <c r="H40" s="139">
        <v>20</v>
      </c>
      <c r="I40" s="59">
        <v>0.03</v>
      </c>
      <c r="J40" s="138">
        <v>8</v>
      </c>
      <c r="K40" s="138">
        <f>(F40+G40+J40)*$K$5</f>
        <v>4.374</v>
      </c>
      <c r="L40" s="138">
        <f>(F40+G40+J40+K40)*$L$5</f>
        <v>4.76766</v>
      </c>
      <c r="M40" s="138">
        <f t="shared" si="15"/>
        <v>57.74166</v>
      </c>
      <c r="N40" s="138">
        <f t="shared" si="16"/>
        <v>285.2438004</v>
      </c>
      <c r="O40" s="143"/>
      <c r="P40" s="27"/>
      <c r="Q40" s="19"/>
      <c r="R40" s="19"/>
      <c r="S40" s="19"/>
      <c r="T40" s="19"/>
    </row>
    <row r="41" s="155" customFormat="1" ht="54" customHeight="1" spans="1:20">
      <c r="A41" s="32">
        <v>27</v>
      </c>
      <c r="B41" s="32" t="s">
        <v>117</v>
      </c>
      <c r="C41" s="32" t="s">
        <v>118</v>
      </c>
      <c r="D41" s="32" t="s">
        <v>83</v>
      </c>
      <c r="E41" s="143">
        <f>0.25*2.08*2+0.02*2.08*2+0.4*1.1</f>
        <v>1.5632</v>
      </c>
      <c r="F41" s="139">
        <v>115</v>
      </c>
      <c r="G41" s="138">
        <f t="shared" si="17"/>
        <v>247.2</v>
      </c>
      <c r="H41" s="139">
        <v>240</v>
      </c>
      <c r="I41" s="59">
        <v>0.03</v>
      </c>
      <c r="J41" s="138">
        <v>15</v>
      </c>
      <c r="K41" s="138">
        <f>(F41+G41+J41)*$K$5</f>
        <v>33.948</v>
      </c>
      <c r="L41" s="138">
        <f>(F41+G41+J41+K41)*$L$5</f>
        <v>37.00332</v>
      </c>
      <c r="M41" s="138">
        <f t="shared" si="15"/>
        <v>448.15132</v>
      </c>
      <c r="N41" s="138">
        <f t="shared" si="16"/>
        <v>700.550143424</v>
      </c>
      <c r="O41" s="143"/>
      <c r="P41" s="27"/>
      <c r="Q41" s="19"/>
      <c r="R41" s="19"/>
      <c r="S41" s="19"/>
      <c r="T41" s="19"/>
    </row>
    <row r="42" s="155" customFormat="1" ht="67" customHeight="1" spans="1:20">
      <c r="A42" s="32">
        <v>28</v>
      </c>
      <c r="B42" s="32" t="s">
        <v>102</v>
      </c>
      <c r="C42" s="32" t="s">
        <v>121</v>
      </c>
      <c r="D42" s="32" t="s">
        <v>101</v>
      </c>
      <c r="E42" s="143">
        <f>1.22+0.32</f>
        <v>1.54</v>
      </c>
      <c r="F42" s="139">
        <v>20</v>
      </c>
      <c r="G42" s="138">
        <f t="shared" si="17"/>
        <v>25.75</v>
      </c>
      <c r="H42" s="139">
        <v>25</v>
      </c>
      <c r="I42" s="59">
        <v>0.03</v>
      </c>
      <c r="J42" s="138">
        <v>8</v>
      </c>
      <c r="K42" s="138">
        <f>(F42+G42+J42)*$K$5</f>
        <v>4.8375</v>
      </c>
      <c r="L42" s="138">
        <f>(F42+G42+J42+K42)*$L$5</f>
        <v>5.272875</v>
      </c>
      <c r="M42" s="138">
        <f t="shared" si="15"/>
        <v>63.860375</v>
      </c>
      <c r="N42" s="138">
        <f t="shared" si="16"/>
        <v>98.3449775</v>
      </c>
      <c r="O42" s="143"/>
      <c r="P42" s="27"/>
      <c r="Q42" s="19"/>
      <c r="R42" s="19"/>
      <c r="S42" s="19"/>
      <c r="T42" s="19"/>
    </row>
    <row r="43" s="155" customFormat="1" ht="33" customHeight="1" spans="1:20">
      <c r="A43" s="32"/>
      <c r="B43" s="137" t="s">
        <v>122</v>
      </c>
      <c r="C43" s="32"/>
      <c r="D43" s="32"/>
      <c r="E43" s="143"/>
      <c r="F43" s="139"/>
      <c r="G43" s="138"/>
      <c r="H43" s="139"/>
      <c r="I43" s="59"/>
      <c r="J43" s="138"/>
      <c r="K43" s="138"/>
      <c r="L43" s="138"/>
      <c r="M43" s="138">
        <f>SUM(N44:N47)</f>
        <v>20296.36992285</v>
      </c>
      <c r="N43" s="138"/>
      <c r="O43" s="143"/>
      <c r="P43" s="27"/>
      <c r="Q43" s="19"/>
      <c r="R43" s="19"/>
      <c r="S43" s="19"/>
      <c r="T43" s="19"/>
    </row>
    <row r="44" s="155" customFormat="1" ht="73" customHeight="1" spans="1:20">
      <c r="A44" s="32">
        <v>29</v>
      </c>
      <c r="B44" s="32" t="s">
        <v>81</v>
      </c>
      <c r="C44" s="32" t="s">
        <v>123</v>
      </c>
      <c r="D44" s="32" t="s">
        <v>83</v>
      </c>
      <c r="E44" s="138">
        <v>85.69</v>
      </c>
      <c r="F44" s="139">
        <v>55</v>
      </c>
      <c r="G44" s="138">
        <f>H44*(1+I44)</f>
        <v>66</v>
      </c>
      <c r="H44" s="139">
        <v>60</v>
      </c>
      <c r="I44" s="59">
        <v>0.1</v>
      </c>
      <c r="J44" s="138">
        <v>45</v>
      </c>
      <c r="K44" s="138">
        <f>(F44+G44+J44)*$K$5</f>
        <v>14.94</v>
      </c>
      <c r="L44" s="138">
        <f>(F44+G44+J44+K44)*$L$5</f>
        <v>16.2846</v>
      </c>
      <c r="M44" s="138">
        <f t="shared" ref="M44:M47" si="18">F44+G44+J44+K44+L44</f>
        <v>197.2246</v>
      </c>
      <c r="N44" s="138">
        <f t="shared" ref="N44:N47" si="19">E44*M44</f>
        <v>16900.175974</v>
      </c>
      <c r="O44" s="143"/>
      <c r="P44" s="27"/>
      <c r="Q44" s="19"/>
      <c r="R44" s="19"/>
      <c r="S44" s="19"/>
      <c r="T44" s="19"/>
    </row>
    <row r="45" s="155" customFormat="1" ht="75" customHeight="1" spans="1:20">
      <c r="A45" s="32">
        <v>30</v>
      </c>
      <c r="B45" s="32" t="s">
        <v>124</v>
      </c>
      <c r="C45" s="32" t="s">
        <v>125</v>
      </c>
      <c r="D45" s="32" t="s">
        <v>83</v>
      </c>
      <c r="E45" s="138">
        <f>3.96+3.38</f>
        <v>7.34</v>
      </c>
      <c r="F45" s="139">
        <v>65</v>
      </c>
      <c r="G45" s="138">
        <f t="shared" ref="G44:G47" si="20">H45*(1+I45)</f>
        <v>78.4</v>
      </c>
      <c r="H45" s="139">
        <v>70</v>
      </c>
      <c r="I45" s="59">
        <v>0.12</v>
      </c>
      <c r="J45" s="138">
        <v>45</v>
      </c>
      <c r="K45" s="138">
        <f>(F45+G45+J45)*$K$5</f>
        <v>16.956</v>
      </c>
      <c r="L45" s="138">
        <f>(F45+G45+J45+K45)*$L$5</f>
        <v>18.48204</v>
      </c>
      <c r="M45" s="138">
        <f t="shared" si="18"/>
        <v>223.83804</v>
      </c>
      <c r="N45" s="138">
        <f t="shared" si="19"/>
        <v>1642.9712136</v>
      </c>
      <c r="O45" s="143"/>
      <c r="P45" s="27"/>
      <c r="Q45" s="19"/>
      <c r="R45" s="19"/>
      <c r="S45" s="19"/>
      <c r="T45" s="19"/>
    </row>
    <row r="46" s="155" customFormat="1" ht="75" customHeight="1" spans="1:20">
      <c r="A46" s="32">
        <v>31</v>
      </c>
      <c r="B46" s="32" t="s">
        <v>126</v>
      </c>
      <c r="C46" s="32" t="s">
        <v>127</v>
      </c>
      <c r="D46" s="32" t="s">
        <v>83</v>
      </c>
      <c r="E46" s="138">
        <v>3.71</v>
      </c>
      <c r="F46" s="139">
        <v>5</v>
      </c>
      <c r="G46" s="138">
        <f t="shared" si="20"/>
        <v>22</v>
      </c>
      <c r="H46" s="139">
        <v>20</v>
      </c>
      <c r="I46" s="59">
        <v>0.1</v>
      </c>
      <c r="J46" s="138">
        <v>38</v>
      </c>
      <c r="K46" s="138">
        <f>(F46+G46+J46)*$K$5</f>
        <v>5.85</v>
      </c>
      <c r="L46" s="138">
        <f>(F46+G46+J46+K46)*$L$5</f>
        <v>6.3765</v>
      </c>
      <c r="M46" s="138">
        <f t="shared" si="18"/>
        <v>77.2265</v>
      </c>
      <c r="N46" s="138">
        <f t="shared" si="19"/>
        <v>286.510315</v>
      </c>
      <c r="O46" s="143"/>
      <c r="P46" s="27"/>
      <c r="Q46" s="19"/>
      <c r="R46" s="19"/>
      <c r="S46" s="19"/>
      <c r="T46" s="19"/>
    </row>
    <row r="47" s="155" customFormat="1" ht="22.5" spans="1:20">
      <c r="A47" s="32">
        <v>32</v>
      </c>
      <c r="B47" s="32" t="s">
        <v>128</v>
      </c>
      <c r="C47" s="32" t="s">
        <v>129</v>
      </c>
      <c r="D47" s="32" t="s">
        <v>83</v>
      </c>
      <c r="E47" s="138">
        <v>3.71</v>
      </c>
      <c r="F47" s="139">
        <v>40</v>
      </c>
      <c r="G47" s="138">
        <f t="shared" si="20"/>
        <v>267.75</v>
      </c>
      <c r="H47" s="139">
        <v>255</v>
      </c>
      <c r="I47" s="59">
        <v>0.05</v>
      </c>
      <c r="J47" s="138">
        <v>25</v>
      </c>
      <c r="K47" s="138">
        <f>(F47+G47+J47)*$K$5</f>
        <v>29.9475</v>
      </c>
      <c r="L47" s="138">
        <f>(F47+G47+J47+K47)*$L$5</f>
        <v>32.642775</v>
      </c>
      <c r="M47" s="138">
        <f t="shared" si="18"/>
        <v>395.340275</v>
      </c>
      <c r="N47" s="138">
        <f t="shared" si="19"/>
        <v>1466.71242025</v>
      </c>
      <c r="O47" s="143"/>
      <c r="P47" s="27"/>
      <c r="Q47" s="19"/>
      <c r="R47" s="19"/>
      <c r="S47" s="19"/>
      <c r="T47" s="19"/>
    </row>
    <row r="48" s="155" customFormat="1" spans="1:20">
      <c r="A48" s="32"/>
      <c r="B48" s="32" t="s">
        <v>130</v>
      </c>
      <c r="C48" s="32"/>
      <c r="D48" s="32"/>
      <c r="E48" s="138"/>
      <c r="F48" s="139"/>
      <c r="G48" s="138"/>
      <c r="H48" s="139"/>
      <c r="I48" s="59"/>
      <c r="J48" s="138"/>
      <c r="K48" s="138"/>
      <c r="L48" s="138"/>
      <c r="M48" s="138">
        <f>SUM(N49:N49)</f>
        <v>17434.66949125</v>
      </c>
      <c r="N48" s="138"/>
      <c r="O48" s="143"/>
      <c r="P48" s="27"/>
      <c r="Q48" s="19"/>
      <c r="R48" s="19"/>
      <c r="S48" s="19"/>
      <c r="T48" s="19"/>
    </row>
    <row r="49" s="155" customFormat="1" ht="153" customHeight="1" spans="1:20">
      <c r="A49" s="32">
        <v>33</v>
      </c>
      <c r="B49" s="32" t="s">
        <v>88</v>
      </c>
      <c r="C49" s="32" t="s">
        <v>131</v>
      </c>
      <c r="D49" s="32" t="s">
        <v>83</v>
      </c>
      <c r="E49" s="138">
        <v>85.69</v>
      </c>
      <c r="F49" s="139">
        <v>58</v>
      </c>
      <c r="G49" s="138">
        <v>68.25</v>
      </c>
      <c r="H49" s="139">
        <v>65</v>
      </c>
      <c r="I49" s="59">
        <v>0.05</v>
      </c>
      <c r="J49" s="138">
        <v>45</v>
      </c>
      <c r="K49" s="138">
        <f>(F49+G49+J49)*$K$5</f>
        <v>15.4125</v>
      </c>
      <c r="L49" s="138">
        <f>(F49+G49+J49+K49)*$L$5</f>
        <v>16.799625</v>
      </c>
      <c r="M49" s="138">
        <f t="shared" ref="M49:M55" si="21">F49+G49+J49+K49+L49</f>
        <v>203.462125</v>
      </c>
      <c r="N49" s="138">
        <f t="shared" ref="N49:N55" si="22">E49*M49</f>
        <v>17434.66949125</v>
      </c>
      <c r="O49" s="143" t="s">
        <v>132</v>
      </c>
      <c r="P49" s="27"/>
      <c r="Q49" s="19"/>
      <c r="R49" s="19"/>
      <c r="S49" s="19"/>
      <c r="T49" s="19"/>
    </row>
    <row r="50" s="155" customFormat="1" ht="22.5" spans="1:20">
      <c r="A50" s="32"/>
      <c r="B50" s="32" t="s">
        <v>133</v>
      </c>
      <c r="C50" s="32"/>
      <c r="D50" s="32"/>
      <c r="E50" s="143"/>
      <c r="F50" s="139"/>
      <c r="G50" s="138"/>
      <c r="H50" s="139"/>
      <c r="I50" s="59"/>
      <c r="J50" s="138"/>
      <c r="K50" s="138"/>
      <c r="L50" s="138"/>
      <c r="M50" s="138">
        <f>SUM(N51:N82)</f>
        <v>55244.0139292632</v>
      </c>
      <c r="N50" s="138"/>
      <c r="O50" s="143"/>
      <c r="P50" s="27"/>
      <c r="Q50" s="19"/>
      <c r="R50" s="19"/>
      <c r="S50" s="19"/>
      <c r="T50" s="19"/>
    </row>
    <row r="51" s="155" customFormat="1" ht="108" customHeight="1" spans="1:20">
      <c r="A51" s="32">
        <v>34</v>
      </c>
      <c r="B51" s="32" t="s">
        <v>134</v>
      </c>
      <c r="C51" s="32" t="s">
        <v>135</v>
      </c>
      <c r="D51" s="32" t="s">
        <v>83</v>
      </c>
      <c r="E51" s="143">
        <f>6.77*3.04-1.93*0.82</f>
        <v>18.9982</v>
      </c>
      <c r="F51" s="139">
        <v>18</v>
      </c>
      <c r="G51" s="138">
        <f t="shared" ref="G49:G55" si="23">H51*(1+I51)</f>
        <v>17.85</v>
      </c>
      <c r="H51" s="139">
        <v>17</v>
      </c>
      <c r="I51" s="59">
        <v>0.05</v>
      </c>
      <c r="J51" s="138">
        <v>8</v>
      </c>
      <c r="K51" s="138">
        <f>(F51+G51+J51)*$K$5</f>
        <v>3.9465</v>
      </c>
      <c r="L51" s="138">
        <f>(F51+G51+J51+K51)*$L$5</f>
        <v>4.301685</v>
      </c>
      <c r="M51" s="138">
        <f t="shared" si="21"/>
        <v>52.098185</v>
      </c>
      <c r="N51" s="138">
        <f t="shared" si="22"/>
        <v>989.771738267</v>
      </c>
      <c r="O51" s="143"/>
      <c r="P51" s="27"/>
      <c r="Q51" s="19"/>
      <c r="R51" s="19"/>
      <c r="S51" s="19"/>
      <c r="T51" s="19"/>
    </row>
    <row r="52" s="155" customFormat="1" ht="22.5" spans="1:20">
      <c r="A52" s="32"/>
      <c r="B52" s="32" t="s">
        <v>136</v>
      </c>
      <c r="C52" s="32"/>
      <c r="D52" s="32"/>
      <c r="E52" s="143"/>
      <c r="F52" s="139"/>
      <c r="G52" s="138"/>
      <c r="H52" s="139"/>
      <c r="I52" s="59"/>
      <c r="J52" s="138"/>
      <c r="K52" s="138"/>
      <c r="L52" s="138"/>
      <c r="M52" s="138"/>
      <c r="N52" s="138"/>
      <c r="O52" s="143"/>
      <c r="P52" s="27"/>
      <c r="Q52" s="19"/>
      <c r="R52" s="19"/>
      <c r="S52" s="19"/>
      <c r="T52" s="19"/>
    </row>
    <row r="53" s="155" customFormat="1" ht="66" customHeight="1" spans="1:20">
      <c r="A53" s="32">
        <v>35</v>
      </c>
      <c r="B53" s="32" t="s">
        <v>137</v>
      </c>
      <c r="C53" s="32" t="s">
        <v>138</v>
      </c>
      <c r="D53" s="32" t="s">
        <v>83</v>
      </c>
      <c r="E53" s="143">
        <f>2.42*3.1-2.74-3.14*0.8*0.8*0.5</f>
        <v>3.7572</v>
      </c>
      <c r="F53" s="139">
        <v>85</v>
      </c>
      <c r="G53" s="138">
        <f t="shared" si="23"/>
        <v>94.5</v>
      </c>
      <c r="H53" s="139">
        <v>90</v>
      </c>
      <c r="I53" s="59">
        <v>0.05</v>
      </c>
      <c r="J53" s="138">
        <v>25</v>
      </c>
      <c r="K53" s="138">
        <f>(F53+G53+J53)*$K$5</f>
        <v>18.405</v>
      </c>
      <c r="L53" s="138">
        <f>(F53+G53+J53+K53)*$L$5</f>
        <v>20.06145</v>
      </c>
      <c r="M53" s="138">
        <f t="shared" si="21"/>
        <v>242.96645</v>
      </c>
      <c r="N53" s="138">
        <f t="shared" si="22"/>
        <v>912.87354594</v>
      </c>
      <c r="O53" s="143"/>
      <c r="P53" s="27"/>
      <c r="Q53" s="19"/>
      <c r="R53" s="19"/>
      <c r="S53" s="19"/>
      <c r="T53" s="19"/>
    </row>
    <row r="54" s="155" customFormat="1" ht="33" customHeight="1" spans="1:20">
      <c r="A54" s="32">
        <v>36</v>
      </c>
      <c r="B54" s="32" t="s">
        <v>139</v>
      </c>
      <c r="C54" s="32" t="s">
        <v>140</v>
      </c>
      <c r="D54" s="32" t="s">
        <v>83</v>
      </c>
      <c r="E54" s="143">
        <f>7.7*3.1-1.47*3.1-3.7572-1.24*1.5</f>
        <v>13.6958</v>
      </c>
      <c r="F54" s="139">
        <v>80</v>
      </c>
      <c r="G54" s="138">
        <f t="shared" si="23"/>
        <v>325.5</v>
      </c>
      <c r="H54" s="139">
        <v>310</v>
      </c>
      <c r="I54" s="59">
        <v>0.05</v>
      </c>
      <c r="J54" s="138">
        <v>38</v>
      </c>
      <c r="K54" s="138">
        <f>(F54+G54+J54)*$K$5</f>
        <v>39.915</v>
      </c>
      <c r="L54" s="138">
        <f>(F54+G54+J54+K54)*$L$5</f>
        <v>43.50735</v>
      </c>
      <c r="M54" s="138">
        <f t="shared" si="21"/>
        <v>526.92235</v>
      </c>
      <c r="N54" s="138">
        <f t="shared" si="22"/>
        <v>7216.62312113</v>
      </c>
      <c r="O54" s="143"/>
      <c r="P54" s="27"/>
      <c r="Q54" s="19"/>
      <c r="R54" s="19"/>
      <c r="S54" s="19"/>
      <c r="T54" s="19"/>
    </row>
    <row r="55" s="155" customFormat="1" ht="25" customHeight="1" spans="1:20">
      <c r="A55" s="32">
        <v>37</v>
      </c>
      <c r="B55" s="32" t="s">
        <v>141</v>
      </c>
      <c r="C55" s="32" t="s">
        <v>142</v>
      </c>
      <c r="D55" s="32" t="s">
        <v>83</v>
      </c>
      <c r="E55" s="143">
        <f>1.24*1.5</f>
        <v>1.86</v>
      </c>
      <c r="F55" s="139">
        <v>115</v>
      </c>
      <c r="G55" s="138">
        <f t="shared" si="23"/>
        <v>682.5</v>
      </c>
      <c r="H55" s="139">
        <v>650</v>
      </c>
      <c r="I55" s="59">
        <v>0.05</v>
      </c>
      <c r="J55" s="138">
        <v>68</v>
      </c>
      <c r="K55" s="138">
        <f>(F55+G55+J55)*$K$5</f>
        <v>77.895</v>
      </c>
      <c r="L55" s="138">
        <f>(F55+G55+J55+K55)*$L$5</f>
        <v>84.90555</v>
      </c>
      <c r="M55" s="138">
        <f t="shared" si="21"/>
        <v>1028.30055</v>
      </c>
      <c r="N55" s="138">
        <f t="shared" si="22"/>
        <v>1912.639023</v>
      </c>
      <c r="O55" s="143"/>
      <c r="P55" s="27"/>
      <c r="Q55" s="19"/>
      <c r="R55" s="19"/>
      <c r="S55" s="19"/>
      <c r="T55" s="19"/>
    </row>
    <row r="56" s="155" customFormat="1" ht="22.5" spans="1:20">
      <c r="A56" s="32"/>
      <c r="B56" s="32" t="s">
        <v>143</v>
      </c>
      <c r="C56" s="32"/>
      <c r="D56" s="32"/>
      <c r="E56" s="143"/>
      <c r="F56" s="139"/>
      <c r="G56" s="138"/>
      <c r="H56" s="139"/>
      <c r="I56" s="59"/>
      <c r="J56" s="138"/>
      <c r="K56" s="138"/>
      <c r="L56" s="138"/>
      <c r="M56" s="138"/>
      <c r="N56" s="138"/>
      <c r="O56" s="143"/>
      <c r="P56" s="27"/>
      <c r="Q56" s="19"/>
      <c r="R56" s="19"/>
      <c r="S56" s="19"/>
      <c r="T56" s="19"/>
    </row>
    <row r="57" s="155" customFormat="1" ht="109" customHeight="1" spans="1:20">
      <c r="A57" s="32">
        <v>38</v>
      </c>
      <c r="B57" s="32" t="s">
        <v>134</v>
      </c>
      <c r="C57" s="32" t="s">
        <v>135</v>
      </c>
      <c r="D57" s="32" t="s">
        <v>83</v>
      </c>
      <c r="E57" s="143">
        <f>3.45*3.1</f>
        <v>10.695</v>
      </c>
      <c r="F57" s="139">
        <v>18</v>
      </c>
      <c r="G57" s="138">
        <f t="shared" ref="G57:G62" si="24">H57*(1+I57)</f>
        <v>17.85</v>
      </c>
      <c r="H57" s="139">
        <v>17</v>
      </c>
      <c r="I57" s="59">
        <v>0.05</v>
      </c>
      <c r="J57" s="138">
        <v>8</v>
      </c>
      <c r="K57" s="138">
        <f>(F57+G57+J57)*$K$5</f>
        <v>3.9465</v>
      </c>
      <c r="L57" s="138">
        <f>(F57+G57+J57+K57)*$L$5</f>
        <v>4.301685</v>
      </c>
      <c r="M57" s="138">
        <f t="shared" ref="M57:M62" si="25">F57+G57+J57+K57+L57</f>
        <v>52.098185</v>
      </c>
      <c r="N57" s="138">
        <f t="shared" ref="N57:N62" si="26">E57*M57</f>
        <v>557.190088575</v>
      </c>
      <c r="O57" s="143"/>
      <c r="P57" s="27"/>
      <c r="Q57" s="19"/>
      <c r="R57" s="19"/>
      <c r="S57" s="19"/>
      <c r="T57" s="19"/>
    </row>
    <row r="58" s="155" customFormat="1" ht="22.5" spans="1:20">
      <c r="A58" s="32"/>
      <c r="B58" s="32" t="s">
        <v>144</v>
      </c>
      <c r="C58" s="32"/>
      <c r="D58" s="32"/>
      <c r="E58" s="143"/>
      <c r="F58" s="139"/>
      <c r="G58" s="138"/>
      <c r="H58" s="139"/>
      <c r="I58" s="59"/>
      <c r="J58" s="138"/>
      <c r="K58" s="138"/>
      <c r="L58" s="138"/>
      <c r="M58" s="138"/>
      <c r="N58" s="138"/>
      <c r="O58" s="143"/>
      <c r="P58" s="27"/>
      <c r="Q58" s="19"/>
      <c r="R58" s="19"/>
      <c r="S58" s="19"/>
      <c r="T58" s="19"/>
    </row>
    <row r="59" s="155" customFormat="1" ht="69" customHeight="1" spans="1:20">
      <c r="A59" s="32">
        <v>39</v>
      </c>
      <c r="B59" s="32" t="s">
        <v>145</v>
      </c>
      <c r="C59" s="32" t="s">
        <v>146</v>
      </c>
      <c r="D59" s="32" t="s">
        <v>83</v>
      </c>
      <c r="E59" s="143">
        <f>2.5*3.1</f>
        <v>7.75</v>
      </c>
      <c r="F59" s="139">
        <v>115</v>
      </c>
      <c r="G59" s="138">
        <f t="shared" si="24"/>
        <v>525</v>
      </c>
      <c r="H59" s="139">
        <v>500</v>
      </c>
      <c r="I59" s="59">
        <v>0.05</v>
      </c>
      <c r="J59" s="138">
        <v>68</v>
      </c>
      <c r="K59" s="138">
        <f>(F59+G59+J59)*$K$5</f>
        <v>63.72</v>
      </c>
      <c r="L59" s="138">
        <f>(F59+G59+J59+K59)*$L$5</f>
        <v>69.4548</v>
      </c>
      <c r="M59" s="138">
        <f t="shared" si="25"/>
        <v>841.1748</v>
      </c>
      <c r="N59" s="138">
        <f t="shared" si="26"/>
        <v>6519.1047</v>
      </c>
      <c r="O59" s="143"/>
      <c r="P59" s="27"/>
      <c r="Q59" s="19"/>
      <c r="R59" s="19"/>
      <c r="S59" s="19"/>
      <c r="T59" s="19"/>
    </row>
    <row r="60" s="155" customFormat="1" ht="22.5" spans="1:20">
      <c r="A60" s="32"/>
      <c r="B60" s="32" t="s">
        <v>147</v>
      </c>
      <c r="C60" s="32"/>
      <c r="D60" s="32"/>
      <c r="E60" s="143"/>
      <c r="F60" s="139"/>
      <c r="G60" s="138"/>
      <c r="H60" s="139"/>
      <c r="I60" s="59"/>
      <c r="J60" s="138"/>
      <c r="K60" s="138"/>
      <c r="L60" s="138"/>
      <c r="M60" s="138"/>
      <c r="N60" s="138"/>
      <c r="O60" s="143"/>
      <c r="P60" s="27"/>
      <c r="Q60" s="19"/>
      <c r="R60" s="19"/>
      <c r="S60" s="19"/>
      <c r="T60" s="19"/>
    </row>
    <row r="61" s="155" customFormat="1" ht="108" customHeight="1" spans="1:20">
      <c r="A61" s="32">
        <v>40</v>
      </c>
      <c r="B61" s="32" t="s">
        <v>134</v>
      </c>
      <c r="C61" s="32" t="s">
        <v>135</v>
      </c>
      <c r="D61" s="32" t="s">
        <v>83</v>
      </c>
      <c r="E61" s="143">
        <f>3.2*3.1</f>
        <v>9.92</v>
      </c>
      <c r="F61" s="139">
        <v>18</v>
      </c>
      <c r="G61" s="138">
        <f t="shared" si="24"/>
        <v>18.02</v>
      </c>
      <c r="H61" s="139">
        <v>17</v>
      </c>
      <c r="I61" s="59">
        <v>0.06</v>
      </c>
      <c r="J61" s="138">
        <v>8</v>
      </c>
      <c r="K61" s="138">
        <f>(F61+G61+J61)*$K$5</f>
        <v>3.9618</v>
      </c>
      <c r="L61" s="138">
        <f>(F61+G61+J61+K61)*$L$5</f>
        <v>4.318362</v>
      </c>
      <c r="M61" s="138">
        <f t="shared" si="25"/>
        <v>52.300162</v>
      </c>
      <c r="N61" s="138">
        <f t="shared" si="26"/>
        <v>518.81760704</v>
      </c>
      <c r="O61" s="143"/>
      <c r="P61" s="27"/>
      <c r="Q61" s="19"/>
      <c r="R61" s="19"/>
      <c r="S61" s="19"/>
      <c r="T61" s="19"/>
    </row>
    <row r="62" s="155" customFormat="1" ht="45" customHeight="1" spans="1:20">
      <c r="A62" s="32">
        <v>41</v>
      </c>
      <c r="B62" s="32" t="s">
        <v>148</v>
      </c>
      <c r="C62" s="32" t="s">
        <v>149</v>
      </c>
      <c r="D62" s="32" t="s">
        <v>101</v>
      </c>
      <c r="E62" s="143">
        <v>6</v>
      </c>
      <c r="F62" s="139">
        <v>45</v>
      </c>
      <c r="G62" s="138">
        <f t="shared" si="24"/>
        <v>238.5</v>
      </c>
      <c r="H62" s="139">
        <v>225</v>
      </c>
      <c r="I62" s="59">
        <v>0.06</v>
      </c>
      <c r="J62" s="138">
        <v>20</v>
      </c>
      <c r="K62" s="138">
        <f>(F62+G62+J62)*$K$5</f>
        <v>27.315</v>
      </c>
      <c r="L62" s="138">
        <f>(F62+G62+J62+K62)*$L$5</f>
        <v>29.77335</v>
      </c>
      <c r="M62" s="138">
        <f t="shared" si="25"/>
        <v>360.58835</v>
      </c>
      <c r="N62" s="138">
        <f t="shared" si="26"/>
        <v>2163.5301</v>
      </c>
      <c r="O62" s="143"/>
      <c r="P62" s="27"/>
      <c r="Q62" s="19"/>
      <c r="R62" s="19"/>
      <c r="S62" s="19"/>
      <c r="T62" s="19"/>
    </row>
    <row r="63" s="155" customFormat="1" ht="22.5" spans="1:20">
      <c r="A63" s="32"/>
      <c r="B63" s="32" t="s">
        <v>150</v>
      </c>
      <c r="C63" s="32"/>
      <c r="D63" s="32"/>
      <c r="E63" s="143" t="s">
        <v>151</v>
      </c>
      <c r="F63" s="139"/>
      <c r="G63" s="138"/>
      <c r="H63" s="139"/>
      <c r="I63" s="59"/>
      <c r="J63" s="138"/>
      <c r="K63" s="138"/>
      <c r="L63" s="138"/>
      <c r="M63" s="138"/>
      <c r="N63" s="138"/>
      <c r="O63" s="143"/>
      <c r="P63" s="27"/>
      <c r="Q63" s="19"/>
      <c r="R63" s="19"/>
      <c r="S63" s="19"/>
      <c r="T63" s="19"/>
    </row>
    <row r="64" s="155" customFormat="1" ht="57" customHeight="1" spans="1:20">
      <c r="A64" s="32">
        <v>42</v>
      </c>
      <c r="B64" s="32" t="s">
        <v>141</v>
      </c>
      <c r="C64" s="32" t="s">
        <v>152</v>
      </c>
      <c r="D64" s="32" t="s">
        <v>83</v>
      </c>
      <c r="E64" s="143">
        <f>1.24*1.5</f>
        <v>1.86</v>
      </c>
      <c r="F64" s="139">
        <v>115</v>
      </c>
      <c r="G64" s="138">
        <f>H64*(1+I64)</f>
        <v>714</v>
      </c>
      <c r="H64" s="139">
        <v>680</v>
      </c>
      <c r="I64" s="59">
        <v>0.05</v>
      </c>
      <c r="J64" s="138">
        <v>68</v>
      </c>
      <c r="K64" s="138">
        <f>(F64+G64+J64)*$K$5</f>
        <v>80.73</v>
      </c>
      <c r="L64" s="138">
        <f>(F64+G64+J64+K64)*$L$5</f>
        <v>87.9957</v>
      </c>
      <c r="M64" s="138">
        <f t="shared" ref="M64:M67" si="27">F64+G64+J64+K64+L64</f>
        <v>1065.7257</v>
      </c>
      <c r="N64" s="138">
        <f t="shared" ref="N64:N67" si="28">E64*M64</f>
        <v>1982.249802</v>
      </c>
      <c r="O64" s="143"/>
      <c r="P64" s="27"/>
      <c r="Q64" s="19"/>
      <c r="R64" s="19"/>
      <c r="S64" s="19"/>
      <c r="T64" s="19"/>
    </row>
    <row r="65" s="155" customFormat="1" ht="68" customHeight="1" spans="1:20">
      <c r="A65" s="32">
        <v>43</v>
      </c>
      <c r="B65" s="32" t="s">
        <v>153</v>
      </c>
      <c r="C65" s="32" t="s">
        <v>154</v>
      </c>
      <c r="D65" s="32" t="s">
        <v>83</v>
      </c>
      <c r="E65" s="143">
        <f>1.4*2.5</f>
        <v>3.5</v>
      </c>
      <c r="F65" s="139">
        <v>110</v>
      </c>
      <c r="G65" s="138">
        <f t="shared" ref="G64:G67" si="29">H65*(1+I65)</f>
        <v>414.75</v>
      </c>
      <c r="H65" s="139">
        <v>395</v>
      </c>
      <c r="I65" s="59">
        <v>0.05</v>
      </c>
      <c r="J65" s="138">
        <v>32</v>
      </c>
      <c r="K65" s="138">
        <f>(F65+G65+J65)*$K$5</f>
        <v>50.1075</v>
      </c>
      <c r="L65" s="138">
        <f>(F65+G65+J65+K65)*$L$5</f>
        <v>54.617175</v>
      </c>
      <c r="M65" s="138">
        <f t="shared" si="27"/>
        <v>661.474675</v>
      </c>
      <c r="N65" s="138">
        <f t="shared" si="28"/>
        <v>2315.1613625</v>
      </c>
      <c r="O65" s="143"/>
      <c r="P65" s="27"/>
      <c r="Q65" s="19"/>
      <c r="R65" s="19"/>
      <c r="S65" s="19"/>
      <c r="T65" s="19"/>
    </row>
    <row r="66" s="155" customFormat="1" ht="49" customHeight="1" spans="1:20">
      <c r="A66" s="32">
        <v>44</v>
      </c>
      <c r="B66" s="32" t="s">
        <v>139</v>
      </c>
      <c r="C66" s="32" t="s">
        <v>155</v>
      </c>
      <c r="D66" s="32" t="s">
        <v>83</v>
      </c>
      <c r="E66" s="143">
        <f>7.7*3.1-1.47*3.1-2.74-3.14*0.8*0.8*0.5-1.4*1.22-1.4*0.45</f>
        <v>13.2302</v>
      </c>
      <c r="F66" s="139">
        <v>80</v>
      </c>
      <c r="G66" s="138">
        <f t="shared" si="29"/>
        <v>325.5</v>
      </c>
      <c r="H66" s="139">
        <v>310</v>
      </c>
      <c r="I66" s="59">
        <v>0.05</v>
      </c>
      <c r="J66" s="138">
        <v>38</v>
      </c>
      <c r="K66" s="138">
        <f>(F66+G66+J66)*$K$5</f>
        <v>39.915</v>
      </c>
      <c r="L66" s="138">
        <f>(F66+G66+J66+K66)*$L$5</f>
        <v>43.50735</v>
      </c>
      <c r="M66" s="138">
        <f t="shared" si="27"/>
        <v>526.92235</v>
      </c>
      <c r="N66" s="138">
        <f t="shared" si="28"/>
        <v>6971.28807497</v>
      </c>
      <c r="O66" s="143"/>
      <c r="P66" s="27"/>
      <c r="Q66" s="19"/>
      <c r="R66" s="19"/>
      <c r="S66" s="19"/>
      <c r="T66" s="19"/>
    </row>
    <row r="67" s="155" customFormat="1" ht="69" customHeight="1" spans="1:20">
      <c r="A67" s="32">
        <v>45</v>
      </c>
      <c r="B67" s="32" t="s">
        <v>156</v>
      </c>
      <c r="C67" s="32" t="s">
        <v>157</v>
      </c>
      <c r="D67" s="32" t="s">
        <v>83</v>
      </c>
      <c r="E67" s="143">
        <f>(1.692*2+3.14*0.8)*0.88</f>
        <v>5.18848</v>
      </c>
      <c r="F67" s="139">
        <v>55</v>
      </c>
      <c r="G67" s="138">
        <f t="shared" si="29"/>
        <v>260.925</v>
      </c>
      <c r="H67" s="139">
        <v>245</v>
      </c>
      <c r="I67" s="59">
        <v>0.065</v>
      </c>
      <c r="J67" s="138">
        <v>21</v>
      </c>
      <c r="K67" s="138">
        <f>(F67+G67+J67)*$K$5</f>
        <v>30.32325</v>
      </c>
      <c r="L67" s="138">
        <f>(F67+G67+J67+K67)*$L$5</f>
        <v>33.0523425</v>
      </c>
      <c r="M67" s="138">
        <f t="shared" si="27"/>
        <v>400.3005925</v>
      </c>
      <c r="N67" s="138">
        <f t="shared" si="28"/>
        <v>2076.9516181744</v>
      </c>
      <c r="O67" s="143"/>
      <c r="P67" s="27"/>
      <c r="Q67" s="19"/>
      <c r="R67" s="19"/>
      <c r="S67" s="19"/>
      <c r="T67" s="19"/>
    </row>
    <row r="68" s="155" customFormat="1" ht="22.5" spans="1:20">
      <c r="A68" s="32"/>
      <c r="B68" s="32" t="s">
        <v>158</v>
      </c>
      <c r="C68" s="32"/>
      <c r="D68" s="32"/>
      <c r="E68" s="143"/>
      <c r="F68" s="139"/>
      <c r="G68" s="138"/>
      <c r="H68" s="139"/>
      <c r="I68" s="59"/>
      <c r="J68" s="138"/>
      <c r="K68" s="138"/>
      <c r="L68" s="138"/>
      <c r="M68" s="138"/>
      <c r="N68" s="138"/>
      <c r="O68" s="143"/>
      <c r="P68" s="27"/>
      <c r="Q68" s="19"/>
      <c r="R68" s="19"/>
      <c r="S68" s="19"/>
      <c r="T68" s="19"/>
    </row>
    <row r="69" s="155" customFormat="1" ht="72" customHeight="1" spans="1:20">
      <c r="A69" s="32">
        <v>46</v>
      </c>
      <c r="B69" s="32" t="s">
        <v>159</v>
      </c>
      <c r="C69" s="32" t="s">
        <v>160</v>
      </c>
      <c r="D69" s="32" t="s">
        <v>83</v>
      </c>
      <c r="E69" s="143">
        <f>1.89*2.6</f>
        <v>4.914</v>
      </c>
      <c r="F69" s="139">
        <v>95</v>
      </c>
      <c r="G69" s="138">
        <f t="shared" ref="G69:G74" si="30">H69*(1+I69)</f>
        <v>308</v>
      </c>
      <c r="H69" s="139">
        <v>280</v>
      </c>
      <c r="I69" s="59">
        <v>0.1</v>
      </c>
      <c r="J69" s="138">
        <v>80</v>
      </c>
      <c r="K69" s="138">
        <f>(F69+G69+J69)*$K$5</f>
        <v>43.47</v>
      </c>
      <c r="L69" s="138">
        <f>(F69+G69+J69+K69)*$L$5</f>
        <v>47.3823</v>
      </c>
      <c r="M69" s="138">
        <f t="shared" ref="M69:M74" si="31">F69+G69+J69+K69+L69</f>
        <v>573.8523</v>
      </c>
      <c r="N69" s="138">
        <f t="shared" ref="N69:N74" si="32">E69*M69</f>
        <v>2819.9102022</v>
      </c>
      <c r="O69" s="143" t="s">
        <v>84</v>
      </c>
      <c r="P69" s="27"/>
      <c r="Q69" s="19"/>
      <c r="R69" s="19"/>
      <c r="S69" s="19"/>
      <c r="T69" s="19"/>
    </row>
    <row r="70" s="155" customFormat="1" ht="50" customHeight="1" spans="1:20">
      <c r="A70" s="32">
        <v>47</v>
      </c>
      <c r="B70" s="32" t="s">
        <v>161</v>
      </c>
      <c r="C70" s="32" t="s">
        <v>162</v>
      </c>
      <c r="D70" s="32" t="s">
        <v>83</v>
      </c>
      <c r="E70" s="143">
        <f>4.9*2.25+1.5*2.25</f>
        <v>14.4</v>
      </c>
      <c r="F70" s="139">
        <v>115</v>
      </c>
      <c r="G70" s="138">
        <f t="shared" si="30"/>
        <v>315</v>
      </c>
      <c r="H70" s="139">
        <v>300</v>
      </c>
      <c r="I70" s="59">
        <v>0.05</v>
      </c>
      <c r="J70" s="138">
        <v>68</v>
      </c>
      <c r="K70" s="138">
        <f>(F70+G70+J70)*$K$5</f>
        <v>44.82</v>
      </c>
      <c r="L70" s="138">
        <f>(F70+G70+J70+K70)*$L$5</f>
        <v>48.8538</v>
      </c>
      <c r="M70" s="138">
        <f t="shared" si="31"/>
        <v>591.6738</v>
      </c>
      <c r="N70" s="138">
        <f t="shared" si="32"/>
        <v>8520.10272</v>
      </c>
      <c r="O70" s="143"/>
      <c r="P70" s="27"/>
      <c r="Q70" s="19"/>
      <c r="R70" s="19"/>
      <c r="S70" s="19"/>
      <c r="T70" s="19"/>
    </row>
    <row r="71" s="155" customFormat="1" ht="44" customHeight="1" spans="1:20">
      <c r="A71" s="32">
        <v>48</v>
      </c>
      <c r="B71" s="32" t="s">
        <v>163</v>
      </c>
      <c r="C71" s="32" t="s">
        <v>164</v>
      </c>
      <c r="D71" s="32" t="s">
        <v>101</v>
      </c>
      <c r="E71" s="143">
        <f>1.93*2+2.09</f>
        <v>5.95</v>
      </c>
      <c r="F71" s="139">
        <v>15</v>
      </c>
      <c r="G71" s="138">
        <f t="shared" si="30"/>
        <v>82.4</v>
      </c>
      <c r="H71" s="139">
        <v>80</v>
      </c>
      <c r="I71" s="59">
        <v>0.03</v>
      </c>
      <c r="J71" s="138">
        <v>10</v>
      </c>
      <c r="K71" s="138">
        <f>(F71+G71+J71)*$K$5</f>
        <v>9.666</v>
      </c>
      <c r="L71" s="138">
        <f>(F71+G71+J71+K71)*$L$5</f>
        <v>10.53594</v>
      </c>
      <c r="M71" s="138">
        <f t="shared" si="31"/>
        <v>127.60194</v>
      </c>
      <c r="N71" s="138">
        <f t="shared" si="32"/>
        <v>759.231543</v>
      </c>
      <c r="O71" s="143"/>
      <c r="P71" s="27"/>
      <c r="Q71" s="19"/>
      <c r="R71" s="19"/>
      <c r="S71" s="19"/>
      <c r="T71" s="19"/>
    </row>
    <row r="72" s="155" customFormat="1" ht="100" customHeight="1" spans="1:20">
      <c r="A72" s="32">
        <v>49</v>
      </c>
      <c r="B72" s="32" t="s">
        <v>134</v>
      </c>
      <c r="C72" s="32" t="s">
        <v>165</v>
      </c>
      <c r="D72" s="32" t="s">
        <v>83</v>
      </c>
      <c r="E72" s="143">
        <f>2.6*2.25-1.93*2.09</f>
        <v>1.8163</v>
      </c>
      <c r="F72" s="139">
        <v>18</v>
      </c>
      <c r="G72" s="138">
        <f t="shared" si="30"/>
        <v>18.02</v>
      </c>
      <c r="H72" s="139">
        <v>17</v>
      </c>
      <c r="I72" s="59">
        <v>0.06</v>
      </c>
      <c r="J72" s="138">
        <v>8</v>
      </c>
      <c r="K72" s="138">
        <f>(F72+G72+J72)*$K$5</f>
        <v>3.9618</v>
      </c>
      <c r="L72" s="138">
        <f>(F72+G72+J72+K72)*$L$5</f>
        <v>4.318362</v>
      </c>
      <c r="M72" s="138">
        <f t="shared" si="31"/>
        <v>52.300162</v>
      </c>
      <c r="N72" s="138">
        <f t="shared" si="32"/>
        <v>94.9927842406</v>
      </c>
      <c r="O72" s="143"/>
      <c r="P72" s="27"/>
      <c r="Q72" s="19"/>
      <c r="R72" s="19"/>
      <c r="S72" s="19"/>
      <c r="T72" s="19"/>
    </row>
    <row r="73" s="155" customFormat="1" ht="33.75" spans="1:20">
      <c r="A73" s="32">
        <v>50</v>
      </c>
      <c r="B73" s="32" t="s">
        <v>166</v>
      </c>
      <c r="C73" s="32" t="s">
        <v>167</v>
      </c>
      <c r="D73" s="32" t="s">
        <v>101</v>
      </c>
      <c r="E73" s="143">
        <v>2.09</v>
      </c>
      <c r="F73" s="139">
        <v>80</v>
      </c>
      <c r="G73" s="138">
        <f t="shared" si="30"/>
        <v>434.6</v>
      </c>
      <c r="H73" s="139">
        <v>410</v>
      </c>
      <c r="I73" s="59">
        <v>0.06</v>
      </c>
      <c r="J73" s="138">
        <v>42</v>
      </c>
      <c r="K73" s="138">
        <f>(F73+G73+J73)*$K$5</f>
        <v>50.094</v>
      </c>
      <c r="L73" s="138">
        <f>(F73+G73+J73+K73)*$L$5</f>
        <v>54.60246</v>
      </c>
      <c r="M73" s="138">
        <f t="shared" si="31"/>
        <v>661.29646</v>
      </c>
      <c r="N73" s="138">
        <f t="shared" si="32"/>
        <v>1382.1096014</v>
      </c>
      <c r="O73" s="143"/>
      <c r="P73" s="27"/>
      <c r="Q73" s="19"/>
      <c r="R73" s="19"/>
      <c r="S73" s="19"/>
      <c r="T73" s="19"/>
    </row>
    <row r="74" s="155" customFormat="1" ht="67" customHeight="1" spans="1:20">
      <c r="A74" s="32">
        <v>51</v>
      </c>
      <c r="B74" s="32" t="s">
        <v>102</v>
      </c>
      <c r="C74" s="32" t="s">
        <v>121</v>
      </c>
      <c r="D74" s="32" t="s">
        <v>101</v>
      </c>
      <c r="E74" s="143">
        <v>2.6</v>
      </c>
      <c r="F74" s="139">
        <v>20</v>
      </c>
      <c r="G74" s="138">
        <f t="shared" si="30"/>
        <v>25.75</v>
      </c>
      <c r="H74" s="139">
        <v>25</v>
      </c>
      <c r="I74" s="59">
        <v>0.03</v>
      </c>
      <c r="J74" s="138">
        <v>8</v>
      </c>
      <c r="K74" s="138">
        <f>(F74+G74+J74)*$K$5</f>
        <v>4.8375</v>
      </c>
      <c r="L74" s="138">
        <f>(F74+G74+J74+K74)*$L$5</f>
        <v>5.272875</v>
      </c>
      <c r="M74" s="138">
        <f t="shared" si="31"/>
        <v>63.860375</v>
      </c>
      <c r="N74" s="138">
        <f t="shared" si="32"/>
        <v>166.036975</v>
      </c>
      <c r="O74" s="143"/>
      <c r="P74" s="27"/>
      <c r="Q74" s="19"/>
      <c r="R74" s="19"/>
      <c r="S74" s="19"/>
      <c r="T74" s="19"/>
    </row>
    <row r="75" s="155" customFormat="1" ht="22.5" spans="1:20">
      <c r="A75" s="32"/>
      <c r="B75" s="32" t="s">
        <v>168</v>
      </c>
      <c r="C75" s="32"/>
      <c r="D75" s="32"/>
      <c r="E75" s="143"/>
      <c r="F75" s="139"/>
      <c r="G75" s="138"/>
      <c r="H75" s="139"/>
      <c r="I75" s="59"/>
      <c r="J75" s="138"/>
      <c r="K75" s="138"/>
      <c r="L75" s="138"/>
      <c r="M75" s="138"/>
      <c r="N75" s="138"/>
      <c r="O75" s="143"/>
      <c r="P75" s="27"/>
      <c r="Q75" s="19"/>
      <c r="R75" s="19"/>
      <c r="S75" s="19"/>
      <c r="T75" s="19"/>
    </row>
    <row r="76" s="155" customFormat="1" ht="98" customHeight="1" spans="1:20">
      <c r="A76" s="32">
        <v>52</v>
      </c>
      <c r="B76" s="32" t="s">
        <v>134</v>
      </c>
      <c r="C76" s="32" t="s">
        <v>165</v>
      </c>
      <c r="D76" s="32" t="s">
        <v>83</v>
      </c>
      <c r="E76" s="143">
        <f>2.24*3.1-1.44*1.93+0.6*3.1+2.08*0.6+0.1*2.44+0.8*3.1*2</f>
        <v>12.4768</v>
      </c>
      <c r="F76" s="139">
        <v>18</v>
      </c>
      <c r="G76" s="138">
        <f>H76*(1+I76)</f>
        <v>18.02</v>
      </c>
      <c r="H76" s="139">
        <v>17</v>
      </c>
      <c r="I76" s="59">
        <v>0.06</v>
      </c>
      <c r="J76" s="138">
        <v>8</v>
      </c>
      <c r="K76" s="138">
        <f>(F76+G76+J76)*$K$5</f>
        <v>3.9618</v>
      </c>
      <c r="L76" s="138">
        <f>(F76+G76+J76+K76)*$L$5</f>
        <v>4.318362</v>
      </c>
      <c r="M76" s="138">
        <f t="shared" ref="M76:M78" si="33">F76+G76+J76+K76+L76</f>
        <v>52.300162</v>
      </c>
      <c r="N76" s="138">
        <f t="shared" ref="N76:N78" si="34">E76*M76</f>
        <v>652.5386612416</v>
      </c>
      <c r="O76" s="143"/>
      <c r="P76" s="27"/>
      <c r="Q76" s="19"/>
      <c r="R76" s="19"/>
      <c r="S76" s="19"/>
      <c r="T76" s="19"/>
    </row>
    <row r="77" s="155" customFormat="1" ht="79" customHeight="1" spans="1:20">
      <c r="A77" s="32">
        <v>53</v>
      </c>
      <c r="B77" s="32" t="s">
        <v>156</v>
      </c>
      <c r="C77" s="32" t="s">
        <v>169</v>
      </c>
      <c r="D77" s="32" t="s">
        <v>83</v>
      </c>
      <c r="E77" s="143">
        <f>2.49*2+2.08</f>
        <v>7.06</v>
      </c>
      <c r="F77" s="139">
        <v>55</v>
      </c>
      <c r="G77" s="138">
        <f>H77*(1+I77)</f>
        <v>260.925</v>
      </c>
      <c r="H77" s="139">
        <v>245</v>
      </c>
      <c r="I77" s="59">
        <v>0.065</v>
      </c>
      <c r="J77" s="138">
        <v>21</v>
      </c>
      <c r="K77" s="138">
        <f>(F77+G77+J77)*$K$5</f>
        <v>30.32325</v>
      </c>
      <c r="L77" s="138">
        <f>(F77+G77+J77+K77)*$L$5</f>
        <v>33.0523425</v>
      </c>
      <c r="M77" s="138">
        <f t="shared" si="33"/>
        <v>400.3005925</v>
      </c>
      <c r="N77" s="138">
        <f t="shared" si="34"/>
        <v>2826.12218305</v>
      </c>
      <c r="O77" s="143"/>
      <c r="P77" s="27"/>
      <c r="Q77" s="19"/>
      <c r="R77" s="19"/>
      <c r="S77" s="19"/>
      <c r="T77" s="19"/>
    </row>
    <row r="78" s="155" customFormat="1" ht="61" customHeight="1" spans="1:20">
      <c r="A78" s="32">
        <v>54</v>
      </c>
      <c r="B78" s="32" t="s">
        <v>102</v>
      </c>
      <c r="C78" s="32" t="s">
        <v>121</v>
      </c>
      <c r="D78" s="32" t="s">
        <v>101</v>
      </c>
      <c r="E78" s="143">
        <v>2.24</v>
      </c>
      <c r="F78" s="139">
        <v>20</v>
      </c>
      <c r="G78" s="138">
        <f t="shared" ref="G76:G78" si="35">H78*(1+I78)</f>
        <v>25.75</v>
      </c>
      <c r="H78" s="139">
        <v>25</v>
      </c>
      <c r="I78" s="59">
        <v>0.03</v>
      </c>
      <c r="J78" s="138">
        <v>8</v>
      </c>
      <c r="K78" s="138">
        <f>(F78+G78+J78)*$K$5</f>
        <v>4.8375</v>
      </c>
      <c r="L78" s="138">
        <f>(F78+G78+J78+K78)*$L$5</f>
        <v>5.272875</v>
      </c>
      <c r="M78" s="138">
        <f t="shared" si="33"/>
        <v>63.860375</v>
      </c>
      <c r="N78" s="138">
        <f t="shared" si="34"/>
        <v>143.04724</v>
      </c>
      <c r="O78" s="143"/>
      <c r="P78" s="27"/>
      <c r="Q78" s="19"/>
      <c r="R78" s="19"/>
      <c r="S78" s="19"/>
      <c r="T78" s="19"/>
    </row>
    <row r="79" s="155" customFormat="1" ht="22.5" spans="1:20">
      <c r="A79" s="32"/>
      <c r="B79" s="32" t="s">
        <v>170</v>
      </c>
      <c r="C79" s="32"/>
      <c r="D79" s="32"/>
      <c r="E79" s="143"/>
      <c r="F79" s="139"/>
      <c r="G79" s="138"/>
      <c r="H79" s="139"/>
      <c r="I79" s="59"/>
      <c r="J79" s="138"/>
      <c r="K79" s="138"/>
      <c r="L79" s="138"/>
      <c r="M79" s="138"/>
      <c r="N79" s="138"/>
      <c r="O79" s="143"/>
      <c r="P79" s="27"/>
      <c r="Q79" s="19"/>
      <c r="R79" s="19"/>
      <c r="S79" s="19"/>
      <c r="T79" s="19"/>
    </row>
    <row r="80" s="155" customFormat="1" ht="109" customHeight="1" spans="1:20">
      <c r="A80" s="32">
        <v>55</v>
      </c>
      <c r="B80" s="32" t="s">
        <v>134</v>
      </c>
      <c r="C80" s="32" t="s">
        <v>165</v>
      </c>
      <c r="D80" s="32" t="s">
        <v>83</v>
      </c>
      <c r="E80" s="143">
        <f>1.07*2.69</f>
        <v>2.8783</v>
      </c>
      <c r="F80" s="139">
        <v>18</v>
      </c>
      <c r="G80" s="138">
        <f>H80*(1+I80)</f>
        <v>18.02</v>
      </c>
      <c r="H80" s="139">
        <v>17</v>
      </c>
      <c r="I80" s="59">
        <v>0.06</v>
      </c>
      <c r="J80" s="138">
        <v>8</v>
      </c>
      <c r="K80" s="138">
        <f>(F80+G80+J80)*$K$5</f>
        <v>3.9618</v>
      </c>
      <c r="L80" s="138">
        <f>(F80+G80+J80+K80)*$L$5</f>
        <v>4.318362</v>
      </c>
      <c r="M80" s="138">
        <f t="shared" ref="M80:M82" si="36">F80+G80+J80+K80+L80</f>
        <v>52.300162</v>
      </c>
      <c r="N80" s="138">
        <f t="shared" ref="N80:N82" si="37">E80*M80</f>
        <v>150.5355562846</v>
      </c>
      <c r="O80" s="143"/>
      <c r="P80" s="27"/>
      <c r="Q80" s="19"/>
      <c r="R80" s="19"/>
      <c r="S80" s="19"/>
      <c r="T80" s="19"/>
    </row>
    <row r="81" s="155" customFormat="1" ht="62" customHeight="1" spans="1:20">
      <c r="A81" s="32">
        <v>56</v>
      </c>
      <c r="B81" s="32" t="s">
        <v>102</v>
      </c>
      <c r="C81" s="32" t="s">
        <v>121</v>
      </c>
      <c r="D81" s="32" t="s">
        <v>101</v>
      </c>
      <c r="E81" s="143">
        <f>6.77+3.6+3.24+3.14</f>
        <v>16.75</v>
      </c>
      <c r="F81" s="139">
        <v>20</v>
      </c>
      <c r="G81" s="138">
        <f t="shared" ref="G80:G82" si="38">H81*(1+I81)</f>
        <v>25.75</v>
      </c>
      <c r="H81" s="139">
        <v>25</v>
      </c>
      <c r="I81" s="59">
        <v>0.03</v>
      </c>
      <c r="J81" s="138">
        <v>8</v>
      </c>
      <c r="K81" s="138">
        <f>(F81+G81+J81)*$K$5</f>
        <v>4.8375</v>
      </c>
      <c r="L81" s="138">
        <f>(F81+G81+J81+K81)*$L$5</f>
        <v>5.272875</v>
      </c>
      <c r="M81" s="138">
        <f t="shared" si="36"/>
        <v>63.860375</v>
      </c>
      <c r="N81" s="138">
        <f t="shared" si="37"/>
        <v>1069.66128125</v>
      </c>
      <c r="O81" s="143"/>
      <c r="P81" s="27"/>
      <c r="Q81" s="19"/>
      <c r="R81" s="19"/>
      <c r="S81" s="19"/>
      <c r="T81" s="19"/>
    </row>
    <row r="82" s="155" customFormat="1" ht="22" customHeight="1" spans="1:20">
      <c r="A82" s="32">
        <v>57</v>
      </c>
      <c r="B82" s="32" t="s">
        <v>171</v>
      </c>
      <c r="C82" s="32" t="s">
        <v>172</v>
      </c>
      <c r="D82" s="32" t="s">
        <v>173</v>
      </c>
      <c r="E82" s="143">
        <v>3</v>
      </c>
      <c r="F82" s="139">
        <v>115</v>
      </c>
      <c r="G82" s="138">
        <f t="shared" si="38"/>
        <v>525</v>
      </c>
      <c r="H82" s="139">
        <v>500</v>
      </c>
      <c r="I82" s="59">
        <v>0.05</v>
      </c>
      <c r="J82" s="138">
        <v>68</v>
      </c>
      <c r="K82" s="138">
        <f>(F82+G82+J82)*$K$5</f>
        <v>63.72</v>
      </c>
      <c r="L82" s="138">
        <f>(F82+G82+J82+K82)*$L$5</f>
        <v>69.4548</v>
      </c>
      <c r="M82" s="138">
        <f t="shared" si="36"/>
        <v>841.1748</v>
      </c>
      <c r="N82" s="138">
        <f t="shared" si="37"/>
        <v>2523.5244</v>
      </c>
      <c r="O82" s="143"/>
      <c r="P82" s="27"/>
      <c r="Q82" s="19"/>
      <c r="R82" s="19"/>
      <c r="S82" s="19"/>
      <c r="T82" s="19"/>
    </row>
    <row r="83" s="156" customFormat="1" ht="16" customHeight="1" spans="1:20">
      <c r="A83" s="31"/>
      <c r="B83" s="32"/>
      <c r="C83" s="32" t="s">
        <v>174</v>
      </c>
      <c r="D83" s="32"/>
      <c r="E83" s="143"/>
      <c r="F83" s="32"/>
      <c r="G83" s="32"/>
      <c r="H83" s="32"/>
      <c r="I83" s="32"/>
      <c r="J83" s="32"/>
      <c r="K83" s="32"/>
      <c r="L83" s="32"/>
      <c r="M83" s="32"/>
      <c r="N83" s="143">
        <f>SUM(N7:N82)</f>
        <v>165135.662631797</v>
      </c>
      <c r="O83" s="32"/>
      <c r="P83" s="27"/>
      <c r="Q83" s="19"/>
      <c r="R83" s="19"/>
      <c r="S83" s="19"/>
      <c r="T83" s="19"/>
    </row>
    <row r="84" s="156" customFormat="1" ht="36" customHeight="1" spans="1:20">
      <c r="A84" s="159" t="s">
        <v>175</v>
      </c>
      <c r="B84" s="160" t="s">
        <v>176</v>
      </c>
      <c r="C84" s="160"/>
      <c r="D84" s="160"/>
      <c r="E84" s="169"/>
      <c r="F84" s="160"/>
      <c r="G84" s="160"/>
      <c r="H84" s="160"/>
      <c r="I84" s="160"/>
      <c r="J84" s="160"/>
      <c r="K84" s="160"/>
      <c r="L84" s="160"/>
      <c r="M84" s="160"/>
      <c r="N84" s="160"/>
      <c r="O84" s="160"/>
      <c r="P84" s="27"/>
      <c r="Q84" s="19"/>
      <c r="R84" s="19"/>
      <c r="S84" s="19"/>
      <c r="T84" s="19"/>
    </row>
  </sheetData>
  <autoFilter ref="A5:T84">
    <extLst/>
  </autoFilter>
  <mergeCells count="16">
    <mergeCell ref="A1:O1"/>
    <mergeCell ref="A2:F2"/>
    <mergeCell ref="G2:M2"/>
    <mergeCell ref="N2:O2"/>
    <mergeCell ref="F3:L3"/>
    <mergeCell ref="B84:O84"/>
    <mergeCell ref="A3:A5"/>
    <mergeCell ref="B3:B5"/>
    <mergeCell ref="C3:C5"/>
    <mergeCell ref="D3:D5"/>
    <mergeCell ref="E3:E5"/>
    <mergeCell ref="F4:F5"/>
    <mergeCell ref="J4:J5"/>
    <mergeCell ref="M3:M5"/>
    <mergeCell ref="N3:N5"/>
    <mergeCell ref="O3:O5"/>
  </mergeCells>
  <pageMargins left="0.751388888888889" right="0.66875" top="0.786805555555556" bottom="0.66875" header="0.5" footer="0.5"/>
  <pageSetup paperSize="9" scale="90"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view="pageBreakPreview" zoomScale="115" zoomScaleNormal="100" workbookViewId="0">
      <selection activeCell="E7" sqref="E7"/>
    </sheetView>
  </sheetViews>
  <sheetFormatPr defaultColWidth="9" defaultRowHeight="25" customHeight="1"/>
  <cols>
    <col min="1" max="1" width="5.28571428571429" style="156" customWidth="1"/>
    <col min="2" max="2" width="9.43809523809524" style="156" customWidth="1"/>
    <col min="3" max="3" width="38.1428571428571" style="156" customWidth="1"/>
    <col min="4" max="4" width="6.42857142857143" style="156" customWidth="1"/>
    <col min="5" max="5" width="9.16190476190476" style="157" customWidth="1"/>
    <col min="6" max="6" width="7.28571428571429" style="156" customWidth="1"/>
    <col min="7" max="7" width="11.0857142857143" style="156" customWidth="1"/>
    <col min="8" max="8" width="7.37142857142857" style="156" customWidth="1"/>
    <col min="9" max="9" width="5.85714285714286" style="156" customWidth="1"/>
    <col min="10" max="10" width="8.69523809523809" style="156" customWidth="1"/>
    <col min="11" max="11" width="8.57142857142857" style="156" customWidth="1"/>
    <col min="12" max="12" width="8.14285714285714" style="156" customWidth="1"/>
    <col min="13" max="13" width="10.1142857142857" style="156" customWidth="1"/>
    <col min="14" max="14" width="11.1714285714286" style="156" customWidth="1"/>
    <col min="15" max="15" width="8.57142857142857" style="156" customWidth="1"/>
    <col min="16" max="16" width="12.2857142857143" style="158" customWidth="1"/>
    <col min="17" max="18" width="11" style="156"/>
    <col min="19" max="16384" width="9" style="156"/>
  </cols>
  <sheetData>
    <row r="1" s="155" customFormat="1" customHeight="1" spans="1:20">
      <c r="A1" s="28" t="s">
        <v>177</v>
      </c>
      <c r="B1" s="28"/>
      <c r="C1" s="28"/>
      <c r="D1" s="28"/>
      <c r="E1" s="56"/>
      <c r="F1" s="28"/>
      <c r="G1" s="28"/>
      <c r="H1" s="28"/>
      <c r="I1" s="28"/>
      <c r="J1" s="28"/>
      <c r="K1" s="28"/>
      <c r="L1" s="28"/>
      <c r="M1" s="28"/>
      <c r="N1" s="28"/>
      <c r="O1" s="28"/>
      <c r="P1" s="27"/>
      <c r="Q1" s="19"/>
      <c r="R1" s="19"/>
      <c r="S1" s="19"/>
      <c r="T1" s="19"/>
    </row>
    <row r="2" s="155" customFormat="1" customHeight="1" spans="1:20">
      <c r="A2" s="29" t="s">
        <v>178</v>
      </c>
      <c r="B2" s="29"/>
      <c r="C2" s="29"/>
      <c r="D2" s="29"/>
      <c r="E2" s="57"/>
      <c r="F2" s="29"/>
      <c r="G2" s="29"/>
      <c r="H2" s="29"/>
      <c r="I2" s="29"/>
      <c r="J2" s="29"/>
      <c r="K2" s="29"/>
      <c r="L2" s="29"/>
      <c r="M2" s="29"/>
      <c r="N2" s="29"/>
      <c r="O2" s="29"/>
      <c r="P2" s="27"/>
      <c r="Q2" s="19"/>
      <c r="R2" s="19"/>
      <c r="S2" s="19"/>
      <c r="T2" s="19"/>
    </row>
    <row r="3" s="155" customFormat="1" customHeight="1" spans="1:20">
      <c r="A3" s="32" t="s">
        <v>1</v>
      </c>
      <c r="B3" s="32" t="s">
        <v>63</v>
      </c>
      <c r="C3" s="32" t="s">
        <v>64</v>
      </c>
      <c r="D3" s="32" t="s">
        <v>29</v>
      </c>
      <c r="E3" s="58" t="s">
        <v>65</v>
      </c>
      <c r="F3" s="32" t="s">
        <v>66</v>
      </c>
      <c r="G3" s="32"/>
      <c r="H3" s="32"/>
      <c r="I3" s="32"/>
      <c r="J3" s="32"/>
      <c r="K3" s="32"/>
      <c r="L3" s="32"/>
      <c r="M3" s="32" t="s">
        <v>67</v>
      </c>
      <c r="N3" s="32" t="s">
        <v>68</v>
      </c>
      <c r="O3" s="32" t="s">
        <v>69</v>
      </c>
      <c r="P3" s="27"/>
      <c r="Q3" s="19"/>
      <c r="R3" s="19"/>
      <c r="S3" s="19"/>
      <c r="T3" s="19"/>
    </row>
    <row r="4" s="155" customFormat="1" customHeight="1" spans="1:20">
      <c r="A4" s="32"/>
      <c r="B4" s="32"/>
      <c r="C4" s="32"/>
      <c r="D4" s="32"/>
      <c r="E4" s="58"/>
      <c r="F4" s="32" t="s">
        <v>70</v>
      </c>
      <c r="G4" s="32" t="s">
        <v>71</v>
      </c>
      <c r="H4" s="32" t="s">
        <v>72</v>
      </c>
      <c r="I4" s="32" t="s">
        <v>73</v>
      </c>
      <c r="J4" s="32" t="s">
        <v>74</v>
      </c>
      <c r="K4" s="32" t="s">
        <v>75</v>
      </c>
      <c r="L4" s="32" t="s">
        <v>76</v>
      </c>
      <c r="M4" s="32"/>
      <c r="N4" s="32"/>
      <c r="O4" s="32"/>
      <c r="P4" s="27"/>
      <c r="Q4" s="19"/>
      <c r="R4" s="19"/>
      <c r="S4" s="19"/>
      <c r="T4" s="19"/>
    </row>
    <row r="5" s="155" customFormat="1" customHeight="1" spans="1:20">
      <c r="A5" s="32"/>
      <c r="B5" s="32"/>
      <c r="C5" s="32"/>
      <c r="D5" s="32"/>
      <c r="E5" s="58"/>
      <c r="F5" s="32"/>
      <c r="G5" s="32" t="s">
        <v>77</v>
      </c>
      <c r="H5" s="32" t="s">
        <v>78</v>
      </c>
      <c r="I5" s="32" t="s">
        <v>79</v>
      </c>
      <c r="J5" s="32"/>
      <c r="K5" s="59">
        <v>0.09</v>
      </c>
      <c r="L5" s="59">
        <v>0.09</v>
      </c>
      <c r="M5" s="32"/>
      <c r="N5" s="32"/>
      <c r="O5" s="32"/>
      <c r="P5" s="27"/>
      <c r="Q5" s="19"/>
      <c r="R5" s="19"/>
      <c r="S5" s="19"/>
      <c r="T5" s="19"/>
    </row>
    <row r="6" s="155" customFormat="1" customHeight="1" spans="1:20">
      <c r="A6" s="32"/>
      <c r="B6" s="32" t="s">
        <v>179</v>
      </c>
      <c r="C6" s="32"/>
      <c r="D6" s="32"/>
      <c r="E6" s="58"/>
      <c r="F6" s="139"/>
      <c r="G6" s="138"/>
      <c r="H6" s="139"/>
      <c r="I6" s="162"/>
      <c r="J6" s="138"/>
      <c r="K6" s="138"/>
      <c r="L6" s="138"/>
      <c r="M6" s="138">
        <f>SUM(N7:N12)</f>
        <v>55483.4430809068</v>
      </c>
      <c r="N6" s="138"/>
      <c r="O6" s="143"/>
      <c r="P6" s="27"/>
      <c r="Q6" s="19"/>
      <c r="R6" s="19"/>
      <c r="S6" s="19"/>
      <c r="T6" s="19"/>
    </row>
    <row r="7" s="155" customFormat="1" ht="74" customHeight="1" spans="1:20">
      <c r="A7" s="32">
        <v>1</v>
      </c>
      <c r="B7" s="32" t="s">
        <v>180</v>
      </c>
      <c r="C7" s="32" t="s">
        <v>181</v>
      </c>
      <c r="D7" s="32" t="s">
        <v>83</v>
      </c>
      <c r="E7" s="58">
        <v>26.70003167</v>
      </c>
      <c r="F7" s="139">
        <v>145</v>
      </c>
      <c r="G7" s="138">
        <f t="shared" ref="G7:G12" si="0">H7*(1+I7)</f>
        <v>255.84</v>
      </c>
      <c r="H7" s="139">
        <v>246</v>
      </c>
      <c r="I7" s="59">
        <v>0.04</v>
      </c>
      <c r="J7" s="138">
        <v>125</v>
      </c>
      <c r="K7" s="138">
        <f>(F7+G7+J7)*$K$5</f>
        <v>47.3256</v>
      </c>
      <c r="L7" s="138">
        <f>(F7+G7+J7+K7)*$L$5</f>
        <v>51.584904</v>
      </c>
      <c r="M7" s="138">
        <f t="shared" ref="M7:M12" si="1">F7+G7+J7+K7+L7</f>
        <v>624.750504</v>
      </c>
      <c r="N7" s="138">
        <f t="shared" ref="N7:N12" si="2">M7*E7</f>
        <v>16680.8582426485</v>
      </c>
      <c r="O7" s="143"/>
      <c r="P7" s="27"/>
      <c r="Q7" s="19"/>
      <c r="R7" s="19"/>
      <c r="S7" s="19"/>
      <c r="T7" s="19"/>
    </row>
    <row r="8" s="155" customFormat="1" ht="74" customHeight="1" spans="1:20">
      <c r="A8" s="32">
        <v>2</v>
      </c>
      <c r="B8" s="32" t="s">
        <v>182</v>
      </c>
      <c r="C8" s="32" t="s">
        <v>183</v>
      </c>
      <c r="D8" s="32" t="s">
        <v>83</v>
      </c>
      <c r="E8" s="58">
        <v>12.14090106</v>
      </c>
      <c r="F8" s="139">
        <v>145</v>
      </c>
      <c r="G8" s="138">
        <f t="shared" si="0"/>
        <v>255.84</v>
      </c>
      <c r="H8" s="139">
        <v>246</v>
      </c>
      <c r="I8" s="59">
        <v>0.04</v>
      </c>
      <c r="J8" s="138">
        <v>125</v>
      </c>
      <c r="K8" s="138">
        <f>(F8+G8+J8)*$K$5</f>
        <v>47.3256</v>
      </c>
      <c r="L8" s="138">
        <f>(F8+G8+J8+K8)*$L$5</f>
        <v>51.584904</v>
      </c>
      <c r="M8" s="138">
        <f t="shared" si="1"/>
        <v>624.750504</v>
      </c>
      <c r="N8" s="138">
        <f t="shared" si="2"/>
        <v>7585.03405624913</v>
      </c>
      <c r="O8" s="143"/>
      <c r="P8" s="27"/>
      <c r="Q8" s="19"/>
      <c r="R8" s="19"/>
      <c r="S8" s="19"/>
      <c r="T8" s="19"/>
    </row>
    <row r="9" s="155" customFormat="1" ht="72" customHeight="1" spans="1:20">
      <c r="A9" s="32">
        <v>3</v>
      </c>
      <c r="B9" s="32" t="s">
        <v>180</v>
      </c>
      <c r="C9" s="32" t="s">
        <v>184</v>
      </c>
      <c r="D9" s="32" t="s">
        <v>83</v>
      </c>
      <c r="E9" s="58">
        <v>11.98935</v>
      </c>
      <c r="F9" s="139">
        <v>145</v>
      </c>
      <c r="G9" s="138">
        <f t="shared" si="0"/>
        <v>255.84</v>
      </c>
      <c r="H9" s="139">
        <v>246</v>
      </c>
      <c r="I9" s="59">
        <v>0.04</v>
      </c>
      <c r="J9" s="138">
        <v>125</v>
      </c>
      <c r="K9" s="138">
        <f>(F9+G9+J9)*$K$5</f>
        <v>47.3256</v>
      </c>
      <c r="L9" s="138">
        <f>(F9+G9+J9+K9)*$L$5</f>
        <v>51.584904</v>
      </c>
      <c r="M9" s="138">
        <f t="shared" si="1"/>
        <v>624.750504</v>
      </c>
      <c r="N9" s="138">
        <f t="shared" si="2"/>
        <v>7490.3524551324</v>
      </c>
      <c r="O9" s="143"/>
      <c r="P9" s="27"/>
      <c r="Q9" s="19"/>
      <c r="R9" s="19"/>
      <c r="S9" s="19"/>
      <c r="T9" s="19"/>
    </row>
    <row r="10" s="155" customFormat="1" ht="75" customHeight="1" spans="1:20">
      <c r="A10" s="32">
        <v>4</v>
      </c>
      <c r="B10" s="32" t="s">
        <v>182</v>
      </c>
      <c r="C10" s="32" t="s">
        <v>185</v>
      </c>
      <c r="D10" s="32" t="s">
        <v>83</v>
      </c>
      <c r="E10" s="58">
        <v>11.3817</v>
      </c>
      <c r="F10" s="139">
        <v>145</v>
      </c>
      <c r="G10" s="138">
        <f t="shared" si="0"/>
        <v>255.84</v>
      </c>
      <c r="H10" s="139">
        <v>246</v>
      </c>
      <c r="I10" s="59">
        <v>0.04</v>
      </c>
      <c r="J10" s="138">
        <v>125</v>
      </c>
      <c r="K10" s="138">
        <f>(F10+G10+J10)*$K$5</f>
        <v>47.3256</v>
      </c>
      <c r="L10" s="138">
        <f>(F10+G10+J10+K10)*$L$5</f>
        <v>51.584904</v>
      </c>
      <c r="M10" s="138">
        <f t="shared" si="1"/>
        <v>624.750504</v>
      </c>
      <c r="N10" s="138">
        <f t="shared" si="2"/>
        <v>7110.7228113768</v>
      </c>
      <c r="O10" s="143"/>
      <c r="P10" s="27"/>
      <c r="Q10" s="19"/>
      <c r="R10" s="19"/>
      <c r="S10" s="19"/>
      <c r="T10" s="19"/>
    </row>
    <row r="11" s="155" customFormat="1" ht="91" customHeight="1" spans="1:20">
      <c r="A11" s="32">
        <v>5</v>
      </c>
      <c r="B11" s="32" t="s">
        <v>182</v>
      </c>
      <c r="C11" s="32" t="s">
        <v>186</v>
      </c>
      <c r="D11" s="32" t="s">
        <v>83</v>
      </c>
      <c r="E11" s="58">
        <f>4.55*4.15-0.4*4.55</f>
        <v>17.0625</v>
      </c>
      <c r="F11" s="139">
        <v>145</v>
      </c>
      <c r="G11" s="138">
        <f t="shared" si="0"/>
        <v>255.84</v>
      </c>
      <c r="H11" s="139">
        <v>246</v>
      </c>
      <c r="I11" s="59">
        <v>0.04</v>
      </c>
      <c r="J11" s="138">
        <v>125</v>
      </c>
      <c r="K11" s="138">
        <f>(F11+G11+J11)*$K$5</f>
        <v>47.3256</v>
      </c>
      <c r="L11" s="138">
        <f>(F11+G11+J11+K11)*$L$5</f>
        <v>51.584904</v>
      </c>
      <c r="M11" s="138">
        <f t="shared" si="1"/>
        <v>624.750504</v>
      </c>
      <c r="N11" s="138">
        <f t="shared" si="2"/>
        <v>10659.8054745</v>
      </c>
      <c r="O11" s="143"/>
      <c r="P11" s="27"/>
      <c r="Q11" s="19"/>
      <c r="R11" s="19"/>
      <c r="S11" s="19"/>
      <c r="T11" s="19"/>
    </row>
    <row r="12" s="155" customFormat="1" ht="89" customHeight="1" spans="1:20">
      <c r="A12" s="32">
        <v>6</v>
      </c>
      <c r="B12" s="32" t="s">
        <v>187</v>
      </c>
      <c r="C12" s="32" t="s">
        <v>188</v>
      </c>
      <c r="D12" s="32" t="s">
        <v>189</v>
      </c>
      <c r="E12" s="58">
        <v>1</v>
      </c>
      <c r="F12" s="139">
        <v>520</v>
      </c>
      <c r="G12" s="138">
        <f t="shared" si="0"/>
        <v>4248.61</v>
      </c>
      <c r="H12" s="139">
        <f>4250-1.39</f>
        <v>4248.61</v>
      </c>
      <c r="I12" s="59">
        <v>0</v>
      </c>
      <c r="J12" s="138">
        <v>245</v>
      </c>
      <c r="K12" s="138">
        <f>(F12+G12+J12)*$K$5</f>
        <v>451.2249</v>
      </c>
      <c r="L12" s="138">
        <f>(F12+G12+J12+K12)*$L$5</f>
        <v>491.835141</v>
      </c>
      <c r="M12" s="138">
        <f t="shared" si="1"/>
        <v>5956.670041</v>
      </c>
      <c r="N12" s="138">
        <f t="shared" si="2"/>
        <v>5956.670041</v>
      </c>
      <c r="O12" s="143"/>
      <c r="P12" s="27"/>
      <c r="Q12" s="19"/>
      <c r="R12" s="19"/>
      <c r="S12" s="19"/>
      <c r="T12" s="19"/>
    </row>
    <row r="13" s="155" customFormat="1" customHeight="1" spans="1:20">
      <c r="A13" s="32"/>
      <c r="B13" s="32" t="s">
        <v>190</v>
      </c>
      <c r="C13" s="32"/>
      <c r="D13" s="32"/>
      <c r="E13" s="58"/>
      <c r="F13" s="139"/>
      <c r="G13" s="138"/>
      <c r="H13" s="139"/>
      <c r="I13" s="162"/>
      <c r="J13" s="138"/>
      <c r="K13" s="138"/>
      <c r="L13" s="138"/>
      <c r="M13" s="138">
        <f>SUM(N14:N19)</f>
        <v>63791.4741896398</v>
      </c>
      <c r="N13" s="138"/>
      <c r="O13" s="143"/>
      <c r="P13" s="27"/>
      <c r="Q13" s="19"/>
      <c r="R13" s="19"/>
      <c r="S13" s="19"/>
      <c r="T13" s="19"/>
    </row>
    <row r="14" s="155" customFormat="1" ht="93" customHeight="1" spans="1:20">
      <c r="A14" s="32">
        <v>1</v>
      </c>
      <c r="B14" s="32" t="s">
        <v>180</v>
      </c>
      <c r="C14" s="32" t="s">
        <v>191</v>
      </c>
      <c r="D14" s="32" t="s">
        <v>83</v>
      </c>
      <c r="E14" s="58">
        <f>(1.47+0.05+0.03+0.05+0.03+0.4+0.03+0.671+0.03)*9.6+(0.05+0.05+0.03+1.55+0.03+0.03+0.04+0.03+0.669+0.03)*7.8</f>
        <v>46.0758</v>
      </c>
      <c r="F14" s="139">
        <v>145</v>
      </c>
      <c r="G14" s="138">
        <f t="shared" ref="G14:G19" si="3">H14*(1+I14)</f>
        <v>255.84</v>
      </c>
      <c r="H14" s="139">
        <v>246</v>
      </c>
      <c r="I14" s="59">
        <v>0.04</v>
      </c>
      <c r="J14" s="138">
        <v>125</v>
      </c>
      <c r="K14" s="138">
        <f>(F14+G14+J14)*$K$5</f>
        <v>47.3256</v>
      </c>
      <c r="L14" s="138">
        <f>(F14+G14+J14+K14)*$L$5</f>
        <v>51.584904</v>
      </c>
      <c r="M14" s="138">
        <f t="shared" ref="M14:M19" si="4">F14+G14+J14+K14+L14</f>
        <v>624.750504</v>
      </c>
      <c r="N14" s="138">
        <f t="shared" ref="N14:N19" si="5">M14*E14</f>
        <v>28785.8792722032</v>
      </c>
      <c r="O14" s="143"/>
      <c r="P14" s="27"/>
      <c r="Q14" s="19"/>
      <c r="R14" s="19"/>
      <c r="S14" s="19"/>
      <c r="T14" s="19"/>
    </row>
    <row r="15" s="155" customFormat="1" ht="74" customHeight="1" spans="1:20">
      <c r="A15" s="32">
        <v>2</v>
      </c>
      <c r="B15" s="32" t="s">
        <v>182</v>
      </c>
      <c r="C15" s="32" t="s">
        <v>192</v>
      </c>
      <c r="D15" s="32" t="s">
        <v>83</v>
      </c>
      <c r="E15" s="58">
        <f>(0.053+0.03+0.03+0.05+0.03+0.95+0.025)*7.3+(0.068+0.03+0.03+0.05+0.87+0.024)*(8.48)</f>
        <v>17.61696</v>
      </c>
      <c r="F15" s="139">
        <v>145</v>
      </c>
      <c r="G15" s="138">
        <f t="shared" si="3"/>
        <v>255.84</v>
      </c>
      <c r="H15" s="139">
        <v>246</v>
      </c>
      <c r="I15" s="59">
        <v>0.04</v>
      </c>
      <c r="J15" s="138">
        <v>125</v>
      </c>
      <c r="K15" s="138">
        <f>(F15+G15+J15)*$K$5</f>
        <v>47.3256</v>
      </c>
      <c r="L15" s="138">
        <f>(F15+G15+J15+K15)*$L$5</f>
        <v>51.584904</v>
      </c>
      <c r="M15" s="138">
        <f t="shared" si="4"/>
        <v>624.750504</v>
      </c>
      <c r="N15" s="138">
        <f t="shared" si="5"/>
        <v>11006.2046389478</v>
      </c>
      <c r="O15" s="143"/>
      <c r="P15" s="27"/>
      <c r="Q15" s="19"/>
      <c r="R15" s="19"/>
      <c r="S15" s="19"/>
      <c r="T15" s="19"/>
    </row>
    <row r="16" s="155" customFormat="1" ht="72" customHeight="1" spans="1:20">
      <c r="A16" s="32">
        <v>3</v>
      </c>
      <c r="B16" s="32" t="s">
        <v>180</v>
      </c>
      <c r="C16" s="32" t="s">
        <v>193</v>
      </c>
      <c r="D16" s="32" t="s">
        <v>83</v>
      </c>
      <c r="E16" s="58">
        <f>(1.62+0.03+0.04+0.03+0.671+0.03)*2.9+(1.6+0.03+0.04+0.03+0.671+0.03)*2.9</f>
        <v>13.9838</v>
      </c>
      <c r="F16" s="139">
        <v>145</v>
      </c>
      <c r="G16" s="138">
        <f t="shared" si="3"/>
        <v>255.84</v>
      </c>
      <c r="H16" s="139">
        <v>246</v>
      </c>
      <c r="I16" s="59">
        <v>0.04</v>
      </c>
      <c r="J16" s="138">
        <v>125</v>
      </c>
      <c r="K16" s="138">
        <f>(F16+G16+J16)*$K$5</f>
        <v>47.3256</v>
      </c>
      <c r="L16" s="138">
        <f>(F16+G16+J16+K16)*$L$5</f>
        <v>51.584904</v>
      </c>
      <c r="M16" s="138">
        <f t="shared" si="4"/>
        <v>624.750504</v>
      </c>
      <c r="N16" s="138">
        <f t="shared" si="5"/>
        <v>8736.3860978352</v>
      </c>
      <c r="O16" s="143"/>
      <c r="P16" s="27"/>
      <c r="Q16" s="19"/>
      <c r="R16" s="19"/>
      <c r="S16" s="19"/>
      <c r="T16" s="19"/>
    </row>
    <row r="17" s="155" customFormat="1" ht="75" customHeight="1" spans="1:20">
      <c r="A17" s="32">
        <v>4</v>
      </c>
      <c r="B17" s="32" t="s">
        <v>182</v>
      </c>
      <c r="C17" s="32" t="s">
        <v>185</v>
      </c>
      <c r="D17" s="32" t="s">
        <v>83</v>
      </c>
      <c r="E17" s="58">
        <f>(0.053+0.03+0.03+0.03+0.05+0.87+0.03)*2.4+(0.053+0.03+0.03+0.03+0.05+0.95+0.03)*2.4</f>
        <v>5.4384</v>
      </c>
      <c r="F17" s="139">
        <v>145</v>
      </c>
      <c r="G17" s="138">
        <f t="shared" si="3"/>
        <v>255.84</v>
      </c>
      <c r="H17" s="139">
        <v>246</v>
      </c>
      <c r="I17" s="59">
        <v>0.04</v>
      </c>
      <c r="J17" s="138">
        <v>125</v>
      </c>
      <c r="K17" s="138">
        <f>(F17+G17+J17)*$K$5</f>
        <v>47.3256</v>
      </c>
      <c r="L17" s="138">
        <f>(F17+G17+J17+K17)*$L$5</f>
        <v>51.584904</v>
      </c>
      <c r="M17" s="138">
        <f t="shared" si="4"/>
        <v>624.750504</v>
      </c>
      <c r="N17" s="138">
        <f t="shared" si="5"/>
        <v>3397.6431409536</v>
      </c>
      <c r="O17" s="143"/>
      <c r="P17" s="27"/>
      <c r="Q17" s="19"/>
      <c r="R17" s="19"/>
      <c r="S17" s="19"/>
      <c r="T17" s="19"/>
    </row>
    <row r="18" s="155" customFormat="1" ht="91" customHeight="1" spans="1:20">
      <c r="A18" s="32">
        <v>5</v>
      </c>
      <c r="B18" s="32" t="s">
        <v>194</v>
      </c>
      <c r="C18" s="32" t="s">
        <v>195</v>
      </c>
      <c r="D18" s="32" t="s">
        <v>83</v>
      </c>
      <c r="E18" s="58">
        <f>0.25*(2.8+2.6+1.5+5)</f>
        <v>2.975</v>
      </c>
      <c r="F18" s="139">
        <v>145</v>
      </c>
      <c r="G18" s="138">
        <f t="shared" si="3"/>
        <v>255.84</v>
      </c>
      <c r="H18" s="139">
        <v>246</v>
      </c>
      <c r="I18" s="59">
        <v>0.04</v>
      </c>
      <c r="J18" s="138">
        <v>30</v>
      </c>
      <c r="K18" s="138">
        <f>(F18+G18+J18)*$K$5</f>
        <v>38.7756</v>
      </c>
      <c r="L18" s="138">
        <f>(F18+G18+J18+K18)*$L$5</f>
        <v>42.265404</v>
      </c>
      <c r="M18" s="138">
        <f t="shared" si="4"/>
        <v>511.881004</v>
      </c>
      <c r="N18" s="138">
        <f t="shared" si="5"/>
        <v>1522.8459869</v>
      </c>
      <c r="O18" s="143"/>
      <c r="P18" s="27"/>
      <c r="Q18" s="19"/>
      <c r="R18" s="19"/>
      <c r="S18" s="19"/>
      <c r="T18" s="19"/>
    </row>
    <row r="19" s="155" customFormat="1" ht="50" customHeight="1" spans="1:20">
      <c r="A19" s="32">
        <v>6</v>
      </c>
      <c r="B19" s="32" t="s">
        <v>196</v>
      </c>
      <c r="C19" s="32" t="s">
        <v>197</v>
      </c>
      <c r="D19" s="32" t="s">
        <v>83</v>
      </c>
      <c r="E19" s="58">
        <f>2.8*2.4+2.6*2.4+1.5*2.4+5*2.4</f>
        <v>28.56</v>
      </c>
      <c r="F19" s="139">
        <v>40</v>
      </c>
      <c r="G19" s="138">
        <f t="shared" si="3"/>
        <v>243.8</v>
      </c>
      <c r="H19" s="139">
        <v>230</v>
      </c>
      <c r="I19" s="59">
        <v>0.06</v>
      </c>
      <c r="J19" s="138">
        <v>21</v>
      </c>
      <c r="K19" s="138">
        <f>(F19+G19+J19)*$K$5</f>
        <v>27.432</v>
      </c>
      <c r="L19" s="138">
        <f>(F19+G19+J19+K19)*$L$5</f>
        <v>29.90088</v>
      </c>
      <c r="M19" s="138">
        <f t="shared" si="4"/>
        <v>362.13288</v>
      </c>
      <c r="N19" s="138">
        <f t="shared" si="5"/>
        <v>10342.5150528</v>
      </c>
      <c r="O19" s="143"/>
      <c r="P19" s="27"/>
      <c r="Q19" s="19"/>
      <c r="R19" s="19"/>
      <c r="S19" s="19"/>
      <c r="T19" s="19"/>
    </row>
    <row r="20" s="155" customFormat="1" ht="50" customHeight="1" spans="1:20">
      <c r="A20" s="32"/>
      <c r="B20" s="32"/>
      <c r="C20" s="32" t="s">
        <v>174</v>
      </c>
      <c r="D20" s="32"/>
      <c r="E20" s="58"/>
      <c r="F20" s="139"/>
      <c r="G20" s="138"/>
      <c r="H20" s="139"/>
      <c r="I20" s="59"/>
      <c r="J20" s="138"/>
      <c r="K20" s="138"/>
      <c r="L20" s="138"/>
      <c r="M20" s="138"/>
      <c r="N20" s="138">
        <f>SUM(N7:N19)</f>
        <v>119274.917270547</v>
      </c>
      <c r="O20" s="143"/>
      <c r="P20" s="27"/>
      <c r="Q20" s="19"/>
      <c r="R20" s="19"/>
      <c r="S20" s="19"/>
      <c r="T20" s="19"/>
    </row>
    <row r="21" s="156" customFormat="1" customHeight="1" spans="1:20">
      <c r="A21" s="159" t="s">
        <v>175</v>
      </c>
      <c r="B21" s="160" t="s">
        <v>176</v>
      </c>
      <c r="C21" s="160"/>
      <c r="D21" s="160"/>
      <c r="E21" s="161"/>
      <c r="F21" s="160"/>
      <c r="G21" s="160"/>
      <c r="H21" s="160"/>
      <c r="I21" s="160"/>
      <c r="J21" s="160"/>
      <c r="K21" s="160"/>
      <c r="L21" s="160"/>
      <c r="M21" s="160"/>
      <c r="N21" s="160"/>
      <c r="O21" s="160"/>
      <c r="P21" s="27"/>
      <c r="Q21" s="19"/>
      <c r="R21" s="19"/>
      <c r="S21" s="19"/>
      <c r="T21" s="19"/>
    </row>
  </sheetData>
  <mergeCells count="16">
    <mergeCell ref="A1:O1"/>
    <mergeCell ref="A2:F2"/>
    <mergeCell ref="G2:M2"/>
    <mergeCell ref="N2:O2"/>
    <mergeCell ref="F3:L3"/>
    <mergeCell ref="B21:O21"/>
    <mergeCell ref="A3:A5"/>
    <mergeCell ref="B3:B5"/>
    <mergeCell ref="C3:C5"/>
    <mergeCell ref="D3:D5"/>
    <mergeCell ref="E3:E5"/>
    <mergeCell ref="F4:F5"/>
    <mergeCell ref="J4:J5"/>
    <mergeCell ref="M3:M5"/>
    <mergeCell ref="N3:N5"/>
    <mergeCell ref="O3:O5"/>
  </mergeCells>
  <pageMargins left="0.75" right="0.75" top="1" bottom="1" header="0.5" footer="0.5"/>
  <pageSetup paperSize="9" scale="8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2"/>
  <sheetViews>
    <sheetView view="pageBreakPreview" zoomScale="90" zoomScaleNormal="100" topLeftCell="A22" workbookViewId="0">
      <selection activeCell="B63" sqref="B63"/>
    </sheetView>
  </sheetViews>
  <sheetFormatPr defaultColWidth="9.14285714285714" defaultRowHeight="12.75"/>
  <cols>
    <col min="2" max="2" width="16.4285714285714" customWidth="1"/>
    <col min="3" max="3" width="34.6857142857143" customWidth="1"/>
    <col min="5" max="12" width="9.14285714285714" style="3"/>
    <col min="13" max="13" width="10.1428571428571" style="3"/>
    <col min="16" max="16" width="13.1714285714286" customWidth="1"/>
    <col min="19" max="19" width="12.8571428571429"/>
  </cols>
  <sheetData>
    <row r="1" ht="25.5" spans="1:15">
      <c r="A1" s="28" t="s">
        <v>198</v>
      </c>
      <c r="B1" s="28"/>
      <c r="C1" s="28"/>
      <c r="D1" s="28"/>
      <c r="E1" s="56"/>
      <c r="F1" s="28"/>
      <c r="G1" s="28"/>
      <c r="H1" s="28"/>
      <c r="I1" s="28"/>
      <c r="J1" s="28"/>
      <c r="K1" s="28"/>
      <c r="L1" s="28"/>
      <c r="M1" s="28"/>
      <c r="N1" s="28"/>
      <c r="O1" s="28"/>
    </row>
    <row r="2" spans="1:15">
      <c r="A2" s="29" t="s">
        <v>199</v>
      </c>
      <c r="B2" s="29"/>
      <c r="C2" s="29"/>
      <c r="D2" s="29"/>
      <c r="E2" s="57"/>
      <c r="F2" s="30"/>
      <c r="G2" s="30"/>
      <c r="H2" s="30"/>
      <c r="I2" s="30"/>
      <c r="J2" s="30"/>
      <c r="K2" s="30"/>
      <c r="L2" s="30"/>
      <c r="M2" s="30"/>
      <c r="N2" s="29"/>
      <c r="O2" s="29"/>
    </row>
    <row r="3" spans="1:15">
      <c r="A3" s="32" t="s">
        <v>1</v>
      </c>
      <c r="B3" s="32" t="s">
        <v>63</v>
      </c>
      <c r="C3" s="32" t="s">
        <v>64</v>
      </c>
      <c r="D3" s="32" t="s">
        <v>29</v>
      </c>
      <c r="E3" s="58" t="s">
        <v>65</v>
      </c>
      <c r="F3" s="31" t="s">
        <v>66</v>
      </c>
      <c r="G3" s="31"/>
      <c r="H3" s="31"/>
      <c r="I3" s="31"/>
      <c r="J3" s="31"/>
      <c r="K3" s="31"/>
      <c r="L3" s="31"/>
      <c r="M3" s="31" t="s">
        <v>67</v>
      </c>
      <c r="N3" s="32" t="s">
        <v>68</v>
      </c>
      <c r="O3" s="32" t="s">
        <v>69</v>
      </c>
    </row>
    <row r="4" ht="45" spans="1:15">
      <c r="A4" s="32"/>
      <c r="B4" s="32"/>
      <c r="C4" s="32"/>
      <c r="D4" s="32"/>
      <c r="E4" s="58"/>
      <c r="F4" s="31" t="s">
        <v>70</v>
      </c>
      <c r="G4" s="31" t="s">
        <v>71</v>
      </c>
      <c r="H4" s="31" t="s">
        <v>72</v>
      </c>
      <c r="I4" s="31" t="s">
        <v>73</v>
      </c>
      <c r="J4" s="31" t="s">
        <v>74</v>
      </c>
      <c r="K4" s="31" t="s">
        <v>75</v>
      </c>
      <c r="L4" s="31" t="s">
        <v>76</v>
      </c>
      <c r="M4" s="31"/>
      <c r="N4" s="32"/>
      <c r="O4" s="32"/>
    </row>
    <row r="5" ht="22.5" spans="1:15">
      <c r="A5" s="32"/>
      <c r="B5" s="32"/>
      <c r="C5" s="32"/>
      <c r="D5" s="32"/>
      <c r="E5" s="58"/>
      <c r="F5" s="31"/>
      <c r="G5" s="31" t="s">
        <v>77</v>
      </c>
      <c r="H5" s="31" t="s">
        <v>78</v>
      </c>
      <c r="I5" s="31" t="s">
        <v>79</v>
      </c>
      <c r="J5" s="31"/>
      <c r="K5" s="59">
        <v>0.09</v>
      </c>
      <c r="L5" s="59">
        <v>0.09</v>
      </c>
      <c r="M5" s="31"/>
      <c r="N5" s="32"/>
      <c r="O5" s="32"/>
    </row>
    <row r="6" s="4" customFormat="1" ht="47" customHeight="1" spans="1:15">
      <c r="A6" s="132"/>
      <c r="B6" s="133" t="s">
        <v>200</v>
      </c>
      <c r="C6" s="132"/>
      <c r="D6" s="132"/>
      <c r="E6" s="134"/>
      <c r="F6" s="135"/>
      <c r="G6" s="134"/>
      <c r="H6" s="135"/>
      <c r="I6" s="140"/>
      <c r="J6" s="134"/>
      <c r="K6" s="134"/>
      <c r="L6" s="134"/>
      <c r="M6" s="134">
        <f>SUM(N7:N13)</f>
        <v>25291.8747865</v>
      </c>
      <c r="N6" s="141"/>
      <c r="O6" s="142"/>
    </row>
    <row r="7" ht="67.5" spans="1:15">
      <c r="A7" s="32">
        <v>1</v>
      </c>
      <c r="B7" s="32" t="s">
        <v>81</v>
      </c>
      <c r="C7" s="32" t="s">
        <v>201</v>
      </c>
      <c r="D7" s="32" t="s">
        <v>83</v>
      </c>
      <c r="E7" s="58">
        <v>65.78</v>
      </c>
      <c r="F7" s="136">
        <v>55</v>
      </c>
      <c r="G7" s="58">
        <f>H7*(1+I7)</f>
        <v>110</v>
      </c>
      <c r="H7" s="136">
        <v>100</v>
      </c>
      <c r="I7" s="59">
        <v>0.1</v>
      </c>
      <c r="J7" s="58">
        <v>80</v>
      </c>
      <c r="K7" s="58">
        <f>(F7+G7+J7)*$K$5</f>
        <v>22.05</v>
      </c>
      <c r="L7" s="58">
        <f>(F7+G7+J7+K7)*$L$5</f>
        <v>24.0345</v>
      </c>
      <c r="M7" s="58">
        <f t="shared" ref="M7:M13" si="0">F7+G7+J7+K7+L7</f>
        <v>291.0845</v>
      </c>
      <c r="N7" s="58">
        <f t="shared" ref="N7:N13" si="1">M7*E7</f>
        <v>19147.53841</v>
      </c>
      <c r="O7" s="143" t="s">
        <v>202</v>
      </c>
    </row>
    <row r="8" ht="82" customHeight="1" spans="1:15">
      <c r="A8" s="32">
        <v>2</v>
      </c>
      <c r="B8" s="32" t="s">
        <v>81</v>
      </c>
      <c r="C8" s="32" t="s">
        <v>203</v>
      </c>
      <c r="D8" s="32" t="s">
        <v>83</v>
      </c>
      <c r="E8" s="58">
        <v>4.28</v>
      </c>
      <c r="F8" s="136">
        <v>55</v>
      </c>
      <c r="G8" s="58">
        <f>H8*(1+I8)</f>
        <v>110</v>
      </c>
      <c r="H8" s="136">
        <v>100</v>
      </c>
      <c r="I8" s="59">
        <v>0.1</v>
      </c>
      <c r="J8" s="58">
        <v>80</v>
      </c>
      <c r="K8" s="58">
        <f>(F8+G8+J8)*$K$5</f>
        <v>22.05</v>
      </c>
      <c r="L8" s="58">
        <f>(F8+G8+J8+K8)*$L$5</f>
        <v>24.0345</v>
      </c>
      <c r="M8" s="58">
        <f t="shared" si="0"/>
        <v>291.0845</v>
      </c>
      <c r="N8" s="58">
        <f t="shared" si="1"/>
        <v>1245.84166</v>
      </c>
      <c r="O8" s="143" t="s">
        <v>202</v>
      </c>
    </row>
    <row r="9" ht="92" customHeight="1" spans="1:15">
      <c r="A9" s="32">
        <v>3</v>
      </c>
      <c r="B9" s="32" t="s">
        <v>204</v>
      </c>
      <c r="C9" s="32" t="s">
        <v>205</v>
      </c>
      <c r="D9" s="32" t="s">
        <v>83</v>
      </c>
      <c r="E9" s="58">
        <v>5.59</v>
      </c>
      <c r="F9" s="136">
        <v>80</v>
      </c>
      <c r="G9" s="58">
        <f t="shared" ref="G7:G13" si="2">H9*(1+I9)</f>
        <v>129.8</v>
      </c>
      <c r="H9" s="136">
        <v>118</v>
      </c>
      <c r="I9" s="59">
        <v>0.1</v>
      </c>
      <c r="J9" s="58">
        <v>80</v>
      </c>
      <c r="K9" s="58">
        <f>(F9+G9+J9)*$K$5</f>
        <v>26.082</v>
      </c>
      <c r="L9" s="58">
        <f>(F9+G9+J9+K9)*$L$5</f>
        <v>28.42938</v>
      </c>
      <c r="M9" s="58">
        <f t="shared" si="0"/>
        <v>344.31138</v>
      </c>
      <c r="N9" s="58">
        <f t="shared" si="1"/>
        <v>1924.7006142</v>
      </c>
      <c r="O9" s="143" t="s">
        <v>202</v>
      </c>
    </row>
    <row r="10" ht="92" customHeight="1" spans="1:15">
      <c r="A10" s="32">
        <v>4</v>
      </c>
      <c r="B10" s="32" t="s">
        <v>206</v>
      </c>
      <c r="C10" s="32" t="s">
        <v>207</v>
      </c>
      <c r="D10" s="32" t="s">
        <v>83</v>
      </c>
      <c r="E10" s="58">
        <v>0.98</v>
      </c>
      <c r="F10" s="136">
        <v>85</v>
      </c>
      <c r="G10" s="58">
        <f t="shared" si="2"/>
        <v>467.5</v>
      </c>
      <c r="H10" s="136">
        <v>425</v>
      </c>
      <c r="I10" s="59">
        <v>0.1</v>
      </c>
      <c r="J10" s="58">
        <v>78</v>
      </c>
      <c r="K10" s="58">
        <f>(F10+G10+J10)*$K$5</f>
        <v>56.745</v>
      </c>
      <c r="L10" s="58">
        <f>(F10+G10+J10+K10)*$L$5</f>
        <v>61.85205</v>
      </c>
      <c r="M10" s="58">
        <f t="shared" si="0"/>
        <v>749.09705</v>
      </c>
      <c r="N10" s="58">
        <f t="shared" si="1"/>
        <v>734.115109</v>
      </c>
      <c r="O10" s="143"/>
    </row>
    <row r="11" ht="111" customHeight="1" spans="1:15">
      <c r="A11" s="32">
        <v>5</v>
      </c>
      <c r="B11" s="32" t="s">
        <v>208</v>
      </c>
      <c r="C11" s="32" t="s">
        <v>209</v>
      </c>
      <c r="D11" s="32" t="s">
        <v>83</v>
      </c>
      <c r="E11" s="58">
        <v>1.79</v>
      </c>
      <c r="F11" s="136">
        <v>90</v>
      </c>
      <c r="G11" s="58">
        <f t="shared" si="2"/>
        <v>467.5</v>
      </c>
      <c r="H11" s="136">
        <v>425</v>
      </c>
      <c r="I11" s="59">
        <v>0.1</v>
      </c>
      <c r="J11" s="58">
        <v>78</v>
      </c>
      <c r="K11" s="58">
        <f>(F11+G11+J11)*$K$5</f>
        <v>57.195</v>
      </c>
      <c r="L11" s="58">
        <f>(F11+G11+J11+K11)*$L$5</f>
        <v>62.34255</v>
      </c>
      <c r="M11" s="58">
        <f t="shared" si="0"/>
        <v>755.03755</v>
      </c>
      <c r="N11" s="58">
        <f t="shared" si="1"/>
        <v>1351.5172145</v>
      </c>
      <c r="O11" s="143"/>
    </row>
    <row r="12" ht="111" customHeight="1" spans="1:15">
      <c r="A12" s="32">
        <v>6</v>
      </c>
      <c r="B12" s="32" t="s">
        <v>210</v>
      </c>
      <c r="C12" s="32" t="s">
        <v>211</v>
      </c>
      <c r="D12" s="32" t="s">
        <v>101</v>
      </c>
      <c r="E12" s="58">
        <v>2.68</v>
      </c>
      <c r="F12" s="136">
        <v>35</v>
      </c>
      <c r="G12" s="58">
        <f t="shared" si="2"/>
        <v>191.1</v>
      </c>
      <c r="H12" s="136">
        <v>182</v>
      </c>
      <c r="I12" s="59">
        <v>0.05</v>
      </c>
      <c r="J12" s="58">
        <v>15</v>
      </c>
      <c r="K12" s="58">
        <f>(F12+G12+J12)*$K$5</f>
        <v>21.699</v>
      </c>
      <c r="L12" s="58">
        <f>(F12+G12+J12+K12)*$L$5</f>
        <v>23.65191</v>
      </c>
      <c r="M12" s="58">
        <f t="shared" si="0"/>
        <v>286.45091</v>
      </c>
      <c r="N12" s="58">
        <f t="shared" si="1"/>
        <v>767.6884388</v>
      </c>
      <c r="O12" s="143"/>
    </row>
    <row r="13" ht="67.5" spans="1:15">
      <c r="A13" s="32">
        <v>7</v>
      </c>
      <c r="B13" s="32" t="s">
        <v>85</v>
      </c>
      <c r="C13" s="32" t="s">
        <v>212</v>
      </c>
      <c r="D13" s="32" t="s">
        <v>83</v>
      </c>
      <c r="E13" s="58">
        <v>0.6</v>
      </c>
      <c r="F13" s="136">
        <v>55</v>
      </c>
      <c r="G13" s="58">
        <f t="shared" si="2"/>
        <v>99</v>
      </c>
      <c r="H13" s="136">
        <v>90</v>
      </c>
      <c r="I13" s="59">
        <v>0.1</v>
      </c>
      <c r="J13" s="58">
        <v>15</v>
      </c>
      <c r="K13" s="58">
        <f>(F13+G13+J13)*$K$5</f>
        <v>15.21</v>
      </c>
      <c r="L13" s="58">
        <f>(F13+G13+J13+K13)*$L$5</f>
        <v>16.5789</v>
      </c>
      <c r="M13" s="58">
        <f t="shared" si="0"/>
        <v>200.7889</v>
      </c>
      <c r="N13" s="58">
        <f t="shared" si="1"/>
        <v>120.47334</v>
      </c>
      <c r="O13" s="143"/>
    </row>
    <row r="14" s="4" customFormat="1" ht="51" customHeight="1" spans="1:15">
      <c r="A14" s="132"/>
      <c r="B14" s="133" t="s">
        <v>213</v>
      </c>
      <c r="C14" s="132"/>
      <c r="D14" s="132"/>
      <c r="E14" s="134"/>
      <c r="F14" s="136"/>
      <c r="G14" s="58"/>
      <c r="H14" s="136"/>
      <c r="I14" s="59"/>
      <c r="J14" s="58"/>
      <c r="K14" s="58"/>
      <c r="L14" s="58"/>
      <c r="M14" s="134">
        <f>SUM(N15:N22)</f>
        <v>19928.62956728</v>
      </c>
      <c r="N14" s="138"/>
      <c r="O14" s="142"/>
    </row>
    <row r="15" ht="135" spans="1:15">
      <c r="A15" s="32">
        <v>8</v>
      </c>
      <c r="B15" s="32" t="s">
        <v>88</v>
      </c>
      <c r="C15" s="32" t="s">
        <v>214</v>
      </c>
      <c r="D15" s="32" t="s">
        <v>83</v>
      </c>
      <c r="E15" s="58">
        <v>67.13</v>
      </c>
      <c r="F15" s="136">
        <v>80</v>
      </c>
      <c r="G15" s="58">
        <f t="shared" ref="G15:G22" si="3">H15*(1+I15)</f>
        <v>68.25</v>
      </c>
      <c r="H15" s="136">
        <v>65</v>
      </c>
      <c r="I15" s="59">
        <v>0.05</v>
      </c>
      <c r="J15" s="58">
        <v>65</v>
      </c>
      <c r="K15" s="58">
        <f>(F15+G15+J15)*$K$5</f>
        <v>19.1925</v>
      </c>
      <c r="L15" s="58">
        <f>(F15+G15+J15+K15)*$L$5</f>
        <v>20.919825</v>
      </c>
      <c r="M15" s="58">
        <f t="shared" ref="M15:M22" si="4">F15+G15+J15+K15+L15</f>
        <v>253.362325</v>
      </c>
      <c r="N15" s="58">
        <f t="shared" ref="N15:N22" si="5">M15*E15</f>
        <v>17008.21287725</v>
      </c>
      <c r="O15" s="143"/>
    </row>
    <row r="16" customFormat="1" ht="155" customHeight="1" spans="1:15">
      <c r="A16" s="32">
        <v>9</v>
      </c>
      <c r="B16" s="32" t="s">
        <v>215</v>
      </c>
      <c r="C16" s="32" t="s">
        <v>216</v>
      </c>
      <c r="D16" s="32" t="s">
        <v>83</v>
      </c>
      <c r="E16" s="58">
        <v>0.46</v>
      </c>
      <c r="F16" s="136">
        <v>85</v>
      </c>
      <c r="G16" s="58">
        <f t="shared" si="3"/>
        <v>100.7</v>
      </c>
      <c r="H16" s="136">
        <v>95</v>
      </c>
      <c r="I16" s="59">
        <v>0.06</v>
      </c>
      <c r="J16" s="58">
        <v>65</v>
      </c>
      <c r="K16" s="58">
        <f>(F16+G16+J16)*$K$5</f>
        <v>22.563</v>
      </c>
      <c r="L16" s="58">
        <f>(F16+G16+J16+K16)*$L$5</f>
        <v>24.59367</v>
      </c>
      <c r="M16" s="58">
        <f t="shared" si="4"/>
        <v>297.85667</v>
      </c>
      <c r="N16" s="58">
        <f t="shared" si="5"/>
        <v>137.0140682</v>
      </c>
      <c r="O16" s="143"/>
    </row>
    <row r="17" customFormat="1" ht="153" customHeight="1" spans="1:15">
      <c r="A17" s="32">
        <v>10</v>
      </c>
      <c r="B17" s="32" t="s">
        <v>217</v>
      </c>
      <c r="C17" s="32" t="s">
        <v>218</v>
      </c>
      <c r="D17" s="32" t="s">
        <v>83</v>
      </c>
      <c r="E17" s="58">
        <v>2.16</v>
      </c>
      <c r="F17" s="136">
        <v>136</v>
      </c>
      <c r="G17" s="58">
        <f t="shared" si="3"/>
        <v>362.25</v>
      </c>
      <c r="H17" s="136">
        <v>345</v>
      </c>
      <c r="I17" s="59">
        <v>0.05</v>
      </c>
      <c r="J17" s="58">
        <v>65</v>
      </c>
      <c r="K17" s="58">
        <f>(F17+G17+J17)*$K$5</f>
        <v>50.6925</v>
      </c>
      <c r="L17" s="58">
        <f>(F17+G17+J17+K17)*$L$5</f>
        <v>55.254825</v>
      </c>
      <c r="M17" s="58">
        <f t="shared" si="4"/>
        <v>669.197325</v>
      </c>
      <c r="N17" s="58">
        <f t="shared" si="5"/>
        <v>1445.466222</v>
      </c>
      <c r="O17" s="143"/>
    </row>
    <row r="18" customFormat="1" ht="109" customHeight="1" spans="1:15">
      <c r="A18" s="32">
        <v>11</v>
      </c>
      <c r="B18" s="32" t="s">
        <v>219</v>
      </c>
      <c r="C18" s="32" t="s">
        <v>220</v>
      </c>
      <c r="D18" s="32" t="s">
        <v>83</v>
      </c>
      <c r="E18" s="58">
        <v>2.6</v>
      </c>
      <c r="F18" s="136">
        <v>55</v>
      </c>
      <c r="G18" s="58">
        <f t="shared" si="3"/>
        <v>68.25</v>
      </c>
      <c r="H18" s="136">
        <v>65</v>
      </c>
      <c r="I18" s="59">
        <v>0.05</v>
      </c>
      <c r="J18" s="58">
        <v>65</v>
      </c>
      <c r="K18" s="58">
        <f>(F18+G18+J18)*$K$5</f>
        <v>16.9425</v>
      </c>
      <c r="L18" s="58">
        <f>(F18+G18+J18+K18)*$L$5</f>
        <v>18.467325</v>
      </c>
      <c r="M18" s="58">
        <f t="shared" si="4"/>
        <v>223.659825</v>
      </c>
      <c r="N18" s="58">
        <f t="shared" si="5"/>
        <v>581.515545</v>
      </c>
      <c r="O18" s="143"/>
    </row>
    <row r="19" customFormat="1" ht="167" customHeight="1" spans="1:15">
      <c r="A19" s="32">
        <v>12</v>
      </c>
      <c r="B19" s="32" t="s">
        <v>221</v>
      </c>
      <c r="C19" s="32" t="s">
        <v>222</v>
      </c>
      <c r="D19" s="32" t="s">
        <v>83</v>
      </c>
      <c r="E19" s="58">
        <v>0.98</v>
      </c>
      <c r="F19" s="136">
        <v>82</v>
      </c>
      <c r="G19" s="58">
        <f t="shared" si="3"/>
        <v>91.16</v>
      </c>
      <c r="H19" s="136">
        <v>86</v>
      </c>
      <c r="I19" s="59">
        <v>0.06</v>
      </c>
      <c r="J19" s="58">
        <v>65</v>
      </c>
      <c r="K19" s="58">
        <f>(F19+G19+J19)*$K$5</f>
        <v>21.4344</v>
      </c>
      <c r="L19" s="58">
        <f>(F19+G19+J19+K19)*$L$5</f>
        <v>23.363496</v>
      </c>
      <c r="M19" s="58">
        <f t="shared" si="4"/>
        <v>282.957896</v>
      </c>
      <c r="N19" s="58">
        <f t="shared" si="5"/>
        <v>277.29873808</v>
      </c>
      <c r="O19" s="143"/>
    </row>
    <row r="20" customFormat="1" ht="112" customHeight="1" spans="1:15">
      <c r="A20" s="32">
        <v>13</v>
      </c>
      <c r="B20" s="32" t="s">
        <v>223</v>
      </c>
      <c r="C20" s="32" t="s">
        <v>224</v>
      </c>
      <c r="D20" s="32" t="s">
        <v>83</v>
      </c>
      <c r="E20" s="58">
        <v>0.8</v>
      </c>
      <c r="F20" s="136">
        <v>55</v>
      </c>
      <c r="G20" s="58">
        <f t="shared" si="3"/>
        <v>65.1</v>
      </c>
      <c r="H20" s="136">
        <v>62</v>
      </c>
      <c r="I20" s="59">
        <v>0.05</v>
      </c>
      <c r="J20" s="58">
        <v>65</v>
      </c>
      <c r="K20" s="58">
        <f>(F20+G20+J20)*$K$5</f>
        <v>16.659</v>
      </c>
      <c r="L20" s="58">
        <f>(F20+G20+J20+K20)*$L$5</f>
        <v>18.15831</v>
      </c>
      <c r="M20" s="58">
        <f t="shared" si="4"/>
        <v>219.91731</v>
      </c>
      <c r="N20" s="58">
        <f t="shared" si="5"/>
        <v>175.933848</v>
      </c>
      <c r="O20" s="143"/>
    </row>
    <row r="21" customFormat="1" ht="136" customHeight="1" spans="1:15">
      <c r="A21" s="32">
        <v>14</v>
      </c>
      <c r="B21" s="32" t="s">
        <v>225</v>
      </c>
      <c r="C21" s="32" t="s">
        <v>226</v>
      </c>
      <c r="D21" s="32" t="s">
        <v>83</v>
      </c>
      <c r="E21" s="58">
        <v>0.82</v>
      </c>
      <c r="F21" s="136">
        <v>75</v>
      </c>
      <c r="G21" s="58">
        <f t="shared" si="3"/>
        <v>81.9</v>
      </c>
      <c r="H21" s="136">
        <v>78</v>
      </c>
      <c r="I21" s="59">
        <v>0.05</v>
      </c>
      <c r="J21" s="58">
        <v>65</v>
      </c>
      <c r="K21" s="58">
        <f>(F21+G21+J21)*$K$5</f>
        <v>19.971</v>
      </c>
      <c r="L21" s="58">
        <f>(F21+G21+J21+K21)*$L$5</f>
        <v>21.76839</v>
      </c>
      <c r="M21" s="58">
        <f t="shared" si="4"/>
        <v>263.63939</v>
      </c>
      <c r="N21" s="58">
        <f t="shared" si="5"/>
        <v>216.1842998</v>
      </c>
      <c r="O21" s="143"/>
    </row>
    <row r="22" customFormat="1" ht="40" customHeight="1" spans="1:15">
      <c r="A22" s="32">
        <v>15</v>
      </c>
      <c r="B22" s="32" t="s">
        <v>227</v>
      </c>
      <c r="C22" s="32" t="s">
        <v>228</v>
      </c>
      <c r="D22" s="32" t="s">
        <v>83</v>
      </c>
      <c r="E22" s="58">
        <v>1.67</v>
      </c>
      <c r="F22" s="136">
        <v>18</v>
      </c>
      <c r="G22" s="58">
        <f t="shared" si="3"/>
        <v>17.85</v>
      </c>
      <c r="H22" s="136">
        <v>17</v>
      </c>
      <c r="I22" s="59">
        <v>0.05</v>
      </c>
      <c r="J22" s="58">
        <v>8</v>
      </c>
      <c r="K22" s="58">
        <f>(F22+G22+J22)*$K$5</f>
        <v>3.9465</v>
      </c>
      <c r="L22" s="58">
        <f>(F22+G22+J22+K22)*$L$5</f>
        <v>4.301685</v>
      </c>
      <c r="M22" s="58">
        <f t="shared" si="4"/>
        <v>52.098185</v>
      </c>
      <c r="N22" s="58">
        <f t="shared" si="5"/>
        <v>87.00396895</v>
      </c>
      <c r="O22" s="143"/>
    </row>
    <row r="23" s="4" customFormat="1" ht="48" customHeight="1" spans="1:15">
      <c r="A23" s="132"/>
      <c r="B23" s="133" t="s">
        <v>229</v>
      </c>
      <c r="C23" s="132"/>
      <c r="D23" s="132"/>
      <c r="E23" s="134"/>
      <c r="F23" s="136"/>
      <c r="G23" s="58"/>
      <c r="H23" s="136"/>
      <c r="I23" s="59"/>
      <c r="J23" s="58"/>
      <c r="K23" s="58"/>
      <c r="L23" s="58"/>
      <c r="M23" s="134">
        <f>SUM(N24:N79)</f>
        <v>121032.8008447</v>
      </c>
      <c r="N23" s="138"/>
      <c r="O23" s="142"/>
    </row>
    <row r="24" s="4" customFormat="1" ht="48" customHeight="1" spans="1:15">
      <c r="A24" s="32"/>
      <c r="B24" s="137" t="s">
        <v>230</v>
      </c>
      <c r="C24" s="137" t="s">
        <v>231</v>
      </c>
      <c r="D24" s="32"/>
      <c r="E24" s="58"/>
      <c r="F24" s="136"/>
      <c r="G24" s="58"/>
      <c r="H24" s="136"/>
      <c r="I24" s="59"/>
      <c r="J24" s="58"/>
      <c r="K24" s="58"/>
      <c r="L24" s="58"/>
      <c r="M24" s="58"/>
      <c r="N24" s="138"/>
      <c r="O24" s="143"/>
    </row>
    <row r="25" s="4" customFormat="1" ht="48" customHeight="1" spans="1:15">
      <c r="A25" s="32">
        <v>16</v>
      </c>
      <c r="B25" s="32" t="s">
        <v>232</v>
      </c>
      <c r="C25" s="32" t="s">
        <v>233</v>
      </c>
      <c r="D25" s="32" t="s">
        <v>83</v>
      </c>
      <c r="E25" s="58">
        <v>7.8</v>
      </c>
      <c r="F25" s="136">
        <v>65</v>
      </c>
      <c r="G25" s="58">
        <f t="shared" ref="G24:G36" si="6">H25*(1+I25)</f>
        <v>108</v>
      </c>
      <c r="H25" s="136">
        <v>100</v>
      </c>
      <c r="I25" s="59">
        <v>0.08</v>
      </c>
      <c r="J25" s="58">
        <v>21</v>
      </c>
      <c r="K25" s="58">
        <f>(F25+G25+J25)*$K$5</f>
        <v>17.46</v>
      </c>
      <c r="L25" s="58">
        <f>(F25+G25+J25+K25)*$L$5</f>
        <v>19.0314</v>
      </c>
      <c r="M25" s="58">
        <f t="shared" ref="M24:M36" si="7">F25+G25+J25+K25+L25</f>
        <v>230.4914</v>
      </c>
      <c r="N25" s="58">
        <f t="shared" ref="N24:N36" si="8">M25*E25</f>
        <v>1797.83292</v>
      </c>
      <c r="O25" s="143"/>
    </row>
    <row r="26" s="4" customFormat="1" ht="48" customHeight="1" spans="1:15">
      <c r="A26" s="32">
        <v>17</v>
      </c>
      <c r="B26" s="32" t="s">
        <v>234</v>
      </c>
      <c r="C26" s="32" t="s">
        <v>235</v>
      </c>
      <c r="D26" s="32" t="s">
        <v>83</v>
      </c>
      <c r="E26" s="58">
        <v>6.37</v>
      </c>
      <c r="F26" s="136">
        <v>110</v>
      </c>
      <c r="G26" s="58">
        <f t="shared" si="6"/>
        <v>442.4</v>
      </c>
      <c r="H26" s="136">
        <v>395</v>
      </c>
      <c r="I26" s="59">
        <v>0.12</v>
      </c>
      <c r="J26" s="58">
        <v>21</v>
      </c>
      <c r="K26" s="58">
        <f>(F26+G26+J26)*$K$5</f>
        <v>51.606</v>
      </c>
      <c r="L26" s="58">
        <f>(F26+G26+J26+K26)*$L$5</f>
        <v>56.25054</v>
      </c>
      <c r="M26" s="58">
        <f t="shared" si="7"/>
        <v>681.25654</v>
      </c>
      <c r="N26" s="58">
        <f t="shared" si="8"/>
        <v>4339.6041598</v>
      </c>
      <c r="O26" s="143"/>
    </row>
    <row r="27" s="4" customFormat="1" ht="48" customHeight="1" spans="1:15">
      <c r="A27" s="32">
        <v>18</v>
      </c>
      <c r="B27" s="32" t="s">
        <v>236</v>
      </c>
      <c r="C27" s="32" t="s">
        <v>237</v>
      </c>
      <c r="D27" s="32" t="s">
        <v>101</v>
      </c>
      <c r="E27" s="58">
        <f>0.75/0.04</f>
        <v>18.75</v>
      </c>
      <c r="F27" s="136">
        <v>20</v>
      </c>
      <c r="G27" s="138">
        <f t="shared" si="6"/>
        <v>39.14</v>
      </c>
      <c r="H27" s="139">
        <v>38</v>
      </c>
      <c r="I27" s="59">
        <v>0.03</v>
      </c>
      <c r="J27" s="138">
        <v>8</v>
      </c>
      <c r="K27" s="58">
        <f>(F27+G27+J27)*$K$5</f>
        <v>6.0426</v>
      </c>
      <c r="L27" s="58">
        <f>(F27+G27+J27+K27)*$L$5</f>
        <v>6.586434</v>
      </c>
      <c r="M27" s="58">
        <f t="shared" si="7"/>
        <v>79.769034</v>
      </c>
      <c r="N27" s="58">
        <f t="shared" si="8"/>
        <v>1495.6693875</v>
      </c>
      <c r="O27" s="143"/>
    </row>
    <row r="28" s="4" customFormat="1" ht="48" customHeight="1" spans="1:15">
      <c r="A28" s="32">
        <v>19</v>
      </c>
      <c r="B28" s="32" t="s">
        <v>139</v>
      </c>
      <c r="C28" s="32" t="s">
        <v>238</v>
      </c>
      <c r="D28" s="32" t="s">
        <v>83</v>
      </c>
      <c r="E28" s="58">
        <v>28.25</v>
      </c>
      <c r="F28" s="136">
        <v>80</v>
      </c>
      <c r="G28" s="58">
        <f t="shared" si="6"/>
        <v>325.5</v>
      </c>
      <c r="H28" s="136">
        <v>310</v>
      </c>
      <c r="I28" s="59">
        <v>0.05</v>
      </c>
      <c r="J28" s="58">
        <v>38</v>
      </c>
      <c r="K28" s="58">
        <f>(F28+G28+J28)*$K$5</f>
        <v>39.915</v>
      </c>
      <c r="L28" s="58">
        <f>(F28+G28+J28+K28)*$L$5</f>
        <v>43.50735</v>
      </c>
      <c r="M28" s="58">
        <f t="shared" si="7"/>
        <v>526.92235</v>
      </c>
      <c r="N28" s="58">
        <f t="shared" si="8"/>
        <v>14885.5563875</v>
      </c>
      <c r="O28" s="143"/>
    </row>
    <row r="29" s="4" customFormat="1" ht="68" customHeight="1" spans="1:15">
      <c r="A29" s="32">
        <v>20</v>
      </c>
      <c r="B29" s="32" t="s">
        <v>239</v>
      </c>
      <c r="C29" s="32" t="s">
        <v>240</v>
      </c>
      <c r="D29" s="32" t="s">
        <v>83</v>
      </c>
      <c r="E29" s="58">
        <v>10.53</v>
      </c>
      <c r="F29" s="136">
        <v>105</v>
      </c>
      <c r="G29" s="58">
        <f t="shared" si="6"/>
        <v>346.5</v>
      </c>
      <c r="H29" s="136">
        <v>330</v>
      </c>
      <c r="I29" s="59">
        <v>0.05</v>
      </c>
      <c r="J29" s="58">
        <v>10</v>
      </c>
      <c r="K29" s="58">
        <f>(F29+G29+J29)*$K$5</f>
        <v>41.535</v>
      </c>
      <c r="L29" s="58">
        <f>(F29+G29+J29+K29)*$L$5</f>
        <v>45.27315</v>
      </c>
      <c r="M29" s="58">
        <f t="shared" si="7"/>
        <v>548.30815</v>
      </c>
      <c r="N29" s="58">
        <f t="shared" si="8"/>
        <v>5773.6848195</v>
      </c>
      <c r="O29" s="143"/>
    </row>
    <row r="30" s="4" customFormat="1" ht="48" customHeight="1" spans="1:15">
      <c r="A30" s="32">
        <v>21</v>
      </c>
      <c r="B30" s="32" t="s">
        <v>241</v>
      </c>
      <c r="C30" s="32" t="s">
        <v>242</v>
      </c>
      <c r="D30" s="32" t="s">
        <v>101</v>
      </c>
      <c r="E30" s="58">
        <v>7.08</v>
      </c>
      <c r="F30" s="136">
        <v>15</v>
      </c>
      <c r="G30" s="58">
        <f t="shared" si="6"/>
        <v>25.75</v>
      </c>
      <c r="H30" s="136">
        <v>25</v>
      </c>
      <c r="I30" s="59">
        <v>0.03</v>
      </c>
      <c r="J30" s="58">
        <v>10</v>
      </c>
      <c r="K30" s="58">
        <f>(F30+G30+J30)*$K$5</f>
        <v>4.5675</v>
      </c>
      <c r="L30" s="58">
        <f>(F30+G30+J30+K30)*$L$5</f>
        <v>4.978575</v>
      </c>
      <c r="M30" s="58">
        <f t="shared" si="7"/>
        <v>60.296075</v>
      </c>
      <c r="N30" s="58">
        <f t="shared" si="8"/>
        <v>426.896211</v>
      </c>
      <c r="O30" s="143"/>
    </row>
    <row r="31" s="4" customFormat="1" ht="48" customHeight="1" spans="1:15">
      <c r="A31" s="32">
        <v>22</v>
      </c>
      <c r="B31" s="32" t="s">
        <v>243</v>
      </c>
      <c r="C31" s="32" t="s">
        <v>244</v>
      </c>
      <c r="D31" s="32" t="s">
        <v>83</v>
      </c>
      <c r="E31" s="58">
        <v>4.11</v>
      </c>
      <c r="F31" s="136">
        <v>45</v>
      </c>
      <c r="G31" s="58">
        <f t="shared" si="6"/>
        <v>163.8</v>
      </c>
      <c r="H31" s="136">
        <v>156</v>
      </c>
      <c r="I31" s="59">
        <v>0.05</v>
      </c>
      <c r="J31" s="58">
        <v>20</v>
      </c>
      <c r="K31" s="58">
        <f>(F31+G31+J31)*$K$5</f>
        <v>20.592</v>
      </c>
      <c r="L31" s="58">
        <f>(F31+G31+J31+K31)*$L$5</f>
        <v>22.44528</v>
      </c>
      <c r="M31" s="58">
        <f t="shared" si="7"/>
        <v>271.83728</v>
      </c>
      <c r="N31" s="58">
        <f t="shared" si="8"/>
        <v>1117.2512208</v>
      </c>
      <c r="O31" s="143"/>
    </row>
    <row r="32" s="4" customFormat="1" ht="48" customHeight="1" spans="1:15">
      <c r="A32" s="32">
        <v>23</v>
      </c>
      <c r="B32" s="32" t="s">
        <v>245</v>
      </c>
      <c r="C32" s="32" t="s">
        <v>246</v>
      </c>
      <c r="D32" s="32" t="s">
        <v>83</v>
      </c>
      <c r="E32" s="58">
        <v>4.42</v>
      </c>
      <c r="F32" s="136">
        <v>115</v>
      </c>
      <c r="G32" s="58">
        <f t="shared" si="6"/>
        <v>714</v>
      </c>
      <c r="H32" s="136">
        <v>680</v>
      </c>
      <c r="I32" s="59">
        <v>0.05</v>
      </c>
      <c r="J32" s="58">
        <v>68</v>
      </c>
      <c r="K32" s="58">
        <f>(F32+G32+J32)*$K$5</f>
        <v>80.73</v>
      </c>
      <c r="L32" s="58">
        <f>(F32+G32+J32+K32)*$L$5</f>
        <v>87.9957</v>
      </c>
      <c r="M32" s="58">
        <f t="shared" si="7"/>
        <v>1065.7257</v>
      </c>
      <c r="N32" s="58">
        <f t="shared" si="8"/>
        <v>4710.507594</v>
      </c>
      <c r="O32" s="143"/>
    </row>
    <row r="33" s="4" customFormat="1" ht="48" customHeight="1" spans="1:15">
      <c r="A33" s="32">
        <v>24</v>
      </c>
      <c r="B33" s="32" t="s">
        <v>247</v>
      </c>
      <c r="C33" s="32" t="s">
        <v>248</v>
      </c>
      <c r="D33" s="32" t="s">
        <v>83</v>
      </c>
      <c r="E33" s="58">
        <v>0.68</v>
      </c>
      <c r="F33" s="136">
        <v>115</v>
      </c>
      <c r="G33" s="58">
        <f t="shared" si="6"/>
        <v>1029</v>
      </c>
      <c r="H33" s="136">
        <v>980</v>
      </c>
      <c r="I33" s="59">
        <v>0.05</v>
      </c>
      <c r="J33" s="58">
        <v>68</v>
      </c>
      <c r="K33" s="58">
        <f>(F33+G33+J33)*$K$5</f>
        <v>109.08</v>
      </c>
      <c r="L33" s="58">
        <f>(F33+G33+J33+K33)*$L$5</f>
        <v>118.8972</v>
      </c>
      <c r="M33" s="58">
        <f t="shared" si="7"/>
        <v>1439.9772</v>
      </c>
      <c r="N33" s="58">
        <f t="shared" si="8"/>
        <v>979.184496</v>
      </c>
      <c r="O33" s="143"/>
    </row>
    <row r="34" s="4" customFormat="1" ht="48" customHeight="1" spans="1:15">
      <c r="A34" s="32">
        <v>25</v>
      </c>
      <c r="B34" s="32" t="s">
        <v>249</v>
      </c>
      <c r="C34" s="32" t="s">
        <v>250</v>
      </c>
      <c r="D34" s="32" t="s">
        <v>83</v>
      </c>
      <c r="E34" s="58">
        <v>1.1</v>
      </c>
      <c r="F34" s="136">
        <v>120</v>
      </c>
      <c r="G34" s="58">
        <f t="shared" si="6"/>
        <v>367.5</v>
      </c>
      <c r="H34" s="136">
        <v>350</v>
      </c>
      <c r="I34" s="59">
        <v>0.05</v>
      </c>
      <c r="J34" s="58">
        <v>10</v>
      </c>
      <c r="K34" s="58">
        <f>(F34+G34+J34)*$K$5</f>
        <v>44.775</v>
      </c>
      <c r="L34" s="58">
        <f>(F34+G34+J34+K34)*$L$5</f>
        <v>48.80475</v>
      </c>
      <c r="M34" s="58">
        <f t="shared" si="7"/>
        <v>591.07975</v>
      </c>
      <c r="N34" s="58">
        <f t="shared" si="8"/>
        <v>650.187725</v>
      </c>
      <c r="O34" s="143"/>
    </row>
    <row r="35" s="4" customFormat="1" ht="48" customHeight="1" spans="1:15">
      <c r="A35" s="32">
        <v>26</v>
      </c>
      <c r="B35" s="32" t="s">
        <v>251</v>
      </c>
      <c r="C35" s="32" t="s">
        <v>252</v>
      </c>
      <c r="D35" s="32" t="s">
        <v>101</v>
      </c>
      <c r="E35" s="58">
        <v>10.14</v>
      </c>
      <c r="F35" s="136">
        <v>30</v>
      </c>
      <c r="G35" s="58">
        <f t="shared" si="6"/>
        <v>52.5</v>
      </c>
      <c r="H35" s="136">
        <v>50</v>
      </c>
      <c r="I35" s="59">
        <v>0.05</v>
      </c>
      <c r="J35" s="58">
        <v>10</v>
      </c>
      <c r="K35" s="58">
        <f>(F35+G35+J35)*$K$5</f>
        <v>8.325</v>
      </c>
      <c r="L35" s="58">
        <f>(F35+G35+J35+K35)*$L$5</f>
        <v>9.07425</v>
      </c>
      <c r="M35" s="58">
        <f t="shared" si="7"/>
        <v>109.89925</v>
      </c>
      <c r="N35" s="58">
        <f t="shared" si="8"/>
        <v>1114.378395</v>
      </c>
      <c r="O35" s="143"/>
    </row>
    <row r="36" s="4" customFormat="1" ht="48" customHeight="1" spans="1:15">
      <c r="A36" s="32">
        <v>27</v>
      </c>
      <c r="B36" s="32" t="s">
        <v>251</v>
      </c>
      <c r="C36" s="32" t="s">
        <v>253</v>
      </c>
      <c r="D36" s="32" t="s">
        <v>101</v>
      </c>
      <c r="E36" s="58">
        <v>5.25</v>
      </c>
      <c r="F36" s="136">
        <v>30</v>
      </c>
      <c r="G36" s="58">
        <f t="shared" si="6"/>
        <v>52.5</v>
      </c>
      <c r="H36" s="136">
        <v>50</v>
      </c>
      <c r="I36" s="59">
        <v>0.05</v>
      </c>
      <c r="J36" s="58">
        <v>10</v>
      </c>
      <c r="K36" s="58">
        <f>(F36+G36+J36)*$K$5</f>
        <v>8.325</v>
      </c>
      <c r="L36" s="58">
        <f>(F36+G36+J36+K36)*$L$5</f>
        <v>9.07425</v>
      </c>
      <c r="M36" s="58">
        <f t="shared" si="7"/>
        <v>109.89925</v>
      </c>
      <c r="N36" s="58">
        <f t="shared" si="8"/>
        <v>576.9710625</v>
      </c>
      <c r="O36" s="143"/>
    </row>
    <row r="37" s="4" customFormat="1" ht="35" customHeight="1" spans="1:15">
      <c r="A37" s="32"/>
      <c r="B37" s="137" t="s">
        <v>254</v>
      </c>
      <c r="C37" s="137" t="s">
        <v>255</v>
      </c>
      <c r="D37" s="32"/>
      <c r="E37" s="58"/>
      <c r="F37" s="136"/>
      <c r="G37" s="58"/>
      <c r="H37" s="136"/>
      <c r="I37" s="59"/>
      <c r="J37" s="58"/>
      <c r="K37" s="58"/>
      <c r="L37" s="58"/>
      <c r="M37" s="134">
        <f>SUM(N38:N41)</f>
        <v>13853.792526</v>
      </c>
      <c r="N37" s="138"/>
      <c r="O37" s="143"/>
    </row>
    <row r="38" s="4" customFormat="1" ht="48" customHeight="1" spans="1:15">
      <c r="A38" s="32">
        <v>28</v>
      </c>
      <c r="B38" s="32" t="s">
        <v>232</v>
      </c>
      <c r="C38" s="32" t="s">
        <v>233</v>
      </c>
      <c r="D38" s="32" t="s">
        <v>83</v>
      </c>
      <c r="E38" s="58">
        <v>10.85</v>
      </c>
      <c r="F38" s="136">
        <v>65</v>
      </c>
      <c r="G38" s="58">
        <f t="shared" ref="G38:G41" si="9">H38*(1+I38)</f>
        <v>107.8</v>
      </c>
      <c r="H38" s="136">
        <v>98</v>
      </c>
      <c r="I38" s="59">
        <v>0.1</v>
      </c>
      <c r="J38" s="58">
        <v>20</v>
      </c>
      <c r="K38" s="58">
        <f>(F38+G38+J38)*$K$5</f>
        <v>17.352</v>
      </c>
      <c r="L38" s="58">
        <f>(F38+G38+J38+K38)*$L$5</f>
        <v>18.91368</v>
      </c>
      <c r="M38" s="58">
        <f t="shared" ref="M38:M41" si="10">F38+G38+J38+K38+L38</f>
        <v>229.06568</v>
      </c>
      <c r="N38" s="58">
        <f t="shared" ref="N38:N41" si="11">M38*E38</f>
        <v>2485.362628</v>
      </c>
      <c r="O38" s="143"/>
    </row>
    <row r="39" s="4" customFormat="1" ht="78" customHeight="1" spans="1:15">
      <c r="A39" s="32">
        <v>29</v>
      </c>
      <c r="B39" s="32" t="s">
        <v>245</v>
      </c>
      <c r="C39" s="32" t="s">
        <v>256</v>
      </c>
      <c r="D39" s="32" t="s">
        <v>83</v>
      </c>
      <c r="E39" s="58">
        <v>2.86</v>
      </c>
      <c r="F39" s="136">
        <v>165</v>
      </c>
      <c r="G39" s="58">
        <f t="shared" si="9"/>
        <v>1155</v>
      </c>
      <c r="H39" s="136">
        <v>1100</v>
      </c>
      <c r="I39" s="59">
        <v>0.05</v>
      </c>
      <c r="J39" s="58">
        <v>65</v>
      </c>
      <c r="K39" s="58">
        <f>(F39+G39+J39)*$K$5</f>
        <v>124.65</v>
      </c>
      <c r="L39" s="58">
        <f>(F39+G39+J39+K39)*$L$5</f>
        <v>135.8685</v>
      </c>
      <c r="M39" s="58">
        <f t="shared" si="10"/>
        <v>1645.5185</v>
      </c>
      <c r="N39" s="58">
        <f t="shared" si="11"/>
        <v>4706.18291</v>
      </c>
      <c r="O39" s="143"/>
    </row>
    <row r="40" s="4" customFormat="1" ht="61" customHeight="1" spans="1:15">
      <c r="A40" s="32">
        <v>30</v>
      </c>
      <c r="B40" s="32" t="s">
        <v>245</v>
      </c>
      <c r="C40" s="32" t="s">
        <v>257</v>
      </c>
      <c r="D40" s="32" t="s">
        <v>83</v>
      </c>
      <c r="E40" s="58">
        <v>1.63</v>
      </c>
      <c r="F40" s="136">
        <v>115</v>
      </c>
      <c r="G40" s="58">
        <f t="shared" si="9"/>
        <v>1155</v>
      </c>
      <c r="H40" s="136">
        <v>1100</v>
      </c>
      <c r="I40" s="59">
        <v>0.05</v>
      </c>
      <c r="J40" s="58">
        <v>68</v>
      </c>
      <c r="K40" s="58">
        <f>(F40+G40+J40)*$K$5</f>
        <v>120.42</v>
      </c>
      <c r="L40" s="58">
        <f>(F40+G40+J40+K40)*$L$5</f>
        <v>131.2578</v>
      </c>
      <c r="M40" s="58">
        <f t="shared" si="10"/>
        <v>1589.6778</v>
      </c>
      <c r="N40" s="58">
        <f t="shared" si="11"/>
        <v>2591.174814</v>
      </c>
      <c r="O40" s="143"/>
    </row>
    <row r="41" s="4" customFormat="1" ht="70" customHeight="1" spans="1:15">
      <c r="A41" s="32">
        <v>31</v>
      </c>
      <c r="B41" s="32" t="s">
        <v>245</v>
      </c>
      <c r="C41" s="32" t="s">
        <v>258</v>
      </c>
      <c r="D41" s="32" t="s">
        <v>83</v>
      </c>
      <c r="E41" s="58">
        <v>3.82</v>
      </c>
      <c r="F41" s="136">
        <v>115</v>
      </c>
      <c r="G41" s="58">
        <f t="shared" si="9"/>
        <v>714</v>
      </c>
      <c r="H41" s="136">
        <v>680</v>
      </c>
      <c r="I41" s="59">
        <v>0.05</v>
      </c>
      <c r="J41" s="58">
        <v>68</v>
      </c>
      <c r="K41" s="58">
        <f>(F41+G41+J41)*$K$5</f>
        <v>80.73</v>
      </c>
      <c r="L41" s="58">
        <f>(F41+G41+J41+K41)*$L$5</f>
        <v>87.9957</v>
      </c>
      <c r="M41" s="58">
        <f t="shared" si="10"/>
        <v>1065.7257</v>
      </c>
      <c r="N41" s="58">
        <f t="shared" si="11"/>
        <v>4071.072174</v>
      </c>
      <c r="O41" s="143"/>
    </row>
    <row r="42" s="4" customFormat="1" ht="48" customHeight="1" spans="1:15">
      <c r="A42" s="32"/>
      <c r="B42" s="137" t="s">
        <v>259</v>
      </c>
      <c r="C42" s="137" t="s">
        <v>260</v>
      </c>
      <c r="D42" s="32"/>
      <c r="E42" s="58"/>
      <c r="F42" s="136"/>
      <c r="G42" s="58"/>
      <c r="H42" s="136"/>
      <c r="I42" s="59"/>
      <c r="J42" s="58"/>
      <c r="K42" s="58"/>
      <c r="L42" s="58"/>
      <c r="M42" s="134">
        <f>SUM(N43:N46)</f>
        <v>9483.521129</v>
      </c>
      <c r="N42" s="138"/>
      <c r="O42" s="143"/>
    </row>
    <row r="43" s="4" customFormat="1" ht="94" customHeight="1" spans="1:15">
      <c r="A43" s="32">
        <v>32</v>
      </c>
      <c r="B43" s="32" t="s">
        <v>232</v>
      </c>
      <c r="C43" s="32" t="s">
        <v>233</v>
      </c>
      <c r="D43" s="32" t="s">
        <v>83</v>
      </c>
      <c r="E43" s="58">
        <v>8.05</v>
      </c>
      <c r="F43" s="136">
        <v>65</v>
      </c>
      <c r="G43" s="58">
        <f t="shared" ref="G43:G46" si="12">H43*(1+I43)</f>
        <v>107.8</v>
      </c>
      <c r="H43" s="136">
        <v>98</v>
      </c>
      <c r="I43" s="59">
        <v>0.1</v>
      </c>
      <c r="J43" s="58">
        <v>80</v>
      </c>
      <c r="K43" s="58">
        <f>(F43+G43+J43)*$K$5</f>
        <v>22.752</v>
      </c>
      <c r="L43" s="58">
        <f>(F43+G43+J43+K43)*$L$5</f>
        <v>24.79968</v>
      </c>
      <c r="M43" s="58">
        <f t="shared" ref="M43:M46" si="13">F43+G43+J43+K43+L43</f>
        <v>300.35168</v>
      </c>
      <c r="N43" s="58">
        <f t="shared" ref="N43:N46" si="14">M43*E43</f>
        <v>2417.831024</v>
      </c>
      <c r="O43" s="143"/>
    </row>
    <row r="44" s="4" customFormat="1" ht="48" customHeight="1" spans="1:15">
      <c r="A44" s="32">
        <v>33</v>
      </c>
      <c r="B44" s="32" t="s">
        <v>249</v>
      </c>
      <c r="C44" s="32" t="s">
        <v>250</v>
      </c>
      <c r="D44" s="32" t="s">
        <v>83</v>
      </c>
      <c r="E44" s="58">
        <v>3.66</v>
      </c>
      <c r="F44" s="136">
        <v>120</v>
      </c>
      <c r="G44" s="58">
        <f t="shared" si="12"/>
        <v>367.5</v>
      </c>
      <c r="H44" s="136">
        <v>350</v>
      </c>
      <c r="I44" s="59">
        <v>0.05</v>
      </c>
      <c r="J44" s="58">
        <v>10</v>
      </c>
      <c r="K44" s="58">
        <f>(F44+G44+J44)*$K$5</f>
        <v>44.775</v>
      </c>
      <c r="L44" s="58">
        <f>(F44+G44+J44+K44)*$L$5</f>
        <v>48.80475</v>
      </c>
      <c r="M44" s="58">
        <f t="shared" si="13"/>
        <v>591.07975</v>
      </c>
      <c r="N44" s="58">
        <f t="shared" si="14"/>
        <v>2163.351885</v>
      </c>
      <c r="O44" s="143"/>
    </row>
    <row r="45" s="4" customFormat="1" ht="67" customHeight="1" spans="1:15">
      <c r="A45" s="32">
        <v>34</v>
      </c>
      <c r="B45" s="32" t="s">
        <v>245</v>
      </c>
      <c r="C45" s="32" t="s">
        <v>261</v>
      </c>
      <c r="D45" s="32" t="s">
        <v>83</v>
      </c>
      <c r="E45" s="58">
        <v>3.93</v>
      </c>
      <c r="F45" s="136">
        <v>115</v>
      </c>
      <c r="G45" s="58">
        <f t="shared" si="12"/>
        <v>714</v>
      </c>
      <c r="H45" s="136">
        <v>680</v>
      </c>
      <c r="I45" s="59">
        <v>0.05</v>
      </c>
      <c r="J45" s="58">
        <v>68</v>
      </c>
      <c r="K45" s="58">
        <f>(F45+G45+J45)*$K$5</f>
        <v>80.73</v>
      </c>
      <c r="L45" s="58">
        <f>(F45+G45+J45+K45)*$L$5</f>
        <v>87.9957</v>
      </c>
      <c r="M45" s="58">
        <f t="shared" si="13"/>
        <v>1065.7257</v>
      </c>
      <c r="N45" s="58">
        <f t="shared" si="14"/>
        <v>4188.302001</v>
      </c>
      <c r="O45" s="143"/>
    </row>
    <row r="46" s="4" customFormat="1" ht="80" customHeight="1" spans="1:15">
      <c r="A46" s="32">
        <v>35</v>
      </c>
      <c r="B46" s="32" t="s">
        <v>245</v>
      </c>
      <c r="C46" s="32" t="s">
        <v>262</v>
      </c>
      <c r="D46" s="32" t="s">
        <v>83</v>
      </c>
      <c r="E46" s="58">
        <v>0.67</v>
      </c>
      <c r="F46" s="136">
        <v>115</v>
      </c>
      <c r="G46" s="58">
        <f t="shared" si="12"/>
        <v>714</v>
      </c>
      <c r="H46" s="136">
        <v>680</v>
      </c>
      <c r="I46" s="59">
        <v>0.05</v>
      </c>
      <c r="J46" s="58">
        <v>68</v>
      </c>
      <c r="K46" s="58">
        <f>(F46+G46+J46)*$K$5</f>
        <v>80.73</v>
      </c>
      <c r="L46" s="58">
        <f>(F46+G46+J46+K46)*$L$5</f>
        <v>87.9957</v>
      </c>
      <c r="M46" s="58">
        <f t="shared" si="13"/>
        <v>1065.7257</v>
      </c>
      <c r="N46" s="58">
        <f t="shared" si="14"/>
        <v>714.036219</v>
      </c>
      <c r="O46" s="143"/>
    </row>
    <row r="47" s="4" customFormat="1" ht="32" customHeight="1" spans="1:15">
      <c r="A47" s="32"/>
      <c r="B47" s="137" t="s">
        <v>263</v>
      </c>
      <c r="C47" s="137" t="s">
        <v>264</v>
      </c>
      <c r="D47" s="32"/>
      <c r="E47" s="58"/>
      <c r="F47" s="136"/>
      <c r="G47" s="58"/>
      <c r="H47" s="136"/>
      <c r="I47" s="59"/>
      <c r="J47" s="58"/>
      <c r="K47" s="58"/>
      <c r="L47" s="58"/>
      <c r="M47" s="134">
        <f>SUM(N48:N55)</f>
        <v>14306.1556605</v>
      </c>
      <c r="N47" s="138"/>
      <c r="O47" s="143"/>
    </row>
    <row r="48" s="4" customFormat="1" ht="65" customHeight="1" spans="1:15">
      <c r="A48" s="32">
        <v>36</v>
      </c>
      <c r="B48" s="32" t="s">
        <v>236</v>
      </c>
      <c r="C48" s="32" t="s">
        <v>237</v>
      </c>
      <c r="D48" s="32" t="s">
        <v>101</v>
      </c>
      <c r="E48" s="58">
        <f>0.28/0.04</f>
        <v>7</v>
      </c>
      <c r="F48" s="136">
        <v>20</v>
      </c>
      <c r="G48" s="138">
        <f>H48*(1+I48)</f>
        <v>30.9</v>
      </c>
      <c r="H48" s="139">
        <v>30</v>
      </c>
      <c r="I48" s="59">
        <v>0.03</v>
      </c>
      <c r="J48" s="138">
        <v>8</v>
      </c>
      <c r="K48" s="58">
        <f>(F48+G48+J48)*$K$5</f>
        <v>5.301</v>
      </c>
      <c r="L48" s="58">
        <f>(F48+G48+J48+K48)*$L$5</f>
        <v>5.77809</v>
      </c>
      <c r="M48" s="58">
        <f t="shared" ref="M48:M55" si="15">F48+G48+J48+K48+L48</f>
        <v>69.97909</v>
      </c>
      <c r="N48" s="58">
        <f t="shared" ref="N48:N55" si="16">M48*E48</f>
        <v>489.85363</v>
      </c>
      <c r="O48" s="143"/>
    </row>
    <row r="49" s="4" customFormat="1" ht="64" customHeight="1" spans="1:16">
      <c r="A49" s="32">
        <v>37</v>
      </c>
      <c r="B49" s="132" t="s">
        <v>239</v>
      </c>
      <c r="C49" s="132" t="s">
        <v>265</v>
      </c>
      <c r="D49" s="32" t="s">
        <v>83</v>
      </c>
      <c r="E49" s="58">
        <v>8.32</v>
      </c>
      <c r="F49" s="136">
        <v>105</v>
      </c>
      <c r="G49" s="58">
        <f t="shared" ref="G48:G55" si="17">H49*(1+I49)</f>
        <v>346.5</v>
      </c>
      <c r="H49" s="136">
        <v>330</v>
      </c>
      <c r="I49" s="59">
        <v>0.05</v>
      </c>
      <c r="J49" s="58">
        <v>10</v>
      </c>
      <c r="K49" s="58">
        <f>(F49+G49+J49)*$K$5</f>
        <v>41.535</v>
      </c>
      <c r="L49" s="58">
        <f>(F49+G49+J49+K49)*$L$5</f>
        <v>45.27315</v>
      </c>
      <c r="M49" s="58">
        <f t="shared" si="15"/>
        <v>548.30815</v>
      </c>
      <c r="N49" s="58">
        <f t="shared" si="16"/>
        <v>4561.923808</v>
      </c>
      <c r="O49" s="143" t="s">
        <v>266</v>
      </c>
      <c r="P49" s="144" t="s">
        <v>267</v>
      </c>
    </row>
    <row r="50" s="4" customFormat="1" ht="66" customHeight="1" spans="1:15">
      <c r="A50" s="32">
        <v>38</v>
      </c>
      <c r="B50" s="32" t="s">
        <v>239</v>
      </c>
      <c r="C50" s="32" t="s">
        <v>240</v>
      </c>
      <c r="D50" s="32" t="s">
        <v>83</v>
      </c>
      <c r="E50" s="58">
        <v>5.59</v>
      </c>
      <c r="F50" s="136">
        <v>105</v>
      </c>
      <c r="G50" s="58">
        <f t="shared" si="17"/>
        <v>346.5</v>
      </c>
      <c r="H50" s="136">
        <v>330</v>
      </c>
      <c r="I50" s="59">
        <v>0.05</v>
      </c>
      <c r="J50" s="58">
        <v>10</v>
      </c>
      <c r="K50" s="58">
        <f>(F50+G50+J50)*$K$5</f>
        <v>41.535</v>
      </c>
      <c r="L50" s="58">
        <f>(F50+G50+J50+K50)*$L$5</f>
        <v>45.27315</v>
      </c>
      <c r="M50" s="58">
        <f t="shared" si="15"/>
        <v>548.30815</v>
      </c>
      <c r="N50" s="58">
        <f t="shared" si="16"/>
        <v>3065.0425585</v>
      </c>
      <c r="O50" s="143"/>
    </row>
    <row r="51" s="4" customFormat="1" ht="58" customHeight="1" spans="1:15">
      <c r="A51" s="32">
        <v>39</v>
      </c>
      <c r="B51" s="32" t="s">
        <v>241</v>
      </c>
      <c r="C51" s="32" t="s">
        <v>242</v>
      </c>
      <c r="D51" s="32" t="s">
        <v>101</v>
      </c>
      <c r="E51" s="58">
        <v>4.72</v>
      </c>
      <c r="F51" s="136">
        <v>15</v>
      </c>
      <c r="G51" s="58">
        <f t="shared" si="17"/>
        <v>25.75</v>
      </c>
      <c r="H51" s="136">
        <v>25</v>
      </c>
      <c r="I51" s="59">
        <v>0.03</v>
      </c>
      <c r="J51" s="58">
        <v>10</v>
      </c>
      <c r="K51" s="58">
        <f>(F51+G51+J51)*$K$5</f>
        <v>4.5675</v>
      </c>
      <c r="L51" s="58">
        <f>(F51+G51+J51+K51)*$L$5</f>
        <v>4.978575</v>
      </c>
      <c r="M51" s="58">
        <f t="shared" si="15"/>
        <v>60.296075</v>
      </c>
      <c r="N51" s="58">
        <f t="shared" si="16"/>
        <v>284.597474</v>
      </c>
      <c r="O51" s="143"/>
    </row>
    <row r="52" s="4" customFormat="1" ht="48" customHeight="1" spans="1:15">
      <c r="A52" s="32">
        <v>40</v>
      </c>
      <c r="B52" s="32" t="s">
        <v>268</v>
      </c>
      <c r="C52" s="32" t="s">
        <v>269</v>
      </c>
      <c r="D52" s="32" t="s">
        <v>83</v>
      </c>
      <c r="E52" s="58">
        <v>0.66</v>
      </c>
      <c r="F52" s="136">
        <v>105</v>
      </c>
      <c r="G52" s="58">
        <f t="shared" si="17"/>
        <v>357</v>
      </c>
      <c r="H52" s="136">
        <v>340</v>
      </c>
      <c r="I52" s="59">
        <v>0.05</v>
      </c>
      <c r="J52" s="58">
        <v>10</v>
      </c>
      <c r="K52" s="58">
        <f>(F52+G52+J52)*$K$5</f>
        <v>42.48</v>
      </c>
      <c r="L52" s="58">
        <f>(F52+G52+J52+K52)*$L$5</f>
        <v>46.3032</v>
      </c>
      <c r="M52" s="58">
        <f t="shared" si="15"/>
        <v>560.7832</v>
      </c>
      <c r="N52" s="58">
        <f t="shared" si="16"/>
        <v>370.116912</v>
      </c>
      <c r="O52" s="143"/>
    </row>
    <row r="53" s="4" customFormat="1" ht="48" customHeight="1" spans="1:15">
      <c r="A53" s="32">
        <v>41</v>
      </c>
      <c r="B53" s="32" t="s">
        <v>270</v>
      </c>
      <c r="C53" s="32" t="s">
        <v>271</v>
      </c>
      <c r="D53" s="32" t="s">
        <v>83</v>
      </c>
      <c r="E53" s="58">
        <v>2.2</v>
      </c>
      <c r="F53" s="136">
        <v>105</v>
      </c>
      <c r="G53" s="58">
        <f t="shared" si="17"/>
        <v>357</v>
      </c>
      <c r="H53" s="136">
        <v>340</v>
      </c>
      <c r="I53" s="59">
        <v>0.05</v>
      </c>
      <c r="J53" s="58">
        <v>10</v>
      </c>
      <c r="K53" s="58">
        <f>(F53+G53+J53)*$K$5</f>
        <v>42.48</v>
      </c>
      <c r="L53" s="58">
        <f>(F53+G53+J53+K53)*$L$5</f>
        <v>46.3032</v>
      </c>
      <c r="M53" s="58">
        <f t="shared" si="15"/>
        <v>560.7832</v>
      </c>
      <c r="N53" s="58">
        <f t="shared" si="16"/>
        <v>1233.72304</v>
      </c>
      <c r="O53" s="143"/>
    </row>
    <row r="54" s="4" customFormat="1" ht="48" customHeight="1" spans="1:15">
      <c r="A54" s="32">
        <v>42</v>
      </c>
      <c r="B54" s="32" t="s">
        <v>272</v>
      </c>
      <c r="C54" s="32" t="s">
        <v>273</v>
      </c>
      <c r="D54" s="32" t="s">
        <v>101</v>
      </c>
      <c r="E54" s="58">
        <v>2.59</v>
      </c>
      <c r="F54" s="136">
        <v>30</v>
      </c>
      <c r="G54" s="58">
        <f t="shared" si="17"/>
        <v>189</v>
      </c>
      <c r="H54" s="136">
        <v>180</v>
      </c>
      <c r="I54" s="59">
        <v>0.05</v>
      </c>
      <c r="J54" s="58">
        <v>15</v>
      </c>
      <c r="K54" s="58">
        <f>(F54+G54+J54)*$K$5</f>
        <v>21.06</v>
      </c>
      <c r="L54" s="58">
        <f>(F54+G54+J54+K54)*$L$5</f>
        <v>22.9554</v>
      </c>
      <c r="M54" s="58">
        <f t="shared" si="15"/>
        <v>278.0154</v>
      </c>
      <c r="N54" s="58">
        <f t="shared" si="16"/>
        <v>720.059886</v>
      </c>
      <c r="O54" s="143"/>
    </row>
    <row r="55" s="4" customFormat="1" ht="81" customHeight="1" spans="1:15">
      <c r="A55" s="32">
        <v>43</v>
      </c>
      <c r="B55" s="32" t="s">
        <v>245</v>
      </c>
      <c r="C55" s="32" t="s">
        <v>274</v>
      </c>
      <c r="D55" s="32" t="s">
        <v>83</v>
      </c>
      <c r="E55" s="58">
        <v>3.36</v>
      </c>
      <c r="F55" s="136">
        <v>115</v>
      </c>
      <c r="G55" s="58">
        <f t="shared" si="17"/>
        <v>714</v>
      </c>
      <c r="H55" s="136">
        <v>680</v>
      </c>
      <c r="I55" s="59">
        <v>0.05</v>
      </c>
      <c r="J55" s="58">
        <v>68</v>
      </c>
      <c r="K55" s="58">
        <f>(F55+G55+J55)*$K$5</f>
        <v>80.73</v>
      </c>
      <c r="L55" s="58">
        <f>(F55+G55+J55+K55)*$L$5</f>
        <v>87.9957</v>
      </c>
      <c r="M55" s="58">
        <f t="shared" si="15"/>
        <v>1065.7257</v>
      </c>
      <c r="N55" s="58">
        <f t="shared" si="16"/>
        <v>3580.838352</v>
      </c>
      <c r="O55" s="143"/>
    </row>
    <row r="56" s="4" customFormat="1" ht="31" customHeight="1" spans="1:15">
      <c r="A56" s="32"/>
      <c r="B56" s="137" t="s">
        <v>275</v>
      </c>
      <c r="C56" s="137" t="s">
        <v>276</v>
      </c>
      <c r="D56" s="32"/>
      <c r="E56" s="58"/>
      <c r="F56" s="136"/>
      <c r="G56" s="58"/>
      <c r="H56" s="136"/>
      <c r="I56" s="59"/>
      <c r="J56" s="58"/>
      <c r="K56" s="58"/>
      <c r="L56" s="58"/>
      <c r="M56" s="134">
        <f>SUM(N57:N61)</f>
        <v>14642.417663</v>
      </c>
      <c r="N56" s="138"/>
      <c r="O56" s="143"/>
    </row>
    <row r="57" s="4" customFormat="1" ht="70" customHeight="1" spans="1:15">
      <c r="A57" s="32">
        <v>44</v>
      </c>
      <c r="B57" s="32" t="s">
        <v>236</v>
      </c>
      <c r="C57" s="32" t="s">
        <v>237</v>
      </c>
      <c r="D57" s="32" t="s">
        <v>101</v>
      </c>
      <c r="E57" s="58">
        <f>0.47/0.04</f>
        <v>11.75</v>
      </c>
      <c r="F57" s="139">
        <v>20</v>
      </c>
      <c r="G57" s="138">
        <f>H57*(1+I57)</f>
        <v>30.9</v>
      </c>
      <c r="H57" s="139">
        <v>30</v>
      </c>
      <c r="I57" s="59">
        <v>0.03</v>
      </c>
      <c r="J57" s="138">
        <v>8</v>
      </c>
      <c r="K57" s="58">
        <f>(F57+G57+J57)*$K$5</f>
        <v>5.301</v>
      </c>
      <c r="L57" s="58">
        <f>(F57+G57+J57+K57)*$L$5</f>
        <v>5.77809</v>
      </c>
      <c r="M57" s="58">
        <f t="shared" ref="M57:M61" si="18">F57+G57+J57+K57+L57</f>
        <v>69.97909</v>
      </c>
      <c r="N57" s="58">
        <f t="shared" ref="N57:N61" si="19">M57*E57</f>
        <v>822.2543075</v>
      </c>
      <c r="O57" s="143"/>
    </row>
    <row r="58" s="4" customFormat="1" ht="48" customHeight="1" spans="1:15">
      <c r="A58" s="32">
        <v>45</v>
      </c>
      <c r="B58" s="32" t="s">
        <v>139</v>
      </c>
      <c r="C58" s="32" t="s">
        <v>238</v>
      </c>
      <c r="D58" s="32" t="s">
        <v>83</v>
      </c>
      <c r="E58" s="58">
        <v>10.25</v>
      </c>
      <c r="F58" s="136">
        <v>80</v>
      </c>
      <c r="G58" s="58">
        <f t="shared" ref="G57:G61" si="20">H58*(1+I58)</f>
        <v>325.5</v>
      </c>
      <c r="H58" s="136">
        <v>310</v>
      </c>
      <c r="I58" s="59">
        <v>0.05</v>
      </c>
      <c r="J58" s="58">
        <v>38</v>
      </c>
      <c r="K58" s="58">
        <f>(F58+G58+J58)*$K$5</f>
        <v>39.915</v>
      </c>
      <c r="L58" s="58">
        <f>(F58+G58+J58+K58)*$L$5</f>
        <v>43.50735</v>
      </c>
      <c r="M58" s="58">
        <f t="shared" si="18"/>
        <v>526.92235</v>
      </c>
      <c r="N58" s="58">
        <f t="shared" si="19"/>
        <v>5400.9540875</v>
      </c>
      <c r="O58" s="143"/>
    </row>
    <row r="59" s="4" customFormat="1" ht="48" customHeight="1" spans="1:15">
      <c r="A59" s="32">
        <v>46</v>
      </c>
      <c r="B59" s="32" t="s">
        <v>239</v>
      </c>
      <c r="C59" s="32" t="s">
        <v>240</v>
      </c>
      <c r="D59" s="32" t="s">
        <v>83</v>
      </c>
      <c r="E59" s="58">
        <v>13.22</v>
      </c>
      <c r="F59" s="136">
        <v>105</v>
      </c>
      <c r="G59" s="58">
        <f t="shared" si="20"/>
        <v>241.5</v>
      </c>
      <c r="H59" s="136">
        <v>230</v>
      </c>
      <c r="I59" s="59">
        <v>0.05</v>
      </c>
      <c r="J59" s="58">
        <v>10</v>
      </c>
      <c r="K59" s="58">
        <f>(F59+G59+J59)*$K$5</f>
        <v>32.085</v>
      </c>
      <c r="L59" s="58">
        <f>(F59+G59+J59+K59)*$L$5</f>
        <v>34.97265</v>
      </c>
      <c r="M59" s="58">
        <f t="shared" si="18"/>
        <v>423.55765</v>
      </c>
      <c r="N59" s="58">
        <f t="shared" si="19"/>
        <v>5599.432133</v>
      </c>
      <c r="O59" s="143"/>
    </row>
    <row r="60" s="4" customFormat="1" ht="48" customHeight="1" spans="1:15">
      <c r="A60" s="32">
        <v>47</v>
      </c>
      <c r="B60" s="32" t="s">
        <v>241</v>
      </c>
      <c r="C60" s="32" t="s">
        <v>242</v>
      </c>
      <c r="D60" s="32" t="s">
        <v>101</v>
      </c>
      <c r="E60" s="58">
        <v>11.8</v>
      </c>
      <c r="F60" s="136">
        <v>15</v>
      </c>
      <c r="G60" s="58">
        <f t="shared" si="20"/>
        <v>25.75</v>
      </c>
      <c r="H60" s="136">
        <v>25</v>
      </c>
      <c r="I60" s="59">
        <v>0.03</v>
      </c>
      <c r="J60" s="58">
        <v>10</v>
      </c>
      <c r="K60" s="58">
        <f>(F60+G60+J60)*$K$5</f>
        <v>4.5675</v>
      </c>
      <c r="L60" s="58">
        <f>(F60+G60+J60+K60)*$L$5</f>
        <v>4.978575</v>
      </c>
      <c r="M60" s="58">
        <f t="shared" si="18"/>
        <v>60.296075</v>
      </c>
      <c r="N60" s="58">
        <f t="shared" si="19"/>
        <v>711.493685</v>
      </c>
      <c r="O60" s="143"/>
    </row>
    <row r="61" s="4" customFormat="1" ht="48" customHeight="1" spans="1:15">
      <c r="A61" s="32">
        <v>48</v>
      </c>
      <c r="B61" s="32" t="s">
        <v>251</v>
      </c>
      <c r="C61" s="32" t="s">
        <v>252</v>
      </c>
      <c r="D61" s="32" t="s">
        <v>101</v>
      </c>
      <c r="E61" s="58">
        <v>10.14</v>
      </c>
      <c r="F61" s="136">
        <v>30</v>
      </c>
      <c r="G61" s="58">
        <v>135</v>
      </c>
      <c r="H61" s="136">
        <v>50</v>
      </c>
      <c r="I61" s="59">
        <v>0.05</v>
      </c>
      <c r="J61" s="58">
        <v>10</v>
      </c>
      <c r="K61" s="58">
        <f>(F61+G61+J61)*$K$5</f>
        <v>15.75</v>
      </c>
      <c r="L61" s="58">
        <f>(F61+G61+J61+K61)*$L$5</f>
        <v>17.1675</v>
      </c>
      <c r="M61" s="58">
        <f t="shared" si="18"/>
        <v>207.9175</v>
      </c>
      <c r="N61" s="58">
        <f t="shared" si="19"/>
        <v>2108.28345</v>
      </c>
      <c r="O61" s="143"/>
    </row>
    <row r="62" s="4" customFormat="1" ht="30" customHeight="1" spans="1:15">
      <c r="A62" s="32"/>
      <c r="B62" s="137" t="s">
        <v>277</v>
      </c>
      <c r="C62" s="137" t="s">
        <v>278</v>
      </c>
      <c r="D62" s="32"/>
      <c r="E62" s="58"/>
      <c r="F62" s="136"/>
      <c r="G62" s="58"/>
      <c r="H62" s="136"/>
      <c r="I62" s="59"/>
      <c r="J62" s="58"/>
      <c r="K62" s="58"/>
      <c r="L62" s="58"/>
      <c r="M62" s="134">
        <f>SUM(N63:N67)</f>
        <v>9437.4394824</v>
      </c>
      <c r="N62" s="138"/>
      <c r="O62" s="143"/>
    </row>
    <row r="63" s="4" customFormat="1" ht="58" customHeight="1" spans="1:15">
      <c r="A63" s="32">
        <v>49</v>
      </c>
      <c r="B63" s="32" t="s">
        <v>279</v>
      </c>
      <c r="C63" s="32" t="s">
        <v>280</v>
      </c>
      <c r="D63" s="32" t="s">
        <v>83</v>
      </c>
      <c r="E63" s="58">
        <v>17.98</v>
      </c>
      <c r="F63" s="136">
        <v>72</v>
      </c>
      <c r="G63" s="58">
        <f t="shared" ref="G63:G67" si="21">H63*(1+I63)</f>
        <v>129.8</v>
      </c>
      <c r="H63" s="136">
        <v>118</v>
      </c>
      <c r="I63" s="59">
        <v>0.1</v>
      </c>
      <c r="J63" s="58">
        <v>80</v>
      </c>
      <c r="K63" s="58">
        <f>(F63+G63+J63)*$K$5</f>
        <v>25.362</v>
      </c>
      <c r="L63" s="58">
        <f>(F63+G63+J63+K63)*$L$5</f>
        <v>27.64458</v>
      </c>
      <c r="M63" s="58">
        <f t="shared" ref="M63:M67" si="22">F63+G63+J63+K63+L63</f>
        <v>334.80658</v>
      </c>
      <c r="N63" s="58">
        <f t="shared" ref="N63:N67" si="23">M63*E63</f>
        <v>6019.8223084</v>
      </c>
      <c r="O63" s="143"/>
    </row>
    <row r="64" s="4" customFormat="1" ht="48" customHeight="1" spans="1:15">
      <c r="A64" s="32">
        <v>50</v>
      </c>
      <c r="B64" s="32" t="s">
        <v>281</v>
      </c>
      <c r="C64" s="32" t="s">
        <v>282</v>
      </c>
      <c r="D64" s="32" t="s">
        <v>83</v>
      </c>
      <c r="E64" s="58">
        <v>1.59</v>
      </c>
      <c r="F64" s="136">
        <v>115</v>
      </c>
      <c r="G64" s="58">
        <f t="shared" si="21"/>
        <v>819</v>
      </c>
      <c r="H64" s="136">
        <v>780</v>
      </c>
      <c r="I64" s="59">
        <v>0.05</v>
      </c>
      <c r="J64" s="58">
        <v>68</v>
      </c>
      <c r="K64" s="58">
        <f>(F64+G64+J64)*$K$5</f>
        <v>90.18</v>
      </c>
      <c r="L64" s="58">
        <f>(F64+G64+J64+K64)*$L$5</f>
        <v>98.2962</v>
      </c>
      <c r="M64" s="58">
        <f t="shared" si="22"/>
        <v>1190.4762</v>
      </c>
      <c r="N64" s="58">
        <f t="shared" si="23"/>
        <v>1892.857158</v>
      </c>
      <c r="O64" s="143"/>
    </row>
    <row r="65" s="4" customFormat="1" ht="61" customHeight="1" spans="1:15">
      <c r="A65" s="32">
        <v>51</v>
      </c>
      <c r="B65" s="32" t="s">
        <v>245</v>
      </c>
      <c r="C65" s="32" t="s">
        <v>283</v>
      </c>
      <c r="D65" s="32" t="s">
        <v>83</v>
      </c>
      <c r="E65" s="58">
        <v>0.4</v>
      </c>
      <c r="F65" s="136">
        <v>115</v>
      </c>
      <c r="G65" s="58">
        <f t="shared" si="21"/>
        <v>714</v>
      </c>
      <c r="H65" s="136">
        <v>680</v>
      </c>
      <c r="I65" s="59">
        <v>0.05</v>
      </c>
      <c r="J65" s="58">
        <v>68</v>
      </c>
      <c r="K65" s="58">
        <f>(F65+G65+J65)*$K$5</f>
        <v>80.73</v>
      </c>
      <c r="L65" s="58">
        <f>(F65+G65+J65+K65)*$L$5</f>
        <v>87.9957</v>
      </c>
      <c r="M65" s="58">
        <f t="shared" si="22"/>
        <v>1065.7257</v>
      </c>
      <c r="N65" s="58">
        <f t="shared" si="23"/>
        <v>426.29028</v>
      </c>
      <c r="O65" s="143"/>
    </row>
    <row r="66" s="4" customFormat="1" ht="48" customHeight="1" spans="1:15">
      <c r="A66" s="32">
        <v>52</v>
      </c>
      <c r="B66" s="32" t="s">
        <v>243</v>
      </c>
      <c r="C66" s="32" t="s">
        <v>244</v>
      </c>
      <c r="D66" s="32" t="s">
        <v>83</v>
      </c>
      <c r="E66" s="58">
        <v>2.65</v>
      </c>
      <c r="F66" s="136">
        <v>45</v>
      </c>
      <c r="G66" s="58">
        <f t="shared" si="21"/>
        <v>163.8</v>
      </c>
      <c r="H66" s="136">
        <v>156</v>
      </c>
      <c r="I66" s="59">
        <v>0.05</v>
      </c>
      <c r="J66" s="58">
        <v>20</v>
      </c>
      <c r="K66" s="58">
        <f>(F66+G66+J66)*$K$5</f>
        <v>20.592</v>
      </c>
      <c r="L66" s="58">
        <f>(F66+G66+J66+K66)*$L$5</f>
        <v>22.44528</v>
      </c>
      <c r="M66" s="58">
        <f t="shared" si="22"/>
        <v>271.83728</v>
      </c>
      <c r="N66" s="58">
        <f t="shared" si="23"/>
        <v>720.368792</v>
      </c>
      <c r="O66" s="143"/>
    </row>
    <row r="67" s="4" customFormat="1" ht="73" customHeight="1" spans="1:15">
      <c r="A67" s="32">
        <v>53</v>
      </c>
      <c r="B67" s="32" t="s">
        <v>284</v>
      </c>
      <c r="C67" s="32" t="s">
        <v>285</v>
      </c>
      <c r="D67" s="32" t="s">
        <v>83</v>
      </c>
      <c r="E67" s="58">
        <f>0.8*0.6</f>
        <v>0.48</v>
      </c>
      <c r="F67" s="136">
        <v>150</v>
      </c>
      <c r="G67" s="58">
        <f t="shared" si="21"/>
        <v>418</v>
      </c>
      <c r="H67" s="136">
        <v>380</v>
      </c>
      <c r="I67" s="59">
        <v>0.1</v>
      </c>
      <c r="J67" s="58">
        <v>95</v>
      </c>
      <c r="K67" s="58">
        <f>(F67+G67+J67)*$K$5</f>
        <v>59.67</v>
      </c>
      <c r="L67" s="58">
        <f>(F67+G67+J67+K67)*$L$5</f>
        <v>65.0403</v>
      </c>
      <c r="M67" s="58">
        <f t="shared" si="22"/>
        <v>787.7103</v>
      </c>
      <c r="N67" s="58">
        <f t="shared" si="23"/>
        <v>378.100944</v>
      </c>
      <c r="O67" s="143"/>
    </row>
    <row r="68" s="4" customFormat="1" ht="34" customHeight="1" spans="1:15">
      <c r="A68" s="32"/>
      <c r="B68" s="137" t="s">
        <v>286</v>
      </c>
      <c r="C68" s="137" t="s">
        <v>287</v>
      </c>
      <c r="D68" s="32"/>
      <c r="E68" s="58"/>
      <c r="F68" s="136"/>
      <c r="G68" s="58"/>
      <c r="H68" s="136"/>
      <c r="I68" s="59"/>
      <c r="J68" s="58"/>
      <c r="K68" s="58"/>
      <c r="L68" s="58"/>
      <c r="M68" s="134">
        <f>SUM(N69:N73)</f>
        <v>13013.199895</v>
      </c>
      <c r="N68" s="138"/>
      <c r="O68" s="143"/>
    </row>
    <row r="69" s="4" customFormat="1" ht="48" customHeight="1" spans="1:15">
      <c r="A69" s="32">
        <v>54</v>
      </c>
      <c r="B69" s="32" t="s">
        <v>236</v>
      </c>
      <c r="C69" s="32" t="s">
        <v>237</v>
      </c>
      <c r="D69" s="32" t="s">
        <v>101</v>
      </c>
      <c r="E69" s="58">
        <f>0.25/0.04</f>
        <v>6.25</v>
      </c>
      <c r="F69" s="139">
        <v>20</v>
      </c>
      <c r="G69" s="138">
        <f>H69*(1+I69)</f>
        <v>30.9</v>
      </c>
      <c r="H69" s="139">
        <v>30</v>
      </c>
      <c r="I69" s="59">
        <v>0.03</v>
      </c>
      <c r="J69" s="138">
        <v>8</v>
      </c>
      <c r="K69" s="58">
        <f>(F69+G69+J69)*$K$5</f>
        <v>5.301</v>
      </c>
      <c r="L69" s="58">
        <f>(F69+G69+J69+K69)*$L$5</f>
        <v>5.77809</v>
      </c>
      <c r="M69" s="58">
        <f t="shared" ref="M69:M73" si="24">F69+G69+J69+K69+L69</f>
        <v>69.97909</v>
      </c>
      <c r="N69" s="58">
        <f t="shared" ref="N69:N73" si="25">M69*E69</f>
        <v>437.3693125</v>
      </c>
      <c r="O69" s="143"/>
    </row>
    <row r="70" s="4" customFormat="1" ht="74" customHeight="1" spans="1:16">
      <c r="A70" s="132">
        <v>55</v>
      </c>
      <c r="B70" s="132" t="s">
        <v>239</v>
      </c>
      <c r="C70" s="132" t="s">
        <v>265</v>
      </c>
      <c r="D70" s="32" t="s">
        <v>83</v>
      </c>
      <c r="E70" s="58">
        <v>10.07</v>
      </c>
      <c r="F70" s="136">
        <v>105</v>
      </c>
      <c r="G70" s="58">
        <f t="shared" ref="G69:G73" si="26">H70*(1+I70)</f>
        <v>241.5</v>
      </c>
      <c r="H70" s="136">
        <v>230</v>
      </c>
      <c r="I70" s="59">
        <v>0.05</v>
      </c>
      <c r="J70" s="58">
        <v>10</v>
      </c>
      <c r="K70" s="58">
        <f>(F70+G70+J70)*$K$5</f>
        <v>32.085</v>
      </c>
      <c r="L70" s="58">
        <f>(F70+G70+J70+K70)*$L$5</f>
        <v>34.97265</v>
      </c>
      <c r="M70" s="58">
        <f t="shared" si="24"/>
        <v>423.55765</v>
      </c>
      <c r="N70" s="58">
        <f t="shared" si="25"/>
        <v>4265.2255355</v>
      </c>
      <c r="O70" s="143" t="s">
        <v>266</v>
      </c>
      <c r="P70" s="144" t="s">
        <v>266</v>
      </c>
    </row>
    <row r="71" s="4" customFormat="1" ht="78" customHeight="1" spans="1:15">
      <c r="A71" s="32">
        <v>56</v>
      </c>
      <c r="B71" s="32" t="s">
        <v>239</v>
      </c>
      <c r="C71" s="32" t="s">
        <v>240</v>
      </c>
      <c r="D71" s="32" t="s">
        <v>83</v>
      </c>
      <c r="E71" s="58">
        <v>5.06</v>
      </c>
      <c r="F71" s="136">
        <v>105</v>
      </c>
      <c r="G71" s="58">
        <f t="shared" si="26"/>
        <v>241.5</v>
      </c>
      <c r="H71" s="136">
        <v>230</v>
      </c>
      <c r="I71" s="59">
        <v>0.05</v>
      </c>
      <c r="J71" s="58">
        <v>10</v>
      </c>
      <c r="K71" s="58">
        <f>(F71+G71+J71)*$K$5</f>
        <v>32.085</v>
      </c>
      <c r="L71" s="58">
        <f>(F71+G71+J71+K71)*$L$5</f>
        <v>34.97265</v>
      </c>
      <c r="M71" s="58">
        <f t="shared" si="24"/>
        <v>423.55765</v>
      </c>
      <c r="N71" s="58">
        <f t="shared" si="25"/>
        <v>2143.201709</v>
      </c>
      <c r="O71" s="143"/>
    </row>
    <row r="72" s="4" customFormat="1" ht="48" customHeight="1" spans="1:15">
      <c r="A72" s="32">
        <v>57</v>
      </c>
      <c r="B72" s="32" t="s">
        <v>241</v>
      </c>
      <c r="C72" s="32" t="s">
        <v>242</v>
      </c>
      <c r="D72" s="32" t="s">
        <v>101</v>
      </c>
      <c r="E72" s="58">
        <v>4.72</v>
      </c>
      <c r="F72" s="136">
        <v>15</v>
      </c>
      <c r="G72" s="58">
        <f t="shared" si="26"/>
        <v>25.75</v>
      </c>
      <c r="H72" s="136">
        <v>25</v>
      </c>
      <c r="I72" s="59">
        <v>0.03</v>
      </c>
      <c r="J72" s="58">
        <v>10</v>
      </c>
      <c r="K72" s="58">
        <f>(F72+G72+J72)*$K$5</f>
        <v>4.5675</v>
      </c>
      <c r="L72" s="58">
        <f>(F72+G72+J72+K72)*$L$5</f>
        <v>4.978575</v>
      </c>
      <c r="M72" s="58">
        <f t="shared" si="24"/>
        <v>60.296075</v>
      </c>
      <c r="N72" s="58">
        <f t="shared" si="25"/>
        <v>284.597474</v>
      </c>
      <c r="O72" s="143"/>
    </row>
    <row r="73" s="4" customFormat="1" ht="48" customHeight="1" spans="1:15">
      <c r="A73" s="32">
        <v>58</v>
      </c>
      <c r="B73" s="32" t="s">
        <v>245</v>
      </c>
      <c r="C73" s="32" t="s">
        <v>288</v>
      </c>
      <c r="D73" s="32" t="s">
        <v>83</v>
      </c>
      <c r="E73" s="58">
        <v>5.52</v>
      </c>
      <c r="F73" s="136">
        <v>115</v>
      </c>
      <c r="G73" s="58">
        <f t="shared" si="26"/>
        <v>714</v>
      </c>
      <c r="H73" s="136">
        <v>680</v>
      </c>
      <c r="I73" s="59">
        <v>0.05</v>
      </c>
      <c r="J73" s="58">
        <v>68</v>
      </c>
      <c r="K73" s="58">
        <f>(F73+G73+J73)*$K$5</f>
        <v>80.73</v>
      </c>
      <c r="L73" s="58">
        <f>(F73+G73+J73+K73)*$L$5</f>
        <v>87.9957</v>
      </c>
      <c r="M73" s="58">
        <f t="shared" si="24"/>
        <v>1065.7257</v>
      </c>
      <c r="N73" s="58">
        <f t="shared" si="25"/>
        <v>5882.805864</v>
      </c>
      <c r="O73" s="143"/>
    </row>
    <row r="74" s="4" customFormat="1" ht="34" customHeight="1" spans="1:15">
      <c r="A74" s="32"/>
      <c r="B74" s="137" t="s">
        <v>289</v>
      </c>
      <c r="C74" s="137" t="s">
        <v>290</v>
      </c>
      <c r="D74" s="32"/>
      <c r="E74" s="58"/>
      <c r="F74" s="136"/>
      <c r="G74" s="58"/>
      <c r="H74" s="136"/>
      <c r="I74" s="59"/>
      <c r="J74" s="58"/>
      <c r="K74" s="58"/>
      <c r="L74" s="58"/>
      <c r="M74" s="134">
        <f>SUM(N75:N79)</f>
        <v>8428.5501102</v>
      </c>
      <c r="N74" s="138"/>
      <c r="O74" s="143"/>
    </row>
    <row r="75" s="4" customFormat="1" ht="48" customHeight="1" spans="1:15">
      <c r="A75" s="32">
        <v>59</v>
      </c>
      <c r="B75" s="32" t="s">
        <v>279</v>
      </c>
      <c r="C75" s="32" t="s">
        <v>280</v>
      </c>
      <c r="D75" s="32" t="s">
        <v>83</v>
      </c>
      <c r="E75" s="58">
        <v>16.34</v>
      </c>
      <c r="F75" s="136">
        <v>72</v>
      </c>
      <c r="G75" s="58">
        <f t="shared" ref="G75:G79" si="27">H75*(1+I75)</f>
        <v>129.8</v>
      </c>
      <c r="H75" s="136">
        <v>118</v>
      </c>
      <c r="I75" s="59">
        <v>0.1</v>
      </c>
      <c r="J75" s="58">
        <v>80</v>
      </c>
      <c r="K75" s="58">
        <f>(F75+G75+J75)*$K$5</f>
        <v>25.362</v>
      </c>
      <c r="L75" s="58">
        <f>(F75+G75+J75+K75)*$L$5</f>
        <v>27.64458</v>
      </c>
      <c r="M75" s="58">
        <f t="shared" ref="M75:M79" si="28">F75+G75+J75+K75+L75</f>
        <v>334.80658</v>
      </c>
      <c r="N75" s="58">
        <f t="shared" ref="N75:N79" si="29">M75*E75</f>
        <v>5470.7395172</v>
      </c>
      <c r="O75" s="143"/>
    </row>
    <row r="76" s="4" customFormat="1" ht="83" customHeight="1" spans="1:15">
      <c r="A76" s="32">
        <v>60</v>
      </c>
      <c r="B76" s="32" t="s">
        <v>281</v>
      </c>
      <c r="C76" s="32" t="s">
        <v>282</v>
      </c>
      <c r="D76" s="32" t="s">
        <v>83</v>
      </c>
      <c r="E76" s="58">
        <v>1.46</v>
      </c>
      <c r="F76" s="136">
        <v>115</v>
      </c>
      <c r="G76" s="58">
        <f t="shared" si="27"/>
        <v>819</v>
      </c>
      <c r="H76" s="136">
        <v>780</v>
      </c>
      <c r="I76" s="59">
        <v>0.05</v>
      </c>
      <c r="J76" s="58">
        <v>68</v>
      </c>
      <c r="K76" s="58">
        <f>(F76+G76+J76)*$K$5</f>
        <v>90.18</v>
      </c>
      <c r="L76" s="58">
        <f>(F76+G76+J76+K76)*$L$5</f>
        <v>98.2962</v>
      </c>
      <c r="M76" s="58">
        <f t="shared" si="28"/>
        <v>1190.4762</v>
      </c>
      <c r="N76" s="58">
        <f t="shared" si="29"/>
        <v>1738.095252</v>
      </c>
      <c r="O76" s="143"/>
    </row>
    <row r="77" s="4" customFormat="1" ht="48" customHeight="1" spans="1:15">
      <c r="A77" s="32">
        <v>61</v>
      </c>
      <c r="B77" s="32" t="s">
        <v>245</v>
      </c>
      <c r="C77" s="32" t="s">
        <v>291</v>
      </c>
      <c r="D77" s="32" t="s">
        <v>83</v>
      </c>
      <c r="E77" s="58">
        <v>0.16</v>
      </c>
      <c r="F77" s="136">
        <v>115</v>
      </c>
      <c r="G77" s="58">
        <f t="shared" si="27"/>
        <v>714</v>
      </c>
      <c r="H77" s="136">
        <v>680</v>
      </c>
      <c r="I77" s="59">
        <v>0.05</v>
      </c>
      <c r="J77" s="58">
        <v>68</v>
      </c>
      <c r="K77" s="58">
        <f>(F77+G77+J77)*$K$5</f>
        <v>80.73</v>
      </c>
      <c r="L77" s="58">
        <f>(F77+G77+J77+K77)*$L$5</f>
        <v>87.9957</v>
      </c>
      <c r="M77" s="58">
        <f t="shared" si="28"/>
        <v>1065.7257</v>
      </c>
      <c r="N77" s="58">
        <f t="shared" si="29"/>
        <v>170.516112</v>
      </c>
      <c r="O77" s="143"/>
    </row>
    <row r="78" s="4" customFormat="1" ht="48" customHeight="1" spans="1:15">
      <c r="A78" s="32">
        <v>62</v>
      </c>
      <c r="B78" s="32" t="s">
        <v>243</v>
      </c>
      <c r="C78" s="32" t="s">
        <v>244</v>
      </c>
      <c r="D78" s="32" t="s">
        <v>83</v>
      </c>
      <c r="E78" s="58">
        <v>2.6</v>
      </c>
      <c r="F78" s="136">
        <v>45</v>
      </c>
      <c r="G78" s="58">
        <f t="shared" si="27"/>
        <v>152.25</v>
      </c>
      <c r="H78" s="136">
        <v>145</v>
      </c>
      <c r="I78" s="59">
        <v>0.05</v>
      </c>
      <c r="J78" s="58">
        <v>20</v>
      </c>
      <c r="K78" s="58">
        <f>(F78+G78+J78)*$K$5</f>
        <v>19.5525</v>
      </c>
      <c r="L78" s="58">
        <f>(F78+G78+J78+K78)*$L$5</f>
        <v>21.312225</v>
      </c>
      <c r="M78" s="58">
        <f t="shared" si="28"/>
        <v>258.114725</v>
      </c>
      <c r="N78" s="58">
        <f t="shared" si="29"/>
        <v>671.098285</v>
      </c>
      <c r="O78" s="143"/>
    </row>
    <row r="79" s="4" customFormat="1" ht="70" customHeight="1" spans="1:15">
      <c r="A79" s="32">
        <v>63</v>
      </c>
      <c r="B79" s="32" t="s">
        <v>292</v>
      </c>
      <c r="C79" s="32" t="s">
        <v>293</v>
      </c>
      <c r="D79" s="32" t="s">
        <v>83</v>
      </c>
      <c r="E79" s="58">
        <f>0.6*0.8</f>
        <v>0.48</v>
      </c>
      <c r="F79" s="136">
        <v>150</v>
      </c>
      <c r="G79" s="58">
        <f t="shared" si="27"/>
        <v>418</v>
      </c>
      <c r="H79" s="136">
        <v>380</v>
      </c>
      <c r="I79" s="59">
        <v>0.1</v>
      </c>
      <c r="J79" s="58">
        <v>95</v>
      </c>
      <c r="K79" s="58">
        <f>(F79+G79+J79)*$K$5</f>
        <v>59.67</v>
      </c>
      <c r="L79" s="58">
        <f>(F79+G79+J79+K79)*$L$5</f>
        <v>65.0403</v>
      </c>
      <c r="M79" s="58">
        <f t="shared" si="28"/>
        <v>787.7103</v>
      </c>
      <c r="N79" s="58">
        <f t="shared" si="29"/>
        <v>378.100944</v>
      </c>
      <c r="O79" s="143"/>
    </row>
    <row r="80" s="4" customFormat="1" ht="70" customHeight="1" spans="1:15">
      <c r="A80" s="145"/>
      <c r="B80" s="146" t="s">
        <v>294</v>
      </c>
      <c r="C80" s="147"/>
      <c r="D80" s="147"/>
      <c r="E80" s="147"/>
      <c r="F80" s="136"/>
      <c r="G80" s="58"/>
      <c r="H80" s="136"/>
      <c r="I80" s="59"/>
      <c r="J80" s="58"/>
      <c r="K80" s="58"/>
      <c r="L80" s="58"/>
      <c r="M80" s="134">
        <f>SUM(N81:N91)</f>
        <v>33020.1369146696</v>
      </c>
      <c r="N80" s="138"/>
      <c r="O80" s="147"/>
    </row>
    <row r="81" ht="70" customHeight="1" spans="1:15">
      <c r="A81" s="32">
        <v>64</v>
      </c>
      <c r="B81" s="148" t="s">
        <v>295</v>
      </c>
      <c r="C81" s="149" t="s">
        <v>296</v>
      </c>
      <c r="D81" s="148" t="s">
        <v>297</v>
      </c>
      <c r="E81" s="148">
        <f>2.32*0.08</f>
        <v>0.1856</v>
      </c>
      <c r="F81" s="136">
        <v>480</v>
      </c>
      <c r="G81" s="58">
        <f t="shared" ref="G81:G88" si="30">H81*(1+I81)</f>
        <v>0</v>
      </c>
      <c r="H81" s="136">
        <v>0</v>
      </c>
      <c r="I81" s="59">
        <v>0</v>
      </c>
      <c r="J81" s="58">
        <v>47.86</v>
      </c>
      <c r="K81" s="58">
        <f>(F81+G81+J81)*$K$5</f>
        <v>47.5074</v>
      </c>
      <c r="L81" s="58">
        <f>(F81+G81+J81+K81)*$L$5</f>
        <v>51.783066</v>
      </c>
      <c r="M81" s="58">
        <f t="shared" ref="M81:M91" si="31">F81+G81+J81+K81+L81</f>
        <v>627.150466</v>
      </c>
      <c r="N81" s="58">
        <f t="shared" ref="N81:N91" si="32">M81*E81</f>
        <v>116.3991264896</v>
      </c>
      <c r="O81" s="154"/>
    </row>
    <row r="82" ht="70" customHeight="1" spans="1:15">
      <c r="A82" s="32">
        <v>65</v>
      </c>
      <c r="B82" s="148" t="s">
        <v>298</v>
      </c>
      <c r="C82" s="149" t="s">
        <v>299</v>
      </c>
      <c r="D82" s="148" t="s">
        <v>297</v>
      </c>
      <c r="E82" s="148">
        <v>1.56</v>
      </c>
      <c r="F82" s="136">
        <v>150</v>
      </c>
      <c r="G82" s="58">
        <f t="shared" si="30"/>
        <v>0</v>
      </c>
      <c r="H82" s="136">
        <v>0</v>
      </c>
      <c r="I82" s="59">
        <v>0</v>
      </c>
      <c r="J82" s="58">
        <v>38</v>
      </c>
      <c r="K82" s="58">
        <f>(F82+G82+J82)*$K$5</f>
        <v>16.92</v>
      </c>
      <c r="L82" s="58">
        <f>(F82+G82+J82+K82)*$L$5</f>
        <v>18.4428</v>
      </c>
      <c r="M82" s="58">
        <f t="shared" si="31"/>
        <v>223.3628</v>
      </c>
      <c r="N82" s="58">
        <f t="shared" si="32"/>
        <v>348.445968</v>
      </c>
      <c r="O82" s="154"/>
    </row>
    <row r="83" ht="70" customHeight="1" spans="1:15">
      <c r="A83" s="32">
        <v>66</v>
      </c>
      <c r="B83" s="148" t="s">
        <v>300</v>
      </c>
      <c r="C83" s="149" t="s">
        <v>301</v>
      </c>
      <c r="D83" s="148" t="s">
        <v>83</v>
      </c>
      <c r="E83" s="148">
        <v>13.72</v>
      </c>
      <c r="F83" s="136">
        <v>20</v>
      </c>
      <c r="G83" s="58">
        <f t="shared" si="30"/>
        <v>0</v>
      </c>
      <c r="H83" s="136">
        <v>0</v>
      </c>
      <c r="I83" s="59">
        <v>0</v>
      </c>
      <c r="J83" s="58">
        <v>5</v>
      </c>
      <c r="K83" s="58">
        <f>(F83+G83+J83)*$K$5</f>
        <v>2.25</v>
      </c>
      <c r="L83" s="58">
        <f>(F83+G83+J83+K83)*$L$5</f>
        <v>2.4525</v>
      </c>
      <c r="M83" s="58">
        <f t="shared" si="31"/>
        <v>29.7025</v>
      </c>
      <c r="N83" s="58">
        <f t="shared" si="32"/>
        <v>407.5183</v>
      </c>
      <c r="O83" s="154"/>
    </row>
    <row r="84" ht="70" customHeight="1" spans="1:15">
      <c r="A84" s="32">
        <v>67</v>
      </c>
      <c r="B84" s="150" t="s">
        <v>302</v>
      </c>
      <c r="C84" s="32" t="s">
        <v>303</v>
      </c>
      <c r="D84" s="148" t="s">
        <v>83</v>
      </c>
      <c r="E84" s="148">
        <v>3.74</v>
      </c>
      <c r="F84" s="136">
        <v>55</v>
      </c>
      <c r="G84" s="58">
        <f t="shared" si="30"/>
        <v>57.75</v>
      </c>
      <c r="H84" s="136">
        <v>55</v>
      </c>
      <c r="I84" s="59">
        <v>0.05</v>
      </c>
      <c r="J84" s="58">
        <v>25</v>
      </c>
      <c r="K84" s="58">
        <f>(F84+G84+J84)*$K$5</f>
        <v>12.3975</v>
      </c>
      <c r="L84" s="58">
        <f>(F84+G84+J84+K84)*$L$5</f>
        <v>13.513275</v>
      </c>
      <c r="M84" s="58">
        <f t="shared" si="31"/>
        <v>163.660775</v>
      </c>
      <c r="N84" s="58">
        <f t="shared" si="32"/>
        <v>612.0912985</v>
      </c>
      <c r="O84" s="154"/>
    </row>
    <row r="85" ht="70" customHeight="1" spans="1:15">
      <c r="A85" s="32">
        <v>68</v>
      </c>
      <c r="B85" s="150" t="s">
        <v>302</v>
      </c>
      <c r="C85" s="149" t="s">
        <v>304</v>
      </c>
      <c r="D85" s="148" t="s">
        <v>83</v>
      </c>
      <c r="E85" s="148">
        <v>6.04</v>
      </c>
      <c r="F85" s="136">
        <v>55</v>
      </c>
      <c r="G85" s="58">
        <f t="shared" si="30"/>
        <v>57.75</v>
      </c>
      <c r="H85" s="136">
        <v>55</v>
      </c>
      <c r="I85" s="59">
        <v>0.05</v>
      </c>
      <c r="J85" s="58">
        <v>25</v>
      </c>
      <c r="K85" s="58">
        <f>(F85+G85+J85)*$K$5</f>
        <v>12.3975</v>
      </c>
      <c r="L85" s="58">
        <f>(F85+G85+J85+K85)*$L$5</f>
        <v>13.513275</v>
      </c>
      <c r="M85" s="58">
        <f t="shared" si="31"/>
        <v>163.660775</v>
      </c>
      <c r="N85" s="58">
        <f t="shared" si="32"/>
        <v>988.511081</v>
      </c>
      <c r="O85" s="154"/>
    </row>
    <row r="86" ht="70" customHeight="1" spans="1:15">
      <c r="A86" s="32">
        <v>69</v>
      </c>
      <c r="B86" s="148" t="s">
        <v>305</v>
      </c>
      <c r="C86" s="149" t="s">
        <v>306</v>
      </c>
      <c r="D86" s="148" t="s">
        <v>83</v>
      </c>
      <c r="E86" s="151">
        <v>3.36</v>
      </c>
      <c r="F86" s="136">
        <v>45</v>
      </c>
      <c r="G86" s="58">
        <f t="shared" si="30"/>
        <v>93</v>
      </c>
      <c r="H86" s="136">
        <v>93</v>
      </c>
      <c r="I86" s="59">
        <v>0</v>
      </c>
      <c r="J86" s="58">
        <v>10</v>
      </c>
      <c r="K86" s="58">
        <f>(F86+G86+J86)*$K$5</f>
        <v>13.32</v>
      </c>
      <c r="L86" s="58">
        <f>(F86+G86+J86+K86)*$L$5</f>
        <v>14.5188</v>
      </c>
      <c r="M86" s="58">
        <f t="shared" si="31"/>
        <v>175.8388</v>
      </c>
      <c r="N86" s="58">
        <f t="shared" si="32"/>
        <v>590.818368</v>
      </c>
      <c r="O86" s="154"/>
    </row>
    <row r="87" ht="90" customHeight="1" spans="1:19">
      <c r="A87" s="32">
        <v>70</v>
      </c>
      <c r="B87" s="152" t="s">
        <v>307</v>
      </c>
      <c r="C87" s="153" t="s">
        <v>308</v>
      </c>
      <c r="D87" s="148" t="s">
        <v>83</v>
      </c>
      <c r="E87" s="151">
        <f>0.86*1.36*2+2.06*2.06*2</f>
        <v>10.8264</v>
      </c>
      <c r="F87" s="136">
        <v>68</v>
      </c>
      <c r="G87" s="58">
        <f t="shared" si="30"/>
        <v>455</v>
      </c>
      <c r="H87" s="136">
        <v>455</v>
      </c>
      <c r="I87" s="59">
        <v>0</v>
      </c>
      <c r="J87" s="58">
        <v>25</v>
      </c>
      <c r="K87" s="58">
        <f>(F87+G87+J87)*$K$5</f>
        <v>49.32</v>
      </c>
      <c r="L87" s="58">
        <f>(F87+G87+J87+K87)*$L$5</f>
        <v>53.7588</v>
      </c>
      <c r="M87" s="58">
        <f t="shared" si="31"/>
        <v>651.0788</v>
      </c>
      <c r="N87" s="58">
        <f t="shared" si="32"/>
        <v>7048.83952032</v>
      </c>
      <c r="O87" s="154"/>
      <c r="P87">
        <v>5.67</v>
      </c>
      <c r="S87">
        <f>P87*M87</f>
        <v>3691.616796</v>
      </c>
    </row>
    <row r="88" ht="83" customHeight="1" spans="1:19">
      <c r="A88" s="32">
        <v>71</v>
      </c>
      <c r="B88" s="152" t="s">
        <v>309</v>
      </c>
      <c r="C88" s="153" t="s">
        <v>308</v>
      </c>
      <c r="D88" s="148" t="s">
        <v>83</v>
      </c>
      <c r="E88" s="151">
        <f>0.86*1.36+0.51*1.36+0.46*1.36+0.56*1.36</f>
        <v>3.2504</v>
      </c>
      <c r="F88" s="136">
        <v>68</v>
      </c>
      <c r="G88" s="58">
        <f t="shared" ref="G88:G91" si="33">H88*(1+I88)</f>
        <v>455</v>
      </c>
      <c r="H88" s="136">
        <v>455</v>
      </c>
      <c r="I88" s="59">
        <v>0</v>
      </c>
      <c r="J88" s="58">
        <v>25</v>
      </c>
      <c r="K88" s="58">
        <f>(F88+G88+J88)*$K$5</f>
        <v>49.32</v>
      </c>
      <c r="L88" s="58">
        <f>(F88+G88+J88+K88)*$L$5</f>
        <v>53.7588</v>
      </c>
      <c r="M88" s="58">
        <f t="shared" si="31"/>
        <v>651.0788</v>
      </c>
      <c r="N88" s="58">
        <f t="shared" si="32"/>
        <v>2116.26653152</v>
      </c>
      <c r="O88" s="154"/>
      <c r="P88">
        <v>2.03</v>
      </c>
      <c r="S88">
        <f>P88*M88</f>
        <v>1321.689964</v>
      </c>
    </row>
    <row r="89" ht="83" customHeight="1" spans="1:15">
      <c r="A89" s="32"/>
      <c r="B89" s="152" t="s">
        <v>310</v>
      </c>
      <c r="C89" s="153" t="s">
        <v>311</v>
      </c>
      <c r="D89" s="148" t="s">
        <v>83</v>
      </c>
      <c r="E89" s="151">
        <f>1.96*2.06</f>
        <v>4.0376</v>
      </c>
      <c r="F89" s="136">
        <v>68</v>
      </c>
      <c r="G89" s="58">
        <f t="shared" si="33"/>
        <v>455</v>
      </c>
      <c r="H89" s="136">
        <v>455</v>
      </c>
      <c r="I89" s="59">
        <v>0</v>
      </c>
      <c r="J89" s="58">
        <v>25</v>
      </c>
      <c r="K89" s="58">
        <f>(F89+G89+J89)*$K$5</f>
        <v>49.32</v>
      </c>
      <c r="L89" s="58">
        <f>(F89+G89+J89+K89)*$L$5</f>
        <v>53.7588</v>
      </c>
      <c r="M89" s="58">
        <f t="shared" si="31"/>
        <v>651.0788</v>
      </c>
      <c r="N89" s="58">
        <f t="shared" si="32"/>
        <v>2628.79576288</v>
      </c>
      <c r="O89" s="154"/>
    </row>
    <row r="90" ht="81" customHeight="1" spans="1:19">
      <c r="A90" s="32">
        <v>72</v>
      </c>
      <c r="B90" s="152" t="s">
        <v>312</v>
      </c>
      <c r="C90" s="153" t="s">
        <v>313</v>
      </c>
      <c r="D90" s="148" t="s">
        <v>83</v>
      </c>
      <c r="E90" s="151">
        <f>4.76*2.06*2</f>
        <v>19.6112</v>
      </c>
      <c r="F90" s="136">
        <v>68</v>
      </c>
      <c r="G90" s="58">
        <f t="shared" si="33"/>
        <v>550</v>
      </c>
      <c r="H90" s="136">
        <v>550</v>
      </c>
      <c r="I90" s="59">
        <v>0</v>
      </c>
      <c r="J90" s="58">
        <v>25</v>
      </c>
      <c r="K90" s="58">
        <f>(F90+G90+J90)*$K$5</f>
        <v>57.87</v>
      </c>
      <c r="L90" s="58">
        <f>(F90+G90+J90+K90)*$L$5</f>
        <v>63.0783</v>
      </c>
      <c r="M90" s="58">
        <f t="shared" si="31"/>
        <v>763.9483</v>
      </c>
      <c r="N90" s="58">
        <f t="shared" si="32"/>
        <v>14981.94290096</v>
      </c>
      <c r="O90" s="154"/>
      <c r="R90">
        <v>10.08</v>
      </c>
      <c r="S90">
        <f>R90*M90</f>
        <v>7700.598864</v>
      </c>
    </row>
    <row r="91" ht="81" customHeight="1" spans="1:19">
      <c r="A91" s="32">
        <v>73</v>
      </c>
      <c r="B91" s="152" t="s">
        <v>314</v>
      </c>
      <c r="C91" s="153" t="s">
        <v>315</v>
      </c>
      <c r="D91" s="148" t="s">
        <v>83</v>
      </c>
      <c r="E91" s="151">
        <f>2.26*2.06</f>
        <v>4.6556</v>
      </c>
      <c r="F91" s="136">
        <v>70</v>
      </c>
      <c r="G91" s="58">
        <f t="shared" si="33"/>
        <v>480</v>
      </c>
      <c r="H91" s="136">
        <v>480</v>
      </c>
      <c r="I91" s="59">
        <v>0</v>
      </c>
      <c r="J91" s="58">
        <v>25</v>
      </c>
      <c r="K91" s="58">
        <f>(F91+G91+J91)*$K$5</f>
        <v>51.75</v>
      </c>
      <c r="L91" s="58">
        <f>(F91+G91+J91+K91)*$L$5</f>
        <v>56.4075</v>
      </c>
      <c r="M91" s="58">
        <f t="shared" si="31"/>
        <v>683.1575</v>
      </c>
      <c r="N91" s="58">
        <f t="shared" si="32"/>
        <v>3180.508057</v>
      </c>
      <c r="O91" s="154"/>
      <c r="R91">
        <v>4.83</v>
      </c>
      <c r="S91">
        <f>R91*M91</f>
        <v>3299.650725</v>
      </c>
    </row>
    <row r="92" ht="70" customHeight="1" spans="1:15">
      <c r="A92" s="154"/>
      <c r="B92" s="148"/>
      <c r="C92" s="148" t="s">
        <v>174</v>
      </c>
      <c r="D92" s="148"/>
      <c r="E92" s="148"/>
      <c r="F92" s="136"/>
      <c r="G92" s="58"/>
      <c r="H92" s="136"/>
      <c r="I92" s="59"/>
      <c r="J92" s="58"/>
      <c r="K92" s="58"/>
      <c r="L92" s="58"/>
      <c r="M92" s="58"/>
      <c r="N92" s="138">
        <f>SUM(N7:N91)</f>
        <v>199273.44211315</v>
      </c>
      <c r="O92" s="154"/>
    </row>
  </sheetData>
  <autoFilter ref="A6:O92">
    <extLst/>
  </autoFilter>
  <mergeCells count="15">
    <mergeCell ref="A1:O1"/>
    <mergeCell ref="A2:F2"/>
    <mergeCell ref="G2:M2"/>
    <mergeCell ref="N2:O2"/>
    <mergeCell ref="F3:L3"/>
    <mergeCell ref="A3:A5"/>
    <mergeCell ref="B3:B5"/>
    <mergeCell ref="C3:C5"/>
    <mergeCell ref="D3:D5"/>
    <mergeCell ref="E3:E5"/>
    <mergeCell ref="F4:F5"/>
    <mergeCell ref="J4:J5"/>
    <mergeCell ref="M3:M5"/>
    <mergeCell ref="N3:N5"/>
    <mergeCell ref="O3:O5"/>
  </mergeCells>
  <pageMargins left="0.75" right="0.75" top="1" bottom="1" header="0.5" footer="0.5"/>
  <pageSetup paperSize="9" scale="6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view="pageBreakPreview" zoomScaleNormal="100" topLeftCell="A17" workbookViewId="0">
      <selection activeCell="I20" sqref="I20"/>
    </sheetView>
  </sheetViews>
  <sheetFormatPr defaultColWidth="11.047619047619" defaultRowHeight="18" customHeight="1"/>
  <cols>
    <col min="1" max="1" width="5.71428571428571" style="77" customWidth="1"/>
    <col min="2" max="2" width="13.952380952381" style="81" customWidth="1"/>
    <col min="3" max="3" width="9.35238095238095" style="81" customWidth="1"/>
    <col min="4" max="4" width="25.3333333333333" style="77" customWidth="1"/>
    <col min="5" max="5" width="16.8095238095238" style="81" customWidth="1"/>
    <col min="6" max="6" width="12.9619047619048" style="81" customWidth="1"/>
    <col min="7" max="8" width="5.90476190476191" style="77" customWidth="1"/>
    <col min="9" max="9" width="10.7619047619048" style="77" customWidth="1"/>
    <col min="10" max="10" width="10.7714285714286" style="77" customWidth="1"/>
    <col min="11" max="11" width="22.2190476190476" style="77" customWidth="1"/>
    <col min="12" max="12" width="22.8571428571429" style="81" customWidth="1"/>
    <col min="13" max="16384" width="11.047619047619" style="77"/>
  </cols>
  <sheetData>
    <row r="1" s="77" customFormat="1" ht="33" customHeight="1" spans="1:12">
      <c r="A1" s="82" t="s">
        <v>316</v>
      </c>
      <c r="B1" s="83"/>
      <c r="C1" s="83"/>
      <c r="D1" s="83"/>
      <c r="E1" s="84"/>
      <c r="F1" s="83"/>
      <c r="G1" s="83"/>
      <c r="H1" s="83"/>
      <c r="I1" s="113"/>
      <c r="J1" s="113"/>
      <c r="K1" s="113"/>
      <c r="L1" s="81"/>
    </row>
    <row r="2" s="78" customFormat="1" ht="33" customHeight="1" spans="1:12">
      <c r="A2" s="85" t="s">
        <v>317</v>
      </c>
      <c r="B2" s="86"/>
      <c r="C2" s="86"/>
      <c r="D2" s="86"/>
      <c r="E2" s="87"/>
      <c r="F2" s="86"/>
      <c r="G2" s="86"/>
      <c r="H2" s="86"/>
      <c r="I2" s="114"/>
      <c r="J2" s="114"/>
      <c r="K2" s="115" t="s">
        <v>318</v>
      </c>
      <c r="L2" s="79"/>
    </row>
    <row r="3" s="79" customFormat="1" ht="33" customHeight="1" spans="1:11">
      <c r="A3" s="88" t="s">
        <v>1</v>
      </c>
      <c r="B3" s="89" t="s">
        <v>319</v>
      </c>
      <c r="C3" s="89" t="s">
        <v>320</v>
      </c>
      <c r="D3" s="89" t="s">
        <v>321</v>
      </c>
      <c r="E3" s="89" t="s">
        <v>322</v>
      </c>
      <c r="F3" s="89" t="s">
        <v>323</v>
      </c>
      <c r="G3" s="90" t="s">
        <v>324</v>
      </c>
      <c r="H3" s="90" t="s">
        <v>29</v>
      </c>
      <c r="I3" s="116" t="s">
        <v>325</v>
      </c>
      <c r="J3" s="116" t="s">
        <v>326</v>
      </c>
      <c r="K3" s="117" t="s">
        <v>32</v>
      </c>
    </row>
    <row r="4" s="77" customFormat="1" ht="73" customHeight="1" spans="1:12">
      <c r="A4" s="91">
        <v>1</v>
      </c>
      <c r="B4" s="94" t="s">
        <v>327</v>
      </c>
      <c r="C4" s="81" t="s">
        <v>328</v>
      </c>
      <c r="D4" s="93"/>
      <c r="E4" s="95" t="s">
        <v>329</v>
      </c>
      <c r="F4" s="95" t="s">
        <v>330</v>
      </c>
      <c r="G4" s="93">
        <v>1</v>
      </c>
      <c r="H4" s="93" t="s">
        <v>331</v>
      </c>
      <c r="I4" s="118">
        <v>5800</v>
      </c>
      <c r="J4" s="118">
        <f t="shared" ref="J4:J21" si="0">I4*G4</f>
        <v>5800</v>
      </c>
      <c r="K4" s="119" t="s">
        <v>332</v>
      </c>
      <c r="L4" s="129"/>
    </row>
    <row r="5" s="77" customFormat="1" ht="100" customHeight="1" spans="1:12">
      <c r="A5" s="91">
        <v>2</v>
      </c>
      <c r="B5" s="94" t="s">
        <v>327</v>
      </c>
      <c r="C5" s="95" t="s">
        <v>333</v>
      </c>
      <c r="D5" s="93"/>
      <c r="E5" s="95" t="s">
        <v>334</v>
      </c>
      <c r="F5" s="95" t="s">
        <v>335</v>
      </c>
      <c r="G5" s="93">
        <v>1</v>
      </c>
      <c r="H5" s="93" t="s">
        <v>336</v>
      </c>
      <c r="I5" s="118">
        <v>4300</v>
      </c>
      <c r="J5" s="118">
        <f t="shared" si="0"/>
        <v>4300</v>
      </c>
      <c r="K5" s="119" t="s">
        <v>332</v>
      </c>
      <c r="L5" s="81"/>
    </row>
    <row r="6" s="77" customFormat="1" ht="100" customHeight="1" spans="1:12">
      <c r="A6" s="91">
        <v>3</v>
      </c>
      <c r="B6" s="95" t="s">
        <v>337</v>
      </c>
      <c r="C6" s="95" t="s">
        <v>338</v>
      </c>
      <c r="D6" s="93"/>
      <c r="E6" s="95" t="s">
        <v>339</v>
      </c>
      <c r="F6" s="95" t="s">
        <v>340</v>
      </c>
      <c r="G6" s="93">
        <v>11</v>
      </c>
      <c r="H6" s="93" t="s">
        <v>331</v>
      </c>
      <c r="I6" s="118">
        <v>900</v>
      </c>
      <c r="J6" s="118">
        <f t="shared" si="0"/>
        <v>9900</v>
      </c>
      <c r="K6" s="119" t="s">
        <v>332</v>
      </c>
      <c r="L6" s="81"/>
    </row>
    <row r="7" s="77" customFormat="1" ht="100" customHeight="1" spans="1:12">
      <c r="A7" s="91">
        <v>4</v>
      </c>
      <c r="B7" s="95" t="s">
        <v>337</v>
      </c>
      <c r="C7" s="95" t="s">
        <v>341</v>
      </c>
      <c r="D7" s="93"/>
      <c r="E7" s="95" t="s">
        <v>342</v>
      </c>
      <c r="F7" s="95" t="s">
        <v>343</v>
      </c>
      <c r="G7" s="93">
        <v>1</v>
      </c>
      <c r="H7" s="93" t="s">
        <v>331</v>
      </c>
      <c r="I7" s="118">
        <v>2100</v>
      </c>
      <c r="J7" s="118">
        <f t="shared" si="0"/>
        <v>2100</v>
      </c>
      <c r="K7" s="119" t="s">
        <v>332</v>
      </c>
      <c r="L7" s="81"/>
    </row>
    <row r="8" s="77" customFormat="1" ht="104" customHeight="1" spans="1:12">
      <c r="A8" s="91">
        <v>5</v>
      </c>
      <c r="B8" s="95" t="s">
        <v>344</v>
      </c>
      <c r="C8" s="103" t="s">
        <v>345</v>
      </c>
      <c r="D8" s="99"/>
      <c r="E8" s="95" t="s">
        <v>346</v>
      </c>
      <c r="F8" s="95" t="s">
        <v>347</v>
      </c>
      <c r="G8" s="99">
        <v>1</v>
      </c>
      <c r="H8" s="93" t="s">
        <v>336</v>
      </c>
      <c r="I8" s="118">
        <v>3500</v>
      </c>
      <c r="J8" s="118">
        <f t="shared" si="0"/>
        <v>3500</v>
      </c>
      <c r="K8" s="119" t="s">
        <v>332</v>
      </c>
      <c r="L8" s="81"/>
    </row>
    <row r="9" s="77" customFormat="1" ht="104" customHeight="1" spans="1:12">
      <c r="A9" s="91">
        <v>6</v>
      </c>
      <c r="B9" s="95" t="s">
        <v>344</v>
      </c>
      <c r="C9" s="103" t="s">
        <v>348</v>
      </c>
      <c r="D9" s="99"/>
      <c r="E9" s="95" t="s">
        <v>349</v>
      </c>
      <c r="F9" s="95" t="s">
        <v>330</v>
      </c>
      <c r="G9" s="99">
        <v>1</v>
      </c>
      <c r="H9" s="93" t="s">
        <v>331</v>
      </c>
      <c r="I9" s="118">
        <v>3600</v>
      </c>
      <c r="J9" s="118">
        <f t="shared" si="0"/>
        <v>3600</v>
      </c>
      <c r="K9" s="119" t="s">
        <v>332</v>
      </c>
      <c r="L9" s="81"/>
    </row>
    <row r="10" s="77" customFormat="1" ht="132" customHeight="1" spans="1:12">
      <c r="A10" s="91">
        <v>7</v>
      </c>
      <c r="B10" s="95" t="s">
        <v>344</v>
      </c>
      <c r="C10" s="100" t="s">
        <v>350</v>
      </c>
      <c r="D10" s="99"/>
      <c r="E10" s="95" t="s">
        <v>351</v>
      </c>
      <c r="F10" s="103" t="s">
        <v>352</v>
      </c>
      <c r="G10" s="99">
        <v>1</v>
      </c>
      <c r="H10" s="93" t="s">
        <v>331</v>
      </c>
      <c r="I10" s="118">
        <v>1450</v>
      </c>
      <c r="J10" s="118">
        <f t="shared" si="0"/>
        <v>1450</v>
      </c>
      <c r="K10" s="119" t="s">
        <v>353</v>
      </c>
      <c r="L10" s="81"/>
    </row>
    <row r="11" s="77" customFormat="1" ht="132" customHeight="1" spans="1:12">
      <c r="A11" s="91">
        <v>8</v>
      </c>
      <c r="B11" s="95" t="s">
        <v>344</v>
      </c>
      <c r="C11" s="100" t="s">
        <v>354</v>
      </c>
      <c r="D11" s="99"/>
      <c r="E11" s="95" t="s">
        <v>355</v>
      </c>
      <c r="F11" s="103" t="s">
        <v>352</v>
      </c>
      <c r="G11" s="99">
        <v>1</v>
      </c>
      <c r="H11" s="93" t="s">
        <v>331</v>
      </c>
      <c r="I11" s="118">
        <v>2450</v>
      </c>
      <c r="J11" s="118">
        <f t="shared" si="0"/>
        <v>2450</v>
      </c>
      <c r="K11" s="119" t="s">
        <v>356</v>
      </c>
      <c r="L11" s="81"/>
    </row>
    <row r="12" s="77" customFormat="1" ht="132" customHeight="1" spans="1:12">
      <c r="A12" s="91">
        <v>9</v>
      </c>
      <c r="B12" s="95" t="s">
        <v>344</v>
      </c>
      <c r="C12" s="100" t="s">
        <v>357</v>
      </c>
      <c r="D12" s="99"/>
      <c r="E12" s="95" t="s">
        <v>358</v>
      </c>
      <c r="F12" s="103" t="s">
        <v>352</v>
      </c>
      <c r="G12" s="99">
        <v>1</v>
      </c>
      <c r="H12" s="93" t="s">
        <v>331</v>
      </c>
      <c r="I12" s="118">
        <v>2860</v>
      </c>
      <c r="J12" s="118">
        <f t="shared" si="0"/>
        <v>2860</v>
      </c>
      <c r="K12" s="119" t="s">
        <v>332</v>
      </c>
      <c r="L12" s="81"/>
    </row>
    <row r="13" s="77" customFormat="1" ht="132" customHeight="1" spans="1:12">
      <c r="A13" s="91">
        <v>10</v>
      </c>
      <c r="B13" s="95" t="s">
        <v>344</v>
      </c>
      <c r="C13" s="100" t="s">
        <v>359</v>
      </c>
      <c r="D13" s="99"/>
      <c r="E13" s="95" t="s">
        <v>339</v>
      </c>
      <c r="F13" s="103" t="s">
        <v>352</v>
      </c>
      <c r="G13" s="99">
        <v>1</v>
      </c>
      <c r="H13" s="93" t="s">
        <v>331</v>
      </c>
      <c r="I13" s="118">
        <v>1680</v>
      </c>
      <c r="J13" s="118">
        <f t="shared" si="0"/>
        <v>1680</v>
      </c>
      <c r="K13" s="119" t="s">
        <v>332</v>
      </c>
      <c r="L13" s="81"/>
    </row>
    <row r="14" s="77" customFormat="1" ht="132" customHeight="1" spans="1:12">
      <c r="A14" s="91">
        <v>11</v>
      </c>
      <c r="B14" s="95" t="s">
        <v>344</v>
      </c>
      <c r="C14" s="100" t="s">
        <v>360</v>
      </c>
      <c r="D14" s="99"/>
      <c r="E14" s="100" t="s">
        <v>361</v>
      </c>
      <c r="F14" s="103" t="s">
        <v>352</v>
      </c>
      <c r="G14" s="99">
        <v>1</v>
      </c>
      <c r="H14" s="93" t="s">
        <v>331</v>
      </c>
      <c r="I14" s="118">
        <v>1080</v>
      </c>
      <c r="J14" s="118">
        <f t="shared" si="0"/>
        <v>1080</v>
      </c>
      <c r="K14" s="119" t="s">
        <v>332</v>
      </c>
      <c r="L14" s="81"/>
    </row>
    <row r="15" s="77" customFormat="1" ht="132" customHeight="1" spans="1:12">
      <c r="A15" s="91">
        <v>12</v>
      </c>
      <c r="B15" s="95" t="s">
        <v>344</v>
      </c>
      <c r="C15" s="100" t="s">
        <v>362</v>
      </c>
      <c r="D15" s="99"/>
      <c r="E15" s="95" t="s">
        <v>363</v>
      </c>
      <c r="F15" s="103" t="s">
        <v>352</v>
      </c>
      <c r="G15" s="99">
        <v>1</v>
      </c>
      <c r="H15" s="93" t="s">
        <v>331</v>
      </c>
      <c r="I15" s="118">
        <v>480</v>
      </c>
      <c r="J15" s="118">
        <f t="shared" si="0"/>
        <v>480</v>
      </c>
      <c r="K15" s="119" t="s">
        <v>332</v>
      </c>
      <c r="L15" s="81"/>
    </row>
    <row r="16" s="77" customFormat="1" ht="132" customHeight="1" spans="1:12">
      <c r="A16" s="91">
        <v>13</v>
      </c>
      <c r="B16" s="95" t="s">
        <v>344</v>
      </c>
      <c r="C16" s="100" t="s">
        <v>362</v>
      </c>
      <c r="D16" s="99"/>
      <c r="E16" s="95" t="s">
        <v>363</v>
      </c>
      <c r="F16" s="103" t="s">
        <v>352</v>
      </c>
      <c r="G16" s="99">
        <v>1</v>
      </c>
      <c r="H16" s="93" t="s">
        <v>331</v>
      </c>
      <c r="I16" s="118">
        <v>580</v>
      </c>
      <c r="J16" s="118">
        <f t="shared" si="0"/>
        <v>580</v>
      </c>
      <c r="K16" s="119" t="s">
        <v>332</v>
      </c>
      <c r="L16" s="81"/>
    </row>
    <row r="17" s="77" customFormat="1" ht="132" customHeight="1" spans="1:12">
      <c r="A17" s="91">
        <v>14</v>
      </c>
      <c r="B17" s="95" t="s">
        <v>344</v>
      </c>
      <c r="C17" s="100" t="s">
        <v>364</v>
      </c>
      <c r="D17" s="99"/>
      <c r="E17" s="95" t="s">
        <v>339</v>
      </c>
      <c r="F17" s="103" t="s">
        <v>352</v>
      </c>
      <c r="G17" s="99">
        <v>1</v>
      </c>
      <c r="H17" s="93" t="s">
        <v>336</v>
      </c>
      <c r="I17" s="118">
        <v>3000</v>
      </c>
      <c r="J17" s="118">
        <f t="shared" si="0"/>
        <v>3000</v>
      </c>
      <c r="K17" s="119" t="s">
        <v>332</v>
      </c>
      <c r="L17" s="81"/>
    </row>
    <row r="18" s="77" customFormat="1" ht="132" customHeight="1" spans="1:12">
      <c r="A18" s="91">
        <v>15</v>
      </c>
      <c r="B18" s="95" t="s">
        <v>327</v>
      </c>
      <c r="C18" s="100" t="s">
        <v>365</v>
      </c>
      <c r="D18" s="99"/>
      <c r="E18" s="95" t="s">
        <v>339</v>
      </c>
      <c r="F18" s="103" t="s">
        <v>352</v>
      </c>
      <c r="G18" s="99">
        <v>1</v>
      </c>
      <c r="H18" s="93" t="s">
        <v>336</v>
      </c>
      <c r="I18" s="118">
        <v>786</v>
      </c>
      <c r="J18" s="118">
        <f t="shared" si="0"/>
        <v>786</v>
      </c>
      <c r="K18" s="119" t="s">
        <v>332</v>
      </c>
      <c r="L18" s="81"/>
    </row>
    <row r="19" s="77" customFormat="1" ht="132" customHeight="1" spans="1:12">
      <c r="A19" s="91">
        <v>16</v>
      </c>
      <c r="B19" s="95" t="s">
        <v>344</v>
      </c>
      <c r="C19" s="100" t="s">
        <v>366</v>
      </c>
      <c r="D19" s="99"/>
      <c r="E19" s="95" t="s">
        <v>339</v>
      </c>
      <c r="F19" s="103" t="s">
        <v>352</v>
      </c>
      <c r="G19" s="99">
        <v>1</v>
      </c>
      <c r="H19" s="93" t="s">
        <v>336</v>
      </c>
      <c r="I19" s="118">
        <v>1356</v>
      </c>
      <c r="J19" s="118">
        <f t="shared" si="0"/>
        <v>1356</v>
      </c>
      <c r="K19" s="119" t="s">
        <v>332</v>
      </c>
      <c r="L19" s="81"/>
    </row>
    <row r="20" s="77" customFormat="1" ht="123" customHeight="1" spans="1:12">
      <c r="A20" s="95">
        <v>17</v>
      </c>
      <c r="B20" s="95" t="s">
        <v>367</v>
      </c>
      <c r="C20" s="95" t="s">
        <v>368</v>
      </c>
      <c r="D20" s="122"/>
      <c r="E20" s="95" t="s">
        <v>339</v>
      </c>
      <c r="F20" s="103" t="s">
        <v>352</v>
      </c>
      <c r="G20" s="99">
        <v>1</v>
      </c>
      <c r="H20" s="93" t="s">
        <v>336</v>
      </c>
      <c r="I20" s="118">
        <v>2050</v>
      </c>
      <c r="J20" s="118">
        <v>0</v>
      </c>
      <c r="K20" s="119" t="s">
        <v>369</v>
      </c>
      <c r="L20" s="81" t="s">
        <v>370</v>
      </c>
    </row>
    <row r="21" s="77" customFormat="1" ht="95" customHeight="1" spans="1:12">
      <c r="A21" s="123">
        <v>18</v>
      </c>
      <c r="B21" s="95" t="s">
        <v>371</v>
      </c>
      <c r="C21" s="95" t="s">
        <v>368</v>
      </c>
      <c r="D21" s="122"/>
      <c r="E21" s="95" t="s">
        <v>339</v>
      </c>
      <c r="F21" s="103" t="s">
        <v>352</v>
      </c>
      <c r="G21" s="99">
        <v>1</v>
      </c>
      <c r="H21" s="124" t="s">
        <v>372</v>
      </c>
      <c r="I21" s="118">
        <v>11000</v>
      </c>
      <c r="J21" s="118">
        <v>0</v>
      </c>
      <c r="K21" s="119" t="s">
        <v>373</v>
      </c>
      <c r="L21" s="81" t="s">
        <v>370</v>
      </c>
    </row>
    <row r="22" s="77" customFormat="1" ht="33" customHeight="1" spans="1:12">
      <c r="A22" s="125" t="s">
        <v>374</v>
      </c>
      <c r="B22" s="126"/>
      <c r="C22" s="126"/>
      <c r="D22" s="126"/>
      <c r="E22" s="127"/>
      <c r="F22" s="126"/>
      <c r="G22" s="126">
        <f>SUM(G4:G21)</f>
        <v>28</v>
      </c>
      <c r="H22" s="128"/>
      <c r="I22" s="130"/>
      <c r="J22" s="130">
        <f>SUM(J4:J21)</f>
        <v>44922</v>
      </c>
      <c r="K22" s="131"/>
      <c r="L22" s="81"/>
    </row>
  </sheetData>
  <mergeCells count="3">
    <mergeCell ref="A1:K1"/>
    <mergeCell ref="A2:H2"/>
    <mergeCell ref="A22:F22"/>
  </mergeCells>
  <pageMargins left="0.75" right="0.75" top="1" bottom="1" header="0.5" footer="0.5"/>
  <pageSetup paperSize="9" scale="80" fitToHeight="0"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view="pageBreakPreview" zoomScale="130" zoomScaleNormal="100" topLeftCell="C1" workbookViewId="0">
      <selection activeCell="F15" sqref="F15"/>
    </sheetView>
  </sheetViews>
  <sheetFormatPr defaultColWidth="11.047619047619" defaultRowHeight="18" customHeight="1"/>
  <cols>
    <col min="1" max="1" width="3.89523809523809" style="77" customWidth="1"/>
    <col min="2" max="2" width="8.18095238095238" style="81" customWidth="1"/>
    <col min="3" max="3" width="9.35238095238095" style="81" customWidth="1"/>
    <col min="4" max="4" width="33.9523809523809" style="77" customWidth="1"/>
    <col min="5" max="5" width="12.2095238095238" style="81" customWidth="1"/>
    <col min="6" max="6" width="14.6761904761905" style="81" customWidth="1"/>
    <col min="7" max="8" width="5.90476190476191" style="77" customWidth="1"/>
    <col min="9" max="9" width="17.5714285714286" style="77" customWidth="1"/>
    <col min="10" max="10" width="11.6952380952381" style="77" customWidth="1"/>
    <col min="11" max="11" width="15.2" style="77" customWidth="1"/>
    <col min="12" max="12" width="22.8571428571429" style="81" customWidth="1"/>
    <col min="13" max="16384" width="11.047619047619" style="77"/>
  </cols>
  <sheetData>
    <row r="1" s="77" customFormat="1" ht="33" customHeight="1" spans="1:12">
      <c r="A1" s="82" t="s">
        <v>375</v>
      </c>
      <c r="B1" s="83"/>
      <c r="C1" s="83"/>
      <c r="D1" s="83"/>
      <c r="E1" s="83"/>
      <c r="F1" s="84"/>
      <c r="G1" s="83"/>
      <c r="H1" s="83"/>
      <c r="I1" s="113"/>
      <c r="J1" s="113"/>
      <c r="K1" s="113"/>
      <c r="L1" s="81"/>
    </row>
    <row r="2" s="78" customFormat="1" ht="33" customHeight="1" spans="1:12">
      <c r="A2" s="85" t="s">
        <v>317</v>
      </c>
      <c r="B2" s="86"/>
      <c r="C2" s="86"/>
      <c r="D2" s="86"/>
      <c r="E2" s="86"/>
      <c r="F2" s="87"/>
      <c r="G2" s="86"/>
      <c r="H2" s="86"/>
      <c r="I2" s="114"/>
      <c r="J2" s="114"/>
      <c r="K2" s="115" t="s">
        <v>318</v>
      </c>
      <c r="L2" s="79"/>
    </row>
    <row r="3" s="79" customFormat="1" ht="33" customHeight="1" spans="1:11">
      <c r="A3" s="88" t="s">
        <v>1</v>
      </c>
      <c r="B3" s="89" t="s">
        <v>319</v>
      </c>
      <c r="C3" s="89" t="s">
        <v>320</v>
      </c>
      <c r="D3" s="89" t="s">
        <v>321</v>
      </c>
      <c r="E3" s="89" t="s">
        <v>322</v>
      </c>
      <c r="F3" s="89" t="s">
        <v>323</v>
      </c>
      <c r="G3" s="90" t="s">
        <v>324</v>
      </c>
      <c r="H3" s="90" t="s">
        <v>29</v>
      </c>
      <c r="I3" s="116" t="s">
        <v>376</v>
      </c>
      <c r="J3" s="116" t="s">
        <v>326</v>
      </c>
      <c r="K3" s="117" t="s">
        <v>32</v>
      </c>
    </row>
    <row r="4" s="77" customFormat="1" ht="101" customHeight="1" spans="1:12">
      <c r="A4" s="91">
        <v>1</v>
      </c>
      <c r="B4" s="92" t="s">
        <v>377</v>
      </c>
      <c r="C4" s="81" t="s">
        <v>378</v>
      </c>
      <c r="D4" s="93"/>
      <c r="E4" s="94" t="s">
        <v>379</v>
      </c>
      <c r="F4" s="95" t="s">
        <v>380</v>
      </c>
      <c r="G4" s="93">
        <v>1</v>
      </c>
      <c r="H4" s="93" t="s">
        <v>336</v>
      </c>
      <c r="I4" s="118">
        <v>7000</v>
      </c>
      <c r="J4" s="118">
        <f>I4*G4</f>
        <v>7000</v>
      </c>
      <c r="K4" s="119" t="s">
        <v>332</v>
      </c>
      <c r="L4" s="81">
        <v>7000</v>
      </c>
    </row>
    <row r="5" s="77" customFormat="1" ht="100" customHeight="1" spans="1:12">
      <c r="A5" s="91">
        <v>2</v>
      </c>
      <c r="B5" s="96"/>
      <c r="C5" s="95" t="s">
        <v>381</v>
      </c>
      <c r="D5" s="93"/>
      <c r="E5" s="94" t="s">
        <v>339</v>
      </c>
      <c r="F5" s="95" t="s">
        <v>382</v>
      </c>
      <c r="G5" s="93">
        <v>1</v>
      </c>
      <c r="H5" s="93" t="s">
        <v>331</v>
      </c>
      <c r="I5" s="118">
        <v>3250</v>
      </c>
      <c r="J5" s="118">
        <f t="shared" ref="J5:J48" si="0">I5*G5</f>
        <v>3250</v>
      </c>
      <c r="K5" s="119" t="s">
        <v>332</v>
      </c>
      <c r="L5" s="81">
        <f>2500*1.3</f>
        <v>3250</v>
      </c>
    </row>
    <row r="6" s="77" customFormat="1" ht="100" customHeight="1" spans="1:12">
      <c r="A6" s="91">
        <v>3</v>
      </c>
      <c r="B6" s="96"/>
      <c r="C6" s="95" t="s">
        <v>383</v>
      </c>
      <c r="D6" s="93"/>
      <c r="E6" s="94" t="s">
        <v>339</v>
      </c>
      <c r="F6" s="95" t="s">
        <v>384</v>
      </c>
      <c r="G6" s="93">
        <v>1</v>
      </c>
      <c r="H6" s="93" t="s">
        <v>336</v>
      </c>
      <c r="I6" s="118">
        <v>3800</v>
      </c>
      <c r="J6" s="118">
        <f t="shared" si="0"/>
        <v>3800</v>
      </c>
      <c r="K6" s="119" t="s">
        <v>332</v>
      </c>
      <c r="L6" s="81">
        <v>3800</v>
      </c>
    </row>
    <row r="7" s="77" customFormat="1" ht="100" customHeight="1" spans="1:12">
      <c r="A7" s="91">
        <v>4</v>
      </c>
      <c r="B7" s="96"/>
      <c r="C7" s="95" t="s">
        <v>385</v>
      </c>
      <c r="D7" s="93"/>
      <c r="E7" s="94" t="s">
        <v>339</v>
      </c>
      <c r="F7" s="95" t="s">
        <v>386</v>
      </c>
      <c r="G7" s="93">
        <v>1</v>
      </c>
      <c r="H7" s="93" t="s">
        <v>336</v>
      </c>
      <c r="I7" s="118">
        <v>1000</v>
      </c>
      <c r="J7" s="118">
        <f t="shared" si="0"/>
        <v>1000</v>
      </c>
      <c r="K7" s="119" t="s">
        <v>332</v>
      </c>
      <c r="L7" s="81">
        <v>1000</v>
      </c>
    </row>
    <row r="8" s="77" customFormat="1" ht="100" customHeight="1" spans="1:12">
      <c r="A8" s="91">
        <v>5</v>
      </c>
      <c r="B8" s="96"/>
      <c r="C8" s="95" t="s">
        <v>387</v>
      </c>
      <c r="D8" s="93"/>
      <c r="E8" s="94" t="s">
        <v>339</v>
      </c>
      <c r="F8" s="95" t="s">
        <v>388</v>
      </c>
      <c r="G8" s="93">
        <v>1</v>
      </c>
      <c r="H8" s="93" t="s">
        <v>331</v>
      </c>
      <c r="I8" s="118">
        <v>1000</v>
      </c>
      <c r="J8" s="118">
        <f t="shared" si="0"/>
        <v>1000</v>
      </c>
      <c r="K8" s="119" t="s">
        <v>332</v>
      </c>
      <c r="L8" s="81">
        <v>1000</v>
      </c>
    </row>
    <row r="9" s="77" customFormat="1" ht="100" customHeight="1" spans="1:12">
      <c r="A9" s="91">
        <v>6</v>
      </c>
      <c r="B9" s="96"/>
      <c r="C9" s="95" t="s">
        <v>389</v>
      </c>
      <c r="D9" s="93"/>
      <c r="E9" s="94" t="s">
        <v>390</v>
      </c>
      <c r="F9" s="95" t="s">
        <v>388</v>
      </c>
      <c r="G9" s="93">
        <v>1</v>
      </c>
      <c r="H9" s="93" t="s">
        <v>331</v>
      </c>
      <c r="I9" s="118">
        <v>1000</v>
      </c>
      <c r="J9" s="118">
        <f t="shared" si="0"/>
        <v>1000</v>
      </c>
      <c r="K9" s="119" t="s">
        <v>332</v>
      </c>
      <c r="L9" s="81">
        <v>1000</v>
      </c>
    </row>
    <row r="10" s="77" customFormat="1" ht="100" customHeight="1" spans="1:12">
      <c r="A10" s="91">
        <v>7</v>
      </c>
      <c r="B10" s="96"/>
      <c r="C10" s="95" t="s">
        <v>391</v>
      </c>
      <c r="D10" s="93"/>
      <c r="E10" s="94" t="s">
        <v>392</v>
      </c>
      <c r="F10" s="95" t="s">
        <v>393</v>
      </c>
      <c r="G10" s="93">
        <v>1</v>
      </c>
      <c r="H10" s="93" t="s">
        <v>336</v>
      </c>
      <c r="I10" s="118">
        <v>3200</v>
      </c>
      <c r="J10" s="118">
        <f t="shared" si="0"/>
        <v>3200</v>
      </c>
      <c r="K10" s="119" t="s">
        <v>332</v>
      </c>
      <c r="L10" s="81">
        <v>3200</v>
      </c>
    </row>
    <row r="11" s="77" customFormat="1" ht="100" customHeight="1" spans="1:12">
      <c r="A11" s="91"/>
      <c r="B11" s="96"/>
      <c r="C11" s="95" t="s">
        <v>394</v>
      </c>
      <c r="D11" s="93"/>
      <c r="E11" s="94" t="s">
        <v>395</v>
      </c>
      <c r="F11" s="95" t="s">
        <v>396</v>
      </c>
      <c r="G11" s="93">
        <v>1</v>
      </c>
      <c r="H11" s="93" t="s">
        <v>336</v>
      </c>
      <c r="I11" s="118">
        <v>2500</v>
      </c>
      <c r="J11" s="118">
        <f t="shared" si="0"/>
        <v>2500</v>
      </c>
      <c r="K11" s="119" t="s">
        <v>332</v>
      </c>
      <c r="L11" s="81">
        <v>2500</v>
      </c>
    </row>
    <row r="12" s="77" customFormat="1" ht="100" customHeight="1" spans="1:12">
      <c r="A12" s="91">
        <v>8</v>
      </c>
      <c r="B12" s="96"/>
      <c r="C12" s="95" t="s">
        <v>397</v>
      </c>
      <c r="D12" s="93"/>
      <c r="E12" s="94" t="s">
        <v>339</v>
      </c>
      <c r="F12" s="95" t="s">
        <v>352</v>
      </c>
      <c r="G12" s="93">
        <v>1</v>
      </c>
      <c r="H12" s="93" t="s">
        <v>336</v>
      </c>
      <c r="I12" s="118">
        <v>788</v>
      </c>
      <c r="J12" s="118">
        <f t="shared" si="0"/>
        <v>788</v>
      </c>
      <c r="K12" s="119" t="s">
        <v>332</v>
      </c>
      <c r="L12" s="81">
        <v>788</v>
      </c>
    </row>
    <row r="13" s="77" customFormat="1" ht="100" customHeight="1" spans="1:12">
      <c r="A13" s="91">
        <v>9</v>
      </c>
      <c r="B13" s="97" t="s">
        <v>398</v>
      </c>
      <c r="C13" s="95" t="s">
        <v>399</v>
      </c>
      <c r="D13" s="93"/>
      <c r="E13" s="95" t="s">
        <v>400</v>
      </c>
      <c r="F13" s="95" t="s">
        <v>401</v>
      </c>
      <c r="G13" s="93">
        <v>1</v>
      </c>
      <c r="H13" s="93" t="s">
        <v>331</v>
      </c>
      <c r="I13" s="118">
        <v>4000</v>
      </c>
      <c r="J13" s="118">
        <f t="shared" si="0"/>
        <v>4000</v>
      </c>
      <c r="K13" s="119" t="s">
        <v>332</v>
      </c>
      <c r="L13" s="81">
        <v>4000</v>
      </c>
    </row>
    <row r="14" s="77" customFormat="1" ht="104" customHeight="1" spans="1:12">
      <c r="A14" s="91">
        <v>10</v>
      </c>
      <c r="B14" s="98"/>
      <c r="C14" s="95" t="s">
        <v>402</v>
      </c>
      <c r="D14" s="99"/>
      <c r="E14" s="94" t="s">
        <v>339</v>
      </c>
      <c r="F14" s="95" t="s">
        <v>403</v>
      </c>
      <c r="G14" s="99">
        <v>4</v>
      </c>
      <c r="H14" s="93" t="s">
        <v>331</v>
      </c>
      <c r="I14" s="118">
        <v>1000</v>
      </c>
      <c r="J14" s="118">
        <f t="shared" si="0"/>
        <v>4000</v>
      </c>
      <c r="K14" s="119" t="s">
        <v>332</v>
      </c>
      <c r="L14" s="81">
        <v>4000</v>
      </c>
    </row>
    <row r="15" s="77" customFormat="1" ht="104" customHeight="1" spans="1:12">
      <c r="A15" s="91">
        <v>11</v>
      </c>
      <c r="B15" s="98"/>
      <c r="C15" s="95" t="s">
        <v>404</v>
      </c>
      <c r="D15" s="99"/>
      <c r="E15" s="94" t="s">
        <v>405</v>
      </c>
      <c r="F15" s="95" t="s">
        <v>388</v>
      </c>
      <c r="G15" s="99">
        <v>1</v>
      </c>
      <c r="H15" s="93" t="s">
        <v>331</v>
      </c>
      <c r="I15" s="118">
        <v>800</v>
      </c>
      <c r="J15" s="118">
        <f t="shared" si="0"/>
        <v>800</v>
      </c>
      <c r="K15" s="119"/>
      <c r="L15" s="81">
        <v>800</v>
      </c>
    </row>
    <row r="16" s="77" customFormat="1" ht="104" customHeight="1" spans="1:12">
      <c r="A16" s="91">
        <v>12</v>
      </c>
      <c r="B16" s="98"/>
      <c r="C16" s="95" t="s">
        <v>406</v>
      </c>
      <c r="D16" s="99"/>
      <c r="E16" s="94" t="s">
        <v>395</v>
      </c>
      <c r="F16" s="100" t="s">
        <v>352</v>
      </c>
      <c r="G16" s="99">
        <v>1</v>
      </c>
      <c r="H16" s="93" t="s">
        <v>331</v>
      </c>
      <c r="I16" s="118">
        <v>686</v>
      </c>
      <c r="J16" s="118">
        <f t="shared" si="0"/>
        <v>686</v>
      </c>
      <c r="K16" s="119" t="s">
        <v>332</v>
      </c>
      <c r="L16" s="81">
        <v>686</v>
      </c>
    </row>
    <row r="17" s="77" customFormat="1" ht="104" customHeight="1" spans="1:12">
      <c r="A17" s="91">
        <v>13</v>
      </c>
      <c r="B17" s="98"/>
      <c r="C17" s="95" t="s">
        <v>406</v>
      </c>
      <c r="D17" s="99"/>
      <c r="E17" s="94" t="s">
        <v>395</v>
      </c>
      <c r="F17" s="100" t="s">
        <v>352</v>
      </c>
      <c r="G17" s="99">
        <v>1</v>
      </c>
      <c r="H17" s="93" t="s">
        <v>331</v>
      </c>
      <c r="I17" s="118">
        <v>560</v>
      </c>
      <c r="J17" s="118">
        <f t="shared" si="0"/>
        <v>560</v>
      </c>
      <c r="K17" s="119" t="s">
        <v>332</v>
      </c>
      <c r="L17" s="81">
        <v>560</v>
      </c>
    </row>
    <row r="18" s="77" customFormat="1" ht="100" customHeight="1" spans="1:12">
      <c r="A18" s="91">
        <v>14</v>
      </c>
      <c r="B18" s="101"/>
      <c r="C18" s="95" t="s">
        <v>397</v>
      </c>
      <c r="D18" s="93"/>
      <c r="E18" s="94" t="s">
        <v>339</v>
      </c>
      <c r="F18" s="100" t="s">
        <v>352</v>
      </c>
      <c r="G18" s="93">
        <v>1</v>
      </c>
      <c r="H18" s="93" t="s">
        <v>336</v>
      </c>
      <c r="I18" s="118">
        <v>1860</v>
      </c>
      <c r="J18" s="118">
        <f t="shared" si="0"/>
        <v>1860</v>
      </c>
      <c r="K18" s="119" t="s">
        <v>332</v>
      </c>
      <c r="L18" s="81">
        <v>1860</v>
      </c>
    </row>
    <row r="19" s="77" customFormat="1" ht="104" customHeight="1" spans="1:12">
      <c r="A19" s="91">
        <v>15</v>
      </c>
      <c r="B19" s="102" t="s">
        <v>286</v>
      </c>
      <c r="C19" s="103" t="s">
        <v>406</v>
      </c>
      <c r="D19" s="99"/>
      <c r="E19" s="95" t="s">
        <v>407</v>
      </c>
      <c r="F19" s="100" t="s">
        <v>352</v>
      </c>
      <c r="G19" s="99">
        <v>1</v>
      </c>
      <c r="H19" s="93" t="s">
        <v>331</v>
      </c>
      <c r="I19" s="118">
        <v>945</v>
      </c>
      <c r="J19" s="118">
        <f t="shared" si="0"/>
        <v>945</v>
      </c>
      <c r="K19" s="119" t="s">
        <v>332</v>
      </c>
      <c r="L19" s="81">
        <v>945</v>
      </c>
    </row>
    <row r="20" s="77" customFormat="1" ht="132" customHeight="1" spans="1:12">
      <c r="A20" s="91">
        <v>16</v>
      </c>
      <c r="B20" s="104"/>
      <c r="C20" s="103" t="s">
        <v>328</v>
      </c>
      <c r="D20" s="99"/>
      <c r="E20" s="95" t="s">
        <v>408</v>
      </c>
      <c r="F20" s="100" t="s">
        <v>409</v>
      </c>
      <c r="G20" s="99">
        <v>1</v>
      </c>
      <c r="H20" s="93" t="s">
        <v>331</v>
      </c>
      <c r="I20" s="118">
        <v>3000</v>
      </c>
      <c r="J20" s="118">
        <f t="shared" si="0"/>
        <v>3000</v>
      </c>
      <c r="K20" s="119" t="s">
        <v>332</v>
      </c>
      <c r="L20" s="81">
        <v>3000</v>
      </c>
    </row>
    <row r="21" s="77" customFormat="1" ht="132" customHeight="1" spans="1:12">
      <c r="A21" s="91">
        <v>17</v>
      </c>
      <c r="B21" s="104"/>
      <c r="C21" s="103" t="s">
        <v>338</v>
      </c>
      <c r="D21" s="99"/>
      <c r="E21" s="94" t="s">
        <v>339</v>
      </c>
      <c r="F21" s="100" t="s">
        <v>352</v>
      </c>
      <c r="G21" s="99">
        <v>1</v>
      </c>
      <c r="H21" s="93" t="s">
        <v>331</v>
      </c>
      <c r="I21" s="118">
        <v>1500</v>
      </c>
      <c r="J21" s="118">
        <f t="shared" si="0"/>
        <v>1500</v>
      </c>
      <c r="K21" s="119" t="s">
        <v>332</v>
      </c>
      <c r="L21" s="81">
        <v>1500</v>
      </c>
    </row>
    <row r="22" s="77" customFormat="1" ht="132" customHeight="1" spans="1:12">
      <c r="A22" s="91">
        <v>18</v>
      </c>
      <c r="B22" s="104"/>
      <c r="C22" s="103" t="s">
        <v>338</v>
      </c>
      <c r="D22" s="99"/>
      <c r="E22" s="94" t="s">
        <v>339</v>
      </c>
      <c r="F22" s="95" t="s">
        <v>410</v>
      </c>
      <c r="G22" s="99">
        <v>1</v>
      </c>
      <c r="H22" s="93" t="s">
        <v>331</v>
      </c>
      <c r="I22" s="118">
        <v>1890</v>
      </c>
      <c r="J22" s="118">
        <f t="shared" si="0"/>
        <v>1890</v>
      </c>
      <c r="K22" s="119" t="s">
        <v>332</v>
      </c>
      <c r="L22" s="81">
        <v>1890</v>
      </c>
    </row>
    <row r="23" s="77" customFormat="1" ht="132" customHeight="1" spans="1:12">
      <c r="A23" s="91">
        <v>19</v>
      </c>
      <c r="B23" s="104"/>
      <c r="C23" s="103" t="s">
        <v>338</v>
      </c>
      <c r="D23" s="99"/>
      <c r="E23" s="94" t="s">
        <v>339</v>
      </c>
      <c r="F23" s="95" t="s">
        <v>403</v>
      </c>
      <c r="G23" s="99">
        <v>1</v>
      </c>
      <c r="H23" s="93" t="s">
        <v>331</v>
      </c>
      <c r="I23" s="118">
        <v>1200</v>
      </c>
      <c r="J23" s="118">
        <f t="shared" si="0"/>
        <v>1200</v>
      </c>
      <c r="K23" s="119" t="s">
        <v>332</v>
      </c>
      <c r="L23" s="81">
        <v>1200</v>
      </c>
    </row>
    <row r="24" s="77" customFormat="1" ht="100" customHeight="1" spans="1:12">
      <c r="A24" s="91">
        <v>20</v>
      </c>
      <c r="B24" s="104"/>
      <c r="C24" s="95" t="s">
        <v>397</v>
      </c>
      <c r="D24" s="93"/>
      <c r="E24" s="95" t="s">
        <v>411</v>
      </c>
      <c r="F24" s="100" t="s">
        <v>352</v>
      </c>
      <c r="G24" s="93">
        <v>1</v>
      </c>
      <c r="H24" s="93" t="s">
        <v>336</v>
      </c>
      <c r="I24" s="118">
        <v>1000</v>
      </c>
      <c r="J24" s="118">
        <f t="shared" si="0"/>
        <v>1000</v>
      </c>
      <c r="K24" s="119" t="s">
        <v>332</v>
      </c>
      <c r="L24" s="81">
        <v>1000</v>
      </c>
    </row>
    <row r="25" s="77" customFormat="1" ht="100" customHeight="1" spans="1:12">
      <c r="A25" s="91">
        <v>21</v>
      </c>
      <c r="B25" s="104"/>
      <c r="C25" s="95" t="s">
        <v>412</v>
      </c>
      <c r="D25" s="93"/>
      <c r="E25" s="94" t="s">
        <v>395</v>
      </c>
      <c r="F25" s="95" t="s">
        <v>413</v>
      </c>
      <c r="G25" s="93">
        <v>1</v>
      </c>
      <c r="H25" s="93" t="s">
        <v>336</v>
      </c>
      <c r="I25" s="118">
        <v>3000</v>
      </c>
      <c r="J25" s="118">
        <f t="shared" si="0"/>
        <v>3000</v>
      </c>
      <c r="K25" s="119" t="s">
        <v>332</v>
      </c>
      <c r="L25" s="81">
        <v>3000</v>
      </c>
    </row>
    <row r="26" s="77" customFormat="1" ht="132" customHeight="1" spans="1:12">
      <c r="A26" s="91">
        <v>22</v>
      </c>
      <c r="B26" s="105" t="s">
        <v>414</v>
      </c>
      <c r="C26" s="100" t="s">
        <v>415</v>
      </c>
      <c r="D26" s="99"/>
      <c r="E26" s="94" t="s">
        <v>416</v>
      </c>
      <c r="F26" s="100" t="s">
        <v>352</v>
      </c>
      <c r="G26" s="99">
        <v>1</v>
      </c>
      <c r="H26" s="93" t="s">
        <v>336</v>
      </c>
      <c r="I26" s="118">
        <v>9880</v>
      </c>
      <c r="J26" s="118">
        <f t="shared" si="0"/>
        <v>9880</v>
      </c>
      <c r="K26" s="119" t="s">
        <v>332</v>
      </c>
      <c r="L26" s="81">
        <v>9880</v>
      </c>
    </row>
    <row r="27" s="77" customFormat="1" ht="132" customHeight="1" spans="1:12">
      <c r="A27" s="91">
        <v>23</v>
      </c>
      <c r="B27" s="106"/>
      <c r="C27" s="100" t="s">
        <v>417</v>
      </c>
      <c r="D27" s="99"/>
      <c r="E27" s="94" t="s">
        <v>339</v>
      </c>
      <c r="F27" s="100" t="s">
        <v>352</v>
      </c>
      <c r="G27" s="99">
        <v>1</v>
      </c>
      <c r="H27" s="93" t="s">
        <v>336</v>
      </c>
      <c r="I27" s="118">
        <v>2000</v>
      </c>
      <c r="J27" s="118">
        <f t="shared" si="0"/>
        <v>2000</v>
      </c>
      <c r="K27" s="119" t="s">
        <v>332</v>
      </c>
      <c r="L27" s="81">
        <v>2000</v>
      </c>
    </row>
    <row r="28" s="77" customFormat="1" ht="100" customHeight="1" spans="1:12">
      <c r="A28" s="91">
        <v>24</v>
      </c>
      <c r="B28" s="106"/>
      <c r="C28" s="95" t="s">
        <v>418</v>
      </c>
      <c r="D28" s="93"/>
      <c r="E28" s="95" t="s">
        <v>419</v>
      </c>
      <c r="F28" s="100" t="s">
        <v>352</v>
      </c>
      <c r="G28" s="93">
        <v>1</v>
      </c>
      <c r="H28" s="93" t="s">
        <v>331</v>
      </c>
      <c r="I28" s="118">
        <v>4300</v>
      </c>
      <c r="J28" s="118">
        <f t="shared" si="0"/>
        <v>4300</v>
      </c>
      <c r="K28" s="119" t="s">
        <v>332</v>
      </c>
      <c r="L28" s="81">
        <v>4300</v>
      </c>
    </row>
    <row r="29" s="77" customFormat="1" ht="100" customHeight="1" spans="1:12">
      <c r="A29" s="91">
        <v>25</v>
      </c>
      <c r="B29" s="106"/>
      <c r="C29" s="95" t="s">
        <v>397</v>
      </c>
      <c r="D29" s="93"/>
      <c r="E29" s="94" t="s">
        <v>339</v>
      </c>
      <c r="F29" s="100" t="s">
        <v>352</v>
      </c>
      <c r="G29" s="93">
        <v>1</v>
      </c>
      <c r="H29" s="93" t="s">
        <v>336</v>
      </c>
      <c r="I29" s="118">
        <v>1880</v>
      </c>
      <c r="J29" s="118">
        <f t="shared" si="0"/>
        <v>1880</v>
      </c>
      <c r="K29" s="119" t="s">
        <v>332</v>
      </c>
      <c r="L29" s="81">
        <v>1880</v>
      </c>
    </row>
    <row r="30" s="77" customFormat="1" ht="100" customHeight="1" spans="1:12">
      <c r="A30" s="91">
        <v>26</v>
      </c>
      <c r="B30" s="106"/>
      <c r="C30" s="95" t="s">
        <v>420</v>
      </c>
      <c r="D30" s="93"/>
      <c r="E30" s="94" t="s">
        <v>339</v>
      </c>
      <c r="F30" s="95" t="s">
        <v>388</v>
      </c>
      <c r="G30" s="93">
        <v>1</v>
      </c>
      <c r="H30" s="93" t="s">
        <v>336</v>
      </c>
      <c r="I30" s="118">
        <v>1600</v>
      </c>
      <c r="J30" s="118">
        <f t="shared" si="0"/>
        <v>1600</v>
      </c>
      <c r="K30" s="119" t="s">
        <v>332</v>
      </c>
      <c r="L30" s="81">
        <v>1600</v>
      </c>
    </row>
    <row r="31" s="77" customFormat="1" ht="100" customHeight="1" spans="1:12">
      <c r="A31" s="91">
        <v>27</v>
      </c>
      <c r="B31" s="106"/>
      <c r="C31" s="95" t="s">
        <v>420</v>
      </c>
      <c r="D31" s="93"/>
      <c r="E31" s="94" t="s">
        <v>339</v>
      </c>
      <c r="F31" s="95" t="s">
        <v>388</v>
      </c>
      <c r="G31" s="93">
        <v>1</v>
      </c>
      <c r="H31" s="93" t="s">
        <v>336</v>
      </c>
      <c r="I31" s="118">
        <v>1600</v>
      </c>
      <c r="J31" s="118">
        <f t="shared" si="0"/>
        <v>1600</v>
      </c>
      <c r="K31" s="119" t="s">
        <v>332</v>
      </c>
      <c r="L31" s="81">
        <v>1600</v>
      </c>
    </row>
    <row r="32" s="77" customFormat="1" ht="100" customHeight="1" spans="1:12">
      <c r="A32" s="91">
        <v>28</v>
      </c>
      <c r="B32" s="106"/>
      <c r="C32" s="95" t="s">
        <v>391</v>
      </c>
      <c r="D32" s="93"/>
      <c r="E32" s="94" t="s">
        <v>421</v>
      </c>
      <c r="F32" s="95" t="s">
        <v>393</v>
      </c>
      <c r="G32" s="93">
        <v>1</v>
      </c>
      <c r="H32" s="93" t="s">
        <v>336</v>
      </c>
      <c r="I32" s="118">
        <v>3000</v>
      </c>
      <c r="J32" s="118">
        <f t="shared" si="0"/>
        <v>3000</v>
      </c>
      <c r="K32" s="119" t="s">
        <v>332</v>
      </c>
      <c r="L32" s="81">
        <v>3000</v>
      </c>
    </row>
    <row r="33" s="77" customFormat="1" ht="100" customHeight="1" spans="1:12">
      <c r="A33" s="91">
        <v>29</v>
      </c>
      <c r="B33" s="106"/>
      <c r="C33" s="95" t="s">
        <v>412</v>
      </c>
      <c r="D33" s="93"/>
      <c r="E33" s="94" t="s">
        <v>395</v>
      </c>
      <c r="F33" s="95" t="s">
        <v>413</v>
      </c>
      <c r="G33" s="93">
        <v>1</v>
      </c>
      <c r="H33" s="93" t="s">
        <v>336</v>
      </c>
      <c r="I33" s="118">
        <v>3000</v>
      </c>
      <c r="J33" s="118">
        <f t="shared" si="0"/>
        <v>3000</v>
      </c>
      <c r="K33" s="119" t="s">
        <v>332</v>
      </c>
      <c r="L33" s="81">
        <v>3000</v>
      </c>
    </row>
    <row r="34" s="77" customFormat="1" ht="132" customHeight="1" spans="1:12">
      <c r="A34" s="91">
        <v>30</v>
      </c>
      <c r="B34" s="107" t="s">
        <v>275</v>
      </c>
      <c r="C34" s="100" t="s">
        <v>415</v>
      </c>
      <c r="D34" s="99"/>
      <c r="E34" s="94" t="s">
        <v>422</v>
      </c>
      <c r="F34" s="100" t="s">
        <v>352</v>
      </c>
      <c r="G34" s="99">
        <v>1</v>
      </c>
      <c r="H34" s="93" t="s">
        <v>331</v>
      </c>
      <c r="I34" s="118">
        <v>9880</v>
      </c>
      <c r="J34" s="118">
        <f t="shared" si="0"/>
        <v>9880</v>
      </c>
      <c r="K34" s="119" t="s">
        <v>332</v>
      </c>
      <c r="L34" s="81">
        <v>9880</v>
      </c>
    </row>
    <row r="35" s="77" customFormat="1" ht="132" customHeight="1" spans="1:12">
      <c r="A35" s="91">
        <v>31</v>
      </c>
      <c r="B35" s="107"/>
      <c r="C35" s="100" t="s">
        <v>417</v>
      </c>
      <c r="D35" s="99"/>
      <c r="E35" s="94" t="s">
        <v>339</v>
      </c>
      <c r="F35" s="100" t="s">
        <v>352</v>
      </c>
      <c r="G35" s="99">
        <v>1</v>
      </c>
      <c r="H35" s="93" t="s">
        <v>336</v>
      </c>
      <c r="I35" s="118">
        <v>1000</v>
      </c>
      <c r="J35" s="118">
        <f t="shared" si="0"/>
        <v>1000</v>
      </c>
      <c r="K35" s="119" t="s">
        <v>332</v>
      </c>
      <c r="L35" s="81">
        <v>1000</v>
      </c>
    </row>
    <row r="36" s="77" customFormat="1" ht="100" customHeight="1" spans="1:12">
      <c r="A36" s="91">
        <v>32</v>
      </c>
      <c r="B36" s="107"/>
      <c r="C36" s="95" t="s">
        <v>418</v>
      </c>
      <c r="D36" s="93"/>
      <c r="E36" s="94" t="s">
        <v>422</v>
      </c>
      <c r="F36" s="100" t="s">
        <v>352</v>
      </c>
      <c r="G36" s="93">
        <v>1</v>
      </c>
      <c r="H36" s="93" t="s">
        <v>331</v>
      </c>
      <c r="I36" s="118">
        <v>4300</v>
      </c>
      <c r="J36" s="118">
        <f t="shared" si="0"/>
        <v>4300</v>
      </c>
      <c r="K36" s="119" t="s">
        <v>332</v>
      </c>
      <c r="L36" s="81">
        <v>4300</v>
      </c>
    </row>
    <row r="37" s="77" customFormat="1" ht="100" customHeight="1" spans="1:12">
      <c r="A37" s="91">
        <v>33</v>
      </c>
      <c r="B37" s="107"/>
      <c r="C37" s="95" t="s">
        <v>397</v>
      </c>
      <c r="D37" s="93"/>
      <c r="E37" s="94" t="s">
        <v>339</v>
      </c>
      <c r="F37" s="100" t="s">
        <v>352</v>
      </c>
      <c r="G37" s="93">
        <v>1</v>
      </c>
      <c r="H37" s="93" t="s">
        <v>336</v>
      </c>
      <c r="I37" s="118">
        <v>1880</v>
      </c>
      <c r="J37" s="118">
        <f t="shared" si="0"/>
        <v>1880</v>
      </c>
      <c r="K37" s="119" t="s">
        <v>332</v>
      </c>
      <c r="L37" s="81">
        <v>1880</v>
      </c>
    </row>
    <row r="38" s="77" customFormat="1" ht="100" customHeight="1" spans="1:12">
      <c r="A38" s="91">
        <v>34</v>
      </c>
      <c r="B38" s="107"/>
      <c r="C38" s="95" t="s">
        <v>420</v>
      </c>
      <c r="D38" s="93"/>
      <c r="E38" s="94" t="s">
        <v>339</v>
      </c>
      <c r="F38" s="95" t="s">
        <v>388</v>
      </c>
      <c r="G38" s="93">
        <v>1</v>
      </c>
      <c r="H38" s="93" t="s">
        <v>336</v>
      </c>
      <c r="I38" s="118">
        <v>1000</v>
      </c>
      <c r="J38" s="118">
        <f t="shared" si="0"/>
        <v>1000</v>
      </c>
      <c r="K38" s="119" t="s">
        <v>332</v>
      </c>
      <c r="L38" s="81">
        <v>1000</v>
      </c>
    </row>
    <row r="39" s="77" customFormat="1" ht="100" customHeight="1" spans="1:12">
      <c r="A39" s="91">
        <v>35</v>
      </c>
      <c r="B39" s="107"/>
      <c r="C39" s="95" t="s">
        <v>397</v>
      </c>
      <c r="D39" s="93"/>
      <c r="E39" s="95" t="s">
        <v>411</v>
      </c>
      <c r="F39" s="100" t="s">
        <v>352</v>
      </c>
      <c r="G39" s="93">
        <v>1</v>
      </c>
      <c r="H39" s="93" t="s">
        <v>336</v>
      </c>
      <c r="I39" s="118">
        <v>1000</v>
      </c>
      <c r="J39" s="118">
        <f t="shared" si="0"/>
        <v>1000</v>
      </c>
      <c r="K39" s="119" t="s">
        <v>332</v>
      </c>
      <c r="L39" s="81">
        <v>1000</v>
      </c>
    </row>
    <row r="40" s="77" customFormat="1" ht="100" customHeight="1" spans="1:12">
      <c r="A40" s="91">
        <v>36</v>
      </c>
      <c r="B40" s="107"/>
      <c r="C40" s="95" t="s">
        <v>391</v>
      </c>
      <c r="D40" s="93"/>
      <c r="E40" s="94" t="s">
        <v>423</v>
      </c>
      <c r="F40" s="95" t="s">
        <v>393</v>
      </c>
      <c r="G40" s="93">
        <v>1</v>
      </c>
      <c r="H40" s="93" t="s">
        <v>336</v>
      </c>
      <c r="I40" s="118">
        <v>3500</v>
      </c>
      <c r="J40" s="118">
        <f t="shared" si="0"/>
        <v>3500</v>
      </c>
      <c r="K40" s="119" t="s">
        <v>332</v>
      </c>
      <c r="L40" s="81">
        <v>3500</v>
      </c>
    </row>
    <row r="41" s="77" customFormat="1" ht="100" customHeight="1" spans="1:12">
      <c r="A41" s="91">
        <v>37</v>
      </c>
      <c r="B41" s="107"/>
      <c r="C41" s="95" t="s">
        <v>412</v>
      </c>
      <c r="D41" s="93"/>
      <c r="E41" s="94" t="s">
        <v>395</v>
      </c>
      <c r="F41" s="95" t="s">
        <v>413</v>
      </c>
      <c r="G41" s="93">
        <v>1</v>
      </c>
      <c r="H41" s="93" t="s">
        <v>336</v>
      </c>
      <c r="I41" s="118">
        <v>3000</v>
      </c>
      <c r="J41" s="118">
        <f t="shared" si="0"/>
        <v>3000</v>
      </c>
      <c r="K41" s="119" t="s">
        <v>332</v>
      </c>
      <c r="L41" s="81">
        <v>3000</v>
      </c>
    </row>
    <row r="42" s="77" customFormat="1" ht="100" customHeight="1" spans="1:12">
      <c r="A42" s="91">
        <v>38</v>
      </c>
      <c r="B42" s="107" t="s">
        <v>424</v>
      </c>
      <c r="C42" s="95" t="s">
        <v>397</v>
      </c>
      <c r="D42" s="93"/>
      <c r="E42" s="95" t="s">
        <v>425</v>
      </c>
      <c r="F42" s="100" t="s">
        <v>352</v>
      </c>
      <c r="G42" s="93">
        <v>1</v>
      </c>
      <c r="H42" s="93" t="s">
        <v>336</v>
      </c>
      <c r="I42" s="118">
        <v>2000</v>
      </c>
      <c r="J42" s="118">
        <f t="shared" si="0"/>
        <v>2000</v>
      </c>
      <c r="K42" s="119" t="s">
        <v>332</v>
      </c>
      <c r="L42" s="81">
        <v>2000</v>
      </c>
    </row>
    <row r="43" s="77" customFormat="1" ht="100" customHeight="1" spans="1:12">
      <c r="A43" s="91">
        <v>39</v>
      </c>
      <c r="B43" s="107"/>
      <c r="C43" s="95" t="s">
        <v>397</v>
      </c>
      <c r="D43" s="93"/>
      <c r="E43" s="95" t="s">
        <v>426</v>
      </c>
      <c r="F43" s="100" t="s">
        <v>352</v>
      </c>
      <c r="G43" s="93">
        <v>1</v>
      </c>
      <c r="H43" s="93" t="s">
        <v>336</v>
      </c>
      <c r="I43" s="118">
        <v>680</v>
      </c>
      <c r="J43" s="118">
        <f t="shared" si="0"/>
        <v>680</v>
      </c>
      <c r="K43" s="119" t="s">
        <v>332</v>
      </c>
      <c r="L43" s="81">
        <v>680</v>
      </c>
    </row>
    <row r="44" s="77" customFormat="1" ht="100" customHeight="1" spans="1:12">
      <c r="A44" s="91"/>
      <c r="B44" s="107"/>
      <c r="C44" s="95" t="s">
        <v>427</v>
      </c>
      <c r="D44" s="93"/>
      <c r="E44" s="95" t="s">
        <v>428</v>
      </c>
      <c r="F44" s="100" t="s">
        <v>352</v>
      </c>
      <c r="G44" s="93">
        <v>1</v>
      </c>
      <c r="H44" s="93" t="s">
        <v>336</v>
      </c>
      <c r="I44" s="118">
        <v>860</v>
      </c>
      <c r="J44" s="118">
        <f t="shared" si="0"/>
        <v>860</v>
      </c>
      <c r="K44" s="119" t="s">
        <v>332</v>
      </c>
      <c r="L44" s="81">
        <v>860</v>
      </c>
    </row>
    <row r="45" s="77" customFormat="1" ht="100" customHeight="1" spans="1:12">
      <c r="A45" s="91">
        <v>40</v>
      </c>
      <c r="B45" s="107"/>
      <c r="C45" s="95" t="s">
        <v>397</v>
      </c>
      <c r="D45" s="93"/>
      <c r="E45" s="94" t="s">
        <v>429</v>
      </c>
      <c r="F45" s="100" t="s">
        <v>352</v>
      </c>
      <c r="G45" s="93">
        <v>2</v>
      </c>
      <c r="H45" s="93" t="s">
        <v>336</v>
      </c>
      <c r="I45" s="118">
        <v>1500</v>
      </c>
      <c r="J45" s="118">
        <f t="shared" si="0"/>
        <v>3000</v>
      </c>
      <c r="K45" s="119" t="s">
        <v>332</v>
      </c>
      <c r="L45" s="81">
        <v>1500</v>
      </c>
    </row>
    <row r="46" s="77" customFormat="1" ht="100" customHeight="1" spans="1:12">
      <c r="A46" s="108">
        <v>41</v>
      </c>
      <c r="B46" s="107" t="s">
        <v>430</v>
      </c>
      <c r="C46" s="95" t="s">
        <v>397</v>
      </c>
      <c r="D46" s="93"/>
      <c r="E46" s="95" t="s">
        <v>426</v>
      </c>
      <c r="F46" s="95" t="s">
        <v>352</v>
      </c>
      <c r="G46" s="93">
        <v>1</v>
      </c>
      <c r="H46" s="93" t="s">
        <v>336</v>
      </c>
      <c r="I46" s="93">
        <v>680</v>
      </c>
      <c r="J46" s="118">
        <f t="shared" si="0"/>
        <v>680</v>
      </c>
      <c r="K46" s="120" t="s">
        <v>332</v>
      </c>
      <c r="L46" s="81">
        <v>680</v>
      </c>
    </row>
    <row r="47" s="77" customFormat="1" ht="100" customHeight="1" spans="1:12">
      <c r="A47" s="108"/>
      <c r="B47" s="107"/>
      <c r="C47" s="95" t="s">
        <v>427</v>
      </c>
      <c r="D47" s="93"/>
      <c r="E47" s="95" t="s">
        <v>428</v>
      </c>
      <c r="F47" s="95" t="s">
        <v>352</v>
      </c>
      <c r="G47" s="93">
        <v>1</v>
      </c>
      <c r="H47" s="93" t="s">
        <v>336</v>
      </c>
      <c r="I47" s="93">
        <v>860</v>
      </c>
      <c r="J47" s="118">
        <f t="shared" si="0"/>
        <v>860</v>
      </c>
      <c r="K47" s="120" t="s">
        <v>332</v>
      </c>
      <c r="L47" s="81">
        <v>860</v>
      </c>
    </row>
    <row r="48" s="77" customFormat="1" ht="100" customHeight="1" spans="1:12">
      <c r="A48" s="108">
        <v>42</v>
      </c>
      <c r="B48" s="107"/>
      <c r="C48" s="95" t="s">
        <v>397</v>
      </c>
      <c r="D48" s="93"/>
      <c r="E48" s="95" t="s">
        <v>425</v>
      </c>
      <c r="F48" s="95" t="s">
        <v>352</v>
      </c>
      <c r="G48" s="93">
        <v>1</v>
      </c>
      <c r="H48" s="93" t="s">
        <v>336</v>
      </c>
      <c r="I48" s="93">
        <v>680</v>
      </c>
      <c r="J48" s="118">
        <f t="shared" si="0"/>
        <v>680</v>
      </c>
      <c r="K48" s="120" t="s">
        <v>332</v>
      </c>
      <c r="L48" s="81">
        <v>680</v>
      </c>
    </row>
    <row r="49" s="77" customFormat="1" ht="33" customHeight="1" spans="1:12">
      <c r="A49" s="109" t="s">
        <v>374</v>
      </c>
      <c r="B49" s="109"/>
      <c r="C49" s="109"/>
      <c r="D49" s="109"/>
      <c r="E49" s="109"/>
      <c r="F49" s="110"/>
      <c r="G49" s="109">
        <f>SUM(G4:G48)</f>
        <v>49</v>
      </c>
      <c r="H49" s="111"/>
      <c r="I49" s="93">
        <v>0</v>
      </c>
      <c r="J49" s="111">
        <f>SUM(J4:J48)</f>
        <v>109559</v>
      </c>
      <c r="K49" s="109"/>
      <c r="L49" s="81">
        <f>SUM(L4:L48)</f>
        <v>108059</v>
      </c>
    </row>
    <row r="50" s="80" customFormat="1" customHeight="1" spans="2:12">
      <c r="B50" s="112"/>
      <c r="C50" s="112"/>
      <c r="E50" s="112"/>
      <c r="F50" s="112"/>
      <c r="I50" s="121"/>
      <c r="L50" s="112"/>
    </row>
    <row r="51" s="80" customFormat="1" customHeight="1" spans="2:12">
      <c r="B51" s="112"/>
      <c r="C51" s="112"/>
      <c r="E51" s="112"/>
      <c r="F51" s="112"/>
      <c r="I51" s="121"/>
      <c r="L51" s="112"/>
    </row>
    <row r="52" s="80" customFormat="1" customHeight="1" spans="2:12">
      <c r="B52" s="112"/>
      <c r="C52" s="112"/>
      <c r="E52" s="112"/>
      <c r="F52" s="112"/>
      <c r="I52" s="121"/>
      <c r="L52" s="112"/>
    </row>
    <row r="53" s="80" customFormat="1" customHeight="1" spans="2:12">
      <c r="B53" s="112"/>
      <c r="C53" s="112"/>
      <c r="E53" s="112"/>
      <c r="F53" s="112"/>
      <c r="I53" s="121"/>
      <c r="L53" s="112"/>
    </row>
    <row r="54" s="80" customFormat="1" customHeight="1" spans="2:12">
      <c r="B54" s="112"/>
      <c r="C54" s="112"/>
      <c r="E54" s="112"/>
      <c r="F54" s="112"/>
      <c r="I54" s="121"/>
      <c r="L54" s="112"/>
    </row>
    <row r="55" s="80" customFormat="1" customHeight="1" spans="2:12">
      <c r="B55" s="112"/>
      <c r="C55" s="112"/>
      <c r="E55" s="112"/>
      <c r="F55" s="112"/>
      <c r="I55" s="121"/>
      <c r="L55" s="112"/>
    </row>
    <row r="56" s="80" customFormat="1" customHeight="1" spans="2:12">
      <c r="B56" s="112"/>
      <c r="C56" s="112"/>
      <c r="E56" s="112"/>
      <c r="F56" s="112"/>
      <c r="I56" s="121"/>
      <c r="L56" s="112"/>
    </row>
    <row r="57" s="80" customFormat="1" customHeight="1" spans="2:12">
      <c r="B57" s="112"/>
      <c r="C57" s="112"/>
      <c r="E57" s="112"/>
      <c r="F57" s="112"/>
      <c r="I57" s="121"/>
      <c r="L57" s="112"/>
    </row>
  </sheetData>
  <mergeCells count="10">
    <mergeCell ref="A1:K1"/>
    <mergeCell ref="A2:H2"/>
    <mergeCell ref="A49:F49"/>
    <mergeCell ref="B4:B12"/>
    <mergeCell ref="B13:B18"/>
    <mergeCell ref="B19:B25"/>
    <mergeCell ref="B26:B33"/>
    <mergeCell ref="B34:B41"/>
    <mergeCell ref="B42:B45"/>
    <mergeCell ref="B46:B48"/>
  </mergeCells>
  <pageMargins left="0.75" right="0.75" top="1" bottom="1" header="0.5" footer="0.5"/>
  <pageSetup paperSize="9" scale="81" fitToHeight="0" orientation="landscape"/>
  <headerFooter/>
  <drawing r:id="rId1"/>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11</vt:i4>
      </vt:variant>
    </vt:vector>
  </HeadingPairs>
  <TitlesOfParts>
    <vt:vector size="11" baseType="lpstr">
      <vt:lpstr>Sheet2</vt:lpstr>
      <vt:lpstr>第一次进度款</vt:lpstr>
      <vt:lpstr>01、汇总表</vt:lpstr>
      <vt:lpstr>Sheet1</vt:lpstr>
      <vt:lpstr>02、3#楼大堂及架空层装饰工程</vt:lpstr>
      <vt:lpstr>03、3#楼大堂及架空层门头装饰工程</vt:lpstr>
      <vt:lpstr>04、样板间装饰工程</vt:lpstr>
      <vt:lpstr>05-1、3#楼架空层软装清单</vt:lpstr>
      <vt:lpstr>05-2、3#楼室内样板间软装清单</vt:lpstr>
      <vt:lpstr>06、安装工程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HMJ</cp:lastModifiedBy>
  <dcterms:created xsi:type="dcterms:W3CDTF">2020-11-19T09:45:00Z</dcterms:created>
  <dcterms:modified xsi:type="dcterms:W3CDTF">2024-01-31T08:53:22Z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A6266D60AD5543B5BA5334758AD621A7_13</vt:lpwstr>
  </property>
</Properties>
</file>