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bookViews>
  <sheets>
    <sheet name="表1" sheetId="11" r:id="rId1"/>
  </sheets>
  <externalReferences>
    <externalReference r:id="rId2"/>
  </externalReferences>
  <definedNames>
    <definedName name="_xlnm._FilterDatabase" localSheetId="0" hidden="1">表1!$A$4:$O$84</definedName>
    <definedName name="_xlnm.Print_Area" localSheetId="0">表1!$A$1:$O$84</definedName>
    <definedName name="_xlnm.Print_Titles" localSheetId="0">表1!$1:$4</definedName>
    <definedName name="a">EVALUATE([1]计算底稿!$D:$D)</definedName>
    <definedName name="as">EVALUATE(#REF!)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<sst xmlns="http://schemas.openxmlformats.org/spreadsheetml/2006/main" count="298" uniqueCount="134">
  <si>
    <t>洛宁山水文苑2号楼2单元3楼西户装修工程清单</t>
  </si>
  <si>
    <t>序号</t>
  </si>
  <si>
    <t>工程项目名称</t>
  </si>
  <si>
    <t>工程内容</t>
  </si>
  <si>
    <t>单位</t>
  </si>
  <si>
    <t>工程量
g</t>
  </si>
  <si>
    <t>其中：各子项构成（元）</t>
  </si>
  <si>
    <t>增值税专用发票税金
f=(a+b+c+d+e)*费率</t>
  </si>
  <si>
    <t>含税综合单价h=a+b+c+d+e+f</t>
  </si>
  <si>
    <t>含税合价(元)=g*h</t>
  </si>
  <si>
    <t>备注</t>
  </si>
  <si>
    <t>品牌</t>
  </si>
  <si>
    <t>人工费
a</t>
  </si>
  <si>
    <t>主材费
b</t>
  </si>
  <si>
    <t>主材消耗量c</t>
  </si>
  <si>
    <t>机械、辅材及其他d</t>
  </si>
  <si>
    <t>管理费及利润
e=(a+b+c+d)*费率</t>
  </si>
  <si>
    <t>一</t>
  </si>
  <si>
    <t>客厅、玄关及走廊、餐厅</t>
  </si>
  <si>
    <t>瓷砖地面</t>
  </si>
  <si>
    <r>
      <rPr>
        <sz val="9"/>
        <rFont val="宋体"/>
        <charset val="134"/>
      </rPr>
      <t>1、9mm厚800*800地砖(同色美缝剂美缝)
2、</t>
    </r>
    <r>
      <rPr>
        <sz val="9"/>
        <color rgb="FFFF0000"/>
        <rFont val="宋体"/>
        <charset val="134"/>
      </rPr>
      <t>50~70mm厚DS砂浆(或1:2.5水泥砂浆)找平层</t>
    </r>
    <r>
      <rPr>
        <sz val="9"/>
        <rFont val="宋体"/>
        <charset val="134"/>
      </rPr>
      <t xml:space="preserve">
3、满足施工规范及设计图纸要求；
4、部位：地面
5、其他未尽事宜:依据图纸、规范并结合实际情况，完成此项工作内容的所有工序、所有内容</t>
    </r>
  </si>
  <si>
    <t>m2</t>
  </si>
  <si>
    <t>莱斯曼、安基陶瓷</t>
  </si>
  <si>
    <t>踢脚线</t>
  </si>
  <si>
    <t>1、4~5公分高竹木纤维踢脚线
2、含基层、卡件、胶等
3、其他未尽事宜:依据图纸、规范并结合实际情况，完成此项工作内容的所有工序、所有内容</t>
  </si>
  <si>
    <t>m</t>
  </si>
  <si>
    <t>中央空调边顶</t>
  </si>
  <si>
    <t>1、装饰做法：白色乳胶漆（颜色可换）
2、封闭底漆涂料一道，满刮耐水腻子两遍
3、面层种类：9.5mm厚纸面石膏板
4、基层做法：18厚防火阻燃板
5、龙骨种类：阻燃方木
6、含开灯孔、检修口等
7、工程量为水平投影面积
8、具体做法详见图纸设计
9、成活价(含与之相关的其他一切费用)</t>
  </si>
  <si>
    <t>石膏板：泰山
乳胶漆：立邦</t>
  </si>
  <si>
    <t>吊平顶</t>
  </si>
  <si>
    <t>双层板线</t>
  </si>
  <si>
    <t>1、天棚双层板线（双眼皮）
2、含龙骨、基层做法、乳胶漆面层、开灯孔等</t>
  </si>
  <si>
    <t>泰山</t>
  </si>
  <si>
    <t>乳胶漆顶面</t>
  </si>
  <si>
    <t>1、白色乳胶漆面层两道（颜色可换）
2、封闭底漆涂料一道
3、满刮耐水腻子两遍（局部不平处粉刷石膏找平层）
4、刷涂界面剂一道
5、原有结构顶板
6、部位：室内原顶
7、其他未尽事宜:依据图纸、规范并结合实际情况，完成此项工作内容的所有工序、所有内容</t>
  </si>
  <si>
    <t>乳胶漆：立邦
腻子：阿力克</t>
  </si>
  <si>
    <t>壁布墙面</t>
  </si>
  <si>
    <t>1、贴壁布面层
2、环保壁纸基膜二道，刷糯米胶
3、满刮腻子二道,砂纸磨平
4、墙面满涂墙固
5、其他未尽事宜:依据图纸、规范并结合实际情况，完成此项工作内容的所有工序、所有内容</t>
  </si>
  <si>
    <t>面积按实际面积，扣除门窗洞口</t>
  </si>
  <si>
    <t>米兰、美佳</t>
  </si>
  <si>
    <t>窗台板</t>
  </si>
  <si>
    <t>1、结合层厚度、砂浆配合比:1:3水泥砂浆结合层，具体厚度依据图纸及实际现场情况综合考虑；
2、面层材料：人造石，达到设计要求完成面；                                                                                                                                                                  3、勾缝材料、酸洗、打蜡要求:含嵌缝剂，六面防护，抛光，防污，防碱等一切处理 ； 
4、其他未尽事宜:依据图纸、规范并结合实际情况，完成此项工作内容的所有工序、所有内容。
5、宽度约10cm，含下挂石材，两边共超出窗户宽度5公分，具体安现场实际尺寸调整
6、其他未尽事宜:依据图纸、规范并结合实际情况，完成此项工作内容的所有工序、所有内容</t>
  </si>
  <si>
    <t>主灯</t>
  </si>
  <si>
    <t>1、主灯吸顶灯
2、含辅材、安装等费用
3、未详尽处满足图纸设计、相关规范要求</t>
  </si>
  <si>
    <t>个</t>
  </si>
  <si>
    <t>子弹头</t>
  </si>
  <si>
    <t>筒灯</t>
  </si>
  <si>
    <t>1、开孔尺寸75的，瓦数9-12W，色温4000K。
2、含开孔费用。
3、未详尽处满足图纸设计、相关规范要求</t>
  </si>
  <si>
    <t>雷士</t>
  </si>
  <si>
    <t>入户门套</t>
  </si>
  <si>
    <t>1、复合免漆板
2、含基层处理等
3、宽度约为25cm</t>
  </si>
  <si>
    <t>二</t>
  </si>
  <si>
    <t>书房</t>
  </si>
  <si>
    <t>木地板</t>
  </si>
  <si>
    <r>
      <rPr>
        <sz val="9"/>
        <rFont val="宋体"/>
        <charset val="134"/>
      </rPr>
      <t>1、面层种类：</t>
    </r>
    <r>
      <rPr>
        <sz val="9"/>
        <color rgb="FFFF0000"/>
        <rFont val="宋体"/>
        <charset val="134"/>
      </rPr>
      <t>15</t>
    </r>
    <r>
      <rPr>
        <sz val="9"/>
        <rFont val="宋体"/>
        <charset val="134"/>
      </rPr>
      <t>mm厚复合木地板，含“L”型金属条
2、铝膜防潮垫
3、</t>
    </r>
    <r>
      <rPr>
        <sz val="9"/>
        <color rgb="FFFF0000"/>
        <rFont val="宋体"/>
        <charset val="134"/>
      </rPr>
      <t>10~20</t>
    </r>
    <r>
      <rPr>
        <sz val="9"/>
        <rFont val="宋体"/>
        <charset val="134"/>
      </rPr>
      <t>mm厚水泥自流平
4、1:3水泥砂浆找平层
5、</t>
    </r>
    <r>
      <rPr>
        <sz val="9"/>
        <color rgb="FFFF0000"/>
        <rFont val="宋体"/>
        <charset val="134"/>
      </rPr>
      <t>50~60</t>
    </r>
    <r>
      <rPr>
        <sz val="9"/>
        <rFont val="宋体"/>
        <charset val="134"/>
      </rPr>
      <t>mm</t>
    </r>
    <r>
      <rPr>
        <sz val="9"/>
        <color rgb="FFFF0000"/>
        <rFont val="宋体"/>
        <charset val="134"/>
      </rPr>
      <t>砂浆</t>
    </r>
    <r>
      <rPr>
        <sz val="9"/>
        <rFont val="宋体"/>
        <charset val="134"/>
      </rPr>
      <t>回填
6、具体做法详见图纸设计
7、成活价(含美缝及与之相关的其他一切费用)</t>
    </r>
  </si>
  <si>
    <t>好太太</t>
  </si>
  <si>
    <t>1、白色乳胶漆面层两道（颜色可换）
2、封闭底漆涂料一道
3、满刮耐水腻子两遍（局部不平处粉刷石膏找平层）
4、刷涂界面剂一道
5、原有结构顶板
7、部位：室内原顶
8、其他未尽事宜:依据图纸、规范并结合实际情况，完成此项工作内容的所有工序、所有内容</t>
  </si>
  <si>
    <t>子弹头、雷士</t>
  </si>
  <si>
    <t>木门</t>
  </si>
  <si>
    <t>1、规格：实木复合免漆门、平板无造型
2、含门套线</t>
  </si>
  <si>
    <t>樘</t>
  </si>
  <si>
    <t>三</t>
  </si>
  <si>
    <t>阳台</t>
  </si>
  <si>
    <t>1、4~5公分高竹木纤维踢脚线
2、含基层/龙骨/卡件/胶等
3、其他未尽事宜:依据图纸、规范并结合实际情况，完成此项工作内容的所有工序、所有内容</t>
  </si>
  <si>
    <t>乳胶漆墙面</t>
  </si>
  <si>
    <t>1、白色乳胶漆面层两道（颜色可换）
2、封闭底漆涂料一道
3、满刮耐水腻子两遍（局部不平处粉刷石膏找平层）
4、刷涂界面剂一道
5、其他未尽事宜:依据图纸、规范并结合实际情况，完成此项工作内容的所有工序、所有内容</t>
  </si>
  <si>
    <t>防水</t>
  </si>
  <si>
    <t>1、20mm厚水泥砂浆找平层
2、1.5mmJS-II聚合物防水层刷2遍
3、部位：卫生间
4、其他：未尽事宜参见施工图说明及相关规范图集</t>
  </si>
  <si>
    <t>含上翻300mm</t>
  </si>
  <si>
    <t>东方雨虹</t>
  </si>
  <si>
    <t>四</t>
  </si>
  <si>
    <t>厨房</t>
  </si>
  <si>
    <t>瓷砖墙面</t>
  </si>
  <si>
    <t>1、墙砖400*800瓷砖(同色美缝剂美缝)
2、5-10厚水泥膏结合层或瓷砖胶(留2mm缝,美缝处理)；
3、排水管理包管处理、
4、其他未尽事宜:依据图纸、规范并结合实际情况，完成此项工作内容的所有工序、所有内容。</t>
  </si>
  <si>
    <t>集成吊顶</t>
  </si>
  <si>
    <t>1、300x300铝扣板(铝板与墙面交接处采用L型收边龙骨固定)，厚度采用0.8mm，含300*600平板灯
2、下层暗架镀锌天花龙骨(@=300mm)
3、上层暗架镀锌天花龙骨@≤1200mm 
4、φ6钢筋吊杆,中距横向≤1200纵向≤1200,吊杆上部与顶板固定件连接
5、原有结构顶板
6、其他未尽事宜:依据图纸、规范并结合实际情况，完成此项工作内容的所有工序、所有内容</t>
  </si>
  <si>
    <t>钛镁合金推拉门</t>
  </si>
  <si>
    <t>1、钛镁合金1厚材质，单层8毫米钢化玻璃，含钛镁合金、把手、五金等,不含门套线</t>
  </si>
  <si>
    <r>
      <rPr>
        <sz val="9"/>
        <rFont val="宋体"/>
        <charset val="134"/>
      </rPr>
      <t>1、结合层厚度、砂浆配合比:1:3水泥砂浆结合层，具体厚度依据图纸及实际现场情况综合考虑；
2、面层材料：</t>
    </r>
    <r>
      <rPr>
        <sz val="9"/>
        <color rgb="FFFF0000"/>
        <rFont val="宋体"/>
        <charset val="134"/>
      </rPr>
      <t>人造石</t>
    </r>
    <r>
      <rPr>
        <sz val="9"/>
        <rFont val="宋体"/>
        <charset val="134"/>
      </rPr>
      <t>，达到设计要求完成面；                                                                                                                                                                  3、勾缝材料、酸洗、打蜡要求:含嵌缝剂，六面防护，抛光，防污，防碱等一切处理 ； 
4、其他未尽事宜:依据图纸、规范并结合实际情况，完成此项工作内容的所有工序、所有内容。
5、宽度约10cm，含下挂石材，两边共超出窗户宽度5公分，具体安现场实际尺寸调整
6、其他未尽事宜:依据图纸、规范并结合实际情况，完成此项工作内容的所有工序、所有内容</t>
    </r>
  </si>
  <si>
    <t>橱柜地柜</t>
  </si>
  <si>
    <r>
      <rPr>
        <sz val="9"/>
        <rFont val="宋体"/>
        <charset val="134"/>
      </rPr>
      <t>1、18厚复合颗粒板柜体、柜门，18厚单色石英石台面；
2、含柜体、面板、五金、台面、烟机水盆的开洞等所有成活工序
3、含不锈钢手工洗菜盆、水龙头、不锈钢角阀、</t>
    </r>
    <r>
      <rPr>
        <sz val="9"/>
        <color rgb="FFFF0000"/>
        <rFont val="宋体"/>
        <charset val="134"/>
      </rPr>
      <t>下水管安装</t>
    </r>
    <r>
      <rPr>
        <sz val="9"/>
        <rFont val="宋体"/>
        <charset val="134"/>
      </rPr>
      <t>、所有配件安装
4、其他未尽事宜:依据图纸、规范并结合实际情况，完成此项工作内容的所有工序、所有内容</t>
    </r>
  </si>
  <si>
    <t>抽油烟机、燃气灶</t>
  </si>
  <si>
    <t>1、名称：抽油烟机、燃气灶
2、未详尽处满足图纸设计、相关规范要求</t>
  </si>
  <si>
    <t>套</t>
  </si>
  <si>
    <t>万和</t>
  </si>
  <si>
    <t>五</t>
  </si>
  <si>
    <t>主卧</t>
  </si>
  <si>
    <t>飘窗拆除,砸飘窗墙、板及回填</t>
  </si>
  <si>
    <t>1、砸飘窗墙、板后，回填及做砼面层至室内地坪。
2、含垃圾下楼费用，垃圾堆放至甲方指定定点，外运另外收费。</t>
  </si>
  <si>
    <t>六</t>
  </si>
  <si>
    <t>次卧</t>
  </si>
  <si>
    <t>七</t>
  </si>
  <si>
    <t>卫生间及盥洗室</t>
  </si>
  <si>
    <t>浴霸暖风照明排气一体机</t>
  </si>
  <si>
    <t>1、规格300*600、白色PC面板、塑封防水电机。
2、其他未尽事宜:依据图纸、规范并结合实际情况，完成此项工作内容的所有工序、所有内容</t>
  </si>
  <si>
    <t>玻璃隔断</t>
  </si>
  <si>
    <t>1、玻璃隔断，含拉手等五金，含推拉门等
2、其他未尽事宜:依据图纸、规范并结合实际情况，完成此项工作内容的所有工序、所有内容</t>
  </si>
  <si>
    <t>1、20mm厚水泥砂浆找平层
2、1.5mmJS-II聚合物防水层刷2遍
3、部位：卫生间
4、其他未尽事宜:依据图纸、规范并结合实际情况，完成此项工作内容的所有工序、所有内容</t>
  </si>
  <si>
    <t>浴室柜</t>
  </si>
  <si>
    <t>1、成品，含陶瓷面盆、镜子、柜体等
2、其他未尽事宜:依据图纸、规范并结合实际情况，完成此项工作内容的所有工序、所有内容</t>
  </si>
  <si>
    <t>花洒</t>
  </si>
  <si>
    <t>1、名称：淋浴花洒，三功能手持
2、含所有配件安装；
3、未详尽处满足图纸设计、相关规范要求</t>
  </si>
  <si>
    <t>香港九牧</t>
  </si>
  <si>
    <t>水龙头</t>
  </si>
  <si>
    <t>1、水龙头
2、含所有配件安装；
3、未详尽处满足图纸设计、相关规范要求</t>
  </si>
  <si>
    <t>坐便器</t>
  </si>
  <si>
    <t>1、坐便器，含角阀等
2、含所有配件安装
3、未详尽处满足图纸设计、相关规范要求</t>
  </si>
  <si>
    <t>砸墙</t>
  </si>
  <si>
    <t>1、砸墙、梁及垃圾清运</t>
  </si>
  <si>
    <t>钛镁合金推拉玻璃门</t>
  </si>
  <si>
    <t>1、钛镁合金1厚材质，4厚双层长虹玻璃，含钛镁合金、把手、五金等，不含门套线</t>
  </si>
  <si>
    <t>地漏</t>
  </si>
  <si>
    <t>1、名称:地漏
2、未详尽处满足图纸设计、相关规范要求</t>
  </si>
  <si>
    <t>潜水艇</t>
  </si>
  <si>
    <t>八</t>
  </si>
  <si>
    <t>其他</t>
  </si>
  <si>
    <t>水电改造</t>
  </si>
  <si>
    <t>1、电路、水路、弱电等全包改造
2、含材料、安装等
3、按套内实际面积（阳台按全面积），不含公摊</t>
  </si>
  <si>
    <t>开关插座</t>
  </si>
  <si>
    <t>按照50个点位计算，含开关插座、网线点位</t>
  </si>
  <si>
    <t>点位</t>
  </si>
  <si>
    <t>雷士、西门子</t>
  </si>
  <si>
    <t>包立管</t>
  </si>
  <si>
    <t>1、隔音棉处理包立管</t>
  </si>
  <si>
    <t>项</t>
  </si>
  <si>
    <t>推拉门处理</t>
  </si>
  <si>
    <t>1、现场推拉门处理，保证地砖通铺
2、可使用保护性拆除推拉门及门槛后安装，也可以剔槽等，施工方式自行考虑
3、包含垃圾清运</t>
  </si>
  <si>
    <t>处</t>
  </si>
  <si>
    <t>保洁</t>
  </si>
  <si>
    <t>1、保洁
2、含垃圾清运</t>
  </si>
  <si>
    <t>九</t>
  </si>
  <si>
    <t>总计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</si>
  <si>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</si>
  <si>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成品保护、疫情增加费、管理费、利润、税金（增值税专用发票)、调试、验收、质保期服务、风险、图纸深化费等一切与之相关的所需全部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</si>
</sst>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1"/>
      <color theme="1"/>
      <name val="宋体"/>
      <charset val="134"/>
      <scheme val="minor"/>
    </font>
    <font>
      <sz val="12"/>
      <name val="宋体"/>
      <charset val="134"/>
    </font>
    <font>
      <b/>
      <sz val="11"/>
      <color theme="1"/>
      <name val="宋体"/>
      <charset val="134"/>
      <scheme val="minor"/>
    </font>
    <font>
      <sz val="10"/>
      <name val="Arial"/>
      <charset val="1"/>
    </font>
    <font>
      <sz val="11"/>
      <name val="宋体"/>
      <charset val="134"/>
    </font>
    <font>
      <sz val="9"/>
      <name val="宋体"/>
      <charset val="134"/>
    </font>
    <font>
      <b/>
      <sz val="18"/>
      <name val="宋体"/>
      <charset val="134"/>
    </font>
    <font>
      <b/>
      <sz val="10"/>
      <name val="宋体"/>
      <charset val="134"/>
    </font>
    <font>
      <sz val="9"/>
      <color theme="1"/>
      <name val="宋体"/>
      <charset val="134"/>
      <scheme val="minor"/>
    </font>
    <font>
      <b/>
      <sz val="9"/>
      <name val="宋体"/>
      <charset val="134"/>
    </font>
    <font>
      <u/>
      <sz val="9"/>
      <name val="宋体"/>
      <charset val="134"/>
    </font>
    <font>
      <sz val="9"/>
      <color theme="1"/>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
      <name val="Arial"/>
      <charset val="134"/>
    </font>
    <font>
      <sz val="12"/>
      <name val="Times New Roman"/>
      <charset val="134"/>
    </font>
    <font>
      <sz val="9"/>
      <color rgb="FFFF0000"/>
      <name val="宋体"/>
      <charset val="134"/>
    </font>
  </fonts>
  <fills count="34">
    <fill>
      <patternFill patternType="none"/>
    </fill>
    <fill>
      <patternFill patternType="gray125"/>
    </fill>
    <fill>
      <patternFill patternType="solid">
        <fgColor rgb="FFE0DF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Protection="0">
      <alignment vertical="center"/>
    </xf>
    <xf numFmtId="0" fontId="1" fillId="0" borderId="0">
      <alignment vertical="center"/>
    </xf>
    <xf numFmtId="0" fontId="1" fillId="0" borderId="0">
      <alignment vertical="center"/>
    </xf>
    <xf numFmtId="176" fontId="32" fillId="0" borderId="1">
      <alignment horizontal="right" vertical="center" wrapText="1"/>
    </xf>
    <xf numFmtId="176" fontId="32" fillId="0" borderId="1">
      <alignment horizontal="right" vertical="center" wrapText="1"/>
    </xf>
    <xf numFmtId="0" fontId="33" fillId="0" borderId="0">
      <alignment vertical="center"/>
    </xf>
    <xf numFmtId="0" fontId="1" fillId="0" borderId="0"/>
    <xf numFmtId="0" fontId="0"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34" fillId="0" borderId="0"/>
    <xf numFmtId="0" fontId="1" fillId="0" borderId="0">
      <alignment vertical="center"/>
    </xf>
    <xf numFmtId="0" fontId="1" fillId="0" borderId="0">
      <alignment vertical="center"/>
    </xf>
    <xf numFmtId="0" fontId="35" fillId="0" borderId="0"/>
    <xf numFmtId="0" fontId="1" fillId="0" borderId="0">
      <alignment vertical="center"/>
    </xf>
  </cellStyleXfs>
  <cellXfs count="47">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xf numFmtId="0" fontId="4" fillId="0" borderId="0" xfId="0" applyFont="1" applyFill="1" applyAlignment="1">
      <alignment horizontal="center" vertical="center"/>
    </xf>
    <xf numFmtId="0" fontId="4" fillId="0" borderId="0" xfId="0" applyFont="1" applyFill="1" applyAlignment="1">
      <alignment vertical="center"/>
    </xf>
    <xf numFmtId="176" fontId="4" fillId="0" borderId="0" xfId="0" applyNumberFormat="1" applyFont="1" applyFill="1" applyAlignment="1">
      <alignment horizontal="center" vertical="center"/>
    </xf>
    <xf numFmtId="176" fontId="5" fillId="0" borderId="0" xfId="0" applyNumberFormat="1" applyFont="1" applyFill="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xf>
    <xf numFmtId="176" fontId="5" fillId="0" borderId="4"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176" fontId="0" fillId="0" borderId="0" xfId="0" applyNumberFormat="1" applyFont="1" applyFill="1" applyAlignment="1">
      <alignment vertical="center"/>
    </xf>
    <xf numFmtId="0" fontId="11" fillId="0" borderId="1" xfId="0" applyFont="1" applyBorder="1" applyAlignment="1">
      <alignment horizontal="center" vertical="center" wrapText="1"/>
    </xf>
    <xf numFmtId="177" fontId="12" fillId="0" borderId="1" xfId="7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5" xfId="0" applyNumberFormat="1" applyFont="1" applyFill="1" applyBorder="1" applyAlignment="1" applyProtection="1">
      <alignment horizontal="center" vertical="center" wrapText="1"/>
    </xf>
    <xf numFmtId="0" fontId="7" fillId="2" borderId="6"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7" fillId="2" borderId="7" xfId="0" applyNumberFormat="1" applyFont="1" applyFill="1" applyBorder="1" applyAlignment="1" applyProtection="1">
      <alignment horizontal="center" vertical="center" wrapText="1"/>
    </xf>
    <xf numFmtId="176" fontId="7"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176" fontId="3" fillId="0" borderId="0" xfId="0" applyNumberFormat="1" applyFont="1" applyFill="1" applyAlignment="1"/>
    <xf numFmtId="176" fontId="4" fillId="0" borderId="0" xfId="0" applyNumberFormat="1" applyFont="1" applyFill="1" applyAlignment="1">
      <alignmen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表体数字 3 2 6 5 3 2" xfId="52"/>
    <cellStyle name="表体数字 3 2 6 6" xfId="53"/>
    <cellStyle name="常规 10" xfId="54"/>
    <cellStyle name="常规 11" xfId="55"/>
    <cellStyle name="常规 144 4" xfId="56"/>
    <cellStyle name="常规 2" xfId="57"/>
    <cellStyle name="常规 3" xfId="58"/>
    <cellStyle name="常规 3 2" xfId="59"/>
    <cellStyle name="常规 3 2 2" xfId="60"/>
    <cellStyle name="常规 3 3" xfId="61"/>
    <cellStyle name="常规 4" xfId="62"/>
    <cellStyle name="常规 5" xfId="63"/>
    <cellStyle name="常规 5 2" xfId="64"/>
    <cellStyle name="常规 53" xfId="65"/>
    <cellStyle name="常规 53 2" xfId="66"/>
    <cellStyle name="常规 6" xfId="67"/>
    <cellStyle name="常规 7" xfId="68"/>
    <cellStyle name="常规 7 2" xfId="69"/>
    <cellStyle name="常规_金域蓝湾二期B6交楼标准测算500标准（090401唐文调整版）" xfId="70"/>
    <cellStyle name="常规_金色B8西户型装修费用080616" xfId="71"/>
  </cellStyles>
  <tableStyles count="0" defaultTableStyle="TableStyleMedium9"/>
  <colors>
    <mruColors>
      <color rgb="00B5B387"/>
      <color rgb="00E0DFD9"/>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183515</xdr:colOff>
      <xdr:row>74</xdr:row>
      <xdr:rowOff>43180</xdr:rowOff>
    </xdr:from>
    <xdr:to>
      <xdr:col>13</xdr:col>
      <xdr:colOff>488950</xdr:colOff>
      <xdr:row>74</xdr:row>
      <xdr:rowOff>336550</xdr:rowOff>
    </xdr:to>
    <xdr:pic>
      <xdr:nvPicPr>
        <xdr:cNvPr id="3" name="图片 2"/>
        <xdr:cNvPicPr>
          <a:picLocks noChangeAspect="1"/>
        </xdr:cNvPicPr>
      </xdr:nvPicPr>
      <xdr:blipFill>
        <a:blip r:embed="rId1"/>
        <a:stretch>
          <a:fillRect/>
        </a:stretch>
      </xdr:blipFill>
      <xdr:spPr>
        <a:xfrm>
          <a:off x="9952355" y="63095505"/>
          <a:ext cx="305435" cy="293370"/>
        </a:xfrm>
        <a:prstGeom prst="rect">
          <a:avLst/>
        </a:prstGeom>
        <a:noFill/>
        <a:ln w="9525">
          <a:noFill/>
        </a:ln>
      </xdr:spPr>
    </xdr:pic>
    <xdr:clientData/>
  </xdr:twoCellAnchor>
  <xdr:twoCellAnchor editAs="oneCell">
    <xdr:from>
      <xdr:col>17</xdr:col>
      <xdr:colOff>27940</xdr:colOff>
      <xdr:row>6</xdr:row>
      <xdr:rowOff>593725</xdr:rowOff>
    </xdr:from>
    <xdr:to>
      <xdr:col>22</xdr:col>
      <xdr:colOff>118745</xdr:colOff>
      <xdr:row>9</xdr:row>
      <xdr:rowOff>328295</xdr:rowOff>
    </xdr:to>
    <xdr:pic>
      <xdr:nvPicPr>
        <xdr:cNvPr id="2" name="图片 1"/>
        <xdr:cNvPicPr>
          <a:picLocks noChangeAspect="1"/>
        </xdr:cNvPicPr>
      </xdr:nvPicPr>
      <xdr:blipFill>
        <a:blip r:embed="rId2"/>
        <a:stretch>
          <a:fillRect/>
        </a:stretch>
      </xdr:blipFill>
      <xdr:spPr>
        <a:xfrm>
          <a:off x="12764135" y="3260725"/>
          <a:ext cx="3519805" cy="3020695"/>
        </a:xfrm>
        <a:prstGeom prst="rect">
          <a:avLst/>
        </a:prstGeom>
        <a:noFill/>
        <a:ln w="9525">
          <a:noFill/>
        </a:ln>
      </xdr:spPr>
    </xdr:pic>
    <xdr:clientData/>
  </xdr:twoCellAnchor>
  <xdr:twoCellAnchor editAs="oneCell">
    <xdr:from>
      <xdr:col>13</xdr:col>
      <xdr:colOff>201295</xdr:colOff>
      <xdr:row>13</xdr:row>
      <xdr:rowOff>22860</xdr:rowOff>
    </xdr:from>
    <xdr:to>
      <xdr:col>13</xdr:col>
      <xdr:colOff>441325</xdr:colOff>
      <xdr:row>13</xdr:row>
      <xdr:rowOff>340995</xdr:rowOff>
    </xdr:to>
    <xdr:pic>
      <xdr:nvPicPr>
        <xdr:cNvPr id="4" name="图片 3"/>
        <xdr:cNvPicPr>
          <a:picLocks noChangeAspect="1"/>
        </xdr:cNvPicPr>
      </xdr:nvPicPr>
      <xdr:blipFill>
        <a:blip r:embed="rId3"/>
        <a:stretch>
          <a:fillRect/>
        </a:stretch>
      </xdr:blipFill>
      <xdr:spPr>
        <a:xfrm>
          <a:off x="9970135" y="11119485"/>
          <a:ext cx="240030" cy="318135"/>
        </a:xfrm>
        <a:prstGeom prst="rect">
          <a:avLst/>
        </a:prstGeom>
        <a:noFill/>
        <a:ln w="9525">
          <a:noFill/>
        </a:ln>
      </xdr:spPr>
    </xdr:pic>
    <xdr:clientData/>
  </xdr:twoCellAnchor>
  <xdr:twoCellAnchor editAs="oneCell">
    <xdr:from>
      <xdr:col>13</xdr:col>
      <xdr:colOff>231140</xdr:colOff>
      <xdr:row>23</xdr:row>
      <xdr:rowOff>95250</xdr:rowOff>
    </xdr:from>
    <xdr:to>
      <xdr:col>13</xdr:col>
      <xdr:colOff>471170</xdr:colOff>
      <xdr:row>23</xdr:row>
      <xdr:rowOff>413385</xdr:rowOff>
    </xdr:to>
    <xdr:pic>
      <xdr:nvPicPr>
        <xdr:cNvPr id="5" name="图片 4"/>
        <xdr:cNvPicPr>
          <a:picLocks noChangeAspect="1"/>
        </xdr:cNvPicPr>
      </xdr:nvPicPr>
      <xdr:blipFill>
        <a:blip r:embed="rId3"/>
        <a:stretch>
          <a:fillRect/>
        </a:stretch>
      </xdr:blipFill>
      <xdr:spPr>
        <a:xfrm>
          <a:off x="9999980" y="18935700"/>
          <a:ext cx="240030" cy="318135"/>
        </a:xfrm>
        <a:prstGeom prst="rect">
          <a:avLst/>
        </a:prstGeom>
        <a:noFill/>
        <a:ln w="9525">
          <a:noFill/>
        </a:ln>
      </xdr:spPr>
    </xdr:pic>
    <xdr:clientData/>
  </xdr:twoCellAnchor>
  <xdr:twoCellAnchor editAs="oneCell">
    <xdr:from>
      <xdr:col>13</xdr:col>
      <xdr:colOff>191135</xdr:colOff>
      <xdr:row>30</xdr:row>
      <xdr:rowOff>47625</xdr:rowOff>
    </xdr:from>
    <xdr:to>
      <xdr:col>13</xdr:col>
      <xdr:colOff>431165</xdr:colOff>
      <xdr:row>30</xdr:row>
      <xdr:rowOff>365760</xdr:rowOff>
    </xdr:to>
    <xdr:pic>
      <xdr:nvPicPr>
        <xdr:cNvPr id="6" name="图片 5"/>
        <xdr:cNvPicPr>
          <a:picLocks noChangeAspect="1"/>
        </xdr:cNvPicPr>
      </xdr:nvPicPr>
      <xdr:blipFill>
        <a:blip r:embed="rId3"/>
        <a:stretch>
          <a:fillRect/>
        </a:stretch>
      </xdr:blipFill>
      <xdr:spPr>
        <a:xfrm>
          <a:off x="9959975" y="24203025"/>
          <a:ext cx="240030" cy="318135"/>
        </a:xfrm>
        <a:prstGeom prst="rect">
          <a:avLst/>
        </a:prstGeom>
        <a:noFill/>
        <a:ln w="9525">
          <a:noFill/>
        </a:ln>
      </xdr:spPr>
    </xdr:pic>
    <xdr:clientData/>
  </xdr:twoCellAnchor>
  <xdr:twoCellAnchor editAs="oneCell">
    <xdr:from>
      <xdr:col>13</xdr:col>
      <xdr:colOff>159385</xdr:colOff>
      <xdr:row>48</xdr:row>
      <xdr:rowOff>55245</xdr:rowOff>
    </xdr:from>
    <xdr:to>
      <xdr:col>13</xdr:col>
      <xdr:colOff>399415</xdr:colOff>
      <xdr:row>48</xdr:row>
      <xdr:rowOff>373380</xdr:rowOff>
    </xdr:to>
    <xdr:pic>
      <xdr:nvPicPr>
        <xdr:cNvPr id="7" name="图片 6"/>
        <xdr:cNvPicPr>
          <a:picLocks noChangeAspect="1"/>
        </xdr:cNvPicPr>
      </xdr:nvPicPr>
      <xdr:blipFill>
        <a:blip r:embed="rId3"/>
        <a:stretch>
          <a:fillRect/>
        </a:stretch>
      </xdr:blipFill>
      <xdr:spPr>
        <a:xfrm>
          <a:off x="9928225" y="40314245"/>
          <a:ext cx="240030" cy="318135"/>
        </a:xfrm>
        <a:prstGeom prst="rect">
          <a:avLst/>
        </a:prstGeom>
        <a:noFill/>
        <a:ln w="9525">
          <a:noFill/>
        </a:ln>
      </xdr:spPr>
    </xdr:pic>
    <xdr:clientData/>
  </xdr:twoCellAnchor>
  <xdr:twoCellAnchor editAs="oneCell">
    <xdr:from>
      <xdr:col>13</xdr:col>
      <xdr:colOff>135255</xdr:colOff>
      <xdr:row>58</xdr:row>
      <xdr:rowOff>31750</xdr:rowOff>
    </xdr:from>
    <xdr:to>
      <xdr:col>13</xdr:col>
      <xdr:colOff>375285</xdr:colOff>
      <xdr:row>58</xdr:row>
      <xdr:rowOff>349885</xdr:rowOff>
    </xdr:to>
    <xdr:pic>
      <xdr:nvPicPr>
        <xdr:cNvPr id="8" name="图片 7"/>
        <xdr:cNvPicPr>
          <a:picLocks noChangeAspect="1"/>
        </xdr:cNvPicPr>
      </xdr:nvPicPr>
      <xdr:blipFill>
        <a:blip r:embed="rId3"/>
        <a:stretch>
          <a:fillRect/>
        </a:stretch>
      </xdr:blipFill>
      <xdr:spPr>
        <a:xfrm>
          <a:off x="9904095" y="49606200"/>
          <a:ext cx="240030" cy="318135"/>
        </a:xfrm>
        <a:prstGeom prst="rect">
          <a:avLst/>
        </a:prstGeom>
        <a:noFill/>
        <a:ln w="9525">
          <a:noFill/>
        </a:ln>
      </xdr:spPr>
    </xdr:pic>
    <xdr:clientData/>
  </xdr:twoCellAnchor>
  <xdr:twoCellAnchor editAs="oneCell">
    <xdr:from>
      <xdr:col>6</xdr:col>
      <xdr:colOff>361315</xdr:colOff>
      <xdr:row>44</xdr:row>
      <xdr:rowOff>0</xdr:rowOff>
    </xdr:from>
    <xdr:to>
      <xdr:col>10</xdr:col>
      <xdr:colOff>88265</xdr:colOff>
      <xdr:row>46</xdr:row>
      <xdr:rowOff>953770</xdr:rowOff>
    </xdr:to>
    <xdr:pic>
      <xdr:nvPicPr>
        <xdr:cNvPr id="9" name="图片 8" descr="章"/>
        <xdr:cNvPicPr>
          <a:picLocks noChangeAspect="1"/>
        </xdr:cNvPicPr>
      </xdr:nvPicPr>
      <xdr:blipFill>
        <a:blip r:embed="rId4"/>
        <a:stretch>
          <a:fillRect/>
        </a:stretch>
      </xdr:blipFill>
      <xdr:spPr>
        <a:xfrm>
          <a:off x="5448935" y="36830000"/>
          <a:ext cx="1971675" cy="19538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28009;&#24503;\&#21608;&#38745;&#24609;2023.3.16\2024\2&#12289;&#33829;&#38144;&#31867;\1&#12289;&#27931;&#23425;&#39033;&#30446;\&#20080;&#25151;&#36865;&#35013;&#20462;\&#21508;&#23478;&#25253;&#20215;-&#27931;&#23425;&#21333;&#20301;\&#21442;&#32771;&#39033;&#30446;\&#23665;&#27700;&#25991;&#33489;S1&#22320;&#22359;20&#21495;&#27004;&#19996;&#21333;&#20803;&#31934;&#35013;&#26679;&#26495;&#38388;&#28165;&#21333;&#65288;&#19987;&#26230;&#65289;(1370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户内精装修"/>
      <sheetName val="安装清单"/>
      <sheetName val="计算底稿"/>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Q86"/>
  <sheetViews>
    <sheetView tabSelected="1" zoomScale="120" zoomScaleNormal="120" workbookViewId="0">
      <pane ySplit="4" topLeftCell="A83" activePane="bottomLeft" state="frozen"/>
      <selection/>
      <selection pane="bottomLeft" activeCell="K87" sqref="K87"/>
    </sheetView>
  </sheetViews>
  <sheetFormatPr defaultColWidth="9" defaultRowHeight="13.5"/>
  <cols>
    <col min="1" max="1" width="7.10833333333333" style="5" customWidth="1"/>
    <col min="2" max="2" width="11.5" style="6" customWidth="1"/>
    <col min="3" max="3" width="28.65" style="6" customWidth="1"/>
    <col min="4" max="4" width="5.2" style="5" customWidth="1"/>
    <col min="5" max="5" width="7.33333333333333" style="7" customWidth="1"/>
    <col min="6" max="6" width="6.975" style="7" customWidth="1"/>
    <col min="7" max="7" width="7.70833333333333" style="7" customWidth="1"/>
    <col min="8" max="8" width="7.5" style="7" customWidth="1"/>
    <col min="9" max="9" width="6.5" style="7" customWidth="1"/>
    <col min="10" max="10" width="7.75" style="7" customWidth="1"/>
    <col min="11" max="11" width="11.7666666666667" style="7" customWidth="1"/>
    <col min="12" max="12" width="10.725" style="7" customWidth="1"/>
    <col min="13" max="14" width="9.48333333333333" style="7" customWidth="1"/>
    <col min="15" max="15" width="9.16666666666667" style="8" customWidth="1"/>
    <col min="16" max="16" width="7.66666666666667" style="6" customWidth="1"/>
    <col min="17" max="17" width="12.625" style="6"/>
    <col min="18" max="16384" width="9" style="6"/>
  </cols>
  <sheetData>
    <row r="1" ht="22.5" spans="1:15">
      <c r="A1" s="9" t="s">
        <v>0</v>
      </c>
      <c r="B1" s="10"/>
      <c r="C1" s="9"/>
      <c r="D1" s="9"/>
      <c r="E1" s="11"/>
      <c r="F1" s="11"/>
      <c r="G1" s="11"/>
      <c r="H1" s="11"/>
      <c r="I1" s="11"/>
      <c r="J1" s="11"/>
      <c r="K1" s="11"/>
      <c r="L1" s="11"/>
      <c r="M1" s="11"/>
      <c r="N1" s="11"/>
      <c r="O1" s="27"/>
    </row>
    <row r="2" s="1" customFormat="1" ht="14.25" spans="1:15">
      <c r="A2" s="12" t="s">
        <v>1</v>
      </c>
      <c r="B2" s="12" t="s">
        <v>2</v>
      </c>
      <c r="C2" s="12" t="s">
        <v>3</v>
      </c>
      <c r="D2" s="12" t="s">
        <v>4</v>
      </c>
      <c r="E2" s="13" t="s">
        <v>5</v>
      </c>
      <c r="F2" s="14" t="s">
        <v>6</v>
      </c>
      <c r="G2" s="14"/>
      <c r="H2" s="14"/>
      <c r="I2" s="14"/>
      <c r="J2" s="14"/>
      <c r="K2" s="15" t="s">
        <v>7</v>
      </c>
      <c r="L2" s="15" t="s">
        <v>8</v>
      </c>
      <c r="M2" s="14" t="s">
        <v>9</v>
      </c>
      <c r="N2" s="15" t="s">
        <v>10</v>
      </c>
      <c r="O2" s="14" t="s">
        <v>11</v>
      </c>
    </row>
    <row r="3" s="1" customFormat="1" ht="45" spans="1:15">
      <c r="A3" s="12"/>
      <c r="B3" s="12"/>
      <c r="C3" s="12"/>
      <c r="D3" s="12"/>
      <c r="E3" s="13"/>
      <c r="F3" s="14" t="s">
        <v>12</v>
      </c>
      <c r="G3" s="14" t="s">
        <v>13</v>
      </c>
      <c r="H3" s="15" t="s">
        <v>14</v>
      </c>
      <c r="I3" s="15" t="s">
        <v>15</v>
      </c>
      <c r="J3" s="14" t="s">
        <v>16</v>
      </c>
      <c r="K3" s="28"/>
      <c r="L3" s="28"/>
      <c r="M3" s="14"/>
      <c r="N3" s="28"/>
      <c r="O3" s="14"/>
    </row>
    <row r="4" s="1" customFormat="1" ht="14.25" spans="1:15">
      <c r="A4" s="12"/>
      <c r="B4" s="12"/>
      <c r="C4" s="12"/>
      <c r="D4" s="12"/>
      <c r="E4" s="13"/>
      <c r="F4" s="14"/>
      <c r="G4" s="14"/>
      <c r="H4" s="16"/>
      <c r="I4" s="16"/>
      <c r="J4" s="29">
        <v>0.05</v>
      </c>
      <c r="K4" s="29">
        <v>0.03</v>
      </c>
      <c r="L4" s="16"/>
      <c r="M4" s="14"/>
      <c r="N4" s="16"/>
      <c r="O4" s="14"/>
    </row>
    <row r="5" s="2" customFormat="1" ht="24" spans="1:15">
      <c r="A5" s="17" t="s">
        <v>17</v>
      </c>
      <c r="B5" s="17" t="s">
        <v>18</v>
      </c>
      <c r="C5" s="18"/>
      <c r="D5" s="12"/>
      <c r="E5" s="13"/>
      <c r="F5" s="14"/>
      <c r="G5" s="14"/>
      <c r="H5" s="14"/>
      <c r="I5" s="14"/>
      <c r="J5" s="14"/>
      <c r="K5" s="14"/>
      <c r="L5" s="14"/>
      <c r="M5" s="14"/>
      <c r="N5" s="14"/>
      <c r="O5" s="14"/>
    </row>
    <row r="6" s="2" customFormat="1" ht="90" outlineLevel="1" spans="1:15">
      <c r="A6" s="12">
        <v>1</v>
      </c>
      <c r="B6" s="12" t="s">
        <v>19</v>
      </c>
      <c r="C6" s="18" t="s">
        <v>20</v>
      </c>
      <c r="D6" s="12" t="s">
        <v>21</v>
      </c>
      <c r="E6" s="13">
        <v>37.86</v>
      </c>
      <c r="F6" s="14">
        <v>30</v>
      </c>
      <c r="G6" s="14">
        <v>45</v>
      </c>
      <c r="H6" s="14">
        <f>G6*2%</f>
        <v>0.9</v>
      </c>
      <c r="I6" s="14">
        <v>10</v>
      </c>
      <c r="J6" s="14">
        <f>(F6+G6+H6+I6)*$J$4</f>
        <v>4.295</v>
      </c>
      <c r="K6" s="14">
        <f>(F6+G6+H6+I6+J6)*$K$4</f>
        <v>2.70585</v>
      </c>
      <c r="L6" s="14">
        <f>F6+G6+H6+I6+J6+K6</f>
        <v>92.90085</v>
      </c>
      <c r="M6" s="14">
        <f>L6*E6</f>
        <v>3517.226181</v>
      </c>
      <c r="N6" s="14"/>
      <c r="O6" s="14" t="s">
        <v>22</v>
      </c>
    </row>
    <row r="7" s="2" customFormat="1" ht="56.25" outlineLevel="1" spans="1:15">
      <c r="A7" s="12">
        <v>2</v>
      </c>
      <c r="B7" s="19" t="s">
        <v>23</v>
      </c>
      <c r="C7" s="18" t="s">
        <v>24</v>
      </c>
      <c r="D7" s="12" t="s">
        <v>25</v>
      </c>
      <c r="E7" s="13">
        <f>33-1.6-1.25-0.9-2.4-1.4*2-0.9-0.9-0.9</f>
        <v>21.35</v>
      </c>
      <c r="F7" s="14">
        <v>5</v>
      </c>
      <c r="G7" s="14">
        <v>8</v>
      </c>
      <c r="H7" s="14">
        <f>G7*2%</f>
        <v>0.16</v>
      </c>
      <c r="I7" s="14">
        <v>0.2</v>
      </c>
      <c r="J7" s="14">
        <f t="shared" ref="J7:J38" si="0">(F7+G7+H7+I7)*$J$4</f>
        <v>0.668</v>
      </c>
      <c r="K7" s="14">
        <f t="shared" ref="K7:K38" si="1">(F7+G7+H7+I7+J7)*$K$4</f>
        <v>0.42084</v>
      </c>
      <c r="L7" s="14">
        <f t="shared" ref="L7:L38" si="2">F7+G7+H7+I7+J7+K7</f>
        <v>14.44884</v>
      </c>
      <c r="M7" s="14">
        <f t="shared" ref="M7:M38" si="3">L7*E7</f>
        <v>308.482734</v>
      </c>
      <c r="N7" s="14"/>
      <c r="O7" s="14"/>
    </row>
    <row r="8" s="2" customFormat="1" ht="101.25" outlineLevel="1" spans="1:15">
      <c r="A8" s="12">
        <v>3</v>
      </c>
      <c r="B8" s="19" t="s">
        <v>26</v>
      </c>
      <c r="C8" s="18" t="s">
        <v>27</v>
      </c>
      <c r="D8" s="12" t="s">
        <v>21</v>
      </c>
      <c r="E8" s="13">
        <v>0.73</v>
      </c>
      <c r="F8" s="14">
        <v>45</v>
      </c>
      <c r="G8" s="14">
        <v>40</v>
      </c>
      <c r="H8" s="14">
        <f>G8*10%</f>
        <v>4</v>
      </c>
      <c r="I8" s="14">
        <v>0.5</v>
      </c>
      <c r="J8" s="14">
        <f t="shared" si="0"/>
        <v>4.475</v>
      </c>
      <c r="K8" s="14">
        <f t="shared" si="1"/>
        <v>2.81925</v>
      </c>
      <c r="L8" s="14">
        <f t="shared" si="2"/>
        <v>96.79425</v>
      </c>
      <c r="M8" s="14">
        <f t="shared" si="3"/>
        <v>70.6598025</v>
      </c>
      <c r="N8" s="14"/>
      <c r="O8" s="14" t="s">
        <v>28</v>
      </c>
    </row>
    <row r="9" ht="101.25" outlineLevel="1" spans="1:16">
      <c r="A9" s="12">
        <v>4</v>
      </c>
      <c r="B9" s="19" t="s">
        <v>29</v>
      </c>
      <c r="C9" s="18" t="s">
        <v>27</v>
      </c>
      <c r="D9" s="12" t="s">
        <v>21</v>
      </c>
      <c r="E9" s="13">
        <f>9.95</f>
        <v>9.95</v>
      </c>
      <c r="F9" s="14">
        <f>F8</f>
        <v>45</v>
      </c>
      <c r="G9" s="14">
        <f>G8</f>
        <v>40</v>
      </c>
      <c r="H9" s="14">
        <f>H8</f>
        <v>4</v>
      </c>
      <c r="I9" s="14">
        <f>I8</f>
        <v>0.5</v>
      </c>
      <c r="J9" s="14">
        <f t="shared" si="0"/>
        <v>4.475</v>
      </c>
      <c r="K9" s="14">
        <f t="shared" si="1"/>
        <v>2.81925</v>
      </c>
      <c r="L9" s="14">
        <f t="shared" si="2"/>
        <v>96.79425</v>
      </c>
      <c r="M9" s="14">
        <f t="shared" si="3"/>
        <v>963.1027875</v>
      </c>
      <c r="N9" s="14"/>
      <c r="O9" s="14" t="s">
        <v>28</v>
      </c>
      <c r="P9" s="30"/>
    </row>
    <row r="10" customFormat="1" ht="33.75" outlineLevel="1" spans="1:16">
      <c r="A10" s="12">
        <v>5</v>
      </c>
      <c r="B10" s="19" t="s">
        <v>30</v>
      </c>
      <c r="C10" s="18" t="s">
        <v>31</v>
      </c>
      <c r="D10" s="12" t="s">
        <v>25</v>
      </c>
      <c r="E10" s="13">
        <f>6.84+13</f>
        <v>19.84</v>
      </c>
      <c r="F10" s="14">
        <v>15</v>
      </c>
      <c r="G10" s="14">
        <v>8</v>
      </c>
      <c r="H10" s="14">
        <v>0.2</v>
      </c>
      <c r="I10" s="14">
        <v>0.3</v>
      </c>
      <c r="J10" s="14">
        <f t="shared" si="0"/>
        <v>1.175</v>
      </c>
      <c r="K10" s="14">
        <f t="shared" si="1"/>
        <v>0.74025</v>
      </c>
      <c r="L10" s="14">
        <f t="shared" si="2"/>
        <v>25.41525</v>
      </c>
      <c r="M10" s="14">
        <f t="shared" si="3"/>
        <v>504.23856</v>
      </c>
      <c r="N10" s="14"/>
      <c r="O10" s="31" t="s">
        <v>32</v>
      </c>
      <c r="P10" s="30"/>
    </row>
    <row r="11" s="2" customFormat="1" ht="112.5" outlineLevel="1" spans="1:15">
      <c r="A11" s="12">
        <v>6</v>
      </c>
      <c r="B11" s="19" t="s">
        <v>33</v>
      </c>
      <c r="C11" s="18" t="s">
        <v>34</v>
      </c>
      <c r="D11" s="12" t="s">
        <v>21</v>
      </c>
      <c r="E11" s="13">
        <f>10.72+16.32</f>
        <v>27.04</v>
      </c>
      <c r="F11" s="13">
        <v>15</v>
      </c>
      <c r="G11" s="13">
        <v>8</v>
      </c>
      <c r="H11" s="14">
        <f>G11*10%</f>
        <v>0.8</v>
      </c>
      <c r="I11" s="14">
        <v>0.3</v>
      </c>
      <c r="J11" s="14">
        <f t="shared" si="0"/>
        <v>1.205</v>
      </c>
      <c r="K11" s="14">
        <f t="shared" si="1"/>
        <v>0.75915</v>
      </c>
      <c r="L11" s="14">
        <f t="shared" si="2"/>
        <v>26.06415</v>
      </c>
      <c r="M11" s="14">
        <f t="shared" si="3"/>
        <v>704.774616</v>
      </c>
      <c r="N11" s="14"/>
      <c r="O11" s="31" t="s">
        <v>35</v>
      </c>
    </row>
    <row r="12" s="2" customFormat="1" ht="78.75" outlineLevel="1" spans="1:15">
      <c r="A12" s="12">
        <v>7</v>
      </c>
      <c r="B12" s="19" t="s">
        <v>36</v>
      </c>
      <c r="C12" s="18" t="s">
        <v>37</v>
      </c>
      <c r="D12" s="12" t="s">
        <v>21</v>
      </c>
      <c r="E12" s="13">
        <f>33*2.8-1.6*1.4-1.6*2.3-1.3*2.3-0.9*2.3-2.4*2.3-0.9*2.3-0.9*2.8-0.9*2.3</f>
        <v>69.24</v>
      </c>
      <c r="F12" s="13">
        <v>8</v>
      </c>
      <c r="G12" s="13">
        <v>25</v>
      </c>
      <c r="H12" s="14">
        <f>G12*1%</f>
        <v>0.25</v>
      </c>
      <c r="I12" s="14">
        <v>0.1</v>
      </c>
      <c r="J12" s="14">
        <f t="shared" si="0"/>
        <v>1.6675</v>
      </c>
      <c r="K12" s="14">
        <f t="shared" si="1"/>
        <v>1.050525</v>
      </c>
      <c r="L12" s="14">
        <f t="shared" si="2"/>
        <v>36.068025</v>
      </c>
      <c r="M12" s="14">
        <f t="shared" si="3"/>
        <v>2497.350051</v>
      </c>
      <c r="N12" s="14" t="s">
        <v>38</v>
      </c>
      <c r="O12" s="31" t="s">
        <v>39</v>
      </c>
    </row>
    <row r="13" s="2" customFormat="1" ht="180" outlineLevel="1" spans="1:15">
      <c r="A13" s="12">
        <v>8</v>
      </c>
      <c r="B13" s="19" t="s">
        <v>40</v>
      </c>
      <c r="C13" s="18" t="s">
        <v>41</v>
      </c>
      <c r="D13" s="12" t="s">
        <v>25</v>
      </c>
      <c r="E13" s="13">
        <f>1.6+0.05</f>
        <v>1.65</v>
      </c>
      <c r="F13" s="13">
        <v>10</v>
      </c>
      <c r="G13" s="13">
        <v>93</v>
      </c>
      <c r="H13" s="14">
        <f>G13*0.5%</f>
        <v>0.465</v>
      </c>
      <c r="I13" s="14">
        <v>0.5</v>
      </c>
      <c r="J13" s="14">
        <f t="shared" si="0"/>
        <v>5.19825</v>
      </c>
      <c r="K13" s="14">
        <f t="shared" si="1"/>
        <v>3.2748975</v>
      </c>
      <c r="L13" s="14">
        <f t="shared" si="2"/>
        <v>112.4381475</v>
      </c>
      <c r="M13" s="14">
        <f t="shared" si="3"/>
        <v>185.522943375</v>
      </c>
      <c r="N13" s="14"/>
      <c r="O13" s="31"/>
    </row>
    <row r="14" s="2" customFormat="1" ht="33.75" outlineLevel="1" spans="1:15">
      <c r="A14" s="12">
        <v>9</v>
      </c>
      <c r="B14" s="12" t="s">
        <v>42</v>
      </c>
      <c r="C14" s="20" t="s">
        <v>43</v>
      </c>
      <c r="D14" s="12" t="s">
        <v>44</v>
      </c>
      <c r="E14" s="13">
        <v>3</v>
      </c>
      <c r="F14" s="14">
        <v>0</v>
      </c>
      <c r="G14" s="14">
        <v>70</v>
      </c>
      <c r="H14" s="14">
        <v>0</v>
      </c>
      <c r="I14" s="14">
        <v>0</v>
      </c>
      <c r="J14" s="14">
        <f t="shared" si="0"/>
        <v>3.5</v>
      </c>
      <c r="K14" s="14">
        <f t="shared" si="1"/>
        <v>2.205</v>
      </c>
      <c r="L14" s="14">
        <f t="shared" si="2"/>
        <v>75.705</v>
      </c>
      <c r="M14" s="14">
        <f t="shared" si="3"/>
        <v>227.115</v>
      </c>
      <c r="N14" s="14"/>
      <c r="O14" s="31" t="s">
        <v>45</v>
      </c>
    </row>
    <row r="15" s="2" customFormat="1" ht="45" outlineLevel="1" spans="1:15">
      <c r="A15" s="12">
        <v>10</v>
      </c>
      <c r="B15" s="12" t="s">
        <v>46</v>
      </c>
      <c r="C15" s="20" t="s">
        <v>47</v>
      </c>
      <c r="D15" s="12" t="s">
        <v>44</v>
      </c>
      <c r="E15" s="13">
        <v>15</v>
      </c>
      <c r="F15" s="14">
        <v>0</v>
      </c>
      <c r="G15" s="14">
        <v>25</v>
      </c>
      <c r="H15" s="14">
        <v>0</v>
      </c>
      <c r="I15" s="14">
        <v>0</v>
      </c>
      <c r="J15" s="14">
        <f t="shared" si="0"/>
        <v>1.25</v>
      </c>
      <c r="K15" s="14">
        <f t="shared" si="1"/>
        <v>0.7875</v>
      </c>
      <c r="L15" s="14">
        <f t="shared" si="2"/>
        <v>27.0375</v>
      </c>
      <c r="M15" s="14">
        <f t="shared" si="3"/>
        <v>405.5625</v>
      </c>
      <c r="N15" s="14"/>
      <c r="O15" s="31" t="s">
        <v>48</v>
      </c>
    </row>
    <row r="16" s="2" customFormat="1" ht="33.75" outlineLevel="1" spans="1:15">
      <c r="A16" s="12">
        <v>11</v>
      </c>
      <c r="B16" s="12" t="s">
        <v>49</v>
      </c>
      <c r="C16" s="18" t="s">
        <v>50</v>
      </c>
      <c r="D16" s="12" t="s">
        <v>25</v>
      </c>
      <c r="E16" s="13">
        <f>(1.3+2.3*2)</f>
        <v>5.9</v>
      </c>
      <c r="F16" s="14">
        <v>5</v>
      </c>
      <c r="G16" s="14">
        <v>70</v>
      </c>
      <c r="H16" s="14">
        <f>G16*1%</f>
        <v>0.7</v>
      </c>
      <c r="I16" s="14">
        <v>8</v>
      </c>
      <c r="J16" s="14">
        <f t="shared" si="0"/>
        <v>4.185</v>
      </c>
      <c r="K16" s="14">
        <f t="shared" si="1"/>
        <v>2.63655</v>
      </c>
      <c r="L16" s="14">
        <f t="shared" si="2"/>
        <v>90.52155</v>
      </c>
      <c r="M16" s="14">
        <f t="shared" si="3"/>
        <v>534.077145</v>
      </c>
      <c r="N16" s="14"/>
      <c r="O16" s="14"/>
    </row>
    <row r="17" s="2" customFormat="1" spans="1:15">
      <c r="A17" s="17" t="s">
        <v>51</v>
      </c>
      <c r="B17" s="17" t="s">
        <v>52</v>
      </c>
      <c r="C17" s="21"/>
      <c r="D17" s="17"/>
      <c r="E17" s="22"/>
      <c r="F17" s="23"/>
      <c r="G17" s="23"/>
      <c r="H17" s="14"/>
      <c r="I17" s="14"/>
      <c r="J17" s="14"/>
      <c r="K17" s="14"/>
      <c r="L17" s="14"/>
      <c r="M17" s="14"/>
      <c r="N17" s="14"/>
      <c r="O17" s="23"/>
    </row>
    <row r="18" s="2" customFormat="1" ht="101.25" outlineLevel="1" spans="1:15">
      <c r="A18" s="12">
        <v>12</v>
      </c>
      <c r="B18" s="12" t="s">
        <v>53</v>
      </c>
      <c r="C18" s="18" t="s">
        <v>54</v>
      </c>
      <c r="D18" s="12" t="s">
        <v>21</v>
      </c>
      <c r="E18" s="13">
        <v>10.24</v>
      </c>
      <c r="F18" s="14">
        <v>8</v>
      </c>
      <c r="G18" s="14">
        <v>95</v>
      </c>
      <c r="H18" s="14">
        <f>G18*1%</f>
        <v>0.95</v>
      </c>
      <c r="I18" s="14">
        <v>5</v>
      </c>
      <c r="J18" s="14">
        <f t="shared" si="0"/>
        <v>5.4475</v>
      </c>
      <c r="K18" s="14">
        <f t="shared" si="1"/>
        <v>3.431925</v>
      </c>
      <c r="L18" s="14">
        <f t="shared" si="2"/>
        <v>117.829425</v>
      </c>
      <c r="M18" s="14">
        <f t="shared" si="3"/>
        <v>1206.573312</v>
      </c>
      <c r="N18" s="14"/>
      <c r="O18" s="14" t="s">
        <v>55</v>
      </c>
    </row>
    <row r="19" s="2" customFormat="1" ht="56.25" outlineLevel="1" spans="1:15">
      <c r="A19" s="12">
        <v>13</v>
      </c>
      <c r="B19" s="19" t="s">
        <v>23</v>
      </c>
      <c r="C19" s="18" t="s">
        <v>24</v>
      </c>
      <c r="D19" s="12" t="s">
        <v>25</v>
      </c>
      <c r="E19" s="13">
        <f>13.6-0.9-1.8</f>
        <v>10.9</v>
      </c>
      <c r="F19" s="14">
        <f>F7</f>
        <v>5</v>
      </c>
      <c r="G19" s="14">
        <f>G7</f>
        <v>8</v>
      </c>
      <c r="H19" s="14">
        <f>H7</f>
        <v>0.16</v>
      </c>
      <c r="I19" s="14">
        <f>I7</f>
        <v>0.2</v>
      </c>
      <c r="J19" s="14">
        <f t="shared" si="0"/>
        <v>0.668</v>
      </c>
      <c r="K19" s="14">
        <f t="shared" si="1"/>
        <v>0.42084</v>
      </c>
      <c r="L19" s="14">
        <f t="shared" si="2"/>
        <v>14.44884</v>
      </c>
      <c r="M19" s="14">
        <f t="shared" si="3"/>
        <v>157.492356</v>
      </c>
      <c r="N19" s="14"/>
      <c r="O19" s="14"/>
    </row>
    <row r="20" s="2" customFormat="1" ht="101.25" outlineLevel="1" spans="1:15">
      <c r="A20" s="12">
        <v>14</v>
      </c>
      <c r="B20" s="19" t="s">
        <v>26</v>
      </c>
      <c r="C20" s="18" t="s">
        <v>27</v>
      </c>
      <c r="D20" s="12" t="s">
        <v>21</v>
      </c>
      <c r="E20" s="13">
        <v>1.28</v>
      </c>
      <c r="F20" s="14">
        <f>F8</f>
        <v>45</v>
      </c>
      <c r="G20" s="14">
        <f>G8</f>
        <v>40</v>
      </c>
      <c r="H20" s="14">
        <f>H8</f>
        <v>4</v>
      </c>
      <c r="I20" s="14">
        <f>I8</f>
        <v>0.5</v>
      </c>
      <c r="J20" s="14">
        <f t="shared" si="0"/>
        <v>4.475</v>
      </c>
      <c r="K20" s="14">
        <f t="shared" si="1"/>
        <v>2.81925</v>
      </c>
      <c r="L20" s="14">
        <f t="shared" si="2"/>
        <v>96.79425</v>
      </c>
      <c r="M20" s="14">
        <f t="shared" si="3"/>
        <v>123.89664</v>
      </c>
      <c r="N20" s="14"/>
      <c r="O20" s="14" t="s">
        <v>28</v>
      </c>
    </row>
    <row r="21" s="2" customFormat="1" ht="33.75" outlineLevel="1" spans="1:15">
      <c r="A21" s="12">
        <v>15</v>
      </c>
      <c r="B21" s="19" t="s">
        <v>30</v>
      </c>
      <c r="C21" s="18" t="s">
        <v>31</v>
      </c>
      <c r="D21" s="12" t="s">
        <v>25</v>
      </c>
      <c r="E21" s="13">
        <v>9.15</v>
      </c>
      <c r="F21" s="14">
        <f>F10</f>
        <v>15</v>
      </c>
      <c r="G21" s="14">
        <f>G10</f>
        <v>8</v>
      </c>
      <c r="H21" s="14">
        <f>H10</f>
        <v>0.2</v>
      </c>
      <c r="I21" s="14">
        <f>I10</f>
        <v>0.3</v>
      </c>
      <c r="J21" s="14">
        <f t="shared" si="0"/>
        <v>1.175</v>
      </c>
      <c r="K21" s="14">
        <f t="shared" si="1"/>
        <v>0.74025</v>
      </c>
      <c r="L21" s="14">
        <f t="shared" si="2"/>
        <v>25.41525</v>
      </c>
      <c r="M21" s="14">
        <f t="shared" si="3"/>
        <v>232.5495375</v>
      </c>
      <c r="N21" s="14"/>
      <c r="O21" s="31" t="s">
        <v>32</v>
      </c>
    </row>
    <row r="22" s="2" customFormat="1" ht="78.75" outlineLevel="1" spans="1:15">
      <c r="A22" s="12">
        <v>16</v>
      </c>
      <c r="B22" s="19" t="s">
        <v>36</v>
      </c>
      <c r="C22" s="18" t="s">
        <v>37</v>
      </c>
      <c r="D22" s="12" t="s">
        <v>21</v>
      </c>
      <c r="E22" s="13">
        <f>13.6*2.8-0.9*2.3-1.8*2.3</f>
        <v>31.87</v>
      </c>
      <c r="F22" s="13">
        <f>F12</f>
        <v>8</v>
      </c>
      <c r="G22" s="13">
        <f>G12</f>
        <v>25</v>
      </c>
      <c r="H22" s="13">
        <f>H12</f>
        <v>0.25</v>
      </c>
      <c r="I22" s="13">
        <f>I12</f>
        <v>0.1</v>
      </c>
      <c r="J22" s="14">
        <f t="shared" si="0"/>
        <v>1.6675</v>
      </c>
      <c r="K22" s="14">
        <f t="shared" si="1"/>
        <v>1.050525</v>
      </c>
      <c r="L22" s="14">
        <f t="shared" si="2"/>
        <v>36.068025</v>
      </c>
      <c r="M22" s="14">
        <f t="shared" si="3"/>
        <v>1149.48795675</v>
      </c>
      <c r="N22" s="14" t="s">
        <v>38</v>
      </c>
      <c r="O22" s="31" t="s">
        <v>39</v>
      </c>
    </row>
    <row r="23" s="3" customFormat="1" ht="112.5" outlineLevel="1" spans="1:15">
      <c r="A23" s="12">
        <v>17</v>
      </c>
      <c r="B23" s="19" t="s">
        <v>33</v>
      </c>
      <c r="C23" s="18" t="s">
        <v>56</v>
      </c>
      <c r="D23" s="12" t="s">
        <v>21</v>
      </c>
      <c r="E23" s="13">
        <v>8.96</v>
      </c>
      <c r="F23" s="13">
        <f>F11</f>
        <v>15</v>
      </c>
      <c r="G23" s="13">
        <f>G11</f>
        <v>8</v>
      </c>
      <c r="H23" s="13">
        <f>H11</f>
        <v>0.8</v>
      </c>
      <c r="I23" s="13">
        <f>I11</f>
        <v>0.3</v>
      </c>
      <c r="J23" s="14">
        <f t="shared" si="0"/>
        <v>1.205</v>
      </c>
      <c r="K23" s="14">
        <f t="shared" si="1"/>
        <v>0.75915</v>
      </c>
      <c r="L23" s="14">
        <f t="shared" si="2"/>
        <v>26.06415</v>
      </c>
      <c r="M23" s="14">
        <f t="shared" si="3"/>
        <v>233.534784</v>
      </c>
      <c r="N23" s="14"/>
      <c r="O23" s="31" t="s">
        <v>35</v>
      </c>
    </row>
    <row r="24" s="2" customFormat="1" ht="33.75" outlineLevel="1" spans="1:15">
      <c r="A24" s="12">
        <v>18</v>
      </c>
      <c r="B24" s="12" t="s">
        <v>42</v>
      </c>
      <c r="C24" s="20" t="s">
        <v>43</v>
      </c>
      <c r="D24" s="12" t="s">
        <v>44</v>
      </c>
      <c r="E24" s="13">
        <v>1</v>
      </c>
      <c r="F24" s="14">
        <f>F14</f>
        <v>0</v>
      </c>
      <c r="G24" s="14">
        <f>G14</f>
        <v>70</v>
      </c>
      <c r="H24" s="14">
        <f>H14</f>
        <v>0</v>
      </c>
      <c r="I24" s="14">
        <f>I14</f>
        <v>0</v>
      </c>
      <c r="J24" s="14">
        <f t="shared" si="0"/>
        <v>3.5</v>
      </c>
      <c r="K24" s="14">
        <f t="shared" si="1"/>
        <v>2.205</v>
      </c>
      <c r="L24" s="14">
        <f t="shared" si="2"/>
        <v>75.705</v>
      </c>
      <c r="M24" s="14">
        <f t="shared" si="3"/>
        <v>75.705</v>
      </c>
      <c r="N24" s="14"/>
      <c r="O24" s="31" t="s">
        <v>57</v>
      </c>
    </row>
    <row r="25" s="2" customFormat="1" ht="22.5" outlineLevel="1" spans="1:15">
      <c r="A25" s="12">
        <v>19</v>
      </c>
      <c r="B25" s="12" t="s">
        <v>58</v>
      </c>
      <c r="C25" s="18" t="s">
        <v>59</v>
      </c>
      <c r="D25" s="12" t="s">
        <v>60</v>
      </c>
      <c r="E25" s="13">
        <v>1</v>
      </c>
      <c r="F25" s="14">
        <v>100</v>
      </c>
      <c r="G25" s="14">
        <v>550</v>
      </c>
      <c r="H25" s="14">
        <v>0</v>
      </c>
      <c r="I25" s="14">
        <v>5</v>
      </c>
      <c r="J25" s="14">
        <f t="shared" si="0"/>
        <v>32.75</v>
      </c>
      <c r="K25" s="14">
        <f t="shared" si="1"/>
        <v>20.6325</v>
      </c>
      <c r="L25" s="14">
        <f t="shared" si="2"/>
        <v>708.3825</v>
      </c>
      <c r="M25" s="14">
        <f t="shared" si="3"/>
        <v>708.3825</v>
      </c>
      <c r="N25" s="14"/>
      <c r="O25" s="31"/>
    </row>
    <row r="26" s="2" customFormat="1" spans="1:15">
      <c r="A26" s="17" t="s">
        <v>61</v>
      </c>
      <c r="B26" s="24" t="s">
        <v>62</v>
      </c>
      <c r="C26" s="25"/>
      <c r="D26" s="12"/>
      <c r="E26" s="13"/>
      <c r="F26" s="14"/>
      <c r="G26" s="14"/>
      <c r="H26" s="14"/>
      <c r="I26" s="14"/>
      <c r="J26" s="14"/>
      <c r="K26" s="14"/>
      <c r="L26" s="14"/>
      <c r="M26" s="14"/>
      <c r="N26" s="14"/>
      <c r="O26" s="14"/>
    </row>
    <row r="27" s="2" customFormat="1" ht="90" outlineLevel="1" spans="1:15">
      <c r="A27" s="12">
        <v>20</v>
      </c>
      <c r="B27" s="12" t="s">
        <v>19</v>
      </c>
      <c r="C27" s="18" t="s">
        <v>20</v>
      </c>
      <c r="D27" s="12" t="s">
        <v>21</v>
      </c>
      <c r="E27" s="13">
        <v>12.24</v>
      </c>
      <c r="F27" s="14">
        <f>F6</f>
        <v>30</v>
      </c>
      <c r="G27" s="14">
        <f>G6</f>
        <v>45</v>
      </c>
      <c r="H27" s="14">
        <f>H6</f>
        <v>0.9</v>
      </c>
      <c r="I27" s="14">
        <f>I6</f>
        <v>10</v>
      </c>
      <c r="J27" s="14">
        <f t="shared" si="0"/>
        <v>4.295</v>
      </c>
      <c r="K27" s="14">
        <f t="shared" si="1"/>
        <v>2.70585</v>
      </c>
      <c r="L27" s="14">
        <f t="shared" si="2"/>
        <v>92.90085</v>
      </c>
      <c r="M27" s="14">
        <f t="shared" si="3"/>
        <v>1137.106404</v>
      </c>
      <c r="N27" s="14"/>
      <c r="O27" s="14" t="s">
        <v>22</v>
      </c>
    </row>
    <row r="28" s="2" customFormat="1" ht="56.25" outlineLevel="1" spans="1:15">
      <c r="A28" s="12">
        <v>21</v>
      </c>
      <c r="B28" s="19" t="s">
        <v>23</v>
      </c>
      <c r="C28" s="25" t="s">
        <v>63</v>
      </c>
      <c r="D28" s="12" t="s">
        <v>25</v>
      </c>
      <c r="E28" s="13">
        <f>12.24-2.4-1.8-6.4</f>
        <v>1.64</v>
      </c>
      <c r="F28" s="14">
        <f>F7</f>
        <v>5</v>
      </c>
      <c r="G28" s="14">
        <f>G7</f>
        <v>8</v>
      </c>
      <c r="H28" s="14">
        <f>H7</f>
        <v>0.16</v>
      </c>
      <c r="I28" s="14">
        <f>I7</f>
        <v>0.2</v>
      </c>
      <c r="J28" s="14">
        <f t="shared" si="0"/>
        <v>0.668</v>
      </c>
      <c r="K28" s="14">
        <f t="shared" si="1"/>
        <v>0.42084</v>
      </c>
      <c r="L28" s="14">
        <f t="shared" si="2"/>
        <v>14.44884</v>
      </c>
      <c r="M28" s="14">
        <f t="shared" si="3"/>
        <v>23.6960976</v>
      </c>
      <c r="N28" s="14"/>
      <c r="O28" s="14"/>
    </row>
    <row r="29" s="2" customFormat="1" ht="90" outlineLevel="1" spans="1:15">
      <c r="A29" s="12">
        <v>22</v>
      </c>
      <c r="B29" s="19" t="s">
        <v>64</v>
      </c>
      <c r="C29" s="18" t="s">
        <v>65</v>
      </c>
      <c r="D29" s="12" t="s">
        <v>21</v>
      </c>
      <c r="E29" s="13">
        <f>12.24*2.8-2.4*2.3-1.8*2.3-6.4*2.2</f>
        <v>10.532</v>
      </c>
      <c r="F29" s="13">
        <f>F11</f>
        <v>15</v>
      </c>
      <c r="G29" s="13">
        <f>G11</f>
        <v>8</v>
      </c>
      <c r="H29" s="13">
        <f>H11</f>
        <v>0.8</v>
      </c>
      <c r="I29" s="13">
        <f>I11</f>
        <v>0.3</v>
      </c>
      <c r="J29" s="14">
        <f t="shared" si="0"/>
        <v>1.205</v>
      </c>
      <c r="K29" s="14">
        <f t="shared" si="1"/>
        <v>0.75915</v>
      </c>
      <c r="L29" s="14">
        <f t="shared" si="2"/>
        <v>26.06415</v>
      </c>
      <c r="M29" s="14">
        <f t="shared" si="3"/>
        <v>274.5076278</v>
      </c>
      <c r="N29" s="14" t="s">
        <v>38</v>
      </c>
      <c r="O29" s="31" t="s">
        <v>35</v>
      </c>
    </row>
    <row r="30" s="2" customFormat="1" ht="112.5" outlineLevel="1" spans="1:15">
      <c r="A30" s="12">
        <v>23</v>
      </c>
      <c r="B30" s="19" t="s">
        <v>33</v>
      </c>
      <c r="C30" s="18" t="s">
        <v>56</v>
      </c>
      <c r="D30" s="12" t="s">
        <v>21</v>
      </c>
      <c r="E30" s="13">
        <v>12.24</v>
      </c>
      <c r="F30" s="13">
        <f>F11</f>
        <v>15</v>
      </c>
      <c r="G30" s="13">
        <f>G11</f>
        <v>8</v>
      </c>
      <c r="H30" s="13">
        <f>H11</f>
        <v>0.8</v>
      </c>
      <c r="I30" s="13">
        <f>I11</f>
        <v>0.3</v>
      </c>
      <c r="J30" s="14">
        <f t="shared" si="0"/>
        <v>1.205</v>
      </c>
      <c r="K30" s="14">
        <f t="shared" si="1"/>
        <v>0.75915</v>
      </c>
      <c r="L30" s="14">
        <f t="shared" si="2"/>
        <v>26.06415</v>
      </c>
      <c r="M30" s="14">
        <f t="shared" si="3"/>
        <v>319.025196</v>
      </c>
      <c r="N30" s="14"/>
      <c r="O30" s="31" t="s">
        <v>35</v>
      </c>
    </row>
    <row r="31" s="2" customFormat="1" ht="33.75" outlineLevel="1" spans="1:15">
      <c r="A31" s="12">
        <v>24</v>
      </c>
      <c r="B31" s="12" t="s">
        <v>42</v>
      </c>
      <c r="C31" s="20" t="s">
        <v>43</v>
      </c>
      <c r="D31" s="12" t="s">
        <v>44</v>
      </c>
      <c r="E31" s="13">
        <v>1</v>
      </c>
      <c r="F31" s="14">
        <f>F14</f>
        <v>0</v>
      </c>
      <c r="G31" s="14">
        <f>G14</f>
        <v>70</v>
      </c>
      <c r="H31" s="14">
        <f>H14</f>
        <v>0</v>
      </c>
      <c r="I31" s="14">
        <f>I14</f>
        <v>0</v>
      </c>
      <c r="J31" s="14">
        <f t="shared" si="0"/>
        <v>3.5</v>
      </c>
      <c r="K31" s="14">
        <f t="shared" si="1"/>
        <v>2.205</v>
      </c>
      <c r="L31" s="14">
        <f t="shared" si="2"/>
        <v>75.705</v>
      </c>
      <c r="M31" s="14">
        <f t="shared" si="3"/>
        <v>75.705</v>
      </c>
      <c r="N31" s="14"/>
      <c r="O31" s="31" t="s">
        <v>57</v>
      </c>
    </row>
    <row r="32" s="2" customFormat="1" ht="56.25" outlineLevel="1" spans="1:15">
      <c r="A32" s="12">
        <v>25</v>
      </c>
      <c r="B32" s="12" t="s">
        <v>66</v>
      </c>
      <c r="C32" s="20" t="s">
        <v>67</v>
      </c>
      <c r="D32" s="12" t="s">
        <v>21</v>
      </c>
      <c r="E32" s="13">
        <f>12.24+17.3*0.3</f>
        <v>17.43</v>
      </c>
      <c r="F32" s="14">
        <v>8</v>
      </c>
      <c r="G32" s="14">
        <v>25</v>
      </c>
      <c r="H32" s="14">
        <f>G32*1%</f>
        <v>0.25</v>
      </c>
      <c r="I32" s="14">
        <v>0.1</v>
      </c>
      <c r="J32" s="14">
        <f t="shared" si="0"/>
        <v>1.6675</v>
      </c>
      <c r="K32" s="14">
        <f t="shared" si="1"/>
        <v>1.050525</v>
      </c>
      <c r="L32" s="14">
        <f t="shared" si="2"/>
        <v>36.068025</v>
      </c>
      <c r="M32" s="14">
        <f t="shared" si="3"/>
        <v>628.66567575</v>
      </c>
      <c r="N32" s="14" t="s">
        <v>68</v>
      </c>
      <c r="O32" s="31" t="s">
        <v>69</v>
      </c>
    </row>
    <row r="33" s="2" customFormat="1" spans="1:15">
      <c r="A33" s="17" t="s">
        <v>70</v>
      </c>
      <c r="B33" s="17" t="s">
        <v>71</v>
      </c>
      <c r="C33" s="25"/>
      <c r="D33" s="12"/>
      <c r="E33" s="13"/>
      <c r="F33" s="14"/>
      <c r="G33" s="14"/>
      <c r="H33" s="14"/>
      <c r="I33" s="14"/>
      <c r="J33" s="14"/>
      <c r="K33" s="14"/>
      <c r="L33" s="14"/>
      <c r="M33" s="14"/>
      <c r="N33" s="14"/>
      <c r="O33" s="31"/>
    </row>
    <row r="34" s="2" customFormat="1" ht="90" outlineLevel="1" spans="1:15">
      <c r="A34" s="12">
        <v>26</v>
      </c>
      <c r="B34" s="12" t="s">
        <v>19</v>
      </c>
      <c r="C34" s="18" t="s">
        <v>20</v>
      </c>
      <c r="D34" s="12" t="s">
        <v>21</v>
      </c>
      <c r="E34" s="13">
        <v>5.89</v>
      </c>
      <c r="F34" s="14">
        <f>F6</f>
        <v>30</v>
      </c>
      <c r="G34" s="14">
        <f>G6</f>
        <v>45</v>
      </c>
      <c r="H34" s="14">
        <f>H6</f>
        <v>0.9</v>
      </c>
      <c r="I34" s="14">
        <f>I6</f>
        <v>10</v>
      </c>
      <c r="J34" s="14">
        <f t="shared" si="0"/>
        <v>4.295</v>
      </c>
      <c r="K34" s="14">
        <f t="shared" si="1"/>
        <v>2.70585</v>
      </c>
      <c r="L34" s="14">
        <f t="shared" si="2"/>
        <v>92.90085</v>
      </c>
      <c r="M34" s="14">
        <f t="shared" si="3"/>
        <v>547.1860065</v>
      </c>
      <c r="N34" s="14"/>
      <c r="O34" s="14" t="s">
        <v>22</v>
      </c>
    </row>
    <row r="35" s="2" customFormat="1" ht="78.75" outlineLevel="1" spans="1:15">
      <c r="A35" s="12">
        <v>27</v>
      </c>
      <c r="B35" s="12" t="s">
        <v>72</v>
      </c>
      <c r="C35" s="18" t="s">
        <v>73</v>
      </c>
      <c r="D35" s="12" t="s">
        <v>21</v>
      </c>
      <c r="E35" s="13">
        <f>10*2.8-E37</f>
        <v>24.32</v>
      </c>
      <c r="F35" s="14">
        <v>35</v>
      </c>
      <c r="G35" s="14">
        <v>45</v>
      </c>
      <c r="H35" s="14">
        <f>G35*2%</f>
        <v>0.9</v>
      </c>
      <c r="I35" s="14">
        <v>10</v>
      </c>
      <c r="J35" s="14">
        <f t="shared" si="0"/>
        <v>4.545</v>
      </c>
      <c r="K35" s="14">
        <f t="shared" si="1"/>
        <v>2.86335</v>
      </c>
      <c r="L35" s="14">
        <f t="shared" si="2"/>
        <v>98.30835</v>
      </c>
      <c r="M35" s="14">
        <f t="shared" si="3"/>
        <v>2390.859072</v>
      </c>
      <c r="N35" s="14" t="s">
        <v>38</v>
      </c>
      <c r="O35" s="14" t="s">
        <v>22</v>
      </c>
    </row>
    <row r="36" s="2" customFormat="1" ht="123.75" outlineLevel="1" spans="1:15">
      <c r="A36" s="12">
        <v>28</v>
      </c>
      <c r="B36" s="19" t="s">
        <v>74</v>
      </c>
      <c r="C36" s="25" t="s">
        <v>75</v>
      </c>
      <c r="D36" s="12" t="s">
        <v>21</v>
      </c>
      <c r="E36" s="13">
        <v>5.89</v>
      </c>
      <c r="F36" s="13">
        <v>40</v>
      </c>
      <c r="G36" s="13">
        <v>90</v>
      </c>
      <c r="H36" s="14">
        <f>G36*1%</f>
        <v>0.9</v>
      </c>
      <c r="I36" s="14">
        <v>0.5</v>
      </c>
      <c r="J36" s="14">
        <f t="shared" si="0"/>
        <v>6.57</v>
      </c>
      <c r="K36" s="14">
        <f t="shared" si="1"/>
        <v>4.1391</v>
      </c>
      <c r="L36" s="14">
        <f t="shared" si="2"/>
        <v>142.1091</v>
      </c>
      <c r="M36" s="14">
        <f t="shared" si="3"/>
        <v>837.022599</v>
      </c>
      <c r="N36" s="14"/>
      <c r="O36" s="31"/>
    </row>
    <row r="37" s="2" customFormat="1" ht="26" customHeight="1" outlineLevel="1" spans="1:15">
      <c r="A37" s="12">
        <v>29</v>
      </c>
      <c r="B37" s="12" t="s">
        <v>76</v>
      </c>
      <c r="C37" s="20" t="s">
        <v>77</v>
      </c>
      <c r="D37" s="12" t="s">
        <v>21</v>
      </c>
      <c r="E37" s="13">
        <f>1.6*2.3</f>
        <v>3.68</v>
      </c>
      <c r="F37" s="13">
        <v>80</v>
      </c>
      <c r="G37" s="13">
        <v>350</v>
      </c>
      <c r="H37" s="14">
        <v>0</v>
      </c>
      <c r="I37" s="14">
        <v>0</v>
      </c>
      <c r="J37" s="14">
        <f t="shared" si="0"/>
        <v>21.5</v>
      </c>
      <c r="K37" s="14">
        <f t="shared" si="1"/>
        <v>13.545</v>
      </c>
      <c r="L37" s="14">
        <f t="shared" si="2"/>
        <v>465.045</v>
      </c>
      <c r="M37" s="14">
        <f t="shared" si="3"/>
        <v>1711.3656</v>
      </c>
      <c r="N37" s="14"/>
      <c r="O37" s="31"/>
    </row>
    <row r="38" s="2" customFormat="1" ht="180" outlineLevel="1" spans="1:15">
      <c r="A38" s="12">
        <v>30</v>
      </c>
      <c r="B38" s="12" t="s">
        <v>40</v>
      </c>
      <c r="C38" s="18" t="s">
        <v>78</v>
      </c>
      <c r="D38" s="12" t="s">
        <v>25</v>
      </c>
      <c r="E38" s="13">
        <f>0.9+0.05</f>
        <v>0.95</v>
      </c>
      <c r="F38" s="13">
        <f>F13</f>
        <v>10</v>
      </c>
      <c r="G38" s="13">
        <f>G13</f>
        <v>93</v>
      </c>
      <c r="H38" s="13">
        <f>H13</f>
        <v>0.465</v>
      </c>
      <c r="I38" s="13">
        <f>I13</f>
        <v>0.5</v>
      </c>
      <c r="J38" s="14">
        <f>(F13+G13+H13+I13)*$J$4</f>
        <v>5.19825</v>
      </c>
      <c r="K38" s="14">
        <f>(F13+G13+H13+I13+J38)*$K$4</f>
        <v>3.2748975</v>
      </c>
      <c r="L38" s="14">
        <f>F13+G13+H13+I13+J38+K38</f>
        <v>112.4381475</v>
      </c>
      <c r="M38" s="14">
        <f t="shared" si="3"/>
        <v>106.816240125</v>
      </c>
      <c r="N38" s="14"/>
      <c r="O38" s="31"/>
    </row>
    <row r="39" s="2" customFormat="1" ht="101.25" outlineLevel="1" spans="1:15">
      <c r="A39" s="12">
        <v>31</v>
      </c>
      <c r="B39" s="12" t="s">
        <v>79</v>
      </c>
      <c r="C39" s="18" t="s">
        <v>80</v>
      </c>
      <c r="D39" s="12" t="s">
        <v>25</v>
      </c>
      <c r="E39" s="13">
        <f>1.3*2+3.1</f>
        <v>5.7</v>
      </c>
      <c r="F39" s="14">
        <v>85</v>
      </c>
      <c r="G39" s="14">
        <v>650</v>
      </c>
      <c r="H39" s="14">
        <f>G39*2%</f>
        <v>13</v>
      </c>
      <c r="I39" s="14">
        <v>5</v>
      </c>
      <c r="J39" s="14">
        <f t="shared" ref="J39:J76" si="4">(F39+G39+H39+I39)*$J$4</f>
        <v>37.65</v>
      </c>
      <c r="K39" s="14">
        <f t="shared" ref="K39:K76" si="5">(F39+G39+H39+I39+J39)*$K$4</f>
        <v>23.7195</v>
      </c>
      <c r="L39" s="14">
        <f t="shared" ref="L39:L76" si="6">F39+G39+H39+I39+J39+K39</f>
        <v>814.3695</v>
      </c>
      <c r="M39" s="14">
        <f t="shared" ref="M39:M76" si="7">L39*E39</f>
        <v>4641.90615</v>
      </c>
      <c r="N39" s="14"/>
      <c r="O39" s="14"/>
    </row>
    <row r="40" s="2" customFormat="1" ht="22.5" outlineLevel="1" spans="1:15">
      <c r="A40" s="12">
        <v>32</v>
      </c>
      <c r="B40" s="26" t="s">
        <v>81</v>
      </c>
      <c r="C40" s="18" t="s">
        <v>82</v>
      </c>
      <c r="D40" s="12" t="s">
        <v>83</v>
      </c>
      <c r="E40" s="13">
        <v>1</v>
      </c>
      <c r="F40" s="13">
        <v>150</v>
      </c>
      <c r="G40" s="13">
        <v>1500</v>
      </c>
      <c r="H40" s="14">
        <v>0</v>
      </c>
      <c r="I40" s="14">
        <v>0</v>
      </c>
      <c r="J40" s="14">
        <f t="shared" si="4"/>
        <v>82.5</v>
      </c>
      <c r="K40" s="14">
        <f t="shared" si="5"/>
        <v>51.975</v>
      </c>
      <c r="L40" s="14">
        <f t="shared" si="6"/>
        <v>1784.475</v>
      </c>
      <c r="M40" s="14">
        <f t="shared" si="7"/>
        <v>1784.475</v>
      </c>
      <c r="N40" s="14"/>
      <c r="O40" s="31" t="s">
        <v>84</v>
      </c>
    </row>
    <row r="41" s="2" customFormat="1" spans="1:15">
      <c r="A41" s="17" t="s">
        <v>85</v>
      </c>
      <c r="B41" s="17" t="s">
        <v>86</v>
      </c>
      <c r="C41" s="25"/>
      <c r="D41" s="12"/>
      <c r="E41" s="13"/>
      <c r="F41" s="14"/>
      <c r="G41" s="14"/>
      <c r="H41" s="14"/>
      <c r="I41" s="14"/>
      <c r="J41" s="14"/>
      <c r="K41" s="14"/>
      <c r="L41" s="14"/>
      <c r="M41" s="14"/>
      <c r="N41" s="14"/>
      <c r="O41" s="31"/>
    </row>
    <row r="42" s="2" customFormat="1" ht="101.25" outlineLevel="1" spans="1:15">
      <c r="A42" s="12">
        <v>33</v>
      </c>
      <c r="B42" s="12" t="s">
        <v>53</v>
      </c>
      <c r="C42" s="18" t="s">
        <v>54</v>
      </c>
      <c r="D42" s="12" t="s">
        <v>21</v>
      </c>
      <c r="E42" s="13">
        <v>15.56</v>
      </c>
      <c r="F42" s="14">
        <f>F18</f>
        <v>8</v>
      </c>
      <c r="G42" s="14">
        <f>G18</f>
        <v>95</v>
      </c>
      <c r="H42" s="14">
        <f>H18</f>
        <v>0.95</v>
      </c>
      <c r="I42" s="14">
        <f>I18</f>
        <v>5</v>
      </c>
      <c r="J42" s="14">
        <f t="shared" si="4"/>
        <v>5.4475</v>
      </c>
      <c r="K42" s="14">
        <f t="shared" si="5"/>
        <v>3.431925</v>
      </c>
      <c r="L42" s="14">
        <f t="shared" si="6"/>
        <v>117.829425</v>
      </c>
      <c r="M42" s="14">
        <f t="shared" si="7"/>
        <v>1833.425853</v>
      </c>
      <c r="N42" s="14"/>
      <c r="O42" s="14" t="s">
        <v>55</v>
      </c>
    </row>
    <row r="43" s="2" customFormat="1" ht="56.25" outlineLevel="1" spans="1:15">
      <c r="A43" s="12">
        <v>34</v>
      </c>
      <c r="B43" s="19" t="s">
        <v>23</v>
      </c>
      <c r="C43" s="25" t="s">
        <v>63</v>
      </c>
      <c r="D43" s="12" t="s">
        <v>25</v>
      </c>
      <c r="E43" s="13">
        <f>16.8-0.9</f>
        <v>15.9</v>
      </c>
      <c r="F43" s="14">
        <f>F7</f>
        <v>5</v>
      </c>
      <c r="G43" s="14">
        <f>G7</f>
        <v>8</v>
      </c>
      <c r="H43" s="14">
        <f>H7</f>
        <v>0.16</v>
      </c>
      <c r="I43" s="14">
        <f>I7</f>
        <v>0.2</v>
      </c>
      <c r="J43" s="14">
        <f t="shared" si="4"/>
        <v>0.668</v>
      </c>
      <c r="K43" s="14">
        <f t="shared" si="5"/>
        <v>0.42084</v>
      </c>
      <c r="L43" s="14">
        <f t="shared" si="6"/>
        <v>14.44884</v>
      </c>
      <c r="M43" s="14">
        <f t="shared" si="7"/>
        <v>229.736556</v>
      </c>
      <c r="N43" s="14"/>
      <c r="O43" s="14"/>
    </row>
    <row r="44" s="2" customFormat="1" ht="101.25" outlineLevel="1" spans="1:15">
      <c r="A44" s="12">
        <v>35</v>
      </c>
      <c r="B44" s="19" t="s">
        <v>26</v>
      </c>
      <c r="C44" s="18" t="s">
        <v>27</v>
      </c>
      <c r="D44" s="12" t="s">
        <v>21</v>
      </c>
      <c r="E44" s="13">
        <v>2.01</v>
      </c>
      <c r="F44" s="14">
        <f>F8</f>
        <v>45</v>
      </c>
      <c r="G44" s="14">
        <f>G8</f>
        <v>40</v>
      </c>
      <c r="H44" s="14">
        <f>H8</f>
        <v>4</v>
      </c>
      <c r="I44" s="14">
        <f>I8</f>
        <v>0.5</v>
      </c>
      <c r="J44" s="14">
        <f t="shared" si="4"/>
        <v>4.475</v>
      </c>
      <c r="K44" s="14">
        <f t="shared" si="5"/>
        <v>2.81925</v>
      </c>
      <c r="L44" s="14">
        <f t="shared" si="6"/>
        <v>96.79425</v>
      </c>
      <c r="M44" s="14">
        <f t="shared" si="7"/>
        <v>194.5564425</v>
      </c>
      <c r="N44" s="14"/>
      <c r="O44" s="14" t="s">
        <v>28</v>
      </c>
    </row>
    <row r="45" s="2" customFormat="1" ht="33.75" outlineLevel="1" spans="1:15">
      <c r="A45" s="12">
        <v>36</v>
      </c>
      <c r="B45" s="19" t="s">
        <v>30</v>
      </c>
      <c r="C45" s="18" t="s">
        <v>31</v>
      </c>
      <c r="D45" s="12" t="s">
        <v>25</v>
      </c>
      <c r="E45" s="13">
        <v>12.2</v>
      </c>
      <c r="F45" s="14">
        <f>F10</f>
        <v>15</v>
      </c>
      <c r="G45" s="14">
        <f>G10</f>
        <v>8</v>
      </c>
      <c r="H45" s="14">
        <f>H10</f>
        <v>0.2</v>
      </c>
      <c r="I45" s="14">
        <f>I10</f>
        <v>0.3</v>
      </c>
      <c r="J45" s="14">
        <f t="shared" si="4"/>
        <v>1.175</v>
      </c>
      <c r="K45" s="14">
        <f t="shared" si="5"/>
        <v>0.74025</v>
      </c>
      <c r="L45" s="14">
        <f t="shared" si="6"/>
        <v>25.41525</v>
      </c>
      <c r="M45" s="14">
        <f t="shared" si="7"/>
        <v>310.06605</v>
      </c>
      <c r="N45" s="14"/>
      <c r="O45" s="31" t="s">
        <v>32</v>
      </c>
    </row>
    <row r="46" s="2" customFormat="1" ht="45" outlineLevel="1" spans="1:15">
      <c r="A46" s="12">
        <v>37</v>
      </c>
      <c r="B46" s="19" t="s">
        <v>87</v>
      </c>
      <c r="C46" s="25" t="s">
        <v>88</v>
      </c>
      <c r="D46" s="12" t="s">
        <v>25</v>
      </c>
      <c r="E46" s="13">
        <v>3.4</v>
      </c>
      <c r="F46" s="14">
        <v>130</v>
      </c>
      <c r="G46" s="14">
        <v>25</v>
      </c>
      <c r="H46" s="14">
        <f>G46*1%</f>
        <v>0.25</v>
      </c>
      <c r="I46" s="14">
        <v>25</v>
      </c>
      <c r="J46" s="14">
        <f t="shared" si="4"/>
        <v>9.0125</v>
      </c>
      <c r="K46" s="14">
        <f t="shared" si="5"/>
        <v>5.677875</v>
      </c>
      <c r="L46" s="14">
        <f t="shared" si="6"/>
        <v>194.940375</v>
      </c>
      <c r="M46" s="14">
        <f t="shared" si="7"/>
        <v>662.797275</v>
      </c>
      <c r="N46" s="14"/>
      <c r="O46" s="14"/>
    </row>
    <row r="47" s="2" customFormat="1" ht="78.75" outlineLevel="1" spans="1:15">
      <c r="A47" s="12">
        <v>38</v>
      </c>
      <c r="B47" s="19" t="s">
        <v>36</v>
      </c>
      <c r="C47" s="18" t="s">
        <v>37</v>
      </c>
      <c r="D47" s="12" t="s">
        <v>21</v>
      </c>
      <c r="E47" s="13">
        <f>16.8*2.8-0.9*2.3-2.1*1.7</f>
        <v>41.4</v>
      </c>
      <c r="F47" s="13">
        <f>F12</f>
        <v>8</v>
      </c>
      <c r="G47" s="13">
        <f>G12</f>
        <v>25</v>
      </c>
      <c r="H47" s="13">
        <f>H12</f>
        <v>0.25</v>
      </c>
      <c r="I47" s="13">
        <f>I12</f>
        <v>0.1</v>
      </c>
      <c r="J47" s="14">
        <f t="shared" si="4"/>
        <v>1.6675</v>
      </c>
      <c r="K47" s="14">
        <f t="shared" si="5"/>
        <v>1.050525</v>
      </c>
      <c r="L47" s="14">
        <f t="shared" si="6"/>
        <v>36.068025</v>
      </c>
      <c r="M47" s="14">
        <f t="shared" si="7"/>
        <v>1493.216235</v>
      </c>
      <c r="N47" s="14" t="s">
        <v>38</v>
      </c>
      <c r="O47" s="31" t="s">
        <v>39</v>
      </c>
    </row>
    <row r="48" s="2" customFormat="1" ht="112.5" outlineLevel="1" spans="1:15">
      <c r="A48" s="12">
        <v>39</v>
      </c>
      <c r="B48" s="19" t="s">
        <v>33</v>
      </c>
      <c r="C48" s="18" t="s">
        <v>56</v>
      </c>
      <c r="D48" s="12" t="s">
        <v>21</v>
      </c>
      <c r="E48" s="13">
        <v>13.46</v>
      </c>
      <c r="F48" s="13">
        <f>F11</f>
        <v>15</v>
      </c>
      <c r="G48" s="13">
        <f>G11</f>
        <v>8</v>
      </c>
      <c r="H48" s="13">
        <f>H11</f>
        <v>0.8</v>
      </c>
      <c r="I48" s="13">
        <f>I11</f>
        <v>0.3</v>
      </c>
      <c r="J48" s="14">
        <f t="shared" si="4"/>
        <v>1.205</v>
      </c>
      <c r="K48" s="14">
        <f t="shared" si="5"/>
        <v>0.75915</v>
      </c>
      <c r="L48" s="14">
        <f t="shared" si="6"/>
        <v>26.06415</v>
      </c>
      <c r="M48" s="14">
        <f t="shared" si="7"/>
        <v>350.823459</v>
      </c>
      <c r="N48" s="14"/>
      <c r="O48" s="31" t="s">
        <v>35</v>
      </c>
    </row>
    <row r="49" s="2" customFormat="1" ht="33.75" outlineLevel="1" spans="1:15">
      <c r="A49" s="12">
        <v>40</v>
      </c>
      <c r="B49" s="12" t="s">
        <v>42</v>
      </c>
      <c r="C49" s="20" t="s">
        <v>43</v>
      </c>
      <c r="D49" s="12" t="s">
        <v>44</v>
      </c>
      <c r="E49" s="13">
        <v>1</v>
      </c>
      <c r="F49" s="14">
        <f>F14</f>
        <v>0</v>
      </c>
      <c r="G49" s="14">
        <f>G14</f>
        <v>70</v>
      </c>
      <c r="H49" s="14">
        <f>H14</f>
        <v>0</v>
      </c>
      <c r="I49" s="14">
        <f>I14</f>
        <v>0</v>
      </c>
      <c r="J49" s="14">
        <f t="shared" si="4"/>
        <v>3.5</v>
      </c>
      <c r="K49" s="14">
        <f t="shared" si="5"/>
        <v>2.205</v>
      </c>
      <c r="L49" s="14">
        <f t="shared" si="6"/>
        <v>75.705</v>
      </c>
      <c r="M49" s="14">
        <f t="shared" si="7"/>
        <v>75.705</v>
      </c>
      <c r="N49" s="14"/>
      <c r="O49" s="31" t="s">
        <v>57</v>
      </c>
    </row>
    <row r="50" s="2" customFormat="1" ht="180" outlineLevel="1" spans="1:15">
      <c r="A50" s="12">
        <v>41</v>
      </c>
      <c r="B50" s="19" t="s">
        <v>40</v>
      </c>
      <c r="C50" s="18" t="s">
        <v>41</v>
      </c>
      <c r="D50" s="12" t="s">
        <v>25</v>
      </c>
      <c r="E50" s="13">
        <f>2.1+0.05</f>
        <v>2.15</v>
      </c>
      <c r="F50" s="14">
        <f>F13</f>
        <v>10</v>
      </c>
      <c r="G50" s="14">
        <f>G13</f>
        <v>93</v>
      </c>
      <c r="H50" s="14">
        <f>H13</f>
        <v>0.465</v>
      </c>
      <c r="I50" s="14">
        <f>I13</f>
        <v>0.5</v>
      </c>
      <c r="J50" s="14">
        <f t="shared" si="4"/>
        <v>5.19825</v>
      </c>
      <c r="K50" s="14">
        <f t="shared" si="5"/>
        <v>3.2748975</v>
      </c>
      <c r="L50" s="14">
        <f t="shared" si="6"/>
        <v>112.4381475</v>
      </c>
      <c r="M50" s="14">
        <f t="shared" si="7"/>
        <v>241.742017125</v>
      </c>
      <c r="N50" s="14"/>
      <c r="O50" s="31"/>
    </row>
    <row r="51" s="2" customFormat="1" ht="22.5" outlineLevel="1" spans="1:15">
      <c r="A51" s="12">
        <v>42</v>
      </c>
      <c r="B51" s="12" t="s">
        <v>58</v>
      </c>
      <c r="C51" s="18" t="s">
        <v>59</v>
      </c>
      <c r="D51" s="12" t="s">
        <v>60</v>
      </c>
      <c r="E51" s="13">
        <v>1</v>
      </c>
      <c r="F51" s="14">
        <f>F25</f>
        <v>100</v>
      </c>
      <c r="G51" s="14">
        <f>G25</f>
        <v>550</v>
      </c>
      <c r="H51" s="14">
        <f>H25</f>
        <v>0</v>
      </c>
      <c r="I51" s="14">
        <f>I25</f>
        <v>5</v>
      </c>
      <c r="J51" s="14">
        <f t="shared" si="4"/>
        <v>32.75</v>
      </c>
      <c r="K51" s="14">
        <f t="shared" si="5"/>
        <v>20.6325</v>
      </c>
      <c r="L51" s="14">
        <f t="shared" si="6"/>
        <v>708.3825</v>
      </c>
      <c r="M51" s="14">
        <f t="shared" si="7"/>
        <v>708.3825</v>
      </c>
      <c r="N51" s="14"/>
      <c r="O51" s="31"/>
    </row>
    <row r="52" s="2" customFormat="1" spans="1:15">
      <c r="A52" s="17" t="s">
        <v>89</v>
      </c>
      <c r="B52" s="17" t="s">
        <v>90</v>
      </c>
      <c r="C52" s="25"/>
      <c r="D52" s="12"/>
      <c r="E52" s="13"/>
      <c r="F52" s="14"/>
      <c r="G52" s="14"/>
      <c r="H52" s="14"/>
      <c r="I52" s="14"/>
      <c r="J52" s="14"/>
      <c r="K52" s="14"/>
      <c r="L52" s="14"/>
      <c r="M52" s="14"/>
      <c r="N52" s="14"/>
      <c r="O52" s="31"/>
    </row>
    <row r="53" s="2" customFormat="1" ht="101.25" outlineLevel="1" spans="1:15">
      <c r="A53" s="12">
        <v>43</v>
      </c>
      <c r="B53" s="12" t="s">
        <v>53</v>
      </c>
      <c r="C53" s="18" t="s">
        <v>54</v>
      </c>
      <c r="D53" s="12" t="s">
        <v>21</v>
      </c>
      <c r="E53" s="13">
        <v>9.71</v>
      </c>
      <c r="F53" s="14">
        <f>F18</f>
        <v>8</v>
      </c>
      <c r="G53" s="14">
        <f>G18</f>
        <v>95</v>
      </c>
      <c r="H53" s="14">
        <f>H18</f>
        <v>0.95</v>
      </c>
      <c r="I53" s="14">
        <f>I18</f>
        <v>5</v>
      </c>
      <c r="J53" s="14">
        <f t="shared" si="4"/>
        <v>5.4475</v>
      </c>
      <c r="K53" s="14">
        <f t="shared" si="5"/>
        <v>3.431925</v>
      </c>
      <c r="L53" s="14">
        <f t="shared" si="6"/>
        <v>117.829425</v>
      </c>
      <c r="M53" s="14">
        <f t="shared" si="7"/>
        <v>1144.12371675</v>
      </c>
      <c r="N53" s="14"/>
      <c r="O53" s="14" t="s">
        <v>55</v>
      </c>
    </row>
    <row r="54" s="2" customFormat="1" ht="56.25" outlineLevel="1" spans="1:15">
      <c r="A54" s="12">
        <v>44</v>
      </c>
      <c r="B54" s="19" t="s">
        <v>23</v>
      </c>
      <c r="C54" s="25" t="s">
        <v>63</v>
      </c>
      <c r="D54" s="12" t="s">
        <v>25</v>
      </c>
      <c r="E54" s="13">
        <f>13.6-0.9</f>
        <v>12.7</v>
      </c>
      <c r="F54" s="14">
        <f>F7</f>
        <v>5</v>
      </c>
      <c r="G54" s="14">
        <f>G7</f>
        <v>8</v>
      </c>
      <c r="H54" s="14">
        <f>H7</f>
        <v>0.16</v>
      </c>
      <c r="I54" s="14">
        <f>I7</f>
        <v>0.2</v>
      </c>
      <c r="J54" s="14">
        <f t="shared" si="4"/>
        <v>0.668</v>
      </c>
      <c r="K54" s="14">
        <f t="shared" si="5"/>
        <v>0.42084</v>
      </c>
      <c r="L54" s="14">
        <f t="shared" si="6"/>
        <v>14.44884</v>
      </c>
      <c r="M54" s="14">
        <f t="shared" si="7"/>
        <v>183.500268</v>
      </c>
      <c r="N54" s="14"/>
      <c r="O54" s="14"/>
    </row>
    <row r="55" s="2" customFormat="1" ht="101.25" outlineLevel="1" spans="1:15">
      <c r="A55" s="12">
        <v>45</v>
      </c>
      <c r="B55" s="19" t="s">
        <v>26</v>
      </c>
      <c r="C55" s="18" t="s">
        <v>27</v>
      </c>
      <c r="D55" s="12" t="s">
        <v>21</v>
      </c>
      <c r="E55" s="13">
        <v>0.8</v>
      </c>
      <c r="F55" s="14">
        <f>F8</f>
        <v>45</v>
      </c>
      <c r="G55" s="14">
        <f>G8</f>
        <v>40</v>
      </c>
      <c r="H55" s="14">
        <f>H8</f>
        <v>4</v>
      </c>
      <c r="I55" s="14">
        <f>I8</f>
        <v>0.5</v>
      </c>
      <c r="J55" s="14">
        <f t="shared" si="4"/>
        <v>4.475</v>
      </c>
      <c r="K55" s="14">
        <f t="shared" si="5"/>
        <v>2.81925</v>
      </c>
      <c r="L55" s="14">
        <f t="shared" si="6"/>
        <v>96.79425</v>
      </c>
      <c r="M55" s="14">
        <f t="shared" si="7"/>
        <v>77.4354</v>
      </c>
      <c r="N55" s="14"/>
      <c r="O55" s="14" t="s">
        <v>28</v>
      </c>
    </row>
    <row r="56" s="2" customFormat="1" ht="33.75" outlineLevel="1" spans="1:15">
      <c r="A56" s="12">
        <v>46</v>
      </c>
      <c r="B56" s="19" t="s">
        <v>30</v>
      </c>
      <c r="C56" s="18" t="s">
        <v>31</v>
      </c>
      <c r="D56" s="12" t="s">
        <v>25</v>
      </c>
      <c r="E56" s="13">
        <v>10.9</v>
      </c>
      <c r="F56" s="14">
        <f>F10</f>
        <v>15</v>
      </c>
      <c r="G56" s="14">
        <f>G10</f>
        <v>8</v>
      </c>
      <c r="H56" s="14">
        <f>H10</f>
        <v>0.2</v>
      </c>
      <c r="I56" s="14">
        <f>I10</f>
        <v>0.3</v>
      </c>
      <c r="J56" s="14">
        <f t="shared" si="4"/>
        <v>1.175</v>
      </c>
      <c r="K56" s="14">
        <f t="shared" si="5"/>
        <v>0.74025</v>
      </c>
      <c r="L56" s="14">
        <f t="shared" si="6"/>
        <v>25.41525</v>
      </c>
      <c r="M56" s="14">
        <f t="shared" si="7"/>
        <v>277.026225</v>
      </c>
      <c r="N56" s="14"/>
      <c r="O56" s="31" t="s">
        <v>32</v>
      </c>
    </row>
    <row r="57" s="2" customFormat="1" ht="112.5" outlineLevel="1" spans="1:15">
      <c r="A57" s="12">
        <v>47</v>
      </c>
      <c r="B57" s="19" t="s">
        <v>33</v>
      </c>
      <c r="C57" s="18" t="s">
        <v>56</v>
      </c>
      <c r="D57" s="12" t="s">
        <v>21</v>
      </c>
      <c r="E57" s="13">
        <v>8.9</v>
      </c>
      <c r="F57" s="13">
        <f>F11</f>
        <v>15</v>
      </c>
      <c r="G57" s="13">
        <f>G11</f>
        <v>8</v>
      </c>
      <c r="H57" s="13">
        <f>H11</f>
        <v>0.8</v>
      </c>
      <c r="I57" s="13">
        <f>I11</f>
        <v>0.3</v>
      </c>
      <c r="J57" s="14">
        <f t="shared" si="4"/>
        <v>1.205</v>
      </c>
      <c r="K57" s="14">
        <f t="shared" si="5"/>
        <v>0.75915</v>
      </c>
      <c r="L57" s="14">
        <f t="shared" si="6"/>
        <v>26.06415</v>
      </c>
      <c r="M57" s="14">
        <f t="shared" si="7"/>
        <v>231.970935</v>
      </c>
      <c r="N57" s="14"/>
      <c r="O57" s="31" t="s">
        <v>35</v>
      </c>
    </row>
    <row r="58" s="2" customFormat="1" ht="78.75" outlineLevel="1" spans="1:15">
      <c r="A58" s="12">
        <v>48</v>
      </c>
      <c r="B58" s="19" t="s">
        <v>36</v>
      </c>
      <c r="C58" s="18" t="s">
        <v>37</v>
      </c>
      <c r="D58" s="12" t="s">
        <v>21</v>
      </c>
      <c r="E58" s="13">
        <f>13.6*2.8-0.9*2.3-1.5*1.4</f>
        <v>33.91</v>
      </c>
      <c r="F58" s="13">
        <f>F12</f>
        <v>8</v>
      </c>
      <c r="G58" s="13">
        <f>G12</f>
        <v>25</v>
      </c>
      <c r="H58" s="13">
        <f>H12</f>
        <v>0.25</v>
      </c>
      <c r="I58" s="13">
        <f>I12</f>
        <v>0.1</v>
      </c>
      <c r="J58" s="14">
        <f t="shared" si="4"/>
        <v>1.6675</v>
      </c>
      <c r="K58" s="14">
        <f t="shared" si="5"/>
        <v>1.050525</v>
      </c>
      <c r="L58" s="14">
        <f t="shared" si="6"/>
        <v>36.068025</v>
      </c>
      <c r="M58" s="14">
        <f t="shared" si="7"/>
        <v>1223.06672775</v>
      </c>
      <c r="N58" s="14" t="s">
        <v>38</v>
      </c>
      <c r="O58" s="31" t="s">
        <v>39</v>
      </c>
    </row>
    <row r="59" s="2" customFormat="1" ht="33.75" outlineLevel="1" spans="1:15">
      <c r="A59" s="12">
        <v>49</v>
      </c>
      <c r="B59" s="12" t="s">
        <v>42</v>
      </c>
      <c r="C59" s="20" t="s">
        <v>43</v>
      </c>
      <c r="D59" s="12" t="s">
        <v>44</v>
      </c>
      <c r="E59" s="13">
        <v>1</v>
      </c>
      <c r="F59" s="14">
        <f>F14</f>
        <v>0</v>
      </c>
      <c r="G59" s="14">
        <f>G14</f>
        <v>70</v>
      </c>
      <c r="H59" s="14">
        <f>H14</f>
        <v>0</v>
      </c>
      <c r="I59" s="14">
        <f>I14</f>
        <v>0</v>
      </c>
      <c r="J59" s="14">
        <f t="shared" si="4"/>
        <v>3.5</v>
      </c>
      <c r="K59" s="14">
        <f t="shared" si="5"/>
        <v>2.205</v>
      </c>
      <c r="L59" s="14">
        <f t="shared" si="6"/>
        <v>75.705</v>
      </c>
      <c r="M59" s="14">
        <f t="shared" si="7"/>
        <v>75.705</v>
      </c>
      <c r="N59" s="14"/>
      <c r="O59" s="31" t="s">
        <v>57</v>
      </c>
    </row>
    <row r="60" s="2" customFormat="1" ht="180" outlineLevel="1" spans="1:15">
      <c r="A60" s="12">
        <v>50</v>
      </c>
      <c r="B60" s="19" t="s">
        <v>40</v>
      </c>
      <c r="C60" s="18" t="s">
        <v>41</v>
      </c>
      <c r="D60" s="12" t="s">
        <v>25</v>
      </c>
      <c r="E60" s="13">
        <f>1.5+0.05</f>
        <v>1.55</v>
      </c>
      <c r="F60" s="14">
        <f>F13</f>
        <v>10</v>
      </c>
      <c r="G60" s="14">
        <f>G13</f>
        <v>93</v>
      </c>
      <c r="H60" s="14">
        <f>H13</f>
        <v>0.465</v>
      </c>
      <c r="I60" s="14">
        <f>I13</f>
        <v>0.5</v>
      </c>
      <c r="J60" s="14">
        <f t="shared" si="4"/>
        <v>5.19825</v>
      </c>
      <c r="K60" s="14">
        <f t="shared" si="5"/>
        <v>3.2748975</v>
      </c>
      <c r="L60" s="14">
        <f t="shared" si="6"/>
        <v>112.4381475</v>
      </c>
      <c r="M60" s="14">
        <f t="shared" si="7"/>
        <v>174.279128625</v>
      </c>
      <c r="N60" s="14"/>
      <c r="O60" s="31"/>
    </row>
    <row r="61" s="2" customFormat="1" ht="22.5" outlineLevel="1" spans="1:15">
      <c r="A61" s="12">
        <v>51</v>
      </c>
      <c r="B61" s="12" t="s">
        <v>58</v>
      </c>
      <c r="C61" s="18" t="s">
        <v>59</v>
      </c>
      <c r="D61" s="12" t="s">
        <v>60</v>
      </c>
      <c r="E61" s="13">
        <v>1</v>
      </c>
      <c r="F61" s="14">
        <f>F25</f>
        <v>100</v>
      </c>
      <c r="G61" s="14">
        <f>G25</f>
        <v>550</v>
      </c>
      <c r="H61" s="14">
        <f>H25</f>
        <v>0</v>
      </c>
      <c r="I61" s="14">
        <f>I25</f>
        <v>5</v>
      </c>
      <c r="J61" s="14">
        <f t="shared" si="4"/>
        <v>32.75</v>
      </c>
      <c r="K61" s="14">
        <f t="shared" si="5"/>
        <v>20.6325</v>
      </c>
      <c r="L61" s="14">
        <f t="shared" si="6"/>
        <v>708.3825</v>
      </c>
      <c r="M61" s="14">
        <f t="shared" si="7"/>
        <v>708.3825</v>
      </c>
      <c r="N61" s="14"/>
      <c r="O61" s="31"/>
    </row>
    <row r="62" s="2" customFormat="1" ht="24" spans="1:15">
      <c r="A62" s="17" t="s">
        <v>91</v>
      </c>
      <c r="B62" s="17" t="s">
        <v>92</v>
      </c>
      <c r="C62" s="25"/>
      <c r="D62" s="12"/>
      <c r="E62" s="13"/>
      <c r="F62" s="14"/>
      <c r="G62" s="14"/>
      <c r="H62" s="14"/>
      <c r="I62" s="14"/>
      <c r="J62" s="14"/>
      <c r="K62" s="14"/>
      <c r="L62" s="14"/>
      <c r="M62" s="14"/>
      <c r="N62" s="14"/>
      <c r="O62" s="31"/>
    </row>
    <row r="63" s="2" customFormat="1" ht="90" outlineLevel="1" spans="1:15">
      <c r="A63" s="12">
        <v>52</v>
      </c>
      <c r="B63" s="12" t="s">
        <v>19</v>
      </c>
      <c r="C63" s="18" t="s">
        <v>20</v>
      </c>
      <c r="D63" s="12" t="s">
        <v>21</v>
      </c>
      <c r="E63" s="13">
        <v>4.96</v>
      </c>
      <c r="F63" s="14">
        <f>F6</f>
        <v>30</v>
      </c>
      <c r="G63" s="14">
        <f>G6</f>
        <v>45</v>
      </c>
      <c r="H63" s="14">
        <f>H6</f>
        <v>0.9</v>
      </c>
      <c r="I63" s="14">
        <f>I6</f>
        <v>10</v>
      </c>
      <c r="J63" s="14">
        <f t="shared" si="4"/>
        <v>4.295</v>
      </c>
      <c r="K63" s="14">
        <f t="shared" si="5"/>
        <v>2.70585</v>
      </c>
      <c r="L63" s="14">
        <f t="shared" si="6"/>
        <v>92.90085</v>
      </c>
      <c r="M63" s="14">
        <f t="shared" si="7"/>
        <v>460.788216</v>
      </c>
      <c r="N63" s="14"/>
      <c r="O63" s="14" t="s">
        <v>22</v>
      </c>
    </row>
    <row r="64" s="2" customFormat="1" ht="78.75" outlineLevel="1" spans="1:15">
      <c r="A64" s="12">
        <v>53</v>
      </c>
      <c r="B64" s="12" t="s">
        <v>72</v>
      </c>
      <c r="C64" s="18" t="s">
        <v>73</v>
      </c>
      <c r="D64" s="12" t="s">
        <v>21</v>
      </c>
      <c r="E64" s="13">
        <f>11.41*2.8-0.9*2.8-0.7*2.1*2</f>
        <v>26.488</v>
      </c>
      <c r="F64" s="14">
        <f>F35</f>
        <v>35</v>
      </c>
      <c r="G64" s="14">
        <f>G35</f>
        <v>45</v>
      </c>
      <c r="H64" s="14">
        <f>H35</f>
        <v>0.9</v>
      </c>
      <c r="I64" s="14">
        <f>I35</f>
        <v>10</v>
      </c>
      <c r="J64" s="14">
        <f t="shared" si="4"/>
        <v>4.545</v>
      </c>
      <c r="K64" s="14">
        <f t="shared" si="5"/>
        <v>2.86335</v>
      </c>
      <c r="L64" s="14">
        <f t="shared" si="6"/>
        <v>98.30835</v>
      </c>
      <c r="M64" s="14">
        <f t="shared" si="7"/>
        <v>2603.9915748</v>
      </c>
      <c r="N64" s="14" t="s">
        <v>38</v>
      </c>
      <c r="O64" s="14" t="s">
        <v>22</v>
      </c>
    </row>
    <row r="65" s="2" customFormat="1" ht="123.75" outlineLevel="1" spans="1:15">
      <c r="A65" s="12">
        <v>54</v>
      </c>
      <c r="B65" s="19" t="s">
        <v>74</v>
      </c>
      <c r="C65" s="25" t="s">
        <v>75</v>
      </c>
      <c r="D65" s="12" t="s">
        <v>21</v>
      </c>
      <c r="E65" s="13">
        <v>4.96</v>
      </c>
      <c r="F65" s="13">
        <f>F36</f>
        <v>40</v>
      </c>
      <c r="G65" s="13">
        <f>G36</f>
        <v>90</v>
      </c>
      <c r="H65" s="13">
        <f>H36</f>
        <v>0.9</v>
      </c>
      <c r="I65" s="13">
        <f>I36</f>
        <v>0.5</v>
      </c>
      <c r="J65" s="14">
        <f t="shared" si="4"/>
        <v>6.57</v>
      </c>
      <c r="K65" s="14">
        <f t="shared" si="5"/>
        <v>4.1391</v>
      </c>
      <c r="L65" s="14">
        <f t="shared" si="6"/>
        <v>142.1091</v>
      </c>
      <c r="M65" s="14">
        <f t="shared" si="7"/>
        <v>704.861136</v>
      </c>
      <c r="N65" s="14"/>
      <c r="O65" s="31"/>
    </row>
    <row r="66" s="2" customFormat="1" ht="180" outlineLevel="1" spans="1:15">
      <c r="A66" s="12">
        <v>55</v>
      </c>
      <c r="B66" s="19" t="s">
        <v>40</v>
      </c>
      <c r="C66" s="18" t="s">
        <v>41</v>
      </c>
      <c r="D66" s="12" t="s">
        <v>25</v>
      </c>
      <c r="E66" s="13">
        <f>0.6+0.05</f>
        <v>0.65</v>
      </c>
      <c r="F66" s="13">
        <f>F13</f>
        <v>10</v>
      </c>
      <c r="G66" s="13">
        <f>G13</f>
        <v>93</v>
      </c>
      <c r="H66" s="13">
        <f>H13</f>
        <v>0.465</v>
      </c>
      <c r="I66" s="13">
        <f>I13</f>
        <v>0.5</v>
      </c>
      <c r="J66" s="14">
        <f t="shared" si="4"/>
        <v>5.19825</v>
      </c>
      <c r="K66" s="14">
        <f t="shared" si="5"/>
        <v>3.2748975</v>
      </c>
      <c r="L66" s="14">
        <f t="shared" si="6"/>
        <v>112.4381475</v>
      </c>
      <c r="M66" s="14">
        <f t="shared" si="7"/>
        <v>73.084795875</v>
      </c>
      <c r="N66" s="14"/>
      <c r="O66" s="31"/>
    </row>
    <row r="67" s="2" customFormat="1" ht="56.25" outlineLevel="1" spans="1:15">
      <c r="A67" s="12">
        <v>56</v>
      </c>
      <c r="B67" s="19" t="s">
        <v>93</v>
      </c>
      <c r="C67" s="25" t="s">
        <v>94</v>
      </c>
      <c r="D67" s="12" t="s">
        <v>83</v>
      </c>
      <c r="E67" s="13">
        <v>1</v>
      </c>
      <c r="F67" s="13">
        <v>0</v>
      </c>
      <c r="G67" s="13">
        <v>520</v>
      </c>
      <c r="H67" s="14">
        <v>0</v>
      </c>
      <c r="I67" s="14">
        <v>0</v>
      </c>
      <c r="J67" s="14">
        <f t="shared" si="4"/>
        <v>26</v>
      </c>
      <c r="K67" s="14">
        <f t="shared" si="5"/>
        <v>16.38</v>
      </c>
      <c r="L67" s="14">
        <f t="shared" si="6"/>
        <v>562.38</v>
      </c>
      <c r="M67" s="14">
        <f t="shared" si="7"/>
        <v>562.38</v>
      </c>
      <c r="N67" s="14"/>
      <c r="O67" s="31" t="s">
        <v>48</v>
      </c>
    </row>
    <row r="68" s="2" customFormat="1" ht="45" outlineLevel="1" spans="1:15">
      <c r="A68" s="12">
        <v>57</v>
      </c>
      <c r="B68" s="12" t="s">
        <v>95</v>
      </c>
      <c r="C68" s="20" t="s">
        <v>96</v>
      </c>
      <c r="D68" s="12" t="s">
        <v>21</v>
      </c>
      <c r="E68" s="13">
        <f>1.6*2.8</f>
        <v>4.48</v>
      </c>
      <c r="F68" s="13">
        <v>80</v>
      </c>
      <c r="G68" s="13">
        <v>450</v>
      </c>
      <c r="H68" s="14">
        <v>0</v>
      </c>
      <c r="I68" s="14">
        <v>0</v>
      </c>
      <c r="J68" s="14">
        <f t="shared" si="4"/>
        <v>26.5</v>
      </c>
      <c r="K68" s="14">
        <f t="shared" si="5"/>
        <v>16.695</v>
      </c>
      <c r="L68" s="14">
        <f t="shared" si="6"/>
        <v>573.195</v>
      </c>
      <c r="M68" s="14">
        <f t="shared" si="7"/>
        <v>2567.9136</v>
      </c>
      <c r="N68" s="14"/>
      <c r="O68" s="31"/>
    </row>
    <row r="69" s="2" customFormat="1" ht="67.5" outlineLevel="1" spans="1:15">
      <c r="A69" s="12">
        <v>58</v>
      </c>
      <c r="B69" s="12" t="s">
        <v>66</v>
      </c>
      <c r="C69" s="20" t="s">
        <v>97</v>
      </c>
      <c r="D69" s="12" t="s">
        <v>21</v>
      </c>
      <c r="E69" s="13">
        <f>4.96+11.4*0.3</f>
        <v>8.38</v>
      </c>
      <c r="F69" s="14">
        <f>F32</f>
        <v>8</v>
      </c>
      <c r="G69" s="14">
        <f>G32</f>
        <v>25</v>
      </c>
      <c r="H69" s="14">
        <f>H32</f>
        <v>0.25</v>
      </c>
      <c r="I69" s="14">
        <f>I32</f>
        <v>0.1</v>
      </c>
      <c r="J69" s="14">
        <f t="shared" si="4"/>
        <v>1.6675</v>
      </c>
      <c r="K69" s="14">
        <f t="shared" si="5"/>
        <v>1.050525</v>
      </c>
      <c r="L69" s="14">
        <f t="shared" si="6"/>
        <v>36.068025</v>
      </c>
      <c r="M69" s="14">
        <f t="shared" si="7"/>
        <v>302.2500495</v>
      </c>
      <c r="N69" s="14"/>
      <c r="O69" s="31" t="s">
        <v>69</v>
      </c>
    </row>
    <row r="70" s="2" customFormat="1" ht="45" outlineLevel="1" spans="1:15">
      <c r="A70" s="12">
        <v>59</v>
      </c>
      <c r="B70" s="12" t="s">
        <v>98</v>
      </c>
      <c r="C70" s="20" t="s">
        <v>99</v>
      </c>
      <c r="D70" s="12" t="s">
        <v>83</v>
      </c>
      <c r="E70" s="13">
        <v>1</v>
      </c>
      <c r="F70" s="13">
        <v>50</v>
      </c>
      <c r="G70" s="13">
        <v>750</v>
      </c>
      <c r="H70" s="14">
        <v>0</v>
      </c>
      <c r="I70" s="14">
        <v>0</v>
      </c>
      <c r="J70" s="14">
        <f t="shared" si="4"/>
        <v>40</v>
      </c>
      <c r="K70" s="14">
        <f t="shared" si="5"/>
        <v>25.2</v>
      </c>
      <c r="L70" s="14">
        <f t="shared" si="6"/>
        <v>865.2</v>
      </c>
      <c r="M70" s="14">
        <f t="shared" si="7"/>
        <v>865.2</v>
      </c>
      <c r="N70" s="14"/>
      <c r="O70" s="14"/>
    </row>
    <row r="71" s="2" customFormat="1" ht="33.75" outlineLevel="1" spans="1:15">
      <c r="A71" s="12">
        <v>60</v>
      </c>
      <c r="B71" s="12" t="s">
        <v>100</v>
      </c>
      <c r="C71" s="20" t="s">
        <v>101</v>
      </c>
      <c r="D71" s="12" t="s">
        <v>83</v>
      </c>
      <c r="E71" s="13">
        <v>1</v>
      </c>
      <c r="F71" s="13">
        <v>50</v>
      </c>
      <c r="G71" s="13">
        <v>550</v>
      </c>
      <c r="H71" s="14">
        <v>0</v>
      </c>
      <c r="I71" s="14">
        <v>0</v>
      </c>
      <c r="J71" s="14">
        <f t="shared" si="4"/>
        <v>30</v>
      </c>
      <c r="K71" s="14">
        <f t="shared" si="5"/>
        <v>18.9</v>
      </c>
      <c r="L71" s="14">
        <f t="shared" si="6"/>
        <v>648.9</v>
      </c>
      <c r="M71" s="14">
        <f t="shared" si="7"/>
        <v>648.9</v>
      </c>
      <c r="N71" s="14"/>
      <c r="O71" s="31" t="s">
        <v>102</v>
      </c>
    </row>
    <row r="72" s="2" customFormat="1" ht="33.75" outlineLevel="1" spans="1:15">
      <c r="A72" s="12">
        <v>61</v>
      </c>
      <c r="B72" s="12" t="s">
        <v>103</v>
      </c>
      <c r="C72" s="20" t="s">
        <v>104</v>
      </c>
      <c r="D72" s="12" t="s">
        <v>83</v>
      </c>
      <c r="E72" s="13">
        <v>1</v>
      </c>
      <c r="F72" s="13">
        <v>50</v>
      </c>
      <c r="G72" s="13">
        <v>150</v>
      </c>
      <c r="H72" s="14">
        <v>0</v>
      </c>
      <c r="I72" s="14">
        <v>0</v>
      </c>
      <c r="J72" s="14">
        <f t="shared" si="4"/>
        <v>10</v>
      </c>
      <c r="K72" s="14">
        <f t="shared" si="5"/>
        <v>6.3</v>
      </c>
      <c r="L72" s="14">
        <f t="shared" si="6"/>
        <v>216.3</v>
      </c>
      <c r="M72" s="14">
        <f t="shared" si="7"/>
        <v>216.3</v>
      </c>
      <c r="N72" s="14"/>
      <c r="O72" s="31" t="s">
        <v>102</v>
      </c>
    </row>
    <row r="73" s="2" customFormat="1" ht="33.75" outlineLevel="1" spans="1:15">
      <c r="A73" s="12">
        <v>62</v>
      </c>
      <c r="B73" s="19" t="s">
        <v>105</v>
      </c>
      <c r="C73" s="25" t="s">
        <v>106</v>
      </c>
      <c r="D73" s="12" t="s">
        <v>83</v>
      </c>
      <c r="E73" s="13">
        <v>1</v>
      </c>
      <c r="F73" s="14">
        <v>50</v>
      </c>
      <c r="G73" s="14">
        <v>650</v>
      </c>
      <c r="H73" s="14">
        <v>0</v>
      </c>
      <c r="I73" s="14">
        <v>0</v>
      </c>
      <c r="J73" s="14">
        <f t="shared" si="4"/>
        <v>35</v>
      </c>
      <c r="K73" s="14">
        <f t="shared" si="5"/>
        <v>22.05</v>
      </c>
      <c r="L73" s="14">
        <f t="shared" si="6"/>
        <v>757.05</v>
      </c>
      <c r="M73" s="14">
        <f t="shared" si="7"/>
        <v>757.05</v>
      </c>
      <c r="N73" s="14"/>
      <c r="O73" s="31" t="s">
        <v>102</v>
      </c>
    </row>
    <row r="74" s="2" customFormat="1" outlineLevel="1" spans="1:15">
      <c r="A74" s="12">
        <v>63</v>
      </c>
      <c r="B74" s="19" t="s">
        <v>107</v>
      </c>
      <c r="C74" s="25" t="s">
        <v>108</v>
      </c>
      <c r="D74" s="12" t="s">
        <v>21</v>
      </c>
      <c r="E74" s="13">
        <f>1.3*2.8</f>
        <v>3.64</v>
      </c>
      <c r="F74" s="14">
        <v>120</v>
      </c>
      <c r="G74" s="14">
        <v>0</v>
      </c>
      <c r="H74" s="14">
        <v>0</v>
      </c>
      <c r="I74" s="14">
        <v>0</v>
      </c>
      <c r="J74" s="14">
        <f t="shared" si="4"/>
        <v>6</v>
      </c>
      <c r="K74" s="14">
        <f t="shared" si="5"/>
        <v>3.78</v>
      </c>
      <c r="L74" s="14">
        <f t="shared" si="6"/>
        <v>129.78</v>
      </c>
      <c r="M74" s="14">
        <f t="shared" si="7"/>
        <v>472.3992</v>
      </c>
      <c r="N74" s="14"/>
      <c r="O74" s="31"/>
    </row>
    <row r="75" s="2" customFormat="1" ht="30" customHeight="1" outlineLevel="1" spans="1:15">
      <c r="A75" s="12">
        <v>64</v>
      </c>
      <c r="B75" s="19" t="s">
        <v>109</v>
      </c>
      <c r="C75" s="20" t="s">
        <v>110</v>
      </c>
      <c r="D75" s="12" t="s">
        <v>21</v>
      </c>
      <c r="E75" s="13">
        <f>0.9*2.3</f>
        <v>2.07</v>
      </c>
      <c r="F75" s="14">
        <v>80</v>
      </c>
      <c r="G75" s="14">
        <v>350</v>
      </c>
      <c r="H75" s="14">
        <v>0</v>
      </c>
      <c r="I75" s="14">
        <v>0</v>
      </c>
      <c r="J75" s="14">
        <f t="shared" si="4"/>
        <v>21.5</v>
      </c>
      <c r="K75" s="14">
        <f t="shared" si="5"/>
        <v>13.545</v>
      </c>
      <c r="L75" s="14">
        <f t="shared" si="6"/>
        <v>465.045</v>
      </c>
      <c r="M75" s="14">
        <f t="shared" si="7"/>
        <v>962.64315</v>
      </c>
      <c r="N75" s="14"/>
      <c r="O75" s="31"/>
    </row>
    <row r="76" s="2" customFormat="1" ht="22.5" outlineLevel="1" spans="1:15">
      <c r="A76" s="12">
        <v>65</v>
      </c>
      <c r="B76" s="19" t="s">
        <v>111</v>
      </c>
      <c r="C76" s="32" t="s">
        <v>112</v>
      </c>
      <c r="D76" s="12" t="s">
        <v>44</v>
      </c>
      <c r="E76" s="13">
        <v>4</v>
      </c>
      <c r="F76" s="14">
        <v>0</v>
      </c>
      <c r="G76" s="14">
        <v>80</v>
      </c>
      <c r="H76" s="14">
        <v>0</v>
      </c>
      <c r="I76" s="14">
        <v>0</v>
      </c>
      <c r="J76" s="14">
        <f t="shared" si="4"/>
        <v>4</v>
      </c>
      <c r="K76" s="14">
        <f t="shared" si="5"/>
        <v>2.52</v>
      </c>
      <c r="L76" s="14">
        <f t="shared" si="6"/>
        <v>86.52</v>
      </c>
      <c r="M76" s="14">
        <f t="shared" si="7"/>
        <v>346.08</v>
      </c>
      <c r="N76" s="14"/>
      <c r="O76" s="31" t="s">
        <v>113</v>
      </c>
    </row>
    <row r="77" s="2" customFormat="1" spans="1:15">
      <c r="A77" s="17" t="s">
        <v>114</v>
      </c>
      <c r="B77" s="24" t="s">
        <v>115</v>
      </c>
      <c r="C77" s="33"/>
      <c r="D77" s="34"/>
      <c r="E77" s="13"/>
      <c r="F77" s="14"/>
      <c r="G77" s="14"/>
      <c r="H77" s="14"/>
      <c r="I77" s="14"/>
      <c r="J77" s="14"/>
      <c r="K77" s="14"/>
      <c r="L77" s="14"/>
      <c r="M77" s="14"/>
      <c r="N77" s="14"/>
      <c r="O77" s="31"/>
    </row>
    <row r="78" s="2" customFormat="1" ht="45" outlineLevel="1" spans="1:15">
      <c r="A78" s="12">
        <v>66</v>
      </c>
      <c r="B78" s="19" t="s">
        <v>116</v>
      </c>
      <c r="C78" s="25" t="s">
        <v>117</v>
      </c>
      <c r="D78" s="12" t="s">
        <v>21</v>
      </c>
      <c r="E78" s="13">
        <v>98</v>
      </c>
      <c r="F78" s="13">
        <v>28</v>
      </c>
      <c r="G78" s="13">
        <v>35</v>
      </c>
      <c r="H78" s="14">
        <f>G78*1%</f>
        <v>0.35</v>
      </c>
      <c r="I78" s="14">
        <v>0.5</v>
      </c>
      <c r="J78" s="14">
        <f>(F78+G78+H78+I78)*$J$4</f>
        <v>3.1925</v>
      </c>
      <c r="K78" s="14">
        <f>(F78+G78+H78+I78+J78)*$K$4</f>
        <v>2.011275</v>
      </c>
      <c r="L78" s="14">
        <f>F78+G78+H78+I78+J78+K78</f>
        <v>69.053775</v>
      </c>
      <c r="M78" s="14">
        <f>L78*E78</f>
        <v>6767.26995</v>
      </c>
      <c r="N78" s="14"/>
      <c r="O78" s="31"/>
    </row>
    <row r="79" s="2" customFormat="1" ht="22.5" outlineLevel="1" spans="1:15">
      <c r="A79" s="12">
        <v>67</v>
      </c>
      <c r="B79" s="19" t="s">
        <v>118</v>
      </c>
      <c r="C79" s="25" t="s">
        <v>119</v>
      </c>
      <c r="D79" s="12" t="s">
        <v>120</v>
      </c>
      <c r="E79" s="13">
        <v>50</v>
      </c>
      <c r="F79" s="14">
        <v>3</v>
      </c>
      <c r="G79" s="14">
        <v>20</v>
      </c>
      <c r="H79" s="14">
        <v>0</v>
      </c>
      <c r="I79" s="14">
        <v>0.2</v>
      </c>
      <c r="J79" s="14">
        <f>(F79+G79+H79+I79)*$J$4</f>
        <v>1.16</v>
      </c>
      <c r="K79" s="14">
        <f>(F79+G79+H79+I79+J79)*$K$4</f>
        <v>0.7308</v>
      </c>
      <c r="L79" s="14">
        <f>F79+G79+H79+I79+J79+K79</f>
        <v>25.0908</v>
      </c>
      <c r="M79" s="14">
        <f>L79*E79</f>
        <v>1254.54</v>
      </c>
      <c r="N79" s="14"/>
      <c r="O79" s="31" t="s">
        <v>121</v>
      </c>
    </row>
    <row r="80" s="2" customFormat="1" outlineLevel="1" spans="1:15">
      <c r="A80" s="12">
        <v>68</v>
      </c>
      <c r="B80" s="19" t="s">
        <v>122</v>
      </c>
      <c r="C80" s="25" t="s">
        <v>123</v>
      </c>
      <c r="D80" s="12" t="s">
        <v>124</v>
      </c>
      <c r="E80" s="13">
        <v>1</v>
      </c>
      <c r="F80" s="14">
        <v>150</v>
      </c>
      <c r="G80" s="14">
        <v>80</v>
      </c>
      <c r="H80" s="14">
        <v>0</v>
      </c>
      <c r="I80" s="14">
        <v>60</v>
      </c>
      <c r="J80" s="14">
        <f>(F80+G80+H80+I80)*$J$4</f>
        <v>14.5</v>
      </c>
      <c r="K80" s="14">
        <f>(F80+G80+H80+I80+J80)*$K$4</f>
        <v>9.135</v>
      </c>
      <c r="L80" s="14">
        <f>F80+G80+H80+I80+J80+K80</f>
        <v>313.635</v>
      </c>
      <c r="M80" s="14">
        <f>L80*E80</f>
        <v>313.635</v>
      </c>
      <c r="N80" s="14"/>
      <c r="O80" s="31"/>
    </row>
    <row r="81" s="2" customFormat="1" ht="45" outlineLevel="1" spans="1:15">
      <c r="A81" s="12">
        <v>69</v>
      </c>
      <c r="B81" s="19" t="s">
        <v>125</v>
      </c>
      <c r="C81" s="25" t="s">
        <v>126</v>
      </c>
      <c r="D81" s="12" t="s">
        <v>127</v>
      </c>
      <c r="E81" s="13">
        <v>2</v>
      </c>
      <c r="F81" s="14">
        <v>250</v>
      </c>
      <c r="G81" s="14">
        <v>5</v>
      </c>
      <c r="H81" s="14">
        <v>0</v>
      </c>
      <c r="I81" s="14">
        <v>20</v>
      </c>
      <c r="J81" s="14">
        <f>(F81+G81+H81+I81)*$J$4</f>
        <v>13.75</v>
      </c>
      <c r="K81" s="14">
        <f>(F81+G81+H81+I81+J81)*$K$4</f>
        <v>8.6625</v>
      </c>
      <c r="L81" s="14">
        <f>F81+G81+H81+I81+J81+K81</f>
        <v>297.4125</v>
      </c>
      <c r="M81" s="14">
        <f>L81*E81</f>
        <v>594.825</v>
      </c>
      <c r="N81" s="14"/>
      <c r="O81" s="31"/>
    </row>
    <row r="82" s="2" customFormat="1" ht="22.5" outlineLevel="1" spans="1:15">
      <c r="A82" s="12">
        <v>70</v>
      </c>
      <c r="B82" s="19" t="s">
        <v>128</v>
      </c>
      <c r="C82" s="25" t="s">
        <v>129</v>
      </c>
      <c r="D82" s="12" t="s">
        <v>124</v>
      </c>
      <c r="E82" s="13">
        <v>1</v>
      </c>
      <c r="F82" s="14">
        <v>500</v>
      </c>
      <c r="G82" s="14">
        <v>0</v>
      </c>
      <c r="H82" s="14">
        <v>0</v>
      </c>
      <c r="I82" s="14">
        <v>0</v>
      </c>
      <c r="J82" s="14">
        <f>(F82+G82+H82+I82)*$J$4</f>
        <v>25</v>
      </c>
      <c r="K82" s="14">
        <f>(F82+G82+H82+I82+J82)*$K$4</f>
        <v>15.75</v>
      </c>
      <c r="L82" s="14">
        <f>F82+G82+H82+I82+J82+K82</f>
        <v>540.75</v>
      </c>
      <c r="M82" s="14">
        <f>L82*E82</f>
        <v>540.75</v>
      </c>
      <c r="N82" s="14"/>
      <c r="O82" s="31"/>
    </row>
    <row r="83" s="2" customFormat="1" spans="1:15">
      <c r="A83" s="35" t="s">
        <v>130</v>
      </c>
      <c r="B83" s="36" t="s">
        <v>131</v>
      </c>
      <c r="C83" s="37"/>
      <c r="D83" s="38"/>
      <c r="E83" s="39"/>
      <c r="F83" s="39"/>
      <c r="G83" s="39"/>
      <c r="H83" s="39"/>
      <c r="I83" s="39"/>
      <c r="J83" s="39"/>
      <c r="K83" s="42"/>
      <c r="L83" s="42"/>
      <c r="M83" s="43">
        <f>SUM(M6:M82)</f>
        <v>59494.874036325</v>
      </c>
      <c r="N83" s="43"/>
      <c r="O83" s="44"/>
    </row>
    <row r="84" s="4" customFormat="1" ht="76" customHeight="1" spans="1:17">
      <c r="A84" s="40" t="s">
        <v>132</v>
      </c>
      <c r="B84" s="41" t="s">
        <v>133</v>
      </c>
      <c r="C84" s="41"/>
      <c r="D84" s="41"/>
      <c r="E84" s="41"/>
      <c r="F84" s="41"/>
      <c r="G84" s="41"/>
      <c r="H84" s="41"/>
      <c r="I84" s="41"/>
      <c r="J84" s="41"/>
      <c r="K84" s="41"/>
      <c r="L84" s="41"/>
      <c r="M84" s="41"/>
      <c r="N84" s="41"/>
      <c r="O84" s="41"/>
      <c r="Q84" s="45"/>
    </row>
    <row r="85" spans="17:17">
      <c r="Q85" s="46"/>
    </row>
    <row r="86" spans="17:17">
      <c r="Q86" s="46"/>
    </row>
  </sheetData>
  <autoFilter ref="A4:O84">
    <extLst/>
  </autoFilter>
  <mergeCells count="18">
    <mergeCell ref="A1:O1"/>
    <mergeCell ref="F2:J2"/>
    <mergeCell ref="D83:J83"/>
    <mergeCell ref="B84:O84"/>
    <mergeCell ref="A2:A4"/>
    <mergeCell ref="B2:B4"/>
    <mergeCell ref="C2:C4"/>
    <mergeCell ref="D2:D4"/>
    <mergeCell ref="E2:E4"/>
    <mergeCell ref="F3:F4"/>
    <mergeCell ref="G3:G4"/>
    <mergeCell ref="H3:H4"/>
    <mergeCell ref="I3:I4"/>
    <mergeCell ref="K2:K3"/>
    <mergeCell ref="L2:L4"/>
    <mergeCell ref="M2:M4"/>
    <mergeCell ref="N2:N4"/>
    <mergeCell ref="O2:O4"/>
  </mergeCells>
  <printOptions horizontalCentered="1"/>
  <pageMargins left="0.118055555555556" right="0.118055555555556" top="0.118055555555556" bottom="0.118055555555556" header="0.298611111111111" footer="0.298611111111111"/>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333</dc:creator>
  <cp:lastModifiedBy>胡小婷</cp:lastModifiedBy>
  <dcterms:created xsi:type="dcterms:W3CDTF">2022-09-22T08:35:00Z</dcterms:created>
  <dcterms:modified xsi:type="dcterms:W3CDTF">2024-03-28T06:22:45Z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95EB3861FBB449C1A938E392100583E6_13</vt:lpwstr>
  </property>
  <property fmtid="{D5CDD505-2E9C-101B-9397-08002B2CF9AE}" pid="3" name="KSOProductBuildVer">
    <vt:lpwstr>2052-12.1.0.16417</vt:lpwstr>
  </property>
  <property fmtid="{D5CDD505-2E9C-101B-9397-08002B2CF9AE}" pid="4" name="KSOReadingLayout">
    <vt:bool>true</vt:bool>
  </property>
</Properties>
</file>